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16.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drawings/drawing17.xml" ContentType="application/vnd.openxmlformats-officedocument.drawing+xml"/>
  <Override PartName="/xl/drawings/drawing18.xml" ContentType="application/vnd.openxmlformats-officedocument.drawing+xml"/>
  <Override PartName="/xl/comments4.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5.xml" ContentType="application/vnd.openxmlformats-officedocument.spreadsheetml.comments+xml"/>
  <Override PartName="/xl/threadedComments/threadedComment3.xml" ContentType="application/vnd.ms-excel.threadedcomments+xml"/>
  <Override PartName="/xl/drawings/drawing29.xml" ContentType="application/vnd.openxmlformats-officedocument.drawing+xml"/>
  <Override PartName="/xl/comments6.xml" ContentType="application/vnd.openxmlformats-officedocument.spreadsheetml.comments+xml"/>
  <Override PartName="/xl/threadedComments/threadedComment4.xml" ContentType="application/vnd.ms-excel.threadedcomment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omments7.xml" ContentType="application/vnd.openxmlformats-officedocument.spreadsheetml.comments+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omments8.xml" ContentType="application/vnd.openxmlformats-officedocument.spreadsheetml.comments+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pivotTables/pivotTable1.xml" ContentType="application/vnd.openxmlformats-officedocument.spreadsheetml.pivotTable+xml"/>
  <Override PartName="/xl/comments9.xml" ContentType="application/vnd.openxmlformats-officedocument.spreadsheetml.comments+xml"/>
  <Override PartName="/xl/pivotTables/pivotTable2.xml" ContentType="application/vnd.openxmlformats-officedocument.spreadsheetml.pivotTable+xml"/>
  <Override PartName="/xl/persons/person.xml" ContentType="application/vnd.ms-excel.person+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16"/>
  <workbookPr codeName="ThisWorkbook" defaultThemeVersion="124226"/>
  <mc:AlternateContent xmlns:mc="http://schemas.openxmlformats.org/markup-compatibility/2006">
    <mc:Choice Requires="x15">
      <x15ac:absPath xmlns:x15ac="http://schemas.microsoft.com/office/spreadsheetml/2010/11/ac" url="https://d.docs.live.net/efe718e5a97f254a/Documents/SENTENCIAS/SENTENCIAS/Cuadros Liquidacion Pasivos/"/>
    </mc:Choice>
  </mc:AlternateContent>
  <xr:revisionPtr revIDLastSave="0" documentId="8_{7E88CDC6-325F-4A47-AEEB-0A8BF8F7ED61}" xr6:coauthVersionLast="47" xr6:coauthVersionMax="47" xr10:uidLastSave="{00000000-0000-0000-0000-000000000000}"/>
  <bookViews>
    <workbookView xWindow="-120" yWindow="-120" windowWidth="20730" windowHeight="11160" tabRatio="703" firstSheet="115" activeTab="115" xr2:uid="{00000000-000D-0000-FFFF-FFFF00000000}"/>
  </bookViews>
  <sheets>
    <sheet name="Nilda Melendez " sheetId="117" r:id="rId1"/>
    <sheet name="Adalberto Diaz " sheetId="111" r:id="rId2"/>
    <sheet name="Bancolombia.conavi" sheetId="44" r:id="rId3"/>
    <sheet name="Medical Universal" sheetId="46" r:id="rId4"/>
    <sheet name="Ricardo Tapias Morales y OTROS" sheetId="55" r:id="rId5"/>
    <sheet name="Oxigeno Optimus" sheetId="47" r:id="rId6"/>
    <sheet name="Ruben Vasquez Correccion" sheetId="170" r:id="rId7"/>
    <sheet name="Ruben Vasquez" sheetId="86" r:id="rId8"/>
    <sheet name="Monica Agamez" sheetId="23" r:id="rId9"/>
    <sheet name="Edgar Meza" sheetId="89" r:id="rId10"/>
    <sheet name="Jose  Madero Correccion" sheetId="172" r:id="rId11"/>
    <sheet name="Jose  Madero" sheetId="58" r:id="rId12"/>
    <sheet name="Betilda Teheran" sheetId="22" r:id="rId13"/>
    <sheet name="Lime (2)" sheetId="123" r:id="rId14"/>
    <sheet name="Jafet Gomez" sheetId="61" r:id="rId15"/>
    <sheet name="Jafet Gomez (Corregido)" sheetId="177" r:id="rId16"/>
    <sheet name="Luis Carlos Julio " sheetId="119" r:id="rId17"/>
    <sheet name="Klaus Naeder" sheetId="75" r:id="rId18"/>
    <sheet name="Ibeth Jimenez Correccion (Angie" sheetId="171" r:id="rId19"/>
    <sheet name="Ibeth Jimenez Correccion" sheetId="166" r:id="rId20"/>
    <sheet name="Ibeth Jimenez" sheetId="62" r:id="rId21"/>
    <sheet name="Francia Evan" sheetId="21" r:id="rId22"/>
    <sheet name="Monica Merchan" sheetId="120" r:id="rId23"/>
    <sheet name="Vise" sheetId="28" r:id="rId24"/>
    <sheet name="Roger Martinez y Otros" sheetId="64" r:id="rId25"/>
    <sheet name="Neil Carrasquilla " sheetId="124" r:id="rId26"/>
    <sheet name="Neil Carrasquilla Rev" sheetId="165" r:id="rId27"/>
    <sheet name="Damaso Bellido" sheetId="91" r:id="rId28"/>
    <sheet name="Antonio Sotelo" sheetId="26" r:id="rId29"/>
    <sheet name="Araujo y Segovia " sheetId="92" r:id="rId30"/>
    <sheet name="Francisco Barrios,Araujo" sheetId="24" r:id="rId31"/>
    <sheet name="Maria E Zuluaga Ejercicio" sheetId="174" r:id="rId32"/>
    <sheet name="Maria E Zuluaga" sheetId="59" r:id="rId33"/>
    <sheet name="Pastoral" sheetId="25" r:id="rId34"/>
    <sheet name="Ricardo Leon Gomez" sheetId="85" r:id="rId35"/>
    <sheet name="Ricardo Leon Gomez Correccion" sheetId="175" r:id="rId36"/>
    <sheet name="Liscenia Torres" sheetId="94" r:id="rId37"/>
    <sheet name="Natalia Batista" sheetId="43" r:id="rId38"/>
    <sheet name="Natalia Batista (2)" sheetId="162" r:id="rId39"/>
    <sheet name="Yamal Afiuni" sheetId="96" r:id="rId40"/>
    <sheet name="Yamal Afiuni (2)" sheetId="163" r:id="rId41"/>
    <sheet name="Vilma Ortiz Leon " sheetId="116" r:id="rId42"/>
    <sheet name="Vilma Ortiz Corr" sheetId="178" r:id="rId43"/>
    <sheet name="Eduardo Hernandez" sheetId="54" r:id="rId44"/>
    <sheet name="Julian Arrieta" sheetId="105" r:id="rId45"/>
    <sheet name="Albertina Guerrero" sheetId="27" r:id="rId46"/>
    <sheet name="Lozano E Cabel SAS" sheetId="98" r:id="rId47"/>
    <sheet name="Lozano E Cabel SAS (2)" sheetId="169" r:id="rId48"/>
    <sheet name="Anyelis Barrios" sheetId="66" r:id="rId49"/>
    <sheet name="Anyelis " sheetId="125" r:id="rId50"/>
    <sheet name="Invermas" sheetId="103" r:id="rId51"/>
    <sheet name="Inmobiliaria Ctg" sheetId="102" r:id="rId52"/>
    <sheet name="Inmobiliaria Ctg (2)" sheetId="164" r:id="rId53"/>
    <sheet name="Ileana Estremor" sheetId="99" r:id="rId54"/>
    <sheet name="Plinio Romero" sheetId="56" r:id="rId55"/>
    <sheet name="Plinio Romero Correccion" sheetId="179" r:id="rId56"/>
    <sheet name="Omar Manrique Franco" sheetId="68" r:id="rId57"/>
    <sheet name="Omar Manrique Franco (2)" sheetId="205" r:id="rId58"/>
    <sheet name="Tomas Tatis" sheetId="74" r:id="rId59"/>
    <sheet name="Julia Soleno" sheetId="65" r:id="rId60"/>
    <sheet name="Consorcio Vial Baru.Laudo" sheetId="140" r:id="rId61"/>
    <sheet name="Correccion Cons Vial Baru" sheetId="185" r:id="rId62"/>
    <sheet name="Angelina Gomez" sheetId="141" r:id="rId63"/>
    <sheet name="Insercol 158" sheetId="129" r:id="rId64"/>
    <sheet name="Pesbocol" sheetId="97" r:id="rId65"/>
    <sheet name="Edgar Castro" sheetId="126" r:id="rId66"/>
    <sheet name="GAM Construcciones.Laudo" sheetId="144" r:id="rId67"/>
    <sheet name="Corrreccion GAM Laudo 15 Dic" sheetId="199" r:id="rId68"/>
    <sheet name="Electrificadora y DT" sheetId="19" r:id="rId69"/>
    <sheet name="Juan Climaco Perez" sheetId="101" r:id="rId70"/>
    <sheet name="Gloria Acosta" sheetId="29" r:id="rId71"/>
    <sheet name="Claudia Correa" sheetId="30" r:id="rId72"/>
    <sheet name="Comexco Ltda" sheetId="41" r:id="rId73"/>
    <sheet name="Topline sas" sheetId="32" r:id="rId74"/>
    <sheet name="Rodrigo V Martinez" sheetId="49" r:id="rId75"/>
    <sheet name="Edilberto Mendoza" sheetId="67" r:id="rId76"/>
    <sheet name="Rodolfo Caraballo" sheetId="72" r:id="rId77"/>
    <sheet name="EDURBE" sheetId="82" r:id="rId78"/>
    <sheet name="Ims EU Liq" sheetId="133" r:id="rId79"/>
    <sheet name="Margarita Sanchez" sheetId="153" r:id="rId80"/>
    <sheet name="Miriam Buelvas" sheetId="156" r:id="rId81"/>
    <sheet name="Carlos Ayola" sheetId="173" r:id="rId82"/>
    <sheet name="Ines Visbal" sheetId="176" r:id="rId83"/>
    <sheet name="consorcio vial barú" sheetId="183" r:id="rId84"/>
    <sheet name="Inversiones Cesareo" sheetId="180" r:id="rId85"/>
    <sheet name="Branium Rad 00278" sheetId="194" r:id="rId86"/>
    <sheet name="Alfonso Mayorga" sheetId="196" r:id="rId87"/>
    <sheet name="Gloria Monsalve" sheetId="197" r:id="rId88"/>
    <sheet name="Richard Beltran" sheetId="139" r:id="rId89"/>
    <sheet name="Lilia Cueto" sheetId="143" r:id="rId90"/>
    <sheet name="Orlando del Rio" sheetId="184" r:id="rId91"/>
    <sheet name="Fabiola Botero" sheetId="130" r:id="rId92"/>
    <sheet name="Asocopor" sheetId="154" r:id="rId93"/>
    <sheet name="Francisco Madero" sheetId="131" r:id="rId94"/>
    <sheet name="Oscar Camacho" sheetId="145" r:id="rId95"/>
    <sheet name="Consorcio Vias" sheetId="104" r:id="rId96"/>
    <sheet name="Elida Martinez" sheetId="146" r:id="rId97"/>
    <sheet name="Jacobo Forero" sheetId="148" r:id="rId98"/>
    <sheet name="Roberto Davila y Otros" sheetId="155" r:id="rId99"/>
    <sheet name="Esperanza Cabrera" sheetId="187" r:id="rId100"/>
    <sheet name="Cabel SAS " sheetId="135" r:id="rId101"/>
    <sheet name="Carlos Gastelbondo" sheetId="134" r:id="rId102"/>
    <sheet name="Dionisio Pautt" sheetId="138" r:id="rId103"/>
    <sheet name="Alba Rodriguez" sheetId="159" r:id="rId104"/>
    <sheet name="Inversiones Leonor Arocha" sheetId="160" r:id="rId105"/>
    <sheet name="Myrna Drago" sheetId="149" r:id="rId106"/>
    <sheet name="Consor. vias caribe" sheetId="195" r:id="rId107"/>
    <sheet name="Luis Gutierrez" sheetId="152" r:id="rId108"/>
    <sheet name="Jesus Mercado Caballero" sheetId="161" r:id="rId109"/>
    <sheet name="Inmobiliaria Cart 2021" sheetId="181" r:id="rId110"/>
    <sheet name="Carlos Ayola (auto que aprueba)" sheetId="190" r:id="rId111"/>
    <sheet name="Cons Barú 15 Dic" sheetId="198" r:id="rId112"/>
    <sheet name="Branium Liquidacion" sheetId="202" r:id="rId113"/>
    <sheet name="Amira Diaz" sheetId="203" r:id="rId114"/>
    <sheet name="Beatriz Gil" sheetId="206" r:id="rId115"/>
    <sheet name="Informe Marzo 152023" sheetId="208" r:id="rId116"/>
    <sheet name="RESUMEN LIQUIDACION SANEAMIENTO" sheetId="37" r:id="rId117"/>
    <sheet name="Hoja2" sheetId="189" r:id="rId118"/>
    <sheet name="Hoja5" sheetId="212" r:id="rId119"/>
    <sheet name="revision" sheetId="209" r:id="rId120"/>
  </sheets>
  <externalReferences>
    <externalReference r:id="rId121"/>
    <externalReference r:id="rId122"/>
  </externalReferences>
  <definedNames>
    <definedName name="_1">'[1]Otras tasas'!#REF!</definedName>
    <definedName name="_xlnm._FilterDatabase" localSheetId="116" hidden="1">'RESUMEN LIQUIDACION SANEAMIENTO'!$A$2:$W$130</definedName>
    <definedName name="_xlnm._FilterDatabase" localSheetId="119" hidden="1">revision!$A$2:$W$74</definedName>
    <definedName name="_xlnm.Print_Area" localSheetId="16">'Luis Carlos Julio '!$B$1:$H$156</definedName>
    <definedName name="_xlnm.Print_Area" localSheetId="56">'Omar Manrique Franco'!$A$3:$H$109</definedName>
    <definedName name="_xlnm.Print_Area" localSheetId="57">'Omar Manrique Franco (2)'!$A$3:$H$118</definedName>
    <definedName name="_xlnm.Print_Area" localSheetId="5">'Oxigeno Optimus'!$B$1:$I$82</definedName>
    <definedName name="_xlnm.Print_Area" localSheetId="64">Pesbocol!$A$1:$L$114</definedName>
    <definedName name="_xlnm.Print_Area" localSheetId="116">'RESUMEN LIQUIDACION SANEAMIENTO'!$A$2:$S$129</definedName>
    <definedName name="_xlnm.Print_Area" localSheetId="119">revision!$A$2:$T$46</definedName>
    <definedName name="_xlnm.Print_Area" localSheetId="76">'Rodolfo Caraballo'!$A$9:$H$87</definedName>
    <definedName name="_xlnm.Print_Area" localSheetId="7">'Ruben Vasquez'!$A$1:$T$180</definedName>
    <definedName name="_xlnm.Print_Area" localSheetId="6">'Ruben Vasquez Correccion'!$A$1:$T$180</definedName>
    <definedName name="_xlnm.Print_Area" localSheetId="23">Vise!$A$31:$J$61</definedName>
    <definedName name="HTML_CodePage" hidden="1">1252</definedName>
    <definedName name="HTML_Control" localSheetId="114" hidden="1">{"'CERTIFICADO1'!$A$1:$G$221"}</definedName>
    <definedName name="HTML_Control" hidden="1">{"'CERTIFICADO1'!$A$1:$G$221"}</definedName>
    <definedName name="HTML_Description" hidden="1">""</definedName>
    <definedName name="HTML_Email" hidden="1">""</definedName>
    <definedName name="HTML_Header" hidden="1">""</definedName>
    <definedName name="HTML_LastUpdate" hidden="1">"2/07/2002"</definedName>
    <definedName name="HTML_LineAfter" hidden="1">FALSE</definedName>
    <definedName name="HTML_LineBefore" hidden="1">FALSE</definedName>
    <definedName name="HTML_Name" hidden="1">"Superintendencia Bancaria"</definedName>
    <definedName name="HTML_OBDlg2" hidden="1">TRUE</definedName>
    <definedName name="HTML_OBDlg4" hidden="1">TRUE</definedName>
    <definedName name="HTML_OS" hidden="1">0</definedName>
    <definedName name="HTML_PathFile" hidden="1">"C:\Mis documentos\Marlen\Marlen\TASASBCTELASIG\certificacion-internet\PRUEBA 1.htm"</definedName>
    <definedName name="HTML_Title" hidden="1">""</definedName>
    <definedName name="meses">[1]DTF!$K$3:$L$14</definedName>
    <definedName name="SMMLV">[2]SMMLV!$A$3:$F$44</definedName>
  </definedNames>
  <calcPr calcId="191028"/>
  <pivotCaches>
    <pivotCache cacheId="12264" r:id="rId123"/>
    <pivotCache cacheId="12265" r:id="rId12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5" i="199" l="1"/>
  <c r="D104" i="199"/>
  <c r="F104" i="199"/>
  <c r="G104" i="199" s="1"/>
  <c r="I104" i="199" s="1"/>
  <c r="H104" i="199"/>
  <c r="I79" i="130"/>
  <c r="E78" i="130"/>
  <c r="F78" i="130" s="1"/>
  <c r="I78" i="130" s="1"/>
  <c r="G78" i="130"/>
  <c r="H78" i="130"/>
  <c r="B41" i="203"/>
  <c r="B40" i="203"/>
  <c r="B39" i="203"/>
  <c r="G36" i="203"/>
  <c r="D35" i="203"/>
  <c r="E35" i="203" s="1"/>
  <c r="G35" i="203" s="1"/>
  <c r="F35" i="203"/>
  <c r="D34" i="203"/>
  <c r="E34" i="203" s="1"/>
  <c r="G34" i="203" s="1"/>
  <c r="F34" i="203"/>
  <c r="A130" i="37"/>
  <c r="A129" i="37"/>
  <c r="A128" i="37"/>
  <c r="A127" i="37"/>
  <c r="A126" i="37"/>
  <c r="A125" i="37"/>
  <c r="A123" i="37"/>
  <c r="A122" i="37"/>
  <c r="A121" i="37"/>
  <c r="A120" i="37"/>
  <c r="A119" i="37"/>
  <c r="A118" i="37"/>
  <c r="A117" i="37"/>
  <c r="A116" i="37"/>
  <c r="A115" i="37"/>
  <c r="A114" i="37"/>
  <c r="A113" i="37"/>
  <c r="A112" i="37"/>
  <c r="A111" i="37"/>
  <c r="A110" i="37"/>
  <c r="A109" i="37"/>
  <c r="A108" i="37"/>
  <c r="A106" i="37"/>
  <c r="A105" i="37"/>
  <c r="A104" i="37"/>
  <c r="A103" i="37"/>
  <c r="A102" i="37"/>
  <c r="A101" i="37"/>
  <c r="A100" i="37"/>
  <c r="A99" i="37"/>
  <c r="A98" i="37"/>
  <c r="A97" i="37"/>
  <c r="A96" i="37"/>
  <c r="A95" i="37"/>
  <c r="A94" i="37"/>
  <c r="A93" i="37"/>
  <c r="A92" i="37"/>
  <c r="A91" i="37"/>
  <c r="A90" i="37"/>
  <c r="A89" i="37"/>
  <c r="A88" i="37"/>
  <c r="A87" i="37"/>
  <c r="A86" i="37"/>
  <c r="A85" i="37"/>
  <c r="A83" i="37"/>
  <c r="A81" i="37"/>
  <c r="A80" i="37"/>
  <c r="A79" i="37"/>
  <c r="A78" i="37"/>
  <c r="A77" i="37"/>
  <c r="A76" i="37"/>
  <c r="A75" i="37"/>
  <c r="A71" i="37"/>
  <c r="A67" i="37"/>
  <c r="A66" i="37"/>
  <c r="A65" i="37"/>
  <c r="A64" i="37"/>
  <c r="A62" i="37"/>
  <c r="A55" i="37"/>
  <c r="A54" i="37"/>
  <c r="A53" i="37"/>
  <c r="A52" i="37"/>
  <c r="A51" i="37"/>
  <c r="A50" i="37"/>
  <c r="A48" i="37"/>
  <c r="A47" i="37"/>
  <c r="A46" i="37"/>
  <c r="A44" i="37"/>
  <c r="A41" i="37"/>
  <c r="A40" i="37"/>
  <c r="A38" i="37"/>
  <c r="A37" i="37"/>
  <c r="A36" i="37"/>
  <c r="A35" i="37"/>
  <c r="R130" i="37"/>
  <c r="R129" i="37"/>
  <c r="R128" i="37"/>
  <c r="R127" i="37"/>
  <c r="R126" i="37"/>
  <c r="R125" i="37"/>
  <c r="C152" i="37" l="1"/>
  <c r="C186" i="184"/>
  <c r="C185" i="184"/>
  <c r="C184" i="184"/>
  <c r="E49" i="184"/>
  <c r="F44" i="184"/>
  <c r="E43" i="184"/>
  <c r="E42" i="184"/>
  <c r="E41" i="184"/>
  <c r="E40" i="184"/>
  <c r="E39" i="184"/>
  <c r="E38" i="184"/>
  <c r="E28" i="184"/>
  <c r="E29" i="184"/>
  <c r="E30" i="184"/>
  <c r="E31" i="184"/>
  <c r="E32" i="184"/>
  <c r="E33" i="184"/>
  <c r="E34" i="184"/>
  <c r="E35" i="184"/>
  <c r="E36" i="184"/>
  <c r="E37" i="184"/>
  <c r="E27" i="184"/>
  <c r="F23" i="184"/>
  <c r="F21" i="184"/>
  <c r="F14" i="184"/>
  <c r="E15" i="184"/>
  <c r="E16" i="184"/>
  <c r="E17" i="184"/>
  <c r="E18" i="184"/>
  <c r="E19" i="184"/>
  <c r="E20" i="184"/>
  <c r="E14" i="184"/>
  <c r="F15" i="184"/>
  <c r="B12" i="184"/>
  <c r="C188" i="184"/>
  <c r="E46" i="196" l="1"/>
  <c r="H39" i="183" l="1"/>
  <c r="E38" i="183"/>
  <c r="F38" i="183"/>
  <c r="H38" i="183" s="1"/>
  <c r="G38" i="183"/>
  <c r="G129" i="190"/>
  <c r="C128" i="190"/>
  <c r="E128" i="190"/>
  <c r="F128" i="190" s="1"/>
  <c r="G128" i="190" s="1"/>
  <c r="H22" i="181"/>
  <c r="H20" i="181"/>
  <c r="H21" i="181"/>
  <c r="G20" i="181"/>
  <c r="G21" i="181"/>
  <c r="F20" i="181"/>
  <c r="F21" i="181"/>
  <c r="D307" i="161"/>
  <c r="D306" i="161"/>
  <c r="I284" i="161"/>
  <c r="I285" i="161"/>
  <c r="I286" i="161"/>
  <c r="I287" i="161"/>
  <c r="I288" i="161"/>
  <c r="I289" i="161"/>
  <c r="I290" i="161"/>
  <c r="I291" i="161"/>
  <c r="I292" i="161"/>
  <c r="I293" i="161"/>
  <c r="I294" i="161"/>
  <c r="I295" i="161"/>
  <c r="I296" i="161"/>
  <c r="I297" i="161"/>
  <c r="I298" i="161"/>
  <c r="I299" i="161"/>
  <c r="I300" i="161"/>
  <c r="I283" i="161"/>
  <c r="E300" i="161"/>
  <c r="F300" i="161" s="1"/>
  <c r="G300" i="161"/>
  <c r="H300" i="161"/>
  <c r="E277" i="161"/>
  <c r="F277" i="161" s="1"/>
  <c r="H277" i="161"/>
  <c r="E256" i="161"/>
  <c r="F256" i="161" s="1"/>
  <c r="H256" i="161"/>
  <c r="F235" i="161"/>
  <c r="H235" i="161"/>
  <c r="E214" i="161"/>
  <c r="F214" i="161" s="1"/>
  <c r="H214" i="161"/>
  <c r="E193" i="161"/>
  <c r="F193" i="161" s="1"/>
  <c r="H193" i="161"/>
  <c r="E172" i="161"/>
  <c r="F172" i="161" s="1"/>
  <c r="H172" i="161"/>
  <c r="E151" i="161"/>
  <c r="F151" i="161" s="1"/>
  <c r="H151" i="161"/>
  <c r="E131" i="161"/>
  <c r="F131" i="161" s="1"/>
  <c r="H131" i="161"/>
  <c r="E110" i="161"/>
  <c r="F110" i="161" s="1"/>
  <c r="H110" i="161"/>
  <c r="E88" i="161"/>
  <c r="F88" i="161" s="1"/>
  <c r="H88" i="161"/>
  <c r="E67" i="161"/>
  <c r="F67" i="161" s="1"/>
  <c r="H67" i="161"/>
  <c r="E46" i="161"/>
  <c r="F46" i="161" s="1"/>
  <c r="H46" i="161"/>
  <c r="E416" i="149"/>
  <c r="C416" i="149"/>
  <c r="D416" i="149"/>
  <c r="I388" i="149"/>
  <c r="F386" i="149"/>
  <c r="I386" i="149" s="1"/>
  <c r="G386" i="149"/>
  <c r="H386" i="149"/>
  <c r="F387" i="149"/>
  <c r="G387" i="149"/>
  <c r="H387" i="149"/>
  <c r="I387" i="149"/>
  <c r="F362" i="149"/>
  <c r="H362" i="149"/>
  <c r="F363" i="149"/>
  <c r="H363" i="149"/>
  <c r="F338" i="149"/>
  <c r="H338" i="149"/>
  <c r="F339" i="149"/>
  <c r="H339" i="149"/>
  <c r="F315" i="149"/>
  <c r="H315" i="149"/>
  <c r="F316" i="149"/>
  <c r="H316" i="149"/>
  <c r="F292" i="149"/>
  <c r="H292" i="149"/>
  <c r="F293" i="149"/>
  <c r="H293" i="149"/>
  <c r="F269" i="149"/>
  <c r="H269" i="149"/>
  <c r="F270" i="149"/>
  <c r="H270" i="149"/>
  <c r="F245" i="149"/>
  <c r="H245" i="149"/>
  <c r="F246" i="149"/>
  <c r="H246" i="149"/>
  <c r="F221" i="149"/>
  <c r="H221" i="149"/>
  <c r="F222" i="149"/>
  <c r="H222" i="149"/>
  <c r="F197" i="149"/>
  <c r="H197" i="149"/>
  <c r="F198" i="149"/>
  <c r="H198" i="149"/>
  <c r="F173" i="149"/>
  <c r="H173" i="149"/>
  <c r="F174" i="149"/>
  <c r="H174" i="149"/>
  <c r="F149" i="149"/>
  <c r="H149" i="149"/>
  <c r="F150" i="149"/>
  <c r="H150" i="149"/>
  <c r="F125" i="149"/>
  <c r="H125" i="149"/>
  <c r="F126" i="149"/>
  <c r="H126" i="149"/>
  <c r="F102" i="149"/>
  <c r="H102" i="149"/>
  <c r="F103" i="149"/>
  <c r="H103" i="149"/>
  <c r="F79" i="149"/>
  <c r="H79" i="149"/>
  <c r="F80" i="149"/>
  <c r="H80" i="149"/>
  <c r="F56" i="149"/>
  <c r="F55" i="149"/>
  <c r="H55" i="149"/>
  <c r="H56" i="149"/>
  <c r="F54" i="149"/>
  <c r="H54" i="149"/>
  <c r="F31" i="149"/>
  <c r="H31" i="149"/>
  <c r="F32" i="149"/>
  <c r="H32" i="149"/>
  <c r="I33" i="160"/>
  <c r="I15" i="160"/>
  <c r="I16" i="160"/>
  <c r="I17" i="160"/>
  <c r="I18" i="160"/>
  <c r="I19" i="160"/>
  <c r="I20" i="160"/>
  <c r="I21" i="160"/>
  <c r="I22" i="160"/>
  <c r="I23" i="160"/>
  <c r="I24" i="160"/>
  <c r="I25" i="160"/>
  <c r="I26" i="160"/>
  <c r="I27" i="160"/>
  <c r="I28" i="160"/>
  <c r="I29" i="160"/>
  <c r="I30" i="160"/>
  <c r="I31" i="160"/>
  <c r="I32" i="160"/>
  <c r="I14" i="160"/>
  <c r="I13" i="160"/>
  <c r="E32" i="160"/>
  <c r="F32" i="160" s="1"/>
  <c r="G32" i="160"/>
  <c r="H32" i="160"/>
  <c r="I34" i="159"/>
  <c r="E32" i="159"/>
  <c r="F32" i="159" s="1"/>
  <c r="I32" i="159" s="1"/>
  <c r="G32" i="159"/>
  <c r="H32" i="159"/>
  <c r="E33" i="159"/>
  <c r="F33" i="159" s="1"/>
  <c r="I33" i="159" s="1"/>
  <c r="G33" i="159"/>
  <c r="H33" i="159"/>
  <c r="H311" i="155"/>
  <c r="H351" i="155"/>
  <c r="E310" i="155"/>
  <c r="F310" i="155"/>
  <c r="H310" i="155" s="1"/>
  <c r="G310" i="155"/>
  <c r="E268" i="155"/>
  <c r="F268" i="155" s="1"/>
  <c r="G268" i="155"/>
  <c r="E227" i="155"/>
  <c r="F227" i="155" s="1"/>
  <c r="G227" i="155"/>
  <c r="E187" i="155"/>
  <c r="F187" i="155" s="1"/>
  <c r="G187" i="155"/>
  <c r="E147" i="155"/>
  <c r="F147" i="155" s="1"/>
  <c r="G147" i="155"/>
  <c r="E107" i="155"/>
  <c r="F107" i="155" s="1"/>
  <c r="G107" i="155"/>
  <c r="E67" i="155"/>
  <c r="F67" i="155" s="1"/>
  <c r="G67" i="155"/>
  <c r="I182" i="138"/>
  <c r="E179" i="138"/>
  <c r="F179" i="138" s="1"/>
  <c r="I179" i="138" s="1"/>
  <c r="G179" i="138"/>
  <c r="H179" i="138"/>
  <c r="E180" i="138"/>
  <c r="F180" i="138" s="1"/>
  <c r="I180" i="138" s="1"/>
  <c r="G180" i="138"/>
  <c r="H180" i="138"/>
  <c r="E181" i="138"/>
  <c r="F181" i="138"/>
  <c r="I181" i="138" s="1"/>
  <c r="G181" i="138"/>
  <c r="H181" i="138"/>
  <c r="E147" i="138"/>
  <c r="F147" i="138" s="1"/>
  <c r="H147" i="138"/>
  <c r="E148" i="138"/>
  <c r="F148" i="138" s="1"/>
  <c r="H148" i="138"/>
  <c r="E149" i="138"/>
  <c r="F149" i="138" s="1"/>
  <c r="H149" i="138"/>
  <c r="E114" i="138"/>
  <c r="F114" i="138" s="1"/>
  <c r="H114" i="138"/>
  <c r="E115" i="138"/>
  <c r="F115" i="138"/>
  <c r="H115" i="138"/>
  <c r="E116" i="138"/>
  <c r="F116" i="138" s="1"/>
  <c r="H116" i="138"/>
  <c r="E82" i="138"/>
  <c r="F82" i="138" s="1"/>
  <c r="H82" i="138"/>
  <c r="E83" i="138"/>
  <c r="F83" i="138" s="1"/>
  <c r="H83" i="138"/>
  <c r="E84" i="138"/>
  <c r="F84" i="138" s="1"/>
  <c r="H84" i="138"/>
  <c r="E51" i="138"/>
  <c r="F51" i="138" s="1"/>
  <c r="H51" i="138"/>
  <c r="E49" i="138"/>
  <c r="F49" i="138" s="1"/>
  <c r="H49" i="138"/>
  <c r="E50" i="138"/>
  <c r="F50" i="138" s="1"/>
  <c r="H50" i="138"/>
  <c r="E213" i="138"/>
  <c r="F213" i="138" s="1"/>
  <c r="H213" i="138"/>
  <c r="G44" i="135"/>
  <c r="C43" i="135"/>
  <c r="D43" i="135" s="1"/>
  <c r="G43" i="135" s="1"/>
  <c r="E43" i="135"/>
  <c r="F43" i="135"/>
  <c r="H124" i="187"/>
  <c r="E123" i="187"/>
  <c r="F123" i="187" s="1"/>
  <c r="H123" i="187" s="1"/>
  <c r="G123" i="187"/>
  <c r="E350" i="155"/>
  <c r="F350" i="155" s="1"/>
  <c r="G350" i="155"/>
  <c r="I99" i="134"/>
  <c r="E98" i="134"/>
  <c r="F98" i="134" s="1"/>
  <c r="I98" i="134" s="1"/>
  <c r="G98" i="134"/>
  <c r="H98" i="134"/>
  <c r="H51" i="146"/>
  <c r="E50" i="146"/>
  <c r="F50" i="146" s="1"/>
  <c r="H50" i="146" s="1"/>
  <c r="G50" i="146"/>
  <c r="F103" i="199"/>
  <c r="G103" i="199"/>
  <c r="H103" i="199"/>
  <c r="I71" i="154"/>
  <c r="E70" i="154"/>
  <c r="F70" i="154" s="1"/>
  <c r="I70" i="154" s="1"/>
  <c r="G70" i="154"/>
  <c r="H70" i="154"/>
  <c r="E77" i="130"/>
  <c r="F77" i="130" s="1"/>
  <c r="H77" i="130"/>
  <c r="E251" i="184"/>
  <c r="F251" i="184" s="1"/>
  <c r="G251" i="184"/>
  <c r="I301" i="161" l="1"/>
  <c r="H268" i="155"/>
  <c r="H227" i="155"/>
  <c r="H350" i="155"/>
  <c r="K17" i="189"/>
  <c r="J17" i="189"/>
  <c r="G329" i="206"/>
  <c r="C310" i="206"/>
  <c r="E256" i="206"/>
  <c r="E200" i="206"/>
  <c r="E144" i="206"/>
  <c r="E88" i="206"/>
  <c r="E32" i="206"/>
  <c r="G28" i="206"/>
  <c r="G27" i="206"/>
  <c r="G24" i="206"/>
  <c r="G22" i="206"/>
  <c r="G18" i="206"/>
  <c r="G19" i="206"/>
  <c r="G20" i="206"/>
  <c r="G21" i="206"/>
  <c r="G17" i="206"/>
  <c r="E260" i="206"/>
  <c r="E261" i="206"/>
  <c r="E262" i="206"/>
  <c r="E263" i="206"/>
  <c r="E264" i="206"/>
  <c r="E265" i="206"/>
  <c r="E266" i="206"/>
  <c r="E267" i="206"/>
  <c r="E268" i="206"/>
  <c r="E269" i="206"/>
  <c r="E270" i="206"/>
  <c r="E271" i="206"/>
  <c r="E272" i="206"/>
  <c r="E273" i="206"/>
  <c r="E274" i="206"/>
  <c r="E275" i="206"/>
  <c r="E276" i="206"/>
  <c r="E277" i="206"/>
  <c r="E278" i="206"/>
  <c r="E279" i="206"/>
  <c r="E280" i="206"/>
  <c r="E281" i="206"/>
  <c r="E282" i="206"/>
  <c r="E283" i="206"/>
  <c r="E284" i="206"/>
  <c r="E285" i="206"/>
  <c r="E286" i="206"/>
  <c r="E287" i="206"/>
  <c r="E288" i="206"/>
  <c r="E289" i="206"/>
  <c r="E290" i="206"/>
  <c r="E291" i="206"/>
  <c r="E292" i="206"/>
  <c r="E293" i="206"/>
  <c r="E294" i="206"/>
  <c r="E295" i="206"/>
  <c r="E296" i="206"/>
  <c r="E297" i="206"/>
  <c r="E298" i="206"/>
  <c r="E299" i="206"/>
  <c r="E300" i="206"/>
  <c r="E301" i="206"/>
  <c r="E302" i="206"/>
  <c r="E303" i="206"/>
  <c r="E304" i="206"/>
  <c r="E305" i="206"/>
  <c r="E306" i="206"/>
  <c r="E259" i="206"/>
  <c r="E204" i="206"/>
  <c r="E205" i="206"/>
  <c r="E206" i="206"/>
  <c r="E207" i="206"/>
  <c r="E208" i="206"/>
  <c r="E209" i="206"/>
  <c r="E210" i="206"/>
  <c r="E211" i="206"/>
  <c r="E212" i="206"/>
  <c r="E213" i="206"/>
  <c r="E214" i="206"/>
  <c r="E215" i="206"/>
  <c r="E216" i="206"/>
  <c r="E217" i="206"/>
  <c r="E218" i="206"/>
  <c r="E219" i="206"/>
  <c r="E220" i="206"/>
  <c r="E221" i="206"/>
  <c r="E222" i="206"/>
  <c r="E223" i="206"/>
  <c r="E224" i="206"/>
  <c r="E225" i="206"/>
  <c r="E226" i="206"/>
  <c r="E227" i="206"/>
  <c r="E228" i="206"/>
  <c r="E229" i="206"/>
  <c r="E230" i="206"/>
  <c r="E231" i="206"/>
  <c r="E232" i="206"/>
  <c r="E233" i="206"/>
  <c r="E234" i="206"/>
  <c r="E235" i="206"/>
  <c r="E236" i="206"/>
  <c r="E237" i="206"/>
  <c r="E238" i="206"/>
  <c r="E239" i="206"/>
  <c r="E240" i="206"/>
  <c r="E241" i="206"/>
  <c r="E242" i="206"/>
  <c r="E243" i="206"/>
  <c r="E244" i="206"/>
  <c r="E245" i="206"/>
  <c r="E246" i="206"/>
  <c r="E247" i="206"/>
  <c r="E248" i="206"/>
  <c r="E249" i="206"/>
  <c r="E250" i="206"/>
  <c r="E203" i="206"/>
  <c r="E148" i="206"/>
  <c r="E149" i="206"/>
  <c r="E150" i="206"/>
  <c r="E151" i="206"/>
  <c r="E152" i="206"/>
  <c r="E153" i="206"/>
  <c r="E154" i="206"/>
  <c r="E155" i="206"/>
  <c r="E156" i="206"/>
  <c r="E157" i="206"/>
  <c r="E158" i="206"/>
  <c r="E159" i="206"/>
  <c r="E160" i="206"/>
  <c r="E161" i="206"/>
  <c r="E162" i="206"/>
  <c r="E163" i="206"/>
  <c r="E164" i="206"/>
  <c r="E165" i="206"/>
  <c r="E166" i="206"/>
  <c r="E167" i="206"/>
  <c r="E168" i="206"/>
  <c r="E169" i="206"/>
  <c r="E170" i="206"/>
  <c r="E171" i="206"/>
  <c r="E172" i="206"/>
  <c r="E173" i="206"/>
  <c r="E174" i="206"/>
  <c r="E175" i="206"/>
  <c r="E176" i="206"/>
  <c r="E177" i="206"/>
  <c r="E178" i="206"/>
  <c r="E179" i="206"/>
  <c r="E180" i="206"/>
  <c r="E181" i="206"/>
  <c r="E182" i="206"/>
  <c r="E183" i="206"/>
  <c r="E184" i="206"/>
  <c r="E185" i="206"/>
  <c r="E186" i="206"/>
  <c r="E187" i="206"/>
  <c r="E188" i="206"/>
  <c r="E189" i="206"/>
  <c r="E190" i="206"/>
  <c r="E191" i="206"/>
  <c r="E192" i="206"/>
  <c r="E193" i="206"/>
  <c r="E194" i="206"/>
  <c r="E147" i="206"/>
  <c r="G138" i="206"/>
  <c r="E92" i="206"/>
  <c r="E93" i="206"/>
  <c r="E94" i="206"/>
  <c r="E95" i="206"/>
  <c r="E96" i="206"/>
  <c r="E97" i="206"/>
  <c r="E98" i="206"/>
  <c r="E99" i="206"/>
  <c r="E100" i="206"/>
  <c r="E101" i="206"/>
  <c r="E102" i="206"/>
  <c r="E103" i="206"/>
  <c r="E104" i="206"/>
  <c r="E105" i="206"/>
  <c r="E106" i="206"/>
  <c r="E107" i="206"/>
  <c r="E108" i="206"/>
  <c r="E109" i="206"/>
  <c r="E110" i="206"/>
  <c r="E111" i="206"/>
  <c r="E112" i="206"/>
  <c r="E113" i="206"/>
  <c r="E114" i="206"/>
  <c r="E115" i="206"/>
  <c r="E116" i="206"/>
  <c r="E117" i="206"/>
  <c r="E118" i="206"/>
  <c r="E119" i="206"/>
  <c r="E120" i="206"/>
  <c r="E121" i="206"/>
  <c r="E122" i="206"/>
  <c r="E123" i="206"/>
  <c r="E124" i="206"/>
  <c r="E125" i="206"/>
  <c r="E126" i="206"/>
  <c r="E127" i="206"/>
  <c r="E128" i="206"/>
  <c r="E129" i="206"/>
  <c r="E130" i="206"/>
  <c r="E131" i="206"/>
  <c r="E132" i="206"/>
  <c r="E133" i="206"/>
  <c r="E134" i="206"/>
  <c r="E135" i="206"/>
  <c r="E136" i="206"/>
  <c r="E137" i="206"/>
  <c r="E138" i="206"/>
  <c r="E91" i="206"/>
  <c r="E36" i="206"/>
  <c r="E37" i="206"/>
  <c r="E38" i="206"/>
  <c r="E39" i="206"/>
  <c r="E40" i="206"/>
  <c r="E41" i="206"/>
  <c r="E42" i="206"/>
  <c r="E43" i="206"/>
  <c r="E44" i="206"/>
  <c r="E45" i="206"/>
  <c r="E46" i="206"/>
  <c r="E47" i="206"/>
  <c r="E48" i="206"/>
  <c r="E49" i="206"/>
  <c r="E50" i="206"/>
  <c r="E51" i="206"/>
  <c r="E52" i="206"/>
  <c r="E53" i="206"/>
  <c r="E54" i="206"/>
  <c r="E55" i="206"/>
  <c r="E56" i="206"/>
  <c r="E57" i="206"/>
  <c r="E58" i="206"/>
  <c r="E59" i="206"/>
  <c r="E60" i="206"/>
  <c r="E61" i="206"/>
  <c r="E62" i="206"/>
  <c r="E63" i="206"/>
  <c r="E64" i="206"/>
  <c r="E65" i="206"/>
  <c r="E66" i="206"/>
  <c r="E67" i="206"/>
  <c r="E68" i="206"/>
  <c r="E69" i="206"/>
  <c r="E70" i="206"/>
  <c r="E71" i="206"/>
  <c r="E72" i="206"/>
  <c r="E73" i="206"/>
  <c r="E74" i="206"/>
  <c r="E75" i="206"/>
  <c r="E76" i="206"/>
  <c r="E77" i="206"/>
  <c r="E78" i="206"/>
  <c r="E79" i="206"/>
  <c r="E80" i="206"/>
  <c r="E81" i="206"/>
  <c r="E82" i="206"/>
  <c r="E35" i="206"/>
  <c r="H182" i="152"/>
  <c r="H101" i="152"/>
  <c r="C79" i="152"/>
  <c r="C76" i="152"/>
  <c r="F16" i="55"/>
  <c r="F76" i="209" l="1"/>
  <c r="L3" i="209"/>
  <c r="A85" i="209"/>
  <c r="A84" i="209"/>
  <c r="A83" i="209"/>
  <c r="S81" i="209"/>
  <c r="S80" i="209"/>
  <c r="S73" i="209"/>
  <c r="A73" i="209"/>
  <c r="S72" i="209"/>
  <c r="A72" i="209"/>
  <c r="S71" i="209"/>
  <c r="A71" i="209"/>
  <c r="S70" i="209"/>
  <c r="A70" i="209"/>
  <c r="S69" i="209"/>
  <c r="A69" i="209"/>
  <c r="S68" i="209"/>
  <c r="A68" i="209"/>
  <c r="S67" i="209"/>
  <c r="A67" i="209"/>
  <c r="S66" i="209"/>
  <c r="A66" i="209"/>
  <c r="S65" i="209"/>
  <c r="A65" i="209"/>
  <c r="S64" i="209"/>
  <c r="A64" i="209"/>
  <c r="S63" i="209"/>
  <c r="A63" i="209"/>
  <c r="S62" i="209"/>
  <c r="A62" i="209"/>
  <c r="S61" i="209"/>
  <c r="A61" i="209"/>
  <c r="S60" i="209"/>
  <c r="A60" i="209"/>
  <c r="S59" i="209"/>
  <c r="A59" i="209"/>
  <c r="S58" i="209"/>
  <c r="A58" i="209"/>
  <c r="S57" i="209"/>
  <c r="A57" i="209"/>
  <c r="S56" i="209"/>
  <c r="S55" i="209"/>
  <c r="A55" i="209"/>
  <c r="S54" i="209"/>
  <c r="A54" i="209"/>
  <c r="S53" i="209"/>
  <c r="A53" i="209"/>
  <c r="S52" i="209"/>
  <c r="A52" i="209"/>
  <c r="S51" i="209"/>
  <c r="A51" i="209"/>
  <c r="P50" i="209"/>
  <c r="S50" i="209" s="1"/>
  <c r="A50" i="209"/>
  <c r="S49" i="209"/>
  <c r="A49" i="209"/>
  <c r="S48" i="209"/>
  <c r="A48" i="209"/>
  <c r="S47" i="209"/>
  <c r="A47" i="209"/>
  <c r="A46" i="209"/>
  <c r="P45" i="209"/>
  <c r="S45" i="209" s="1"/>
  <c r="A45" i="209"/>
  <c r="S44" i="209"/>
  <c r="A44" i="209"/>
  <c r="S43" i="209"/>
  <c r="A43" i="209"/>
  <c r="S42" i="209"/>
  <c r="A42" i="209"/>
  <c r="S41" i="209"/>
  <c r="A41" i="209"/>
  <c r="P40" i="209"/>
  <c r="A40" i="209"/>
  <c r="P39" i="209"/>
  <c r="S39" i="209" s="1"/>
  <c r="A39" i="209"/>
  <c r="A38" i="209"/>
  <c r="S37" i="209"/>
  <c r="A35" i="209"/>
  <c r="P34" i="209"/>
  <c r="A34" i="209"/>
  <c r="P12" i="209"/>
  <c r="A12" i="209"/>
  <c r="S28" i="209"/>
  <c r="A28" i="209"/>
  <c r="A33" i="209"/>
  <c r="S3" i="209"/>
  <c r="A3" i="209"/>
  <c r="A6" i="209"/>
  <c r="S27" i="209"/>
  <c r="A27" i="209"/>
  <c r="A5" i="209"/>
  <c r="A32" i="209"/>
  <c r="S26" i="209"/>
  <c r="A26" i="209"/>
  <c r="S25" i="209"/>
  <c r="A25" i="209"/>
  <c r="P4" i="209"/>
  <c r="A4" i="209"/>
  <c r="A24" i="209"/>
  <c r="Q31" i="209"/>
  <c r="A31" i="209"/>
  <c r="A23" i="209"/>
  <c r="S22" i="209"/>
  <c r="A22" i="209"/>
  <c r="S21" i="209"/>
  <c r="A21" i="209"/>
  <c r="S20" i="209"/>
  <c r="A20" i="209"/>
  <c r="R19" i="209"/>
  <c r="P19" i="209"/>
  <c r="A19" i="209"/>
  <c r="A7" i="209"/>
  <c r="A11" i="209"/>
  <c r="A30" i="209"/>
  <c r="A13" i="209"/>
  <c r="P29" i="209"/>
  <c r="S29" i="209" s="1"/>
  <c r="A29" i="209"/>
  <c r="R18" i="209"/>
  <c r="P18" i="209"/>
  <c r="A18" i="209"/>
  <c r="P36" i="209"/>
  <c r="A36" i="209"/>
  <c r="A17" i="209"/>
  <c r="A16" i="209"/>
  <c r="S15" i="209"/>
  <c r="A15" i="209"/>
  <c r="P14" i="209"/>
  <c r="S14" i="209" s="1"/>
  <c r="A14" i="209"/>
  <c r="S10" i="209"/>
  <c r="A10" i="209"/>
  <c r="P9" i="209"/>
  <c r="A9" i="209"/>
  <c r="A8" i="209"/>
  <c r="Y2" i="209"/>
  <c r="O48" i="209" s="1"/>
  <c r="X2" i="209"/>
  <c r="C332" i="152"/>
  <c r="C331" i="152"/>
  <c r="G318" i="152"/>
  <c r="E318" i="152"/>
  <c r="F318" i="152" s="1"/>
  <c r="G317" i="152"/>
  <c r="E317" i="152"/>
  <c r="F317" i="152" s="1"/>
  <c r="G316" i="152"/>
  <c r="E316" i="152"/>
  <c r="F316" i="152" s="1"/>
  <c r="G315" i="152"/>
  <c r="E315" i="152"/>
  <c r="F315" i="152" s="1"/>
  <c r="G314" i="152"/>
  <c r="E314" i="152"/>
  <c r="F314" i="152" s="1"/>
  <c r="G313" i="152"/>
  <c r="F313" i="152"/>
  <c r="G312" i="152"/>
  <c r="F312" i="152"/>
  <c r="G311" i="152"/>
  <c r="F311" i="152"/>
  <c r="G310" i="152"/>
  <c r="F310" i="152"/>
  <c r="G309" i="152"/>
  <c r="F309" i="152"/>
  <c r="G308" i="152"/>
  <c r="F308" i="152"/>
  <c r="G307" i="152"/>
  <c r="F307" i="152"/>
  <c r="G306" i="152"/>
  <c r="F306" i="152"/>
  <c r="G305" i="152"/>
  <c r="F305" i="152"/>
  <c r="G304" i="152"/>
  <c r="F304" i="152"/>
  <c r="G303" i="152"/>
  <c r="F303" i="152"/>
  <c r="G291" i="152"/>
  <c r="E291" i="152"/>
  <c r="F291" i="152" s="1"/>
  <c r="G290" i="152"/>
  <c r="E290" i="152"/>
  <c r="F290" i="152" s="1"/>
  <c r="G289" i="152"/>
  <c r="E289" i="152"/>
  <c r="F289" i="152" s="1"/>
  <c r="G288" i="152"/>
  <c r="E288" i="152"/>
  <c r="F288" i="152" s="1"/>
  <c r="G287" i="152"/>
  <c r="E287" i="152"/>
  <c r="F287" i="152" s="1"/>
  <c r="G286" i="152"/>
  <c r="F286" i="152"/>
  <c r="G285" i="152"/>
  <c r="F285" i="152"/>
  <c r="G284" i="152"/>
  <c r="F284" i="152"/>
  <c r="G283" i="152"/>
  <c r="F283" i="152"/>
  <c r="G282" i="152"/>
  <c r="F282" i="152"/>
  <c r="G281" i="152"/>
  <c r="F281" i="152"/>
  <c r="G280" i="152"/>
  <c r="F280" i="152"/>
  <c r="G279" i="152"/>
  <c r="F279" i="152"/>
  <c r="G278" i="152"/>
  <c r="F278" i="152"/>
  <c r="G277" i="152"/>
  <c r="F277" i="152"/>
  <c r="G276" i="152"/>
  <c r="F276" i="152"/>
  <c r="G264" i="152"/>
  <c r="E264" i="152"/>
  <c r="F264" i="152" s="1"/>
  <c r="G263" i="152"/>
  <c r="E263" i="152"/>
  <c r="F263" i="152" s="1"/>
  <c r="G262" i="152"/>
  <c r="E262" i="152"/>
  <c r="F262" i="152" s="1"/>
  <c r="G261" i="152"/>
  <c r="E261" i="152"/>
  <c r="F261" i="152" s="1"/>
  <c r="G260" i="152"/>
  <c r="E260" i="152"/>
  <c r="F260" i="152" s="1"/>
  <c r="G259" i="152"/>
  <c r="F259" i="152"/>
  <c r="G258" i="152"/>
  <c r="F258" i="152"/>
  <c r="G257" i="152"/>
  <c r="F257" i="152"/>
  <c r="G256" i="152"/>
  <c r="F256" i="152"/>
  <c r="G255" i="152"/>
  <c r="F255" i="152"/>
  <c r="G254" i="152"/>
  <c r="F254" i="152"/>
  <c r="G253" i="152"/>
  <c r="F253" i="152"/>
  <c r="G252" i="152"/>
  <c r="F252" i="152"/>
  <c r="G251" i="152"/>
  <c r="F251" i="152"/>
  <c r="G250" i="152"/>
  <c r="F250" i="152"/>
  <c r="G249" i="152"/>
  <c r="F249" i="152"/>
  <c r="G236" i="152"/>
  <c r="E236" i="152"/>
  <c r="F236" i="152" s="1"/>
  <c r="G235" i="152"/>
  <c r="E235" i="152"/>
  <c r="F235" i="152" s="1"/>
  <c r="G234" i="152"/>
  <c r="E234" i="152"/>
  <c r="F234" i="152" s="1"/>
  <c r="G233" i="152"/>
  <c r="E233" i="152"/>
  <c r="F233" i="152" s="1"/>
  <c r="G232" i="152"/>
  <c r="E232" i="152"/>
  <c r="F232" i="152" s="1"/>
  <c r="G231" i="152"/>
  <c r="F231" i="152"/>
  <c r="G230" i="152"/>
  <c r="F230" i="152"/>
  <c r="G229" i="152"/>
  <c r="F229" i="152"/>
  <c r="G228" i="152"/>
  <c r="F228" i="152"/>
  <c r="G227" i="152"/>
  <c r="F227" i="152"/>
  <c r="G226" i="152"/>
  <c r="F226" i="152"/>
  <c r="G225" i="152"/>
  <c r="F225" i="152"/>
  <c r="G224" i="152"/>
  <c r="F224" i="152"/>
  <c r="G223" i="152"/>
  <c r="F223" i="152"/>
  <c r="G222" i="152"/>
  <c r="F222" i="152"/>
  <c r="G221" i="152"/>
  <c r="F221" i="152"/>
  <c r="G209" i="152"/>
  <c r="E209" i="152"/>
  <c r="F209" i="152" s="1"/>
  <c r="G208" i="152"/>
  <c r="E208" i="152"/>
  <c r="F208" i="152" s="1"/>
  <c r="G207" i="152"/>
  <c r="E207" i="152"/>
  <c r="F207" i="152" s="1"/>
  <c r="G206" i="152"/>
  <c r="E206" i="152"/>
  <c r="F206" i="152" s="1"/>
  <c r="G205" i="152"/>
  <c r="E205" i="152"/>
  <c r="F205" i="152" s="1"/>
  <c r="G204" i="152"/>
  <c r="F204" i="152"/>
  <c r="G203" i="152"/>
  <c r="F203" i="152"/>
  <c r="G202" i="152"/>
  <c r="F202" i="152"/>
  <c r="G201" i="152"/>
  <c r="F201" i="152"/>
  <c r="G200" i="152"/>
  <c r="F200" i="152"/>
  <c r="G199" i="152"/>
  <c r="F199" i="152"/>
  <c r="G198" i="152"/>
  <c r="F198" i="152"/>
  <c r="G197" i="152"/>
  <c r="F197" i="152"/>
  <c r="G196" i="152"/>
  <c r="F196" i="152"/>
  <c r="G195" i="152"/>
  <c r="F195" i="152"/>
  <c r="G194" i="152"/>
  <c r="F194" i="152"/>
  <c r="G181" i="152"/>
  <c r="E181" i="152"/>
  <c r="F181" i="152" s="1"/>
  <c r="G180" i="152"/>
  <c r="E180" i="152"/>
  <c r="F180" i="152" s="1"/>
  <c r="G179" i="152"/>
  <c r="E179" i="152"/>
  <c r="F179" i="152" s="1"/>
  <c r="G178" i="152"/>
  <c r="E178" i="152"/>
  <c r="F178" i="152" s="1"/>
  <c r="G177" i="152"/>
  <c r="E177" i="152"/>
  <c r="F177" i="152" s="1"/>
  <c r="G176" i="152"/>
  <c r="F176" i="152"/>
  <c r="G175" i="152"/>
  <c r="F175" i="152"/>
  <c r="G174" i="152"/>
  <c r="F174" i="152"/>
  <c r="G173" i="152"/>
  <c r="F173" i="152"/>
  <c r="G172" i="152"/>
  <c r="F172" i="152"/>
  <c r="G171" i="152"/>
  <c r="F171" i="152"/>
  <c r="G170" i="152"/>
  <c r="F170" i="152"/>
  <c r="G169" i="152"/>
  <c r="F169" i="152"/>
  <c r="G168" i="152"/>
  <c r="F168" i="152"/>
  <c r="G167" i="152"/>
  <c r="F167" i="152"/>
  <c r="G166" i="152"/>
  <c r="F166" i="152"/>
  <c r="G154" i="152"/>
  <c r="E154" i="152"/>
  <c r="F154" i="152" s="1"/>
  <c r="G153" i="152"/>
  <c r="E153" i="152"/>
  <c r="F153" i="152" s="1"/>
  <c r="G152" i="152"/>
  <c r="E152" i="152"/>
  <c r="F152" i="152" s="1"/>
  <c r="G151" i="152"/>
  <c r="E151" i="152"/>
  <c r="F151" i="152" s="1"/>
  <c r="G150" i="152"/>
  <c r="E150" i="152"/>
  <c r="F150" i="152" s="1"/>
  <c r="G149" i="152"/>
  <c r="F149" i="152"/>
  <c r="G148" i="152"/>
  <c r="F148" i="152"/>
  <c r="G147" i="152"/>
  <c r="F147" i="152"/>
  <c r="G146" i="152"/>
  <c r="F146" i="152"/>
  <c r="G145" i="152"/>
  <c r="F145" i="152"/>
  <c r="G144" i="152"/>
  <c r="F144" i="152"/>
  <c r="G143" i="152"/>
  <c r="F143" i="152"/>
  <c r="G142" i="152"/>
  <c r="F142" i="152"/>
  <c r="G141" i="152"/>
  <c r="F141" i="152"/>
  <c r="G140" i="152"/>
  <c r="F140" i="152"/>
  <c r="G139" i="152"/>
  <c r="F139" i="152"/>
  <c r="G127" i="152"/>
  <c r="E127" i="152"/>
  <c r="F127" i="152" s="1"/>
  <c r="G126" i="152"/>
  <c r="E126" i="152"/>
  <c r="F126" i="152" s="1"/>
  <c r="G125" i="152"/>
  <c r="E125" i="152"/>
  <c r="F125" i="152" s="1"/>
  <c r="G124" i="152"/>
  <c r="E124" i="152"/>
  <c r="F124" i="152" s="1"/>
  <c r="G123" i="152"/>
  <c r="E123" i="152"/>
  <c r="F123" i="152" s="1"/>
  <c r="G122" i="152"/>
  <c r="F122" i="152"/>
  <c r="G121" i="152"/>
  <c r="F121" i="152"/>
  <c r="G120" i="152"/>
  <c r="F120" i="152"/>
  <c r="G119" i="152"/>
  <c r="F119" i="152"/>
  <c r="G118" i="152"/>
  <c r="F118" i="152"/>
  <c r="G117" i="152"/>
  <c r="F117" i="152"/>
  <c r="G116" i="152"/>
  <c r="F116" i="152"/>
  <c r="G115" i="152"/>
  <c r="F115" i="152"/>
  <c r="G114" i="152"/>
  <c r="F114" i="152"/>
  <c r="G113" i="152"/>
  <c r="F113" i="152"/>
  <c r="G112" i="152"/>
  <c r="F112" i="152"/>
  <c r="G100" i="152"/>
  <c r="E100" i="152"/>
  <c r="F100" i="152" s="1"/>
  <c r="G99" i="152"/>
  <c r="E99" i="152"/>
  <c r="F99" i="152" s="1"/>
  <c r="G98" i="152"/>
  <c r="E98" i="152"/>
  <c r="F98" i="152" s="1"/>
  <c r="G97" i="152"/>
  <c r="E97" i="152"/>
  <c r="F97" i="152" s="1"/>
  <c r="G96" i="152"/>
  <c r="E96" i="152"/>
  <c r="F96" i="152" s="1"/>
  <c r="G95" i="152"/>
  <c r="F95" i="152"/>
  <c r="G94" i="152"/>
  <c r="F94" i="152"/>
  <c r="G93" i="152"/>
  <c r="F93" i="152"/>
  <c r="G92" i="152"/>
  <c r="F92" i="152"/>
  <c r="G91" i="152"/>
  <c r="F91" i="152"/>
  <c r="G90" i="152"/>
  <c r="F90" i="152"/>
  <c r="G89" i="152"/>
  <c r="F89" i="152"/>
  <c r="G88" i="152"/>
  <c r="F88" i="152"/>
  <c r="G87" i="152"/>
  <c r="F87" i="152"/>
  <c r="G86" i="152"/>
  <c r="F86" i="152"/>
  <c r="G85" i="152"/>
  <c r="F85" i="152"/>
  <c r="G72" i="152"/>
  <c r="E72" i="152"/>
  <c r="F72" i="152" s="1"/>
  <c r="G71" i="152"/>
  <c r="E71" i="152"/>
  <c r="F71" i="152" s="1"/>
  <c r="G70" i="152"/>
  <c r="E70" i="152"/>
  <c r="F70" i="152" s="1"/>
  <c r="G69" i="152"/>
  <c r="E69" i="152"/>
  <c r="F69" i="152" s="1"/>
  <c r="G68" i="152"/>
  <c r="E68" i="152"/>
  <c r="F68" i="152" s="1"/>
  <c r="G67" i="152"/>
  <c r="F67" i="152"/>
  <c r="G66" i="152"/>
  <c r="F66" i="152"/>
  <c r="G65" i="152"/>
  <c r="F65" i="152"/>
  <c r="G64" i="152"/>
  <c r="F64" i="152"/>
  <c r="G63" i="152"/>
  <c r="F63" i="152"/>
  <c r="G62" i="152"/>
  <c r="F62" i="152"/>
  <c r="G61" i="152"/>
  <c r="F61" i="152"/>
  <c r="G60" i="152"/>
  <c r="F60" i="152"/>
  <c r="G59" i="152"/>
  <c r="F59" i="152"/>
  <c r="G58" i="152"/>
  <c r="F58" i="152"/>
  <c r="G57" i="152"/>
  <c r="F57" i="152"/>
  <c r="E42" i="152"/>
  <c r="F42" i="152" s="1"/>
  <c r="E43" i="152"/>
  <c r="F43" i="152" s="1"/>
  <c r="E44" i="152"/>
  <c r="F44" i="152" s="1"/>
  <c r="E45" i="152"/>
  <c r="F45" i="152" s="1"/>
  <c r="E41" i="152"/>
  <c r="F41" i="152" s="1"/>
  <c r="G41" i="152"/>
  <c r="G30" i="152"/>
  <c r="F30" i="152"/>
  <c r="C26" i="208"/>
  <c r="C24" i="208"/>
  <c r="B34" i="208"/>
  <c r="B22" i="208"/>
  <c r="C28" i="208"/>
  <c r="P87" i="37" l="1"/>
  <c r="Q34" i="209"/>
  <c r="S18" i="209"/>
  <c r="S19" i="209"/>
  <c r="O29" i="209"/>
  <c r="O33" i="209"/>
  <c r="Z2" i="209"/>
  <c r="AB2" i="209" s="1"/>
  <c r="O15" i="209"/>
  <c r="O11" i="209"/>
  <c r="O4" i="209"/>
  <c r="O28" i="209"/>
  <c r="O26" i="209"/>
  <c r="O42" i="209"/>
  <c r="O9" i="209"/>
  <c r="O13" i="209"/>
  <c r="O19" i="209"/>
  <c r="O24" i="209"/>
  <c r="O25" i="209"/>
  <c r="O35" i="209"/>
  <c r="O41" i="209"/>
  <c r="O45" i="209"/>
  <c r="O46" i="209"/>
  <c r="O50" i="209"/>
  <c r="O51" i="209"/>
  <c r="O14" i="209"/>
  <c r="O36" i="209"/>
  <c r="O20" i="209"/>
  <c r="O23" i="209"/>
  <c r="O6" i="209"/>
  <c r="O3" i="209"/>
  <c r="O44" i="209"/>
  <c r="O49" i="209"/>
  <c r="O10" i="209"/>
  <c r="O16" i="209"/>
  <c r="O17" i="209"/>
  <c r="O18" i="209"/>
  <c r="O30" i="209"/>
  <c r="O22" i="209"/>
  <c r="O31" i="209"/>
  <c r="O32" i="209"/>
  <c r="O27" i="209"/>
  <c r="O34" i="209"/>
  <c r="O38" i="209"/>
  <c r="O39" i="209"/>
  <c r="O40" i="209"/>
  <c r="O43" i="209"/>
  <c r="A6" i="37"/>
  <c r="A7" i="37"/>
  <c r="A8" i="37"/>
  <c r="A9" i="37"/>
  <c r="A10" i="37"/>
  <c r="A11" i="37"/>
  <c r="A12" i="37"/>
  <c r="A13" i="37"/>
  <c r="A14" i="37"/>
  <c r="A15" i="37"/>
  <c r="A16" i="37"/>
  <c r="A17" i="37"/>
  <c r="A18" i="37"/>
  <c r="A19" i="37"/>
  <c r="A20" i="37"/>
  <c r="A21" i="37"/>
  <c r="A22" i="37"/>
  <c r="A23" i="37"/>
  <c r="A24" i="37"/>
  <c r="A25" i="37"/>
  <c r="A26" i="37"/>
  <c r="A27" i="37"/>
  <c r="A28" i="37"/>
  <c r="A29" i="37"/>
  <c r="A30" i="37"/>
  <c r="A31" i="37"/>
  <c r="A32" i="37"/>
  <c r="A33" i="37"/>
  <c r="A34" i="37"/>
  <c r="A39" i="37"/>
  <c r="A42" i="37"/>
  <c r="A43" i="37"/>
  <c r="A45" i="37"/>
  <c r="A49" i="37"/>
  <c r="A56" i="37"/>
  <c r="A57" i="37"/>
  <c r="A58" i="37"/>
  <c r="A59" i="37"/>
  <c r="A60" i="37"/>
  <c r="A61" i="37"/>
  <c r="A63" i="37"/>
  <c r="A68" i="37"/>
  <c r="A69" i="37"/>
  <c r="A70" i="37"/>
  <c r="A72" i="37"/>
  <c r="A73" i="37"/>
  <c r="A74" i="37"/>
  <c r="A82" i="37"/>
  <c r="A84" i="37"/>
  <c r="R123" i="37"/>
  <c r="R122" i="37"/>
  <c r="R121" i="37"/>
  <c r="R120" i="37"/>
  <c r="R119" i="37"/>
  <c r="R118" i="37"/>
  <c r="R117" i="37"/>
  <c r="R116" i="37"/>
  <c r="R115" i="37"/>
  <c r="R114" i="37"/>
  <c r="R113" i="37"/>
  <c r="R112" i="37"/>
  <c r="R143" i="37"/>
  <c r="R111" i="37"/>
  <c r="R144" i="37"/>
  <c r="R110" i="37"/>
  <c r="R109" i="37"/>
  <c r="R108" i="37"/>
  <c r="R106" i="37"/>
  <c r="R105" i="37"/>
  <c r="R104" i="37"/>
  <c r="R103" i="37"/>
  <c r="R101" i="37"/>
  <c r="R100" i="37"/>
  <c r="R99" i="37"/>
  <c r="R96" i="37"/>
  <c r="R95" i="37"/>
  <c r="R94" i="37"/>
  <c r="R93" i="37"/>
  <c r="R89" i="37"/>
  <c r="R85" i="37"/>
  <c r="R81" i="37"/>
  <c r="R79" i="37"/>
  <c r="R76" i="37"/>
  <c r="R75" i="37"/>
  <c r="R64" i="37"/>
  <c r="R62" i="37"/>
  <c r="R55" i="37"/>
  <c r="R40" i="37"/>
  <c r="R37" i="37"/>
  <c r="G32" i="152"/>
  <c r="G33" i="152"/>
  <c r="G34" i="152"/>
  <c r="G35" i="152"/>
  <c r="G36" i="152"/>
  <c r="G37" i="152"/>
  <c r="G38" i="152"/>
  <c r="G39" i="152"/>
  <c r="G40" i="152"/>
  <c r="G42" i="152"/>
  <c r="G43" i="152"/>
  <c r="G44" i="152"/>
  <c r="G45" i="152"/>
  <c r="G31" i="152"/>
  <c r="F32" i="152"/>
  <c r="F33" i="152"/>
  <c r="F34" i="152"/>
  <c r="F35" i="152"/>
  <c r="F36" i="152"/>
  <c r="F37" i="152"/>
  <c r="F38" i="152"/>
  <c r="F39" i="152"/>
  <c r="F40" i="152"/>
  <c r="F31" i="152"/>
  <c r="F13" i="152"/>
  <c r="I13" i="152" s="1"/>
  <c r="E27" i="152" s="1"/>
  <c r="F265" i="206"/>
  <c r="F259" i="206"/>
  <c r="F207" i="206"/>
  <c r="F203" i="206"/>
  <c r="F151" i="206"/>
  <c r="F95" i="206"/>
  <c r="F91" i="206"/>
  <c r="F38" i="206"/>
  <c r="F39" i="206"/>
  <c r="F36" i="206"/>
  <c r="G306" i="206"/>
  <c r="F306" i="206"/>
  <c r="G305" i="206"/>
  <c r="F305" i="206"/>
  <c r="G304" i="206"/>
  <c r="F304" i="206"/>
  <c r="G303" i="206"/>
  <c r="F303" i="206"/>
  <c r="G302" i="206"/>
  <c r="F302" i="206"/>
  <c r="G301" i="206"/>
  <c r="F301" i="206"/>
  <c r="G300" i="206"/>
  <c r="F300" i="206"/>
  <c r="G299" i="206"/>
  <c r="F299" i="206"/>
  <c r="G298" i="206"/>
  <c r="F298" i="206"/>
  <c r="G297" i="206"/>
  <c r="F297" i="206"/>
  <c r="G296" i="206"/>
  <c r="F296" i="206"/>
  <c r="G295" i="206"/>
  <c r="F295" i="206"/>
  <c r="G294" i="206"/>
  <c r="F294" i="206"/>
  <c r="G293" i="206"/>
  <c r="F293" i="206"/>
  <c r="G292" i="206"/>
  <c r="F292" i="206"/>
  <c r="G291" i="206"/>
  <c r="F291" i="206"/>
  <c r="G290" i="206"/>
  <c r="F290" i="206"/>
  <c r="G289" i="206"/>
  <c r="F289" i="206"/>
  <c r="G288" i="206"/>
  <c r="F288" i="206"/>
  <c r="G287" i="206"/>
  <c r="F287" i="206"/>
  <c r="G286" i="206"/>
  <c r="F286" i="206"/>
  <c r="G285" i="206"/>
  <c r="F285" i="206"/>
  <c r="G284" i="206"/>
  <c r="F284" i="206"/>
  <c r="G283" i="206"/>
  <c r="F283" i="206"/>
  <c r="G282" i="206"/>
  <c r="F282" i="206"/>
  <c r="G281" i="206"/>
  <c r="F281" i="206"/>
  <c r="G280" i="206"/>
  <c r="F280" i="206"/>
  <c r="G279" i="206"/>
  <c r="F279" i="206"/>
  <c r="G278" i="206"/>
  <c r="F278" i="206"/>
  <c r="G277" i="206"/>
  <c r="F277" i="206"/>
  <c r="G276" i="206"/>
  <c r="F276" i="206"/>
  <c r="G275" i="206"/>
  <c r="F275" i="206"/>
  <c r="G274" i="206"/>
  <c r="F274" i="206"/>
  <c r="G273" i="206"/>
  <c r="F273" i="206"/>
  <c r="G272" i="206"/>
  <c r="F272" i="206"/>
  <c r="G271" i="206"/>
  <c r="F271" i="206"/>
  <c r="G270" i="206"/>
  <c r="F270" i="206"/>
  <c r="G269" i="206"/>
  <c r="F269" i="206"/>
  <c r="G268" i="206"/>
  <c r="F268" i="206"/>
  <c r="G267" i="206"/>
  <c r="F267" i="206"/>
  <c r="G266" i="206"/>
  <c r="F266" i="206"/>
  <c r="G265" i="206"/>
  <c r="G264" i="206"/>
  <c r="F264" i="206"/>
  <c r="G263" i="206"/>
  <c r="F263" i="206"/>
  <c r="G262" i="206"/>
  <c r="F262" i="206"/>
  <c r="G261" i="206"/>
  <c r="F261" i="206"/>
  <c r="G260" i="206"/>
  <c r="F260" i="206"/>
  <c r="G259" i="206"/>
  <c r="B198" i="206"/>
  <c r="G250" i="206"/>
  <c r="F250" i="206"/>
  <c r="G249" i="206"/>
  <c r="F249" i="206"/>
  <c r="G248" i="206"/>
  <c r="F248" i="206"/>
  <c r="G247" i="206"/>
  <c r="F247" i="206"/>
  <c r="G246" i="206"/>
  <c r="F246" i="206"/>
  <c r="G245" i="206"/>
  <c r="F245" i="206"/>
  <c r="G244" i="206"/>
  <c r="F244" i="206"/>
  <c r="G243" i="206"/>
  <c r="F243" i="206"/>
  <c r="G242" i="206"/>
  <c r="F242" i="206"/>
  <c r="G241" i="206"/>
  <c r="F241" i="206"/>
  <c r="G240" i="206"/>
  <c r="F240" i="206"/>
  <c r="G239" i="206"/>
  <c r="F239" i="206"/>
  <c r="G238" i="206"/>
  <c r="F238" i="206"/>
  <c r="G237" i="206"/>
  <c r="F237" i="206"/>
  <c r="G236" i="206"/>
  <c r="F236" i="206"/>
  <c r="G235" i="206"/>
  <c r="F235" i="206"/>
  <c r="G234" i="206"/>
  <c r="F234" i="206"/>
  <c r="G233" i="206"/>
  <c r="F233" i="206"/>
  <c r="G232" i="206"/>
  <c r="F232" i="206"/>
  <c r="G231" i="206"/>
  <c r="F231" i="206"/>
  <c r="G230" i="206"/>
  <c r="F230" i="206"/>
  <c r="G229" i="206"/>
  <c r="F229" i="206"/>
  <c r="G228" i="206"/>
  <c r="F228" i="206"/>
  <c r="G227" i="206"/>
  <c r="F227" i="206"/>
  <c r="G226" i="206"/>
  <c r="F226" i="206"/>
  <c r="G225" i="206"/>
  <c r="F225" i="206"/>
  <c r="G224" i="206"/>
  <c r="F224" i="206"/>
  <c r="G223" i="206"/>
  <c r="F223" i="206"/>
  <c r="G222" i="206"/>
  <c r="F222" i="206"/>
  <c r="G221" i="206"/>
  <c r="F221" i="206"/>
  <c r="G220" i="206"/>
  <c r="F220" i="206"/>
  <c r="G219" i="206"/>
  <c r="F219" i="206"/>
  <c r="G218" i="206"/>
  <c r="F218" i="206"/>
  <c r="G217" i="206"/>
  <c r="F217" i="206"/>
  <c r="G216" i="206"/>
  <c r="F216" i="206"/>
  <c r="G215" i="206"/>
  <c r="F215" i="206"/>
  <c r="G214" i="206"/>
  <c r="F214" i="206"/>
  <c r="G213" i="206"/>
  <c r="F213" i="206"/>
  <c r="G212" i="206"/>
  <c r="F212" i="206"/>
  <c r="G211" i="206"/>
  <c r="F211" i="206"/>
  <c r="G210" i="206"/>
  <c r="F210" i="206"/>
  <c r="G209" i="206"/>
  <c r="F209" i="206"/>
  <c r="G208" i="206"/>
  <c r="F208" i="206"/>
  <c r="G207" i="206"/>
  <c r="G206" i="206"/>
  <c r="F206" i="206"/>
  <c r="G205" i="206"/>
  <c r="F205" i="206"/>
  <c r="G204" i="206"/>
  <c r="F204" i="206"/>
  <c r="G203" i="206"/>
  <c r="B142" i="206"/>
  <c r="G194" i="206"/>
  <c r="F194" i="206"/>
  <c r="G193" i="206"/>
  <c r="F193" i="206"/>
  <c r="G192" i="206"/>
  <c r="F192" i="206"/>
  <c r="G191" i="206"/>
  <c r="F191" i="206"/>
  <c r="G190" i="206"/>
  <c r="F190" i="206"/>
  <c r="G189" i="206"/>
  <c r="F189" i="206"/>
  <c r="G188" i="206"/>
  <c r="F188" i="206"/>
  <c r="G187" i="206"/>
  <c r="F187" i="206"/>
  <c r="G186" i="206"/>
  <c r="F186" i="206"/>
  <c r="G185" i="206"/>
  <c r="F185" i="206"/>
  <c r="G184" i="206"/>
  <c r="F184" i="206"/>
  <c r="G183" i="206"/>
  <c r="F183" i="206"/>
  <c r="G182" i="206"/>
  <c r="F182" i="206"/>
  <c r="G181" i="206"/>
  <c r="F181" i="206"/>
  <c r="G180" i="206"/>
  <c r="F180" i="206"/>
  <c r="G179" i="206"/>
  <c r="F179" i="206"/>
  <c r="G178" i="206"/>
  <c r="F178" i="206"/>
  <c r="G177" i="206"/>
  <c r="F177" i="206"/>
  <c r="G176" i="206"/>
  <c r="F176" i="206"/>
  <c r="G175" i="206"/>
  <c r="F175" i="206"/>
  <c r="G174" i="206"/>
  <c r="F174" i="206"/>
  <c r="G173" i="206"/>
  <c r="F173" i="206"/>
  <c r="G172" i="206"/>
  <c r="F172" i="206"/>
  <c r="G171" i="206"/>
  <c r="F171" i="206"/>
  <c r="G170" i="206"/>
  <c r="F170" i="206"/>
  <c r="G169" i="206"/>
  <c r="F169" i="206"/>
  <c r="G168" i="206"/>
  <c r="F168" i="206"/>
  <c r="G167" i="206"/>
  <c r="F167" i="206"/>
  <c r="G166" i="206"/>
  <c r="F166" i="206"/>
  <c r="G165" i="206"/>
  <c r="F165" i="206"/>
  <c r="G164" i="206"/>
  <c r="F164" i="206"/>
  <c r="G163" i="206"/>
  <c r="F163" i="206"/>
  <c r="G162" i="206"/>
  <c r="F162" i="206"/>
  <c r="G161" i="206"/>
  <c r="F161" i="206"/>
  <c r="G160" i="206"/>
  <c r="F160" i="206"/>
  <c r="G159" i="206"/>
  <c r="F159" i="206"/>
  <c r="G158" i="206"/>
  <c r="F158" i="206"/>
  <c r="G157" i="206"/>
  <c r="F157" i="206"/>
  <c r="G156" i="206"/>
  <c r="F156" i="206"/>
  <c r="G155" i="206"/>
  <c r="F155" i="206"/>
  <c r="G154" i="206"/>
  <c r="F154" i="206"/>
  <c r="G153" i="206"/>
  <c r="F153" i="206"/>
  <c r="G152" i="206"/>
  <c r="F152" i="206"/>
  <c r="G151" i="206"/>
  <c r="G150" i="206"/>
  <c r="F150" i="206"/>
  <c r="G149" i="206"/>
  <c r="F149" i="206"/>
  <c r="G148" i="206"/>
  <c r="F148" i="206"/>
  <c r="G147" i="206"/>
  <c r="F147" i="206"/>
  <c r="B86" i="206"/>
  <c r="F138" i="206"/>
  <c r="G137" i="206"/>
  <c r="F137" i="206"/>
  <c r="G136" i="206"/>
  <c r="F136" i="206"/>
  <c r="G135" i="206"/>
  <c r="F135" i="206"/>
  <c r="G134" i="206"/>
  <c r="F134" i="206"/>
  <c r="G133" i="206"/>
  <c r="F133" i="206"/>
  <c r="G132" i="206"/>
  <c r="F132" i="206"/>
  <c r="G131" i="206"/>
  <c r="F131" i="206"/>
  <c r="G130" i="206"/>
  <c r="F130" i="206"/>
  <c r="G129" i="206"/>
  <c r="F129" i="206"/>
  <c r="G128" i="206"/>
  <c r="F128" i="206"/>
  <c r="G127" i="206"/>
  <c r="F127" i="206"/>
  <c r="G126" i="206"/>
  <c r="F126" i="206"/>
  <c r="G125" i="206"/>
  <c r="F125" i="206"/>
  <c r="G124" i="206"/>
  <c r="F124" i="206"/>
  <c r="G123" i="206"/>
  <c r="F123" i="206"/>
  <c r="G122" i="206"/>
  <c r="F122" i="206"/>
  <c r="G121" i="206"/>
  <c r="F121" i="206"/>
  <c r="G120" i="206"/>
  <c r="F120" i="206"/>
  <c r="G119" i="206"/>
  <c r="F119" i="206"/>
  <c r="G118" i="206"/>
  <c r="F118" i="206"/>
  <c r="G117" i="206"/>
  <c r="F117" i="206"/>
  <c r="G116" i="206"/>
  <c r="F116" i="206"/>
  <c r="G115" i="206"/>
  <c r="F115" i="206"/>
  <c r="G114" i="206"/>
  <c r="F114" i="206"/>
  <c r="G113" i="206"/>
  <c r="F113" i="206"/>
  <c r="G112" i="206"/>
  <c r="F112" i="206"/>
  <c r="G111" i="206"/>
  <c r="F111" i="206"/>
  <c r="G110" i="206"/>
  <c r="F110" i="206"/>
  <c r="G109" i="206"/>
  <c r="F109" i="206"/>
  <c r="G108" i="206"/>
  <c r="F108" i="206"/>
  <c r="G107" i="206"/>
  <c r="F107" i="206"/>
  <c r="G106" i="206"/>
  <c r="F106" i="206"/>
  <c r="G105" i="206"/>
  <c r="F105" i="206"/>
  <c r="G104" i="206"/>
  <c r="F104" i="206"/>
  <c r="G103" i="206"/>
  <c r="F103" i="206"/>
  <c r="G102" i="206"/>
  <c r="F102" i="206"/>
  <c r="G101" i="206"/>
  <c r="F101" i="206"/>
  <c r="G100" i="206"/>
  <c r="F100" i="206"/>
  <c r="G99" i="206"/>
  <c r="F99" i="206"/>
  <c r="G98" i="206"/>
  <c r="F98" i="206"/>
  <c r="G97" i="206"/>
  <c r="F97" i="206"/>
  <c r="G96" i="206"/>
  <c r="F96" i="206"/>
  <c r="G95" i="206"/>
  <c r="G94" i="206"/>
  <c r="F94" i="206"/>
  <c r="G93" i="206"/>
  <c r="F93" i="206"/>
  <c r="G92" i="206"/>
  <c r="F92" i="206"/>
  <c r="G91" i="206"/>
  <c r="F27" i="206"/>
  <c r="F24" i="206"/>
  <c r="E11" i="206"/>
  <c r="E14" i="206" s="1"/>
  <c r="F70" i="206"/>
  <c r="G70" i="206"/>
  <c r="F71" i="206"/>
  <c r="G71" i="206"/>
  <c r="F72" i="206"/>
  <c r="G72" i="206"/>
  <c r="F73" i="206"/>
  <c r="G73" i="206"/>
  <c r="F74" i="206"/>
  <c r="G74" i="206"/>
  <c r="F75" i="206"/>
  <c r="G75" i="206"/>
  <c r="F76" i="206"/>
  <c r="G76" i="206"/>
  <c r="F77" i="206"/>
  <c r="G77" i="206"/>
  <c r="F78" i="206"/>
  <c r="G78" i="206"/>
  <c r="F79" i="206"/>
  <c r="G79" i="206"/>
  <c r="F80" i="206"/>
  <c r="G80" i="206"/>
  <c r="F81" i="206"/>
  <c r="G81" i="206"/>
  <c r="F82" i="206"/>
  <c r="G82" i="206"/>
  <c r="F43" i="206"/>
  <c r="G43" i="206"/>
  <c r="F44" i="206"/>
  <c r="G44" i="206"/>
  <c r="F45" i="206"/>
  <c r="G45" i="206"/>
  <c r="F46" i="206"/>
  <c r="G46" i="206"/>
  <c r="F47" i="206"/>
  <c r="G47" i="206"/>
  <c r="F48" i="206"/>
  <c r="G48" i="206"/>
  <c r="F49" i="206"/>
  <c r="G49" i="206"/>
  <c r="F50" i="206"/>
  <c r="G50" i="206"/>
  <c r="F51" i="206"/>
  <c r="G51" i="206"/>
  <c r="F52" i="206"/>
  <c r="G52" i="206"/>
  <c r="F53" i="206"/>
  <c r="G53" i="206"/>
  <c r="F54" i="206"/>
  <c r="G54" i="206"/>
  <c r="F55" i="206"/>
  <c r="G55" i="206"/>
  <c r="F56" i="206"/>
  <c r="G56" i="206"/>
  <c r="F57" i="206"/>
  <c r="G57" i="206"/>
  <c r="F58" i="206"/>
  <c r="G58" i="206"/>
  <c r="F59" i="206"/>
  <c r="G59" i="206"/>
  <c r="F60" i="206"/>
  <c r="G60" i="206"/>
  <c r="F61" i="206"/>
  <c r="G61" i="206"/>
  <c r="F62" i="206"/>
  <c r="G62" i="206"/>
  <c r="F63" i="206"/>
  <c r="G63" i="206"/>
  <c r="F64" i="206"/>
  <c r="G64" i="206"/>
  <c r="F65" i="206"/>
  <c r="G65" i="206"/>
  <c r="F66" i="206"/>
  <c r="G66" i="206"/>
  <c r="F67" i="206"/>
  <c r="G67" i="206"/>
  <c r="F68" i="206"/>
  <c r="G68" i="206"/>
  <c r="F69" i="206"/>
  <c r="G69" i="206"/>
  <c r="G42" i="206"/>
  <c r="F42" i="206"/>
  <c r="G41" i="206"/>
  <c r="F41" i="206"/>
  <c r="G40" i="206"/>
  <c r="F40" i="206"/>
  <c r="G39" i="206"/>
  <c r="G38" i="206"/>
  <c r="G37" i="206"/>
  <c r="F37" i="206"/>
  <c r="G36" i="206"/>
  <c r="G35" i="206"/>
  <c r="F35" i="206"/>
  <c r="C32" i="206"/>
  <c r="E21" i="206"/>
  <c r="F21" i="206" s="1"/>
  <c r="E20" i="206"/>
  <c r="F20" i="206" s="1"/>
  <c r="E19" i="206"/>
  <c r="F19" i="206" s="1"/>
  <c r="E18" i="206"/>
  <c r="F18" i="206" s="1"/>
  <c r="E17" i="206"/>
  <c r="F17" i="206" s="1"/>
  <c r="E20" i="203"/>
  <c r="G20" i="203" s="1"/>
  <c r="E32" i="203"/>
  <c r="G32" i="203" s="1"/>
  <c r="F18" i="203"/>
  <c r="D18" i="203"/>
  <c r="E18" i="203" s="1"/>
  <c r="H113" i="205"/>
  <c r="F113" i="205"/>
  <c r="C111" i="205"/>
  <c r="C106" i="205"/>
  <c r="G101" i="205"/>
  <c r="E101" i="205"/>
  <c r="F101" i="205" s="1"/>
  <c r="G100" i="205"/>
  <c r="E100" i="205"/>
  <c r="F100" i="205" s="1"/>
  <c r="G99" i="205"/>
  <c r="E99" i="205"/>
  <c r="F99" i="205" s="1"/>
  <c r="G98" i="205"/>
  <c r="E98" i="205"/>
  <c r="F98" i="205" s="1"/>
  <c r="G97" i="205"/>
  <c r="E97" i="205"/>
  <c r="F97" i="205" s="1"/>
  <c r="G96" i="205"/>
  <c r="F96" i="205"/>
  <c r="G95" i="205"/>
  <c r="F95" i="205"/>
  <c r="G94" i="205"/>
  <c r="F94" i="205"/>
  <c r="G93" i="205"/>
  <c r="F93" i="205"/>
  <c r="G92" i="205"/>
  <c r="F92" i="205"/>
  <c r="G91" i="205"/>
  <c r="F91" i="205"/>
  <c r="G90" i="205"/>
  <c r="F90" i="205"/>
  <c r="G89" i="205"/>
  <c r="F89" i="205"/>
  <c r="G88" i="205"/>
  <c r="F88" i="205"/>
  <c r="G87" i="205"/>
  <c r="F87" i="205"/>
  <c r="G86" i="205"/>
  <c r="F86" i="205"/>
  <c r="G85" i="205"/>
  <c r="F85" i="205"/>
  <c r="G84" i="205"/>
  <c r="F84" i="205"/>
  <c r="G83" i="205"/>
  <c r="F83" i="205"/>
  <c r="G82" i="205"/>
  <c r="F82" i="205"/>
  <c r="G69" i="205"/>
  <c r="E69" i="205"/>
  <c r="F69" i="205" s="1"/>
  <c r="G68" i="205"/>
  <c r="E68" i="205"/>
  <c r="F68" i="205" s="1"/>
  <c r="G67" i="205"/>
  <c r="E67" i="205"/>
  <c r="F67" i="205" s="1"/>
  <c r="G66" i="205"/>
  <c r="E66" i="205"/>
  <c r="F66" i="205" s="1"/>
  <c r="G65" i="205"/>
  <c r="E65" i="205"/>
  <c r="F65" i="205" s="1"/>
  <c r="G64" i="205"/>
  <c r="F64" i="205"/>
  <c r="G63" i="205"/>
  <c r="F63" i="205"/>
  <c r="G62" i="205"/>
  <c r="F62" i="205"/>
  <c r="G61" i="205"/>
  <c r="F61" i="205"/>
  <c r="G60" i="205"/>
  <c r="F60" i="205"/>
  <c r="G59" i="205"/>
  <c r="F59" i="205"/>
  <c r="G58" i="205"/>
  <c r="F58" i="205"/>
  <c r="G57" i="205"/>
  <c r="F57" i="205"/>
  <c r="G56" i="205"/>
  <c r="F56" i="205"/>
  <c r="G55" i="205"/>
  <c r="F55" i="205"/>
  <c r="G54" i="205"/>
  <c r="F54" i="205"/>
  <c r="G53" i="205"/>
  <c r="F53" i="205"/>
  <c r="G52" i="205"/>
  <c r="F52" i="205"/>
  <c r="G51" i="205"/>
  <c r="F51" i="205"/>
  <c r="G50" i="205"/>
  <c r="F50" i="205"/>
  <c r="E34" i="205"/>
  <c r="F34" i="205" s="1"/>
  <c r="E35" i="205"/>
  <c r="F35" i="205" s="1"/>
  <c r="E36" i="205"/>
  <c r="F36" i="205" s="1"/>
  <c r="E37" i="205"/>
  <c r="F37" i="205" s="1"/>
  <c r="E33" i="205"/>
  <c r="F33" i="205" s="1"/>
  <c r="E14" i="205"/>
  <c r="C15" i="205" s="1"/>
  <c r="H95" i="205" s="1"/>
  <c r="F26" i="205"/>
  <c r="D78" i="205"/>
  <c r="E78" i="205" s="1"/>
  <c r="D46" i="205"/>
  <c r="E46" i="205" s="1"/>
  <c r="C47" i="205" s="1"/>
  <c r="C73" i="205" s="1"/>
  <c r="G33" i="205"/>
  <c r="F25" i="205"/>
  <c r="G25" i="205"/>
  <c r="G37" i="205"/>
  <c r="G36" i="205"/>
  <c r="G35" i="205"/>
  <c r="G34" i="205"/>
  <c r="G32" i="205"/>
  <c r="F32" i="205"/>
  <c r="G31" i="205"/>
  <c r="F31" i="205"/>
  <c r="G30" i="205"/>
  <c r="F30" i="205"/>
  <c r="G29" i="205"/>
  <c r="F29" i="205"/>
  <c r="G28" i="205"/>
  <c r="F28" i="205"/>
  <c r="G27" i="205"/>
  <c r="F27" i="205"/>
  <c r="G26" i="205"/>
  <c r="G24" i="205"/>
  <c r="F24" i="205"/>
  <c r="G23" i="205"/>
  <c r="F23" i="205"/>
  <c r="G22" i="205"/>
  <c r="F22" i="205"/>
  <c r="G21" i="205"/>
  <c r="F21" i="205"/>
  <c r="G20" i="205"/>
  <c r="F20" i="205"/>
  <c r="G19" i="205"/>
  <c r="F19" i="205"/>
  <c r="G18" i="205"/>
  <c r="F18" i="205"/>
  <c r="E37" i="183"/>
  <c r="F37" i="183"/>
  <c r="G37" i="183"/>
  <c r="F385" i="149"/>
  <c r="G385" i="149"/>
  <c r="H385" i="149"/>
  <c r="F361" i="149"/>
  <c r="H361" i="149"/>
  <c r="F337" i="149"/>
  <c r="H337" i="149"/>
  <c r="F314" i="149"/>
  <c r="H314" i="149"/>
  <c r="F291" i="149"/>
  <c r="H291" i="149"/>
  <c r="F268" i="149"/>
  <c r="H268" i="149"/>
  <c r="F244" i="149"/>
  <c r="H244" i="149"/>
  <c r="F220" i="149"/>
  <c r="H220" i="149"/>
  <c r="F196" i="149"/>
  <c r="H196" i="149"/>
  <c r="F148" i="149"/>
  <c r="H148" i="149"/>
  <c r="F172" i="149"/>
  <c r="H172" i="149"/>
  <c r="F124" i="149"/>
  <c r="H124" i="149"/>
  <c r="F101" i="149"/>
  <c r="H101" i="149"/>
  <c r="M77" i="149"/>
  <c r="F78" i="149"/>
  <c r="H78" i="149"/>
  <c r="E31" i="160"/>
  <c r="F31" i="160" s="1"/>
  <c r="G31" i="160"/>
  <c r="H31" i="160"/>
  <c r="E212" i="138"/>
  <c r="F212" i="138" s="1"/>
  <c r="H212" i="138"/>
  <c r="C42" i="135"/>
  <c r="E122" i="187"/>
  <c r="F122" i="187" s="1"/>
  <c r="G122" i="187"/>
  <c r="P66" i="37"/>
  <c r="E349" i="155"/>
  <c r="F349" i="155" s="1"/>
  <c r="G349" i="155"/>
  <c r="E309" i="155"/>
  <c r="F309" i="155"/>
  <c r="G309" i="155"/>
  <c r="E267" i="155"/>
  <c r="F267" i="155" s="1"/>
  <c r="G267" i="155"/>
  <c r="E226" i="155"/>
  <c r="F226" i="155" s="1"/>
  <c r="G226" i="155"/>
  <c r="E186" i="155"/>
  <c r="F186" i="155" s="1"/>
  <c r="G186" i="155"/>
  <c r="E146" i="155"/>
  <c r="F146" i="155" s="1"/>
  <c r="G146" i="155"/>
  <c r="E106" i="155"/>
  <c r="F106" i="155" s="1"/>
  <c r="G106" i="155"/>
  <c r="E66" i="155"/>
  <c r="F66" i="155" s="1"/>
  <c r="G66" i="155"/>
  <c r="A107" i="37"/>
  <c r="A144" i="37"/>
  <c r="A143" i="37"/>
  <c r="E97" i="134"/>
  <c r="F97" i="134" s="1"/>
  <c r="H97" i="134"/>
  <c r="C127" i="190"/>
  <c r="E127" i="190"/>
  <c r="F127" i="190" s="1"/>
  <c r="G127" i="190" s="1"/>
  <c r="E299" i="161"/>
  <c r="F299" i="161" s="1"/>
  <c r="H299" i="161"/>
  <c r="E276" i="161"/>
  <c r="F276" i="161" s="1"/>
  <c r="H276" i="161"/>
  <c r="E255" i="161"/>
  <c r="F255" i="161" s="1"/>
  <c r="H255" i="161"/>
  <c r="E234" i="161"/>
  <c r="F234" i="161" s="1"/>
  <c r="H234" i="161"/>
  <c r="E213" i="161"/>
  <c r="F213" i="161" s="1"/>
  <c r="H213" i="161"/>
  <c r="E192" i="161"/>
  <c r="F192" i="161" s="1"/>
  <c r="H192" i="161"/>
  <c r="E171" i="161"/>
  <c r="F171" i="161" s="1"/>
  <c r="H171" i="161"/>
  <c r="E150" i="161"/>
  <c r="F150" i="161" s="1"/>
  <c r="H150" i="161"/>
  <c r="E130" i="161"/>
  <c r="F130" i="161" s="1"/>
  <c r="H130" i="161"/>
  <c r="E109" i="161"/>
  <c r="F109" i="161" s="1"/>
  <c r="H109" i="161"/>
  <c r="E87" i="161"/>
  <c r="F87" i="161" s="1"/>
  <c r="H87" i="161"/>
  <c r="E66" i="161"/>
  <c r="F66" i="161" s="1"/>
  <c r="H66" i="161"/>
  <c r="E45" i="161"/>
  <c r="F45" i="161" s="1"/>
  <c r="H45" i="161"/>
  <c r="H18" i="152"/>
  <c r="F14" i="152"/>
  <c r="F15" i="152"/>
  <c r="F16" i="152"/>
  <c r="F17" i="152"/>
  <c r="F18" i="152"/>
  <c r="F19" i="152"/>
  <c r="F20" i="152"/>
  <c r="F21" i="152"/>
  <c r="F22" i="152"/>
  <c r="F23" i="152"/>
  <c r="E49" i="146"/>
  <c r="F49" i="146" s="1"/>
  <c r="G49" i="146"/>
  <c r="F102" i="199"/>
  <c r="G102" i="199" s="1"/>
  <c r="H102" i="199"/>
  <c r="E69" i="154"/>
  <c r="F69" i="154" s="1"/>
  <c r="G69" i="154"/>
  <c r="H69" i="154"/>
  <c r="E76" i="130"/>
  <c r="F76" i="130" s="1"/>
  <c r="H76" i="130"/>
  <c r="E250" i="184"/>
  <c r="F250" i="184" s="1"/>
  <c r="G250" i="184"/>
  <c r="A5" i="37"/>
  <c r="B38" i="203"/>
  <c r="P8" i="209" s="1"/>
  <c r="F20" i="203"/>
  <c r="F21" i="203"/>
  <c r="F22" i="203"/>
  <c r="F23" i="203"/>
  <c r="F24" i="203"/>
  <c r="F25" i="203"/>
  <c r="F26" i="203"/>
  <c r="F27" i="203"/>
  <c r="F28" i="203"/>
  <c r="F29" i="203"/>
  <c r="F30" i="203"/>
  <c r="F31" i="203"/>
  <c r="F32" i="203"/>
  <c r="F33" i="203"/>
  <c r="F19" i="203"/>
  <c r="D33" i="203"/>
  <c r="E33" i="203" s="1"/>
  <c r="D32" i="203"/>
  <c r="D31" i="203"/>
  <c r="E31" i="203" s="1"/>
  <c r="G31" i="203" s="1"/>
  <c r="D30" i="203"/>
  <c r="E30" i="203" s="1"/>
  <c r="G30" i="203" s="1"/>
  <c r="D29" i="203"/>
  <c r="E29" i="203" s="1"/>
  <c r="D28" i="203"/>
  <c r="E28" i="203" s="1"/>
  <c r="G28" i="203" s="1"/>
  <c r="D27" i="203"/>
  <c r="E27" i="203" s="1"/>
  <c r="G27" i="203" s="1"/>
  <c r="D26" i="203"/>
  <c r="E26" i="203" s="1"/>
  <c r="G26" i="203" s="1"/>
  <c r="D25" i="203"/>
  <c r="E25" i="203" s="1"/>
  <c r="D24" i="203"/>
  <c r="E24" i="203" s="1"/>
  <c r="G24" i="203" s="1"/>
  <c r="D23" i="203"/>
  <c r="E23" i="203" s="1"/>
  <c r="G23" i="203" s="1"/>
  <c r="D22" i="203"/>
  <c r="E22" i="203" s="1"/>
  <c r="G22" i="203" s="1"/>
  <c r="D21" i="203"/>
  <c r="E21" i="203" s="1"/>
  <c r="D20" i="203"/>
  <c r="D19" i="203"/>
  <c r="E19" i="203" s="1"/>
  <c r="B14" i="203"/>
  <c r="G16" i="202"/>
  <c r="G17" i="202"/>
  <c r="G18" i="202"/>
  <c r="G19" i="202"/>
  <c r="G20" i="202"/>
  <c r="G21" i="202"/>
  <c r="G22" i="202"/>
  <c r="G23" i="202"/>
  <c r="G24" i="202"/>
  <c r="G25" i="202"/>
  <c r="G26" i="202"/>
  <c r="G27" i="202"/>
  <c r="G28" i="202"/>
  <c r="G29" i="202"/>
  <c r="G15" i="202"/>
  <c r="F16" i="202"/>
  <c r="F17" i="202"/>
  <c r="F18" i="202"/>
  <c r="F19" i="202"/>
  <c r="F20" i="202"/>
  <c r="F21" i="202"/>
  <c r="F22" i="202"/>
  <c r="F23" i="202"/>
  <c r="F24" i="202"/>
  <c r="F25" i="202"/>
  <c r="F15" i="202"/>
  <c r="E27" i="202"/>
  <c r="F27" i="202" s="1"/>
  <c r="E28" i="202"/>
  <c r="F28" i="202" s="1"/>
  <c r="E29" i="202"/>
  <c r="E30" i="202"/>
  <c r="E31" i="202"/>
  <c r="E32" i="202"/>
  <c r="E33" i="202"/>
  <c r="E34" i="202"/>
  <c r="E35" i="202"/>
  <c r="E36" i="202"/>
  <c r="E37" i="202"/>
  <c r="E38" i="202"/>
  <c r="E39" i="202"/>
  <c r="E40" i="202"/>
  <c r="E41" i="202"/>
  <c r="E42" i="202"/>
  <c r="E43" i="202"/>
  <c r="E44" i="202"/>
  <c r="E45" i="202"/>
  <c r="E46" i="202"/>
  <c r="E47" i="202"/>
  <c r="E48" i="202"/>
  <c r="E26" i="202"/>
  <c r="F26" i="202" s="1"/>
  <c r="B12" i="176"/>
  <c r="A140" i="37"/>
  <c r="A142" i="37"/>
  <c r="A141" i="37"/>
  <c r="D8" i="202"/>
  <c r="D9" i="202" s="1"/>
  <c r="D51" i="202" s="1"/>
  <c r="G19" i="203" l="1"/>
  <c r="G21" i="203"/>
  <c r="G25" i="203"/>
  <c r="G29" i="203"/>
  <c r="G33" i="203"/>
  <c r="G18" i="203"/>
  <c r="O35" i="37"/>
  <c r="I385" i="149"/>
  <c r="H349" i="155"/>
  <c r="H309" i="155"/>
  <c r="I69" i="154"/>
  <c r="H137" i="206"/>
  <c r="H97" i="206"/>
  <c r="F22" i="206"/>
  <c r="F28" i="206" s="1"/>
  <c r="H129" i="206"/>
  <c r="H133" i="206"/>
  <c r="H300" i="206"/>
  <c r="H295" i="206"/>
  <c r="H304" i="206"/>
  <c r="H303" i="206"/>
  <c r="H299" i="206"/>
  <c r="H134" i="206"/>
  <c r="H190" i="206"/>
  <c r="H298" i="206"/>
  <c r="H302" i="206"/>
  <c r="H91" i="206"/>
  <c r="H207" i="206"/>
  <c r="H93" i="206"/>
  <c r="H147" i="206"/>
  <c r="H263" i="206"/>
  <c r="H126" i="206"/>
  <c r="H130" i="206"/>
  <c r="H136" i="206"/>
  <c r="H184" i="206"/>
  <c r="H188" i="206"/>
  <c r="H208" i="206"/>
  <c r="H242" i="206"/>
  <c r="H246" i="206"/>
  <c r="H248" i="206"/>
  <c r="H296" i="206"/>
  <c r="H92" i="206"/>
  <c r="H94" i="206"/>
  <c r="H148" i="206"/>
  <c r="H150" i="206"/>
  <c r="H204" i="206"/>
  <c r="H206" i="206"/>
  <c r="H260" i="206"/>
  <c r="H262" i="206"/>
  <c r="H264" i="206"/>
  <c r="H95" i="206"/>
  <c r="H259" i="206"/>
  <c r="H149" i="206"/>
  <c r="H205" i="206"/>
  <c r="H261" i="206"/>
  <c r="H203" i="206"/>
  <c r="H96" i="206"/>
  <c r="H128" i="206"/>
  <c r="H132" i="206"/>
  <c r="H138" i="206"/>
  <c r="H152" i="206"/>
  <c r="H182" i="206"/>
  <c r="H186" i="206"/>
  <c r="H192" i="206"/>
  <c r="H238" i="206"/>
  <c r="H240" i="206"/>
  <c r="H244" i="206"/>
  <c r="H250" i="206"/>
  <c r="H294" i="206"/>
  <c r="H127" i="206"/>
  <c r="H131" i="206"/>
  <c r="H135" i="206"/>
  <c r="H153" i="206"/>
  <c r="H183" i="206"/>
  <c r="H185" i="206"/>
  <c r="H187" i="206"/>
  <c r="H189" i="206"/>
  <c r="H191" i="206"/>
  <c r="H193" i="206"/>
  <c r="H209" i="206"/>
  <c r="H239" i="206"/>
  <c r="H241" i="206"/>
  <c r="H243" i="206"/>
  <c r="H245" i="206"/>
  <c r="H247" i="206"/>
  <c r="H249" i="206"/>
  <c r="H297" i="206"/>
  <c r="H301" i="206"/>
  <c r="H305" i="206"/>
  <c r="H151" i="206"/>
  <c r="H265" i="206"/>
  <c r="H306" i="206"/>
  <c r="H194" i="206"/>
  <c r="AA2" i="209"/>
  <c r="H45" i="152"/>
  <c r="H42" i="152"/>
  <c r="H40" i="152"/>
  <c r="H41" i="152"/>
  <c r="H35" i="152"/>
  <c r="H30" i="152"/>
  <c r="H31" i="152"/>
  <c r="H38" i="152"/>
  <c r="H34" i="152"/>
  <c r="H37" i="152"/>
  <c r="H33" i="152"/>
  <c r="H36" i="152"/>
  <c r="H32" i="152"/>
  <c r="H39" i="152"/>
  <c r="C48" i="152"/>
  <c r="I18" i="152"/>
  <c r="E163" i="152" s="1"/>
  <c r="E22" i="206"/>
  <c r="E28" i="206" s="1"/>
  <c r="H94" i="205"/>
  <c r="H89" i="205"/>
  <c r="H102" i="205" s="1"/>
  <c r="C107" i="205" s="1"/>
  <c r="H50" i="205"/>
  <c r="H83" i="205"/>
  <c r="H87" i="205"/>
  <c r="H93" i="205"/>
  <c r="H84" i="205"/>
  <c r="H96" i="205"/>
  <c r="H98" i="205"/>
  <c r="H100" i="205"/>
  <c r="H57" i="205"/>
  <c r="H86" i="205"/>
  <c r="H88" i="205"/>
  <c r="H91" i="205"/>
  <c r="H97" i="205"/>
  <c r="H99" i="205"/>
  <c r="H101" i="205"/>
  <c r="H82" i="205"/>
  <c r="H51" i="205"/>
  <c r="H85" i="205"/>
  <c r="H90" i="205"/>
  <c r="H92" i="205"/>
  <c r="H55" i="205"/>
  <c r="H64" i="205"/>
  <c r="H66" i="205"/>
  <c r="H68" i="205"/>
  <c r="H63" i="205"/>
  <c r="C79" i="205"/>
  <c r="H54" i="205"/>
  <c r="H56" i="205"/>
  <c r="H58" i="205"/>
  <c r="H59" i="205"/>
  <c r="H65" i="205"/>
  <c r="H67" i="205"/>
  <c r="H69" i="205"/>
  <c r="H52" i="205"/>
  <c r="H61" i="205"/>
  <c r="H53" i="205"/>
  <c r="H60" i="205"/>
  <c r="H62" i="205"/>
  <c r="H26" i="205"/>
  <c r="C41" i="205"/>
  <c r="H23" i="205"/>
  <c r="H30" i="205"/>
  <c r="H34" i="205"/>
  <c r="H18" i="205"/>
  <c r="H32" i="205"/>
  <c r="H29" i="205"/>
  <c r="H21" i="205"/>
  <c r="H27" i="205"/>
  <c r="H31" i="205"/>
  <c r="H35" i="205"/>
  <c r="H19" i="205"/>
  <c r="H28" i="205"/>
  <c r="H36" i="205"/>
  <c r="H20" i="205"/>
  <c r="H33" i="205"/>
  <c r="H37" i="205"/>
  <c r="H22" i="205"/>
  <c r="H24" i="205"/>
  <c r="H25" i="205"/>
  <c r="H267" i="155"/>
  <c r="H226" i="155"/>
  <c r="H26" i="202"/>
  <c r="H22" i="202"/>
  <c r="H18" i="202"/>
  <c r="H15" i="202"/>
  <c r="H25" i="202"/>
  <c r="H21" i="202"/>
  <c r="H17" i="202"/>
  <c r="H28" i="202"/>
  <c r="H24" i="202"/>
  <c r="H20" i="202"/>
  <c r="H16" i="202"/>
  <c r="H27" i="202"/>
  <c r="H23" i="202"/>
  <c r="H19" i="202"/>
  <c r="H139" i="206" l="1"/>
  <c r="H195" i="206"/>
  <c r="H307" i="206"/>
  <c r="H70" i="206"/>
  <c r="H251" i="206"/>
  <c r="P30" i="209"/>
  <c r="O51" i="37"/>
  <c r="H74" i="206"/>
  <c r="H75" i="206"/>
  <c r="H35" i="206"/>
  <c r="H78" i="206"/>
  <c r="H79" i="206"/>
  <c r="H71" i="206"/>
  <c r="H72" i="206"/>
  <c r="H76" i="206"/>
  <c r="H81" i="206"/>
  <c r="H82" i="206"/>
  <c r="H41" i="206"/>
  <c r="H73" i="206"/>
  <c r="H80" i="206"/>
  <c r="H77" i="206"/>
  <c r="H169" i="152"/>
  <c r="H173" i="152"/>
  <c r="H177" i="152"/>
  <c r="H181" i="152"/>
  <c r="H170" i="152"/>
  <c r="H174" i="152"/>
  <c r="H178" i="152"/>
  <c r="H166" i="152"/>
  <c r="H167" i="152"/>
  <c r="H171" i="152"/>
  <c r="H175" i="152"/>
  <c r="H179" i="152"/>
  <c r="H168" i="152"/>
  <c r="H172" i="152"/>
  <c r="H176" i="152"/>
  <c r="H180" i="152"/>
  <c r="C185" i="152"/>
  <c r="H38" i="206"/>
  <c r="H36" i="206"/>
  <c r="H39" i="206"/>
  <c r="H40" i="206"/>
  <c r="C108" i="205"/>
  <c r="C112" i="205"/>
  <c r="C114" i="205" s="1"/>
  <c r="F115" i="205" s="1"/>
  <c r="H70" i="205"/>
  <c r="C74" i="205" s="1"/>
  <c r="C75" i="205" s="1"/>
  <c r="H38" i="205"/>
  <c r="C42" i="205" s="1"/>
  <c r="G13" i="146"/>
  <c r="F13" i="146"/>
  <c r="C11" i="146"/>
  <c r="H49" i="146" s="1"/>
  <c r="R8" i="209" l="1"/>
  <c r="S8" i="209" s="1"/>
  <c r="C186" i="152"/>
  <c r="C189" i="152" s="1"/>
  <c r="H37" i="206"/>
  <c r="H83" i="206" s="1"/>
  <c r="C311" i="206" s="1"/>
  <c r="Q35" i="37"/>
  <c r="R35" i="37" s="1"/>
  <c r="C43" i="205"/>
  <c r="E36" i="183"/>
  <c r="F36" i="183"/>
  <c r="G36" i="183"/>
  <c r="C126" i="190"/>
  <c r="E126" i="190"/>
  <c r="F126" i="190" s="1"/>
  <c r="E297" i="161"/>
  <c r="F297" i="161" s="1"/>
  <c r="H297" i="161"/>
  <c r="E298" i="161"/>
  <c r="F298" i="161" s="1"/>
  <c r="H298" i="161"/>
  <c r="E275" i="161"/>
  <c r="F275" i="161" s="1"/>
  <c r="H275" i="161"/>
  <c r="E254" i="161"/>
  <c r="F254" i="161" s="1"/>
  <c r="H254" i="161"/>
  <c r="F233" i="161"/>
  <c r="H233" i="161"/>
  <c r="E212" i="161"/>
  <c r="F212" i="161" s="1"/>
  <c r="H212" i="161"/>
  <c r="E191" i="161"/>
  <c r="F191" i="161" s="1"/>
  <c r="H191" i="161"/>
  <c r="E170" i="161"/>
  <c r="F170" i="161" s="1"/>
  <c r="H170" i="161"/>
  <c r="E149" i="161"/>
  <c r="F149" i="161" s="1"/>
  <c r="H149" i="161"/>
  <c r="E129" i="161"/>
  <c r="F129" i="161" s="1"/>
  <c r="H129" i="161"/>
  <c r="E108" i="161"/>
  <c r="F108" i="161" s="1"/>
  <c r="H108" i="161"/>
  <c r="E86" i="161"/>
  <c r="F86" i="161" s="1"/>
  <c r="H86" i="161"/>
  <c r="E65" i="161"/>
  <c r="F65" i="161" s="1"/>
  <c r="H65" i="161"/>
  <c r="E44" i="161"/>
  <c r="F44" i="161" s="1"/>
  <c r="H44" i="161"/>
  <c r="E296" i="161"/>
  <c r="F296" i="161" s="1"/>
  <c r="H296" i="161"/>
  <c r="H44" i="152"/>
  <c r="E62" i="104"/>
  <c r="F62" i="104"/>
  <c r="G62" i="104"/>
  <c r="I62" i="104" s="1"/>
  <c r="H62" i="104"/>
  <c r="F30" i="149"/>
  <c r="H30" i="149"/>
  <c r="E30" i="160"/>
  <c r="F30" i="160" s="1"/>
  <c r="G30" i="160"/>
  <c r="H30" i="160"/>
  <c r="E31" i="159"/>
  <c r="F31" i="159" s="1"/>
  <c r="G31" i="159"/>
  <c r="H31" i="159"/>
  <c r="D42" i="135"/>
  <c r="C41" i="135"/>
  <c r="E42" i="135"/>
  <c r="F42" i="135"/>
  <c r="E96" i="134"/>
  <c r="F96" i="134" s="1"/>
  <c r="H96" i="134"/>
  <c r="E48" i="146"/>
  <c r="F48" i="146" s="1"/>
  <c r="G48" i="146"/>
  <c r="E108" i="131"/>
  <c r="F108" i="131" s="1"/>
  <c r="E68" i="154"/>
  <c r="F68" i="154" s="1"/>
  <c r="I68" i="154" s="1"/>
  <c r="G68" i="154"/>
  <c r="H68" i="154"/>
  <c r="E75" i="130"/>
  <c r="F75" i="130" s="1"/>
  <c r="H75" i="130"/>
  <c r="E249" i="184"/>
  <c r="F249" i="184" s="1"/>
  <c r="G249" i="184"/>
  <c r="E31" i="139"/>
  <c r="H31" i="139" s="1"/>
  <c r="F31" i="139"/>
  <c r="E34" i="183"/>
  <c r="F34" i="183"/>
  <c r="G34" i="183"/>
  <c r="E35" i="183"/>
  <c r="F35" i="183"/>
  <c r="G35" i="183"/>
  <c r="F384" i="149"/>
  <c r="G384" i="149"/>
  <c r="H384" i="149"/>
  <c r="H360" i="149"/>
  <c r="F360" i="149"/>
  <c r="F336" i="149"/>
  <c r="H336" i="149"/>
  <c r="F313" i="149"/>
  <c r="H313" i="149"/>
  <c r="F290" i="149"/>
  <c r="H290" i="149"/>
  <c r="H267" i="149"/>
  <c r="F267" i="149"/>
  <c r="F243" i="149"/>
  <c r="H243" i="149"/>
  <c r="F219" i="149"/>
  <c r="H219" i="149"/>
  <c r="H195" i="149"/>
  <c r="F195" i="149"/>
  <c r="H171" i="149"/>
  <c r="F171" i="149"/>
  <c r="F147" i="149"/>
  <c r="H147" i="149"/>
  <c r="H123" i="149"/>
  <c r="F123" i="149"/>
  <c r="F100" i="149"/>
  <c r="H100" i="149"/>
  <c r="F77" i="149"/>
  <c r="H77" i="149"/>
  <c r="F53" i="149"/>
  <c r="H53" i="149"/>
  <c r="B52" i="203" l="1"/>
  <c r="B51" i="203"/>
  <c r="B53" i="203" s="1"/>
  <c r="G126" i="190"/>
  <c r="I31" i="159"/>
  <c r="G42" i="135"/>
  <c r="R30" i="209"/>
  <c r="S30" i="209" s="1"/>
  <c r="C312" i="206"/>
  <c r="Q51" i="37"/>
  <c r="R51" i="37" s="1"/>
  <c r="H48" i="146"/>
  <c r="I384" i="149"/>
  <c r="F101" i="199" l="1"/>
  <c r="G101" i="199" s="1"/>
  <c r="H101" i="199"/>
  <c r="F29" i="202"/>
  <c r="H29" i="202" s="1"/>
  <c r="F30" i="202"/>
  <c r="H30" i="202" s="1"/>
  <c r="G30" i="202"/>
  <c r="F31" i="202"/>
  <c r="G31" i="202"/>
  <c r="F32" i="202"/>
  <c r="H32" i="202" s="1"/>
  <c r="G32" i="202"/>
  <c r="J48" i="202"/>
  <c r="G48" i="202"/>
  <c r="F48" i="202"/>
  <c r="J47" i="202"/>
  <c r="L47" i="202" s="1"/>
  <c r="M47" i="202" s="1"/>
  <c r="G47" i="202"/>
  <c r="F47" i="202"/>
  <c r="J46" i="202"/>
  <c r="L46" i="202" s="1"/>
  <c r="M46" i="202" s="1"/>
  <c r="G46" i="202"/>
  <c r="F46" i="202"/>
  <c r="J45" i="202"/>
  <c r="L45" i="202" s="1"/>
  <c r="M45" i="202" s="1"/>
  <c r="G45" i="202"/>
  <c r="F45" i="202"/>
  <c r="J44" i="202"/>
  <c r="L44" i="202" s="1"/>
  <c r="M44" i="202" s="1"/>
  <c r="G44" i="202"/>
  <c r="F44" i="202"/>
  <c r="H44" i="202" s="1"/>
  <c r="J43" i="202"/>
  <c r="L43" i="202" s="1"/>
  <c r="M43" i="202" s="1"/>
  <c r="F43" i="202" s="1"/>
  <c r="G43" i="202"/>
  <c r="J42" i="202"/>
  <c r="L42" i="202" s="1"/>
  <c r="M42" i="202" s="1"/>
  <c r="F42" i="202" s="1"/>
  <c r="G42" i="202"/>
  <c r="J41" i="202"/>
  <c r="L41" i="202" s="1"/>
  <c r="M41" i="202" s="1"/>
  <c r="F41" i="202" s="1"/>
  <c r="G41" i="202"/>
  <c r="J40" i="202"/>
  <c r="L40" i="202" s="1"/>
  <c r="M40" i="202" s="1"/>
  <c r="F40" i="202" s="1"/>
  <c r="G40" i="202"/>
  <c r="J39" i="202"/>
  <c r="L39" i="202" s="1"/>
  <c r="M39" i="202" s="1"/>
  <c r="F39" i="202" s="1"/>
  <c r="G39" i="202"/>
  <c r="J38" i="202"/>
  <c r="L38" i="202" s="1"/>
  <c r="M38" i="202" s="1"/>
  <c r="F38" i="202" s="1"/>
  <c r="G38" i="202"/>
  <c r="J37" i="202"/>
  <c r="L37" i="202" s="1"/>
  <c r="M37" i="202" s="1"/>
  <c r="F37" i="202" s="1"/>
  <c r="G37" i="202"/>
  <c r="J36" i="202"/>
  <c r="L36" i="202" s="1"/>
  <c r="M36" i="202" s="1"/>
  <c r="F36" i="202" s="1"/>
  <c r="G36" i="202"/>
  <c r="J35" i="202"/>
  <c r="L35" i="202" s="1"/>
  <c r="M35" i="202" s="1"/>
  <c r="F35" i="202" s="1"/>
  <c r="G35" i="202"/>
  <c r="K34" i="202"/>
  <c r="J34" i="202"/>
  <c r="G34" i="202"/>
  <c r="K33" i="202"/>
  <c r="J33" i="202"/>
  <c r="G33" i="202"/>
  <c r="H36" i="202" l="1"/>
  <c r="H40" i="202"/>
  <c r="H42" i="202"/>
  <c r="H38" i="202"/>
  <c r="H45" i="202"/>
  <c r="H37" i="202"/>
  <c r="H41" i="202"/>
  <c r="H47" i="202"/>
  <c r="H48" i="202"/>
  <c r="H46" i="202"/>
  <c r="H31" i="202"/>
  <c r="H35" i="202"/>
  <c r="H39" i="202"/>
  <c r="H43" i="202"/>
  <c r="L34" i="202"/>
  <c r="M34" i="202" s="1"/>
  <c r="F34" i="202" s="1"/>
  <c r="H34" i="202" s="1"/>
  <c r="L33" i="202"/>
  <c r="M33" i="202" s="1"/>
  <c r="F33" i="202" s="1"/>
  <c r="H33" i="202" l="1"/>
  <c r="H49" i="202" s="1"/>
  <c r="D52" i="202" s="1"/>
  <c r="R4" i="37"/>
  <c r="R82" i="37"/>
  <c r="R84" i="37"/>
  <c r="R138" i="37"/>
  <c r="C110" i="198"/>
  <c r="I104" i="198"/>
  <c r="D102" i="198"/>
  <c r="F102" i="198"/>
  <c r="G102" i="198" s="1"/>
  <c r="I102" i="198" s="1"/>
  <c r="H102" i="198"/>
  <c r="D103" i="198"/>
  <c r="F103" i="198"/>
  <c r="G103" i="198"/>
  <c r="H103" i="198"/>
  <c r="C125" i="190"/>
  <c r="E125" i="190"/>
  <c r="F125" i="190" s="1"/>
  <c r="D29" i="195"/>
  <c r="F29" i="195"/>
  <c r="I29" i="195" s="1"/>
  <c r="H295" i="161"/>
  <c r="E295" i="161"/>
  <c r="F295" i="161" s="1"/>
  <c r="H294" i="161"/>
  <c r="E294" i="161"/>
  <c r="F294" i="161" s="1"/>
  <c r="H293" i="161"/>
  <c r="F293" i="161"/>
  <c r="H274" i="161"/>
  <c r="E274" i="161"/>
  <c r="F274" i="161" s="1"/>
  <c r="H273" i="161"/>
  <c r="E273" i="161"/>
  <c r="F273" i="161" s="1"/>
  <c r="H272" i="161"/>
  <c r="F272" i="161"/>
  <c r="H253" i="161"/>
  <c r="E253" i="161"/>
  <c r="F253" i="161" s="1"/>
  <c r="H252" i="161"/>
  <c r="E252" i="161"/>
  <c r="F252" i="161" s="1"/>
  <c r="H251" i="161"/>
  <c r="F251" i="161"/>
  <c r="H232" i="161"/>
  <c r="E232" i="161"/>
  <c r="F232" i="161" s="1"/>
  <c r="H231" i="161"/>
  <c r="E231" i="161"/>
  <c r="F231" i="161" s="1"/>
  <c r="H230" i="161"/>
  <c r="F230" i="161"/>
  <c r="H211" i="161"/>
  <c r="E211" i="161"/>
  <c r="F211" i="161" s="1"/>
  <c r="H210" i="161"/>
  <c r="E210" i="161"/>
  <c r="F210" i="161" s="1"/>
  <c r="H209" i="161"/>
  <c r="F209" i="161"/>
  <c r="H190" i="161"/>
  <c r="E190" i="161"/>
  <c r="F190" i="161" s="1"/>
  <c r="H189" i="161"/>
  <c r="E189" i="161"/>
  <c r="F189" i="161" s="1"/>
  <c r="H188" i="161"/>
  <c r="F188" i="161"/>
  <c r="H169" i="161"/>
  <c r="E169" i="161"/>
  <c r="F169" i="161" s="1"/>
  <c r="H168" i="161"/>
  <c r="E168" i="161"/>
  <c r="F168" i="161" s="1"/>
  <c r="H167" i="161"/>
  <c r="F167" i="161"/>
  <c r="H148" i="161"/>
  <c r="E148" i="161"/>
  <c r="F148" i="161" s="1"/>
  <c r="H147" i="161"/>
  <c r="E147" i="161"/>
  <c r="F147" i="161" s="1"/>
  <c r="H146" i="161"/>
  <c r="F146" i="161"/>
  <c r="H128" i="161"/>
  <c r="E128" i="161"/>
  <c r="F128" i="161" s="1"/>
  <c r="H127" i="161"/>
  <c r="E127" i="161"/>
  <c r="F127" i="161" s="1"/>
  <c r="H126" i="161"/>
  <c r="F126" i="161"/>
  <c r="H107" i="161"/>
  <c r="E107" i="161"/>
  <c r="F107" i="161" s="1"/>
  <c r="H106" i="161"/>
  <c r="E106" i="161"/>
  <c r="F106" i="161" s="1"/>
  <c r="H105" i="161"/>
  <c r="F105" i="161"/>
  <c r="H85" i="161"/>
  <c r="E85" i="161"/>
  <c r="F85" i="161" s="1"/>
  <c r="H84" i="161"/>
  <c r="E84" i="161"/>
  <c r="F84" i="161" s="1"/>
  <c r="H83" i="161"/>
  <c r="F83" i="161"/>
  <c r="H64" i="161"/>
  <c r="E64" i="161"/>
  <c r="F64" i="161" s="1"/>
  <c r="H63" i="161"/>
  <c r="E63" i="161"/>
  <c r="F63" i="161" s="1"/>
  <c r="H62" i="161"/>
  <c r="F62" i="161"/>
  <c r="E43" i="161"/>
  <c r="F43" i="161" s="1"/>
  <c r="E42" i="161"/>
  <c r="F42" i="161" s="1"/>
  <c r="H42" i="161"/>
  <c r="F41" i="161"/>
  <c r="H41" i="161"/>
  <c r="H43" i="161"/>
  <c r="F29" i="149"/>
  <c r="H29" i="149"/>
  <c r="E28" i="160"/>
  <c r="F28" i="160" s="1"/>
  <c r="G28" i="160"/>
  <c r="H28" i="160"/>
  <c r="E29" i="160"/>
  <c r="F29" i="160" s="1"/>
  <c r="G29" i="160"/>
  <c r="H29" i="160"/>
  <c r="E30" i="159"/>
  <c r="F30" i="159" s="1"/>
  <c r="G30" i="159"/>
  <c r="H30" i="159"/>
  <c r="E209" i="138"/>
  <c r="F209" i="138" s="1"/>
  <c r="H209" i="138"/>
  <c r="E210" i="138"/>
  <c r="F210" i="138" s="1"/>
  <c r="H210" i="138"/>
  <c r="E211" i="138"/>
  <c r="F211" i="138" s="1"/>
  <c r="H211" i="138"/>
  <c r="E176" i="138"/>
  <c r="F176" i="138" s="1"/>
  <c r="H176" i="138"/>
  <c r="E177" i="138"/>
  <c r="F177" i="138" s="1"/>
  <c r="H177" i="138"/>
  <c r="E178" i="138"/>
  <c r="F178" i="138" s="1"/>
  <c r="H178" i="138"/>
  <c r="E144" i="138"/>
  <c r="F144" i="138" s="1"/>
  <c r="H144" i="138"/>
  <c r="E145" i="138"/>
  <c r="F145" i="138" s="1"/>
  <c r="H145" i="138"/>
  <c r="E146" i="138"/>
  <c r="F146" i="138" s="1"/>
  <c r="H146" i="138"/>
  <c r="E113" i="138"/>
  <c r="F113" i="138" s="1"/>
  <c r="H113" i="138"/>
  <c r="E111" i="138"/>
  <c r="F111" i="138" s="1"/>
  <c r="H111" i="138"/>
  <c r="E112" i="138"/>
  <c r="F112" i="138" s="1"/>
  <c r="H112" i="138"/>
  <c r="L74" i="138"/>
  <c r="L75" i="138" s="1"/>
  <c r="L72" i="138"/>
  <c r="E81" i="138"/>
  <c r="F81" i="138" s="1"/>
  <c r="H81" i="138"/>
  <c r="E79" i="138"/>
  <c r="F79" i="138" s="1"/>
  <c r="H79" i="138"/>
  <c r="E80" i="138"/>
  <c r="F80" i="138" s="1"/>
  <c r="H80" i="138"/>
  <c r="E48" i="138"/>
  <c r="F48" i="138" s="1"/>
  <c r="H48" i="138"/>
  <c r="E46" i="138"/>
  <c r="F46" i="138" s="1"/>
  <c r="H46" i="138"/>
  <c r="E47" i="138"/>
  <c r="F47" i="138" s="1"/>
  <c r="H47" i="138"/>
  <c r="G348" i="155"/>
  <c r="E348" i="155"/>
  <c r="F348" i="155" s="1"/>
  <c r="G347" i="155"/>
  <c r="E347" i="155"/>
  <c r="F347" i="155" s="1"/>
  <c r="G346" i="155"/>
  <c r="E346" i="155"/>
  <c r="F346" i="155" s="1"/>
  <c r="G345" i="155"/>
  <c r="E345" i="155"/>
  <c r="F345" i="155" s="1"/>
  <c r="G344" i="155"/>
  <c r="E344" i="155"/>
  <c r="F344" i="155" s="1"/>
  <c r="G343" i="155"/>
  <c r="E343" i="155"/>
  <c r="F343" i="155" s="1"/>
  <c r="G342" i="155"/>
  <c r="E342" i="155"/>
  <c r="F342" i="155" s="1"/>
  <c r="G341" i="155"/>
  <c r="E341" i="155"/>
  <c r="F341" i="155" s="1"/>
  <c r="G340" i="155"/>
  <c r="E340" i="155"/>
  <c r="F340" i="155" s="1"/>
  <c r="G339" i="155"/>
  <c r="E339" i="155"/>
  <c r="F339" i="155" s="1"/>
  <c r="G338" i="155"/>
  <c r="E338" i="155"/>
  <c r="F338" i="155" s="1"/>
  <c r="G337" i="155"/>
  <c r="E337" i="155"/>
  <c r="F337" i="155" s="1"/>
  <c r="G336" i="155"/>
  <c r="E336" i="155"/>
  <c r="F336" i="155" s="1"/>
  <c r="G335" i="155"/>
  <c r="E335" i="155"/>
  <c r="F335" i="155" s="1"/>
  <c r="G334" i="155"/>
  <c r="E334" i="155"/>
  <c r="F334" i="155" s="1"/>
  <c r="G333" i="155"/>
  <c r="E333" i="155"/>
  <c r="F333" i="155" s="1"/>
  <c r="G332" i="155"/>
  <c r="E332" i="155"/>
  <c r="F332" i="155" s="1"/>
  <c r="G331" i="155"/>
  <c r="E331" i="155"/>
  <c r="F331" i="155" s="1"/>
  <c r="G330" i="155"/>
  <c r="E330" i="155"/>
  <c r="F330" i="155" s="1"/>
  <c r="G329" i="155"/>
  <c r="E329" i="155"/>
  <c r="F329" i="155" s="1"/>
  <c r="G328" i="155"/>
  <c r="E328" i="155"/>
  <c r="F328" i="155" s="1"/>
  <c r="G327" i="155"/>
  <c r="E327" i="155"/>
  <c r="F327" i="155" s="1"/>
  <c r="G326" i="155"/>
  <c r="E326" i="155"/>
  <c r="F326" i="155" s="1"/>
  <c r="G325" i="155"/>
  <c r="E325" i="155"/>
  <c r="F325" i="155" s="1"/>
  <c r="G324" i="155"/>
  <c r="E324" i="155"/>
  <c r="F324" i="155" s="1"/>
  <c r="G323" i="155"/>
  <c r="E323" i="155"/>
  <c r="F323" i="155" s="1"/>
  <c r="G322" i="155"/>
  <c r="E322" i="155"/>
  <c r="F322" i="155" s="1"/>
  <c r="G321" i="155"/>
  <c r="E321" i="155"/>
  <c r="F321" i="155" s="1"/>
  <c r="G320" i="155"/>
  <c r="E320" i="155"/>
  <c r="F320" i="155" s="1"/>
  <c r="G319" i="155"/>
  <c r="E319" i="155"/>
  <c r="F319" i="155" s="1"/>
  <c r="G318" i="155"/>
  <c r="E318" i="155"/>
  <c r="F318" i="155" s="1"/>
  <c r="G317" i="155"/>
  <c r="E317" i="155"/>
  <c r="F317" i="155" s="1"/>
  <c r="G316" i="155"/>
  <c r="E316" i="155"/>
  <c r="F316" i="155" s="1"/>
  <c r="G308" i="155"/>
  <c r="E308" i="155"/>
  <c r="F308" i="155" s="1"/>
  <c r="G307" i="155"/>
  <c r="E307" i="155"/>
  <c r="F307" i="155" s="1"/>
  <c r="G306" i="155"/>
  <c r="E306" i="155"/>
  <c r="F306" i="155" s="1"/>
  <c r="G305" i="155"/>
  <c r="E305" i="155"/>
  <c r="F305" i="155" s="1"/>
  <c r="G304" i="155"/>
  <c r="E304" i="155"/>
  <c r="F304" i="155" s="1"/>
  <c r="G303" i="155"/>
  <c r="E303" i="155"/>
  <c r="F303" i="155" s="1"/>
  <c r="G302" i="155"/>
  <c r="E302" i="155"/>
  <c r="F302" i="155" s="1"/>
  <c r="G301" i="155"/>
  <c r="E301" i="155"/>
  <c r="F301" i="155" s="1"/>
  <c r="G300" i="155"/>
  <c r="E300" i="155"/>
  <c r="F300" i="155" s="1"/>
  <c r="G299" i="155"/>
  <c r="E299" i="155"/>
  <c r="F299" i="155" s="1"/>
  <c r="G298" i="155"/>
  <c r="E298" i="155"/>
  <c r="F298" i="155" s="1"/>
  <c r="G297" i="155"/>
  <c r="E297" i="155"/>
  <c r="F297" i="155" s="1"/>
  <c r="G296" i="155"/>
  <c r="E296" i="155"/>
  <c r="F296" i="155" s="1"/>
  <c r="G295" i="155"/>
  <c r="E295" i="155"/>
  <c r="F295" i="155" s="1"/>
  <c r="G294" i="155"/>
  <c r="E294" i="155"/>
  <c r="F294" i="155" s="1"/>
  <c r="G293" i="155"/>
  <c r="E293" i="155"/>
  <c r="F293" i="155" s="1"/>
  <c r="G292" i="155"/>
  <c r="E292" i="155"/>
  <c r="F292" i="155" s="1"/>
  <c r="G291" i="155"/>
  <c r="E291" i="155"/>
  <c r="F291" i="155" s="1"/>
  <c r="G290" i="155"/>
  <c r="E290" i="155"/>
  <c r="F290" i="155" s="1"/>
  <c r="G289" i="155"/>
  <c r="E289" i="155"/>
  <c r="F289" i="155" s="1"/>
  <c r="G288" i="155"/>
  <c r="E288" i="155"/>
  <c r="F288" i="155" s="1"/>
  <c r="G287" i="155"/>
  <c r="E287" i="155"/>
  <c r="F287" i="155" s="1"/>
  <c r="G286" i="155"/>
  <c r="E286" i="155"/>
  <c r="F286" i="155" s="1"/>
  <c r="G285" i="155"/>
  <c r="E285" i="155"/>
  <c r="F285" i="155" s="1"/>
  <c r="G284" i="155"/>
  <c r="E284" i="155"/>
  <c r="F284" i="155" s="1"/>
  <c r="G283" i="155"/>
  <c r="E283" i="155"/>
  <c r="F283" i="155" s="1"/>
  <c r="G282" i="155"/>
  <c r="E282" i="155"/>
  <c r="F282" i="155" s="1"/>
  <c r="G281" i="155"/>
  <c r="E281" i="155"/>
  <c r="F281" i="155" s="1"/>
  <c r="G280" i="155"/>
  <c r="E280" i="155"/>
  <c r="F280" i="155" s="1"/>
  <c r="G279" i="155"/>
  <c r="E279" i="155"/>
  <c r="F279" i="155" s="1"/>
  <c r="G278" i="155"/>
  <c r="E278" i="155"/>
  <c r="F278" i="155" s="1"/>
  <c r="G277" i="155"/>
  <c r="E277" i="155"/>
  <c r="F277" i="155" s="1"/>
  <c r="G276" i="155"/>
  <c r="E276" i="155"/>
  <c r="F276" i="155" s="1"/>
  <c r="E94" i="134"/>
  <c r="F94" i="134" s="1"/>
  <c r="H94" i="134"/>
  <c r="E95" i="134"/>
  <c r="F95" i="134" s="1"/>
  <c r="H95" i="134"/>
  <c r="E61" i="104"/>
  <c r="F61" i="104" s="1"/>
  <c r="G61" i="104"/>
  <c r="H61" i="104"/>
  <c r="F100" i="199"/>
  <c r="G100" i="199" s="1"/>
  <c r="F99" i="199"/>
  <c r="G99" i="199" s="1"/>
  <c r="H100" i="199"/>
  <c r="H99" i="199"/>
  <c r="E90" i="199"/>
  <c r="E89" i="199"/>
  <c r="H43" i="152"/>
  <c r="H46" i="152" s="1"/>
  <c r="D40" i="177"/>
  <c r="G266" i="155"/>
  <c r="E266" i="155"/>
  <c r="F266" i="155" s="1"/>
  <c r="G265" i="155"/>
  <c r="E265" i="155"/>
  <c r="F265" i="155" s="1"/>
  <c r="G264" i="155"/>
  <c r="E264" i="155"/>
  <c r="F264" i="155" s="1"/>
  <c r="G263" i="155"/>
  <c r="E263" i="155"/>
  <c r="F263" i="155" s="1"/>
  <c r="G262" i="155"/>
  <c r="E262" i="155"/>
  <c r="F262" i="155" s="1"/>
  <c r="G261" i="155"/>
  <c r="E261" i="155"/>
  <c r="F261" i="155" s="1"/>
  <c r="G260" i="155"/>
  <c r="E260" i="155"/>
  <c r="F260" i="155" s="1"/>
  <c r="G259" i="155"/>
  <c r="E259" i="155"/>
  <c r="F259" i="155" s="1"/>
  <c r="G258" i="155"/>
  <c r="E258" i="155"/>
  <c r="F258" i="155" s="1"/>
  <c r="G257" i="155"/>
  <c r="E257" i="155"/>
  <c r="F257" i="155" s="1"/>
  <c r="G256" i="155"/>
  <c r="E256" i="155"/>
  <c r="F256" i="155" s="1"/>
  <c r="G255" i="155"/>
  <c r="E255" i="155"/>
  <c r="F255" i="155" s="1"/>
  <c r="G254" i="155"/>
  <c r="E254" i="155"/>
  <c r="F254" i="155" s="1"/>
  <c r="G253" i="155"/>
  <c r="E253" i="155"/>
  <c r="F253" i="155" s="1"/>
  <c r="G252" i="155"/>
  <c r="E252" i="155"/>
  <c r="F252" i="155" s="1"/>
  <c r="G251" i="155"/>
  <c r="E251" i="155"/>
  <c r="F251" i="155" s="1"/>
  <c r="G250" i="155"/>
  <c r="E250" i="155"/>
  <c r="F250" i="155" s="1"/>
  <c r="G249" i="155"/>
  <c r="E249" i="155"/>
  <c r="F249" i="155" s="1"/>
  <c r="G248" i="155"/>
  <c r="E248" i="155"/>
  <c r="F248" i="155" s="1"/>
  <c r="G247" i="155"/>
  <c r="E247" i="155"/>
  <c r="F247" i="155" s="1"/>
  <c r="G246" i="155"/>
  <c r="E246" i="155"/>
  <c r="F246" i="155" s="1"/>
  <c r="G245" i="155"/>
  <c r="E245" i="155"/>
  <c r="F245" i="155" s="1"/>
  <c r="G244" i="155"/>
  <c r="E244" i="155"/>
  <c r="F244" i="155" s="1"/>
  <c r="G243" i="155"/>
  <c r="E243" i="155"/>
  <c r="F243" i="155" s="1"/>
  <c r="G242" i="155"/>
  <c r="E242" i="155"/>
  <c r="F242" i="155" s="1"/>
  <c r="G241" i="155"/>
  <c r="E241" i="155"/>
  <c r="F241" i="155" s="1"/>
  <c r="G240" i="155"/>
  <c r="E240" i="155"/>
  <c r="F240" i="155" s="1"/>
  <c r="G239" i="155"/>
  <c r="E239" i="155"/>
  <c r="F239" i="155" s="1"/>
  <c r="G238" i="155"/>
  <c r="E238" i="155"/>
  <c r="F238" i="155" s="1"/>
  <c r="G237" i="155"/>
  <c r="E237" i="155"/>
  <c r="F237" i="155" s="1"/>
  <c r="G236" i="155"/>
  <c r="E236" i="155"/>
  <c r="F236" i="155" s="1"/>
  <c r="G235" i="155"/>
  <c r="E235" i="155"/>
  <c r="F235" i="155" s="1"/>
  <c r="G234" i="155"/>
  <c r="E234" i="155"/>
  <c r="F234" i="155" s="1"/>
  <c r="M191" i="155"/>
  <c r="M190" i="155"/>
  <c r="G225" i="155"/>
  <c r="E225" i="155"/>
  <c r="F225" i="155" s="1"/>
  <c r="G224" i="155"/>
  <c r="E224" i="155"/>
  <c r="F224" i="155" s="1"/>
  <c r="G223" i="155"/>
  <c r="E223" i="155"/>
  <c r="F223" i="155" s="1"/>
  <c r="G222" i="155"/>
  <c r="E222" i="155"/>
  <c r="F222" i="155" s="1"/>
  <c r="G221" i="155"/>
  <c r="E221" i="155"/>
  <c r="F221" i="155" s="1"/>
  <c r="G220" i="155"/>
  <c r="E220" i="155"/>
  <c r="F220" i="155" s="1"/>
  <c r="G219" i="155"/>
  <c r="E219" i="155"/>
  <c r="F219" i="155" s="1"/>
  <c r="G218" i="155"/>
  <c r="E218" i="155"/>
  <c r="F218" i="155" s="1"/>
  <c r="G217" i="155"/>
  <c r="E217" i="155"/>
  <c r="F217" i="155" s="1"/>
  <c r="G216" i="155"/>
  <c r="E216" i="155"/>
  <c r="F216" i="155" s="1"/>
  <c r="G215" i="155"/>
  <c r="E215" i="155"/>
  <c r="F215" i="155" s="1"/>
  <c r="G214" i="155"/>
  <c r="E214" i="155"/>
  <c r="F214" i="155" s="1"/>
  <c r="G213" i="155"/>
  <c r="E213" i="155"/>
  <c r="F213" i="155" s="1"/>
  <c r="G212" i="155"/>
  <c r="E212" i="155"/>
  <c r="F212" i="155" s="1"/>
  <c r="G211" i="155"/>
  <c r="E211" i="155"/>
  <c r="F211" i="155" s="1"/>
  <c r="G210" i="155"/>
  <c r="E210" i="155"/>
  <c r="F210" i="155" s="1"/>
  <c r="G209" i="155"/>
  <c r="E209" i="155"/>
  <c r="F209" i="155" s="1"/>
  <c r="G208" i="155"/>
  <c r="E208" i="155"/>
  <c r="F208" i="155" s="1"/>
  <c r="G207" i="155"/>
  <c r="E207" i="155"/>
  <c r="F207" i="155" s="1"/>
  <c r="G206" i="155"/>
  <c r="E206" i="155"/>
  <c r="F206" i="155" s="1"/>
  <c r="G205" i="155"/>
  <c r="E205" i="155"/>
  <c r="F205" i="155" s="1"/>
  <c r="G204" i="155"/>
  <c r="E204" i="155"/>
  <c r="F204" i="155" s="1"/>
  <c r="G203" i="155"/>
  <c r="E203" i="155"/>
  <c r="F203" i="155" s="1"/>
  <c r="G202" i="155"/>
  <c r="E202" i="155"/>
  <c r="F202" i="155" s="1"/>
  <c r="G201" i="155"/>
  <c r="E201" i="155"/>
  <c r="F201" i="155" s="1"/>
  <c r="G200" i="155"/>
  <c r="E200" i="155"/>
  <c r="F200" i="155" s="1"/>
  <c r="G199" i="155"/>
  <c r="E199" i="155"/>
  <c r="F199" i="155" s="1"/>
  <c r="G198" i="155"/>
  <c r="E198" i="155"/>
  <c r="F198" i="155" s="1"/>
  <c r="G197" i="155"/>
  <c r="E197" i="155"/>
  <c r="F197" i="155" s="1"/>
  <c r="G196" i="155"/>
  <c r="E196" i="155"/>
  <c r="F196" i="155" s="1"/>
  <c r="G195" i="155"/>
  <c r="E195" i="155"/>
  <c r="F195" i="155" s="1"/>
  <c r="G194" i="155"/>
  <c r="E194" i="155"/>
  <c r="F194" i="155" s="1"/>
  <c r="G193" i="155"/>
  <c r="E193" i="155"/>
  <c r="F193" i="155" s="1"/>
  <c r="G185" i="155"/>
  <c r="E185" i="155"/>
  <c r="F185" i="155" s="1"/>
  <c r="G184" i="155"/>
  <c r="E184" i="155"/>
  <c r="F184" i="155" s="1"/>
  <c r="G183" i="155"/>
  <c r="E183" i="155"/>
  <c r="F183" i="155" s="1"/>
  <c r="G182" i="155"/>
  <c r="E182" i="155"/>
  <c r="F182" i="155" s="1"/>
  <c r="G181" i="155"/>
  <c r="E181" i="155"/>
  <c r="F181" i="155" s="1"/>
  <c r="G180" i="155"/>
  <c r="E180" i="155"/>
  <c r="F180" i="155" s="1"/>
  <c r="G179" i="155"/>
  <c r="E179" i="155"/>
  <c r="F179" i="155" s="1"/>
  <c r="G178" i="155"/>
  <c r="E178" i="155"/>
  <c r="F178" i="155" s="1"/>
  <c r="G177" i="155"/>
  <c r="E177" i="155"/>
  <c r="F177" i="155" s="1"/>
  <c r="G176" i="155"/>
  <c r="E176" i="155"/>
  <c r="F176" i="155" s="1"/>
  <c r="G175" i="155"/>
  <c r="E175" i="155"/>
  <c r="F175" i="155" s="1"/>
  <c r="G174" i="155"/>
  <c r="E174" i="155"/>
  <c r="F174" i="155" s="1"/>
  <c r="G173" i="155"/>
  <c r="E173" i="155"/>
  <c r="F173" i="155" s="1"/>
  <c r="G172" i="155"/>
  <c r="E172" i="155"/>
  <c r="F172" i="155" s="1"/>
  <c r="G171" i="155"/>
  <c r="E171" i="155"/>
  <c r="F171" i="155" s="1"/>
  <c r="G170" i="155"/>
  <c r="E170" i="155"/>
  <c r="F170" i="155" s="1"/>
  <c r="G169" i="155"/>
  <c r="E169" i="155"/>
  <c r="F169" i="155" s="1"/>
  <c r="G168" i="155"/>
  <c r="E168" i="155"/>
  <c r="F168" i="155" s="1"/>
  <c r="G167" i="155"/>
  <c r="E167" i="155"/>
  <c r="F167" i="155" s="1"/>
  <c r="G166" i="155"/>
  <c r="E166" i="155"/>
  <c r="F166" i="155" s="1"/>
  <c r="G165" i="155"/>
  <c r="E165" i="155"/>
  <c r="F165" i="155" s="1"/>
  <c r="G164" i="155"/>
  <c r="E164" i="155"/>
  <c r="F164" i="155" s="1"/>
  <c r="G163" i="155"/>
  <c r="E163" i="155"/>
  <c r="F163" i="155" s="1"/>
  <c r="G162" i="155"/>
  <c r="E162" i="155"/>
  <c r="F162" i="155" s="1"/>
  <c r="G161" i="155"/>
  <c r="E161" i="155"/>
  <c r="F161" i="155" s="1"/>
  <c r="G160" i="155"/>
  <c r="E160" i="155"/>
  <c r="F160" i="155" s="1"/>
  <c r="G159" i="155"/>
  <c r="E159" i="155"/>
  <c r="F159" i="155" s="1"/>
  <c r="G158" i="155"/>
  <c r="E158" i="155"/>
  <c r="F158" i="155" s="1"/>
  <c r="G157" i="155"/>
  <c r="E157" i="155"/>
  <c r="F157" i="155" s="1"/>
  <c r="G156" i="155"/>
  <c r="E156" i="155"/>
  <c r="F156" i="155" s="1"/>
  <c r="G155" i="155"/>
  <c r="E155" i="155"/>
  <c r="F155" i="155" s="1"/>
  <c r="G154" i="155"/>
  <c r="E154" i="155"/>
  <c r="F154" i="155" s="1"/>
  <c r="G153" i="155"/>
  <c r="E153" i="155"/>
  <c r="F153" i="155" s="1"/>
  <c r="G145" i="155"/>
  <c r="E145" i="155"/>
  <c r="F145" i="155" s="1"/>
  <c r="G144" i="155"/>
  <c r="E144" i="155"/>
  <c r="F144" i="155" s="1"/>
  <c r="G143" i="155"/>
  <c r="E143" i="155"/>
  <c r="F143" i="155" s="1"/>
  <c r="G142" i="155"/>
  <c r="E142" i="155"/>
  <c r="F142" i="155" s="1"/>
  <c r="G141" i="155"/>
  <c r="E141" i="155"/>
  <c r="F141" i="155" s="1"/>
  <c r="G140" i="155"/>
  <c r="E140" i="155"/>
  <c r="F140" i="155" s="1"/>
  <c r="G139" i="155"/>
  <c r="E139" i="155"/>
  <c r="F139" i="155" s="1"/>
  <c r="G138" i="155"/>
  <c r="E138" i="155"/>
  <c r="F138" i="155" s="1"/>
  <c r="G137" i="155"/>
  <c r="E137" i="155"/>
  <c r="F137" i="155" s="1"/>
  <c r="G136" i="155"/>
  <c r="E136" i="155"/>
  <c r="F136" i="155" s="1"/>
  <c r="G135" i="155"/>
  <c r="E135" i="155"/>
  <c r="F135" i="155" s="1"/>
  <c r="G134" i="155"/>
  <c r="E134" i="155"/>
  <c r="F134" i="155" s="1"/>
  <c r="G133" i="155"/>
  <c r="E133" i="155"/>
  <c r="F133" i="155" s="1"/>
  <c r="G132" i="155"/>
  <c r="E132" i="155"/>
  <c r="F132" i="155" s="1"/>
  <c r="G131" i="155"/>
  <c r="E131" i="155"/>
  <c r="F131" i="155" s="1"/>
  <c r="G130" i="155"/>
  <c r="E130" i="155"/>
  <c r="F130" i="155" s="1"/>
  <c r="G129" i="155"/>
  <c r="E129" i="155"/>
  <c r="F129" i="155" s="1"/>
  <c r="G128" i="155"/>
  <c r="E128" i="155"/>
  <c r="F128" i="155" s="1"/>
  <c r="G127" i="155"/>
  <c r="E127" i="155"/>
  <c r="F127" i="155" s="1"/>
  <c r="G126" i="155"/>
  <c r="E126" i="155"/>
  <c r="F126" i="155" s="1"/>
  <c r="G125" i="155"/>
  <c r="E125" i="155"/>
  <c r="F125" i="155" s="1"/>
  <c r="G124" i="155"/>
  <c r="E124" i="155"/>
  <c r="F124" i="155" s="1"/>
  <c r="G123" i="155"/>
  <c r="E123" i="155"/>
  <c r="F123" i="155" s="1"/>
  <c r="G122" i="155"/>
  <c r="E122" i="155"/>
  <c r="F122" i="155" s="1"/>
  <c r="G121" i="155"/>
  <c r="E121" i="155"/>
  <c r="F121" i="155" s="1"/>
  <c r="G120" i="155"/>
  <c r="E120" i="155"/>
  <c r="F120" i="155" s="1"/>
  <c r="G119" i="155"/>
  <c r="E119" i="155"/>
  <c r="F119" i="155" s="1"/>
  <c r="G118" i="155"/>
  <c r="E118" i="155"/>
  <c r="F118" i="155" s="1"/>
  <c r="G117" i="155"/>
  <c r="E117" i="155"/>
  <c r="F117" i="155" s="1"/>
  <c r="G116" i="155"/>
  <c r="E116" i="155"/>
  <c r="F116" i="155" s="1"/>
  <c r="G115" i="155"/>
  <c r="E115" i="155"/>
  <c r="F115" i="155" s="1"/>
  <c r="G114" i="155"/>
  <c r="E114" i="155"/>
  <c r="F114" i="155" s="1"/>
  <c r="G113" i="155"/>
  <c r="E113" i="155"/>
  <c r="F113" i="155" s="1"/>
  <c r="C40" i="135"/>
  <c r="D40" i="135"/>
  <c r="E40" i="135"/>
  <c r="F40" i="135"/>
  <c r="D41" i="135"/>
  <c r="E41" i="135"/>
  <c r="F41" i="135"/>
  <c r="E120" i="187"/>
  <c r="F120" i="187" s="1"/>
  <c r="G120" i="187"/>
  <c r="E121" i="187"/>
  <c r="F121" i="187" s="1"/>
  <c r="G121" i="187"/>
  <c r="E104" i="155"/>
  <c r="F104" i="155" s="1"/>
  <c r="G104" i="155"/>
  <c r="E105" i="155"/>
  <c r="F105" i="155" s="1"/>
  <c r="G105" i="155"/>
  <c r="E64" i="155"/>
  <c r="F64" i="155" s="1"/>
  <c r="G64" i="155"/>
  <c r="E65" i="155"/>
  <c r="F65" i="155" s="1"/>
  <c r="G65" i="155"/>
  <c r="G63" i="155"/>
  <c r="E63" i="155"/>
  <c r="F63" i="155" s="1"/>
  <c r="G62" i="155"/>
  <c r="E62" i="155"/>
  <c r="F62" i="155" s="1"/>
  <c r="G61" i="155"/>
  <c r="E61" i="155"/>
  <c r="F61" i="155" s="1"/>
  <c r="G60" i="155"/>
  <c r="E60" i="155"/>
  <c r="F60" i="155" s="1"/>
  <c r="G59" i="155"/>
  <c r="E59" i="155"/>
  <c r="F59" i="155" s="1"/>
  <c r="G58" i="155"/>
  <c r="E58" i="155"/>
  <c r="F58" i="155" s="1"/>
  <c r="G57" i="155"/>
  <c r="E57" i="155"/>
  <c r="F57" i="155" s="1"/>
  <c r="G56" i="155"/>
  <c r="E56" i="155"/>
  <c r="F56" i="155" s="1"/>
  <c r="G55" i="155"/>
  <c r="E55" i="155"/>
  <c r="F55" i="155" s="1"/>
  <c r="G54" i="155"/>
  <c r="E54" i="155"/>
  <c r="F54" i="155" s="1"/>
  <c r="G53" i="155"/>
  <c r="E53" i="155"/>
  <c r="F53" i="155" s="1"/>
  <c r="G52" i="155"/>
  <c r="E52" i="155"/>
  <c r="F52" i="155" s="1"/>
  <c r="G51" i="155"/>
  <c r="E51" i="155"/>
  <c r="F51" i="155" s="1"/>
  <c r="G50" i="155"/>
  <c r="E50" i="155"/>
  <c r="F50" i="155" s="1"/>
  <c r="G49" i="155"/>
  <c r="E49" i="155"/>
  <c r="F49" i="155" s="1"/>
  <c r="G48" i="155"/>
  <c r="E48" i="155"/>
  <c r="F48" i="155" s="1"/>
  <c r="G47" i="155"/>
  <c r="E47" i="155"/>
  <c r="F47" i="155" s="1"/>
  <c r="G46" i="155"/>
  <c r="E46" i="155"/>
  <c r="F46" i="155" s="1"/>
  <c r="G45" i="155"/>
  <c r="E45" i="155"/>
  <c r="F45" i="155" s="1"/>
  <c r="G44" i="155"/>
  <c r="E44" i="155"/>
  <c r="F44" i="155" s="1"/>
  <c r="G43" i="155"/>
  <c r="E43" i="155"/>
  <c r="F43" i="155" s="1"/>
  <c r="G42" i="155"/>
  <c r="E42" i="155"/>
  <c r="F42" i="155" s="1"/>
  <c r="G41" i="155"/>
  <c r="E41" i="155"/>
  <c r="F41" i="155" s="1"/>
  <c r="G40" i="155"/>
  <c r="E40" i="155"/>
  <c r="F40" i="155" s="1"/>
  <c r="G39" i="155"/>
  <c r="E39" i="155"/>
  <c r="F39" i="155" s="1"/>
  <c r="G38" i="155"/>
  <c r="E38" i="155"/>
  <c r="F38" i="155" s="1"/>
  <c r="G37" i="155"/>
  <c r="E37" i="155"/>
  <c r="F37" i="155" s="1"/>
  <c r="G36" i="155"/>
  <c r="E36" i="155"/>
  <c r="F36" i="155" s="1"/>
  <c r="G35" i="155"/>
  <c r="E35" i="155"/>
  <c r="F35" i="155" s="1"/>
  <c r="G34" i="155"/>
  <c r="E34" i="155"/>
  <c r="F34" i="155" s="1"/>
  <c r="G33" i="155"/>
  <c r="E33" i="155"/>
  <c r="F33" i="155" s="1"/>
  <c r="E46" i="146"/>
  <c r="F46" i="146" s="1"/>
  <c r="G46" i="146"/>
  <c r="E47" i="146"/>
  <c r="F47" i="146" s="1"/>
  <c r="G47" i="146"/>
  <c r="E107" i="131"/>
  <c r="F107" i="131"/>
  <c r="E105" i="131"/>
  <c r="F105" i="131" s="1"/>
  <c r="E106" i="131"/>
  <c r="F106" i="131" s="1"/>
  <c r="E67" i="154"/>
  <c r="F67" i="154" s="1"/>
  <c r="G67" i="154"/>
  <c r="H67" i="154"/>
  <c r="E74" i="130"/>
  <c r="F74" i="130" s="1"/>
  <c r="H74" i="130"/>
  <c r="E103" i="196"/>
  <c r="E102" i="196"/>
  <c r="C415" i="149"/>
  <c r="C400" i="149"/>
  <c r="B414" i="149"/>
  <c r="B413" i="149"/>
  <c r="B412" i="149"/>
  <c r="B411" i="149"/>
  <c r="B410" i="149"/>
  <c r="B409" i="149"/>
  <c r="B408" i="149"/>
  <c r="B407" i="149"/>
  <c r="B406" i="149"/>
  <c r="B405" i="149"/>
  <c r="B404" i="149"/>
  <c r="B403" i="149"/>
  <c r="B402" i="149"/>
  <c r="B401" i="149"/>
  <c r="B399" i="149"/>
  <c r="H316" i="155" l="1"/>
  <c r="G41" i="135"/>
  <c r="D53" i="202"/>
  <c r="R7" i="209"/>
  <c r="S7" i="209" s="1"/>
  <c r="H317" i="155"/>
  <c r="H319" i="155"/>
  <c r="H333" i="155"/>
  <c r="H335" i="155"/>
  <c r="H293" i="155"/>
  <c r="H295" i="155"/>
  <c r="H297" i="155"/>
  <c r="H299" i="155"/>
  <c r="H301" i="155"/>
  <c r="H320" i="155"/>
  <c r="H322" i="155"/>
  <c r="H324" i="155"/>
  <c r="H328" i="155"/>
  <c r="H286" i="155"/>
  <c r="H288" i="155"/>
  <c r="H330" i="155"/>
  <c r="H332" i="155"/>
  <c r="H340" i="155"/>
  <c r="H277" i="155"/>
  <c r="H279" i="155"/>
  <c r="H281" i="155"/>
  <c r="H283" i="155"/>
  <c r="H285" i="155"/>
  <c r="H325" i="155"/>
  <c r="H327" i="155"/>
  <c r="H342" i="155"/>
  <c r="H344" i="155"/>
  <c r="H346" i="155"/>
  <c r="H348" i="155"/>
  <c r="Q53" i="37"/>
  <c r="R53" i="37" s="1"/>
  <c r="G125" i="190"/>
  <c r="H29" i="195"/>
  <c r="J29" i="195" s="1"/>
  <c r="J30" i="195" s="1"/>
  <c r="I30" i="159"/>
  <c r="G40" i="135"/>
  <c r="I103" i="198"/>
  <c r="H193" i="155"/>
  <c r="H195" i="155"/>
  <c r="H197" i="155"/>
  <c r="H199" i="155"/>
  <c r="H201" i="155"/>
  <c r="H203" i="155"/>
  <c r="H205" i="155"/>
  <c r="H207" i="155"/>
  <c r="H215" i="155"/>
  <c r="H290" i="155"/>
  <c r="H292" i="155"/>
  <c r="H337" i="155"/>
  <c r="H339" i="155"/>
  <c r="H302" i="155"/>
  <c r="H304" i="155"/>
  <c r="H334" i="155"/>
  <c r="H341" i="155"/>
  <c r="H343" i="155"/>
  <c r="H276" i="155"/>
  <c r="H306" i="155"/>
  <c r="H308" i="155"/>
  <c r="H318" i="155"/>
  <c r="H321" i="155"/>
  <c r="H323" i="155"/>
  <c r="H326" i="155"/>
  <c r="H329" i="155"/>
  <c r="H331" i="155"/>
  <c r="H336" i="155"/>
  <c r="H338" i="155"/>
  <c r="H345" i="155"/>
  <c r="H347" i="155"/>
  <c r="H236" i="155"/>
  <c r="H240" i="155"/>
  <c r="H242" i="155"/>
  <c r="H256" i="155"/>
  <c r="H258" i="155"/>
  <c r="H264" i="155"/>
  <c r="H266" i="155"/>
  <c r="H278" i="155"/>
  <c r="H280" i="155"/>
  <c r="H287" i="155"/>
  <c r="H294" i="155"/>
  <c r="H296" i="155"/>
  <c r="H303" i="155"/>
  <c r="H282" i="155"/>
  <c r="H284" i="155"/>
  <c r="H289" i="155"/>
  <c r="H291" i="155"/>
  <c r="H298" i="155"/>
  <c r="H300" i="155"/>
  <c r="H305" i="155"/>
  <c r="H307" i="155"/>
  <c r="H200" i="155"/>
  <c r="H204" i="155"/>
  <c r="H206" i="155"/>
  <c r="H208" i="155"/>
  <c r="H212" i="155"/>
  <c r="H214" i="155"/>
  <c r="H216" i="155"/>
  <c r="H220" i="155"/>
  <c r="H222" i="155"/>
  <c r="H235" i="155"/>
  <c r="H237" i="155"/>
  <c r="H239" i="155"/>
  <c r="H241" i="155"/>
  <c r="H243" i="155"/>
  <c r="H245" i="155"/>
  <c r="H247" i="155"/>
  <c r="H249" i="155"/>
  <c r="H251" i="155"/>
  <c r="H253" i="155"/>
  <c r="H255" i="155"/>
  <c r="H257" i="155"/>
  <c r="H259" i="155"/>
  <c r="H217" i="155"/>
  <c r="H219" i="155"/>
  <c r="H221" i="155"/>
  <c r="H223" i="155"/>
  <c r="H225" i="155"/>
  <c r="H234" i="155"/>
  <c r="H269" i="155" s="1"/>
  <c r="H196" i="155"/>
  <c r="H198" i="155"/>
  <c r="H209" i="155"/>
  <c r="H211" i="155"/>
  <c r="H213" i="155"/>
  <c r="H224" i="155"/>
  <c r="H244" i="155"/>
  <c r="H248" i="155"/>
  <c r="H250" i="155"/>
  <c r="H261" i="155"/>
  <c r="H263" i="155"/>
  <c r="H265" i="155"/>
  <c r="H252" i="155"/>
  <c r="H260" i="155"/>
  <c r="H194" i="155"/>
  <c r="H202" i="155"/>
  <c r="H210" i="155"/>
  <c r="H218" i="155"/>
  <c r="H238" i="155"/>
  <c r="H246" i="155"/>
  <c r="H254" i="155"/>
  <c r="H262" i="155"/>
  <c r="I61" i="104"/>
  <c r="I67" i="154"/>
  <c r="E393" i="149"/>
  <c r="C392" i="149" s="1"/>
  <c r="E33" i="56"/>
  <c r="D37" i="56"/>
  <c r="G378" i="149"/>
  <c r="G379" i="149"/>
  <c r="G380" i="149"/>
  <c r="G381" i="149"/>
  <c r="G382" i="149"/>
  <c r="G383" i="149"/>
  <c r="G370" i="149"/>
  <c r="G371" i="149"/>
  <c r="G372" i="149"/>
  <c r="G373" i="149"/>
  <c r="G374" i="149"/>
  <c r="G375" i="149"/>
  <c r="G376" i="149"/>
  <c r="G377" i="149"/>
  <c r="G369" i="149"/>
  <c r="H383" i="149"/>
  <c r="F383" i="149"/>
  <c r="H382" i="149"/>
  <c r="F382" i="149"/>
  <c r="F381" i="149"/>
  <c r="F380" i="149"/>
  <c r="F379" i="149"/>
  <c r="F378" i="149"/>
  <c r="F377" i="149"/>
  <c r="F376" i="149"/>
  <c r="I376" i="149" s="1"/>
  <c r="F375" i="149"/>
  <c r="F374" i="149"/>
  <c r="I374" i="149" s="1"/>
  <c r="F373" i="149"/>
  <c r="H372" i="149"/>
  <c r="F372" i="149"/>
  <c r="H371" i="149"/>
  <c r="F371" i="149"/>
  <c r="H370" i="149"/>
  <c r="F370" i="149"/>
  <c r="H369" i="149"/>
  <c r="F369" i="149"/>
  <c r="D318" i="149"/>
  <c r="C413" i="149" s="1"/>
  <c r="H228" i="155" l="1"/>
  <c r="D415" i="149"/>
  <c r="E415" i="149" s="1"/>
  <c r="I382" i="149"/>
  <c r="I380" i="149"/>
  <c r="I375" i="149"/>
  <c r="I378" i="149"/>
  <c r="I383" i="149"/>
  <c r="I381" i="149"/>
  <c r="I370" i="149"/>
  <c r="I379" i="149"/>
  <c r="I369" i="149"/>
  <c r="I371" i="149"/>
  <c r="I377" i="149"/>
  <c r="I372" i="149"/>
  <c r="D400" i="149" l="1"/>
  <c r="H359" i="149"/>
  <c r="F359" i="149"/>
  <c r="H358" i="149"/>
  <c r="F358" i="149"/>
  <c r="F357" i="149"/>
  <c r="F356" i="149"/>
  <c r="F355" i="149"/>
  <c r="F354" i="149"/>
  <c r="F353" i="149"/>
  <c r="F352" i="149"/>
  <c r="F351" i="149"/>
  <c r="F350" i="149"/>
  <c r="F349" i="149"/>
  <c r="H348" i="149"/>
  <c r="F348" i="149"/>
  <c r="H347" i="149"/>
  <c r="F347" i="149"/>
  <c r="H346" i="149"/>
  <c r="F346" i="149"/>
  <c r="H345" i="149"/>
  <c r="F345" i="149"/>
  <c r="D342" i="149"/>
  <c r="C414" i="149" s="1"/>
  <c r="H335" i="149"/>
  <c r="F335" i="149"/>
  <c r="H334" i="149"/>
  <c r="F334" i="149"/>
  <c r="F333" i="149"/>
  <c r="F332" i="149"/>
  <c r="F331" i="149"/>
  <c r="F330" i="149"/>
  <c r="F329" i="149"/>
  <c r="F328" i="149"/>
  <c r="F327" i="149"/>
  <c r="F326" i="149"/>
  <c r="F325" i="149"/>
  <c r="H324" i="149"/>
  <c r="F324" i="149"/>
  <c r="H323" i="149"/>
  <c r="F323" i="149"/>
  <c r="H322" i="149"/>
  <c r="F322" i="149"/>
  <c r="H321" i="149"/>
  <c r="F321" i="149"/>
  <c r="H312" i="149"/>
  <c r="F312" i="149"/>
  <c r="H311" i="149"/>
  <c r="F311" i="149"/>
  <c r="F310" i="149"/>
  <c r="F309" i="149"/>
  <c r="F308" i="149"/>
  <c r="F307" i="149"/>
  <c r="F306" i="149"/>
  <c r="F305" i="149"/>
  <c r="F304" i="149"/>
  <c r="F303" i="149"/>
  <c r="F302" i="149"/>
  <c r="H301" i="149"/>
  <c r="F301" i="149"/>
  <c r="H300" i="149"/>
  <c r="F300" i="149"/>
  <c r="H299" i="149"/>
  <c r="F299" i="149"/>
  <c r="H298" i="149"/>
  <c r="F298" i="149"/>
  <c r="D295" i="149"/>
  <c r="C412" i="149" s="1"/>
  <c r="H289" i="149"/>
  <c r="F289" i="149"/>
  <c r="H288" i="149"/>
  <c r="F288" i="149"/>
  <c r="F287" i="149"/>
  <c r="F286" i="149"/>
  <c r="F285" i="149"/>
  <c r="F284" i="149"/>
  <c r="F283" i="149"/>
  <c r="F282" i="149"/>
  <c r="F281" i="149"/>
  <c r="F280" i="149"/>
  <c r="F279" i="149"/>
  <c r="H278" i="149"/>
  <c r="F278" i="149"/>
  <c r="H277" i="149"/>
  <c r="F277" i="149"/>
  <c r="H276" i="149"/>
  <c r="F276" i="149"/>
  <c r="H275" i="149"/>
  <c r="F275" i="149"/>
  <c r="D272" i="149"/>
  <c r="C411" i="149" s="1"/>
  <c r="H266" i="149"/>
  <c r="F266" i="149"/>
  <c r="H265" i="149"/>
  <c r="F265" i="149"/>
  <c r="F264" i="149"/>
  <c r="F263" i="149"/>
  <c r="F262" i="149"/>
  <c r="F261" i="149"/>
  <c r="F260" i="149"/>
  <c r="F259" i="149"/>
  <c r="F258" i="149"/>
  <c r="F257" i="149"/>
  <c r="F256" i="149"/>
  <c r="H255" i="149"/>
  <c r="F255" i="149"/>
  <c r="H254" i="149"/>
  <c r="F254" i="149"/>
  <c r="H253" i="149"/>
  <c r="F253" i="149"/>
  <c r="H252" i="149"/>
  <c r="F252" i="149"/>
  <c r="D249" i="149"/>
  <c r="C410" i="149" s="1"/>
  <c r="H242" i="149"/>
  <c r="F242" i="149"/>
  <c r="H241" i="149"/>
  <c r="F241" i="149"/>
  <c r="F240" i="149"/>
  <c r="F239" i="149"/>
  <c r="F238" i="149"/>
  <c r="F237" i="149"/>
  <c r="F236" i="149"/>
  <c r="F235" i="149"/>
  <c r="F234" i="149"/>
  <c r="F233" i="149"/>
  <c r="F232" i="149"/>
  <c r="H231" i="149"/>
  <c r="F231" i="149"/>
  <c r="H230" i="149"/>
  <c r="F230" i="149"/>
  <c r="H229" i="149"/>
  <c r="F229" i="149"/>
  <c r="H228" i="149"/>
  <c r="F228" i="149"/>
  <c r="D225" i="149"/>
  <c r="C409" i="149" s="1"/>
  <c r="H218" i="149"/>
  <c r="F218" i="149"/>
  <c r="H217" i="149"/>
  <c r="F217" i="149"/>
  <c r="F216" i="149"/>
  <c r="F215" i="149"/>
  <c r="F214" i="149"/>
  <c r="F213" i="149"/>
  <c r="F212" i="149"/>
  <c r="F211" i="149"/>
  <c r="F210" i="149"/>
  <c r="F209" i="149"/>
  <c r="F208" i="149"/>
  <c r="H207" i="149"/>
  <c r="F207" i="149"/>
  <c r="H206" i="149"/>
  <c r="F206" i="149"/>
  <c r="H205" i="149"/>
  <c r="F205" i="149"/>
  <c r="H204" i="149"/>
  <c r="F204" i="149"/>
  <c r="D201" i="149"/>
  <c r="H194" i="149"/>
  <c r="F194" i="149"/>
  <c r="H193" i="149"/>
  <c r="F193" i="149"/>
  <c r="F192" i="149"/>
  <c r="F191" i="149"/>
  <c r="F190" i="149"/>
  <c r="F189" i="149"/>
  <c r="F188" i="149"/>
  <c r="F187" i="149"/>
  <c r="F186" i="149"/>
  <c r="F185" i="149"/>
  <c r="F184" i="149"/>
  <c r="H183" i="149"/>
  <c r="F183" i="149"/>
  <c r="H182" i="149"/>
  <c r="F182" i="149"/>
  <c r="H181" i="149"/>
  <c r="F181" i="149"/>
  <c r="H180" i="149"/>
  <c r="F180" i="149"/>
  <c r="D177" i="149"/>
  <c r="C407" i="149" s="1"/>
  <c r="H170" i="149"/>
  <c r="F170" i="149"/>
  <c r="H169" i="149"/>
  <c r="F169" i="149"/>
  <c r="F168" i="149"/>
  <c r="F167" i="149"/>
  <c r="F166" i="149"/>
  <c r="F165" i="149"/>
  <c r="F164" i="149"/>
  <c r="F163" i="149"/>
  <c r="F162" i="149"/>
  <c r="F161" i="149"/>
  <c r="F160" i="149"/>
  <c r="H159" i="149"/>
  <c r="F159" i="149"/>
  <c r="H158" i="149"/>
  <c r="F158" i="149"/>
  <c r="H157" i="149"/>
  <c r="F157" i="149"/>
  <c r="H156" i="149"/>
  <c r="F156" i="149"/>
  <c r="D153" i="149"/>
  <c r="F133" i="149"/>
  <c r="F134" i="149"/>
  <c r="F135" i="149"/>
  <c r="F136" i="149"/>
  <c r="F137" i="149"/>
  <c r="F138" i="149"/>
  <c r="F139" i="149"/>
  <c r="F140" i="149"/>
  <c r="F141" i="149"/>
  <c r="F142" i="149"/>
  <c r="F143" i="149"/>
  <c r="F144" i="149"/>
  <c r="F145" i="149"/>
  <c r="F146" i="149"/>
  <c r="F132" i="149"/>
  <c r="F109" i="149"/>
  <c r="F110" i="149"/>
  <c r="F111" i="149"/>
  <c r="F112" i="149"/>
  <c r="F113" i="149"/>
  <c r="F114" i="149"/>
  <c r="F115" i="149"/>
  <c r="F116" i="149"/>
  <c r="F117" i="149"/>
  <c r="F118" i="149"/>
  <c r="F119" i="149"/>
  <c r="F120" i="149"/>
  <c r="F121" i="149"/>
  <c r="F122" i="149"/>
  <c r="F108" i="149"/>
  <c r="H99" i="149"/>
  <c r="F99" i="149"/>
  <c r="H98" i="149"/>
  <c r="F98" i="149"/>
  <c r="F97" i="149"/>
  <c r="F96" i="149"/>
  <c r="F95" i="149"/>
  <c r="F94" i="149"/>
  <c r="F93" i="149"/>
  <c r="F92" i="149"/>
  <c r="F91" i="149"/>
  <c r="F90" i="149"/>
  <c r="F89" i="149"/>
  <c r="H88" i="149"/>
  <c r="F88" i="149"/>
  <c r="H87" i="149"/>
  <c r="F87" i="149"/>
  <c r="H86" i="149"/>
  <c r="F86" i="149"/>
  <c r="H85" i="149"/>
  <c r="F85" i="149"/>
  <c r="D82" i="149"/>
  <c r="C403" i="149" s="1"/>
  <c r="H76" i="149"/>
  <c r="F76" i="149"/>
  <c r="H75" i="149"/>
  <c r="F75" i="149"/>
  <c r="F74" i="149"/>
  <c r="F73" i="149"/>
  <c r="F72" i="149"/>
  <c r="F71" i="149"/>
  <c r="F70" i="149"/>
  <c r="F69" i="149"/>
  <c r="F68" i="149"/>
  <c r="F67" i="149"/>
  <c r="F66" i="149"/>
  <c r="H65" i="149"/>
  <c r="F65" i="149"/>
  <c r="H64" i="149"/>
  <c r="F64" i="149"/>
  <c r="H63" i="149"/>
  <c r="F63" i="149"/>
  <c r="H62" i="149"/>
  <c r="F62" i="149"/>
  <c r="D59" i="149"/>
  <c r="C402" i="149" s="1"/>
  <c r="H146" i="149"/>
  <c r="H145" i="149"/>
  <c r="H135" i="149"/>
  <c r="H134" i="149"/>
  <c r="H133" i="149"/>
  <c r="H132" i="149"/>
  <c r="D129" i="149"/>
  <c r="C405" i="149" s="1"/>
  <c r="G363" i="149" l="1"/>
  <c r="I363" i="149" s="1"/>
  <c r="G362" i="149"/>
  <c r="I362" i="149" s="1"/>
  <c r="G339" i="149"/>
  <c r="I339" i="149" s="1"/>
  <c r="G338" i="149"/>
  <c r="I338" i="149" s="1"/>
  <c r="G316" i="149"/>
  <c r="I316" i="149" s="1"/>
  <c r="G315" i="149"/>
  <c r="I315" i="149" s="1"/>
  <c r="G292" i="149"/>
  <c r="I292" i="149" s="1"/>
  <c r="G293" i="149"/>
  <c r="I293" i="149" s="1"/>
  <c r="G270" i="149"/>
  <c r="I270" i="149" s="1"/>
  <c r="G269" i="149"/>
  <c r="I269" i="149" s="1"/>
  <c r="G246" i="149"/>
  <c r="I246" i="149" s="1"/>
  <c r="G245" i="149"/>
  <c r="I245" i="149" s="1"/>
  <c r="G221" i="149"/>
  <c r="I221" i="149" s="1"/>
  <c r="G222" i="149"/>
  <c r="I222" i="149" s="1"/>
  <c r="G197" i="149"/>
  <c r="I197" i="149" s="1"/>
  <c r="G198" i="149"/>
  <c r="I198" i="149" s="1"/>
  <c r="G173" i="149"/>
  <c r="I173" i="149" s="1"/>
  <c r="G174" i="149"/>
  <c r="I174" i="149" s="1"/>
  <c r="E400" i="149"/>
  <c r="G337" i="149"/>
  <c r="I337" i="149" s="1"/>
  <c r="G361" i="149"/>
  <c r="I361" i="149" s="1"/>
  <c r="G291" i="149"/>
  <c r="I291" i="149" s="1"/>
  <c r="G314" i="149"/>
  <c r="I314" i="149" s="1"/>
  <c r="G244" i="149"/>
  <c r="I244" i="149" s="1"/>
  <c r="G268" i="149"/>
  <c r="I268" i="149" s="1"/>
  <c r="G360" i="149"/>
  <c r="I360" i="149" s="1"/>
  <c r="G220" i="149"/>
  <c r="I220" i="149" s="1"/>
  <c r="G172" i="149"/>
  <c r="I172" i="149" s="1"/>
  <c r="G196" i="149"/>
  <c r="I196" i="149" s="1"/>
  <c r="G313" i="149"/>
  <c r="I313" i="149" s="1"/>
  <c r="J313" i="149" s="1"/>
  <c r="G336" i="149"/>
  <c r="I336" i="149" s="1"/>
  <c r="G267" i="149"/>
  <c r="I267" i="149" s="1"/>
  <c r="J267" i="149" s="1"/>
  <c r="G290" i="149"/>
  <c r="I290" i="149" s="1"/>
  <c r="J290" i="149" s="1"/>
  <c r="G219" i="149"/>
  <c r="I219" i="149" s="1"/>
  <c r="J219" i="149" s="1"/>
  <c r="G243" i="149"/>
  <c r="I243" i="149" s="1"/>
  <c r="J243" i="149" s="1"/>
  <c r="G171" i="149"/>
  <c r="I171" i="149" s="1"/>
  <c r="J171" i="149" s="1"/>
  <c r="G195" i="149"/>
  <c r="I195" i="149" s="1"/>
  <c r="G157" i="149"/>
  <c r="I157" i="149" s="1"/>
  <c r="C406" i="149"/>
  <c r="G241" i="149"/>
  <c r="I241" i="149" s="1"/>
  <c r="C408" i="149"/>
  <c r="G353" i="149"/>
  <c r="I353" i="149" s="1"/>
  <c r="G348" i="149"/>
  <c r="I348" i="149" s="1"/>
  <c r="G355" i="149"/>
  <c r="I355" i="149" s="1"/>
  <c r="G347" i="149"/>
  <c r="I347" i="149" s="1"/>
  <c r="G350" i="149"/>
  <c r="I350" i="149" s="1"/>
  <c r="G352" i="149"/>
  <c r="I352" i="149" s="1"/>
  <c r="G357" i="149"/>
  <c r="I357" i="149" s="1"/>
  <c r="G346" i="149"/>
  <c r="I346" i="149" s="1"/>
  <c r="G354" i="149"/>
  <c r="I354" i="149" s="1"/>
  <c r="G356" i="149"/>
  <c r="I356" i="149" s="1"/>
  <c r="G359" i="149"/>
  <c r="I359" i="149" s="1"/>
  <c r="G345" i="149"/>
  <c r="I345" i="149" s="1"/>
  <c r="G349" i="149"/>
  <c r="G351" i="149"/>
  <c r="I351" i="149" s="1"/>
  <c r="G358" i="149"/>
  <c r="I358" i="149" s="1"/>
  <c r="G299" i="149"/>
  <c r="I299" i="149" s="1"/>
  <c r="G302" i="149"/>
  <c r="G304" i="149"/>
  <c r="I304" i="149" s="1"/>
  <c r="G311" i="149"/>
  <c r="I311" i="149" s="1"/>
  <c r="G306" i="149"/>
  <c r="I306" i="149" s="1"/>
  <c r="G308" i="149"/>
  <c r="I308" i="149" s="1"/>
  <c r="G326" i="149"/>
  <c r="I326" i="149" s="1"/>
  <c r="G333" i="149"/>
  <c r="I333" i="149" s="1"/>
  <c r="G298" i="149"/>
  <c r="I298" i="149" s="1"/>
  <c r="G300" i="149"/>
  <c r="I300" i="149" s="1"/>
  <c r="G329" i="149"/>
  <c r="I329" i="149" s="1"/>
  <c r="G331" i="149"/>
  <c r="I331" i="149" s="1"/>
  <c r="G278" i="149"/>
  <c r="I278" i="149" s="1"/>
  <c r="G303" i="149"/>
  <c r="I303" i="149" s="1"/>
  <c r="G310" i="149"/>
  <c r="I310" i="149" s="1"/>
  <c r="G328" i="149"/>
  <c r="I328" i="149" s="1"/>
  <c r="G330" i="149"/>
  <c r="I330" i="149" s="1"/>
  <c r="G335" i="149"/>
  <c r="I335" i="149" s="1"/>
  <c r="G282" i="149"/>
  <c r="I282" i="149" s="1"/>
  <c r="G301" i="149"/>
  <c r="I301" i="149" s="1"/>
  <c r="G309" i="149"/>
  <c r="I309" i="149" s="1"/>
  <c r="G305" i="149"/>
  <c r="I305" i="149" s="1"/>
  <c r="G307" i="149"/>
  <c r="I307" i="149" s="1"/>
  <c r="G312" i="149"/>
  <c r="I312" i="149" s="1"/>
  <c r="G321" i="149"/>
  <c r="I321" i="149" s="1"/>
  <c r="G322" i="149"/>
  <c r="I322" i="149" s="1"/>
  <c r="G323" i="149"/>
  <c r="I323" i="149" s="1"/>
  <c r="G324" i="149"/>
  <c r="I324" i="149" s="1"/>
  <c r="G325" i="149"/>
  <c r="G327" i="149"/>
  <c r="I327" i="149" s="1"/>
  <c r="G332" i="149"/>
  <c r="I332" i="149" s="1"/>
  <c r="G334" i="149"/>
  <c r="I334" i="149" s="1"/>
  <c r="G277" i="149"/>
  <c r="I277" i="149" s="1"/>
  <c r="G276" i="149"/>
  <c r="I276" i="149" s="1"/>
  <c r="G281" i="149"/>
  <c r="I281" i="149" s="1"/>
  <c r="G259" i="149"/>
  <c r="I259" i="149" s="1"/>
  <c r="G275" i="149"/>
  <c r="I275" i="149" s="1"/>
  <c r="G279" i="149"/>
  <c r="G284" i="149"/>
  <c r="I284" i="149" s="1"/>
  <c r="G287" i="149"/>
  <c r="I287" i="149" s="1"/>
  <c r="G286" i="149"/>
  <c r="I286" i="149" s="1"/>
  <c r="G289" i="149"/>
  <c r="I289" i="149" s="1"/>
  <c r="G255" i="149"/>
  <c r="I255" i="149" s="1"/>
  <c r="G280" i="149"/>
  <c r="I280" i="149" s="1"/>
  <c r="G283" i="149"/>
  <c r="I283" i="149" s="1"/>
  <c r="G285" i="149"/>
  <c r="I285" i="149" s="1"/>
  <c r="G288" i="149"/>
  <c r="I288" i="149" s="1"/>
  <c r="G213" i="149"/>
  <c r="I213" i="149" s="1"/>
  <c r="G254" i="149"/>
  <c r="I254" i="149" s="1"/>
  <c r="G253" i="149"/>
  <c r="I253" i="149" s="1"/>
  <c r="G258" i="149"/>
  <c r="I258" i="149" s="1"/>
  <c r="G235" i="149"/>
  <c r="I235" i="149" s="1"/>
  <c r="G252" i="149"/>
  <c r="I252" i="149" s="1"/>
  <c r="G256" i="149"/>
  <c r="G261" i="149"/>
  <c r="I261" i="149" s="1"/>
  <c r="G264" i="149"/>
  <c r="I264" i="149" s="1"/>
  <c r="G205" i="149"/>
  <c r="I205" i="149" s="1"/>
  <c r="G263" i="149"/>
  <c r="I263" i="149" s="1"/>
  <c r="G266" i="149"/>
  <c r="I266" i="149" s="1"/>
  <c r="G231" i="149"/>
  <c r="I231" i="149" s="1"/>
  <c r="G257" i="149"/>
  <c r="I257" i="149" s="1"/>
  <c r="G260" i="149"/>
  <c r="I260" i="149" s="1"/>
  <c r="G262" i="149"/>
  <c r="I262" i="149" s="1"/>
  <c r="G265" i="149"/>
  <c r="I265" i="149" s="1"/>
  <c r="G218" i="149"/>
  <c r="I218" i="149" s="1"/>
  <c r="G210" i="149"/>
  <c r="I210" i="149" s="1"/>
  <c r="G230" i="149"/>
  <c r="I230" i="149" s="1"/>
  <c r="G217" i="149"/>
  <c r="I217" i="149" s="1"/>
  <c r="G209" i="149"/>
  <c r="I209" i="149" s="1"/>
  <c r="G229" i="149"/>
  <c r="I229" i="149" s="1"/>
  <c r="G234" i="149"/>
  <c r="I234" i="149" s="1"/>
  <c r="G214" i="149"/>
  <c r="I214" i="149" s="1"/>
  <c r="G206" i="149"/>
  <c r="I206" i="149" s="1"/>
  <c r="G228" i="149"/>
  <c r="I228" i="149" s="1"/>
  <c r="G232" i="149"/>
  <c r="G237" i="149"/>
  <c r="I237" i="149" s="1"/>
  <c r="G240" i="149"/>
  <c r="I240" i="149" s="1"/>
  <c r="G216" i="149"/>
  <c r="I216" i="149" s="1"/>
  <c r="G212" i="149"/>
  <c r="I212" i="149" s="1"/>
  <c r="G208" i="149"/>
  <c r="G239" i="149"/>
  <c r="I239" i="149" s="1"/>
  <c r="G242" i="149"/>
  <c r="I242" i="149" s="1"/>
  <c r="G189" i="149"/>
  <c r="I189" i="149" s="1"/>
  <c r="G204" i="149"/>
  <c r="I204" i="149" s="1"/>
  <c r="G215" i="149"/>
  <c r="I215" i="149" s="1"/>
  <c r="G211" i="149"/>
  <c r="I211" i="149" s="1"/>
  <c r="G207" i="149"/>
  <c r="I207" i="149" s="1"/>
  <c r="G233" i="149"/>
  <c r="I233" i="149" s="1"/>
  <c r="G236" i="149"/>
  <c r="I236" i="149" s="1"/>
  <c r="G238" i="149"/>
  <c r="I238" i="149" s="1"/>
  <c r="G187" i="149"/>
  <c r="I187" i="149" s="1"/>
  <c r="G194" i="149"/>
  <c r="I194" i="149" s="1"/>
  <c r="G188" i="149"/>
  <c r="I188" i="149" s="1"/>
  <c r="G190" i="149"/>
  <c r="I190" i="149" s="1"/>
  <c r="G185" i="149"/>
  <c r="I185" i="149" s="1"/>
  <c r="G192" i="149"/>
  <c r="I192" i="149" s="1"/>
  <c r="G180" i="149"/>
  <c r="I180" i="149" s="1"/>
  <c r="G181" i="149"/>
  <c r="I181" i="149" s="1"/>
  <c r="G182" i="149"/>
  <c r="I182" i="149" s="1"/>
  <c r="G183" i="149"/>
  <c r="I183" i="149" s="1"/>
  <c r="G184" i="149"/>
  <c r="G186" i="149"/>
  <c r="I186" i="149" s="1"/>
  <c r="G191" i="149"/>
  <c r="I191" i="149" s="1"/>
  <c r="G193" i="149"/>
  <c r="I193" i="149" s="1"/>
  <c r="G160" i="149"/>
  <c r="G156" i="149"/>
  <c r="I156" i="149" s="1"/>
  <c r="G167" i="149"/>
  <c r="I167" i="149" s="1"/>
  <c r="G163" i="149"/>
  <c r="I163" i="149" s="1"/>
  <c r="G159" i="149"/>
  <c r="I159" i="149" s="1"/>
  <c r="G168" i="149"/>
  <c r="I168" i="149" s="1"/>
  <c r="G170" i="149"/>
  <c r="I170" i="149" s="1"/>
  <c r="G166" i="149"/>
  <c r="I166" i="149" s="1"/>
  <c r="G162" i="149"/>
  <c r="I162" i="149" s="1"/>
  <c r="G158" i="149"/>
  <c r="I158" i="149" s="1"/>
  <c r="G164" i="149"/>
  <c r="I164" i="149" s="1"/>
  <c r="G169" i="149"/>
  <c r="I169" i="149" s="1"/>
  <c r="G165" i="149"/>
  <c r="I165" i="149" s="1"/>
  <c r="G161" i="149"/>
  <c r="I161" i="149" s="1"/>
  <c r="I364" i="149" l="1"/>
  <c r="I340" i="149"/>
  <c r="D413" i="149" s="1"/>
  <c r="I317" i="149"/>
  <c r="I294" i="149"/>
  <c r="D411" i="149" s="1"/>
  <c r="E411" i="149" s="1"/>
  <c r="I271" i="149"/>
  <c r="I247" i="149"/>
  <c r="D409" i="149" s="1"/>
  <c r="E409" i="149" s="1"/>
  <c r="I223" i="149"/>
  <c r="D408" i="149" s="1"/>
  <c r="E408" i="149" s="1"/>
  <c r="I199" i="149"/>
  <c r="D407" i="149" s="1"/>
  <c r="E407" i="149" s="1"/>
  <c r="I175" i="149"/>
  <c r="D406" i="149" s="1"/>
  <c r="E406" i="149" s="1"/>
  <c r="D414" i="149"/>
  <c r="E414" i="149" s="1"/>
  <c r="D412" i="149"/>
  <c r="E412" i="149" s="1"/>
  <c r="D410" i="149"/>
  <c r="E410" i="149" s="1"/>
  <c r="E413" i="149" l="1"/>
  <c r="E248" i="184"/>
  <c r="F248" i="184" s="1"/>
  <c r="G248" i="184"/>
  <c r="G196" i="184"/>
  <c r="G197" i="184"/>
  <c r="G198" i="184"/>
  <c r="G199" i="184"/>
  <c r="G200" i="184"/>
  <c r="G201" i="184"/>
  <c r="G202" i="184"/>
  <c r="G203" i="184"/>
  <c r="G204" i="184"/>
  <c r="G205" i="184"/>
  <c r="G206" i="184"/>
  <c r="G207" i="184"/>
  <c r="G208" i="184"/>
  <c r="G209" i="184"/>
  <c r="G210" i="184"/>
  <c r="G211" i="184"/>
  <c r="G212" i="184"/>
  <c r="G213" i="184"/>
  <c r="G214" i="184"/>
  <c r="G215" i="184"/>
  <c r="G216" i="184"/>
  <c r="G217" i="184"/>
  <c r="G218" i="184"/>
  <c r="G219" i="184"/>
  <c r="G220" i="184"/>
  <c r="G221" i="184"/>
  <c r="G222" i="184"/>
  <c r="G223" i="184"/>
  <c r="G224" i="184"/>
  <c r="G225" i="184"/>
  <c r="G226" i="184"/>
  <c r="G227" i="184"/>
  <c r="G228" i="184"/>
  <c r="G229" i="184"/>
  <c r="G230" i="184"/>
  <c r="G231" i="184"/>
  <c r="G232" i="184"/>
  <c r="G233" i="184"/>
  <c r="G234" i="184"/>
  <c r="G235" i="184"/>
  <c r="G236" i="184"/>
  <c r="G237" i="184"/>
  <c r="G238" i="184"/>
  <c r="G239" i="184"/>
  <c r="G240" i="184"/>
  <c r="G241" i="184"/>
  <c r="G242" i="184"/>
  <c r="G243" i="184"/>
  <c r="G244" i="184"/>
  <c r="G245" i="184"/>
  <c r="G246" i="184"/>
  <c r="G247" i="184"/>
  <c r="G193" i="184"/>
  <c r="G194" i="184"/>
  <c r="G195" i="184"/>
  <c r="G192" i="184"/>
  <c r="E30" i="139"/>
  <c r="H30" i="139" s="1"/>
  <c r="F30" i="139"/>
  <c r="E25" i="139"/>
  <c r="E26" i="139"/>
  <c r="E27" i="139"/>
  <c r="E28" i="139"/>
  <c r="E29" i="139"/>
  <c r="E20" i="139"/>
  <c r="E21" i="139"/>
  <c r="E22" i="139"/>
  <c r="E23" i="139"/>
  <c r="E24" i="139"/>
  <c r="E18" i="139"/>
  <c r="E19" i="139"/>
  <c r="E17" i="139"/>
  <c r="E16" i="139"/>
  <c r="H122" i="149"/>
  <c r="H121" i="149"/>
  <c r="H51" i="149"/>
  <c r="H52" i="149"/>
  <c r="F52" i="149"/>
  <c r="F51" i="149"/>
  <c r="F50" i="149"/>
  <c r="H28" i="149"/>
  <c r="H27" i="149"/>
  <c r="F39" i="149"/>
  <c r="F40" i="149"/>
  <c r="F41" i="149"/>
  <c r="F42" i="149"/>
  <c r="F43" i="149"/>
  <c r="F44" i="149"/>
  <c r="F45" i="149"/>
  <c r="F46" i="149"/>
  <c r="F47" i="149"/>
  <c r="F48" i="149"/>
  <c r="F49" i="149"/>
  <c r="F15" i="149"/>
  <c r="F16" i="149"/>
  <c r="F17" i="149"/>
  <c r="F18" i="149"/>
  <c r="F19" i="149"/>
  <c r="F20" i="149"/>
  <c r="F21" i="149"/>
  <c r="F22" i="149"/>
  <c r="F23" i="149"/>
  <c r="F24" i="149"/>
  <c r="F25" i="149"/>
  <c r="F26" i="149"/>
  <c r="F27" i="149"/>
  <c r="F28" i="149"/>
  <c r="F38" i="149"/>
  <c r="F14" i="149"/>
  <c r="D11" i="156" l="1"/>
  <c r="F292" i="161"/>
  <c r="H292" i="161"/>
  <c r="F271" i="161"/>
  <c r="H271" i="161"/>
  <c r="F250" i="161"/>
  <c r="H250" i="161"/>
  <c r="F229" i="161"/>
  <c r="H229" i="161"/>
  <c r="F208" i="161"/>
  <c r="H208" i="161"/>
  <c r="F187" i="161"/>
  <c r="H187" i="161"/>
  <c r="F166" i="161"/>
  <c r="H166" i="161"/>
  <c r="F145" i="161"/>
  <c r="H145" i="161"/>
  <c r="F125" i="161"/>
  <c r="H125" i="161"/>
  <c r="F104" i="161"/>
  <c r="H104" i="161"/>
  <c r="F82" i="161"/>
  <c r="H82" i="161"/>
  <c r="F61" i="161"/>
  <c r="H61" i="161"/>
  <c r="F40" i="161"/>
  <c r="H40" i="161"/>
  <c r="E119" i="187"/>
  <c r="F119" i="187" s="1"/>
  <c r="G119" i="187"/>
  <c r="C124" i="190"/>
  <c r="E124" i="190"/>
  <c r="F124" i="190" s="1"/>
  <c r="E29" i="159"/>
  <c r="F29" i="159" s="1"/>
  <c r="G29" i="159"/>
  <c r="H29" i="159"/>
  <c r="C39" i="135"/>
  <c r="D39" i="135"/>
  <c r="E39" i="135"/>
  <c r="F39" i="135"/>
  <c r="E103" i="155"/>
  <c r="F103" i="155" s="1"/>
  <c r="G103" i="155"/>
  <c r="E247" i="184"/>
  <c r="F247" i="184" s="1"/>
  <c r="D12" i="199"/>
  <c r="D18" i="199" s="1"/>
  <c r="G18" i="199"/>
  <c r="H18" i="199"/>
  <c r="G19" i="199"/>
  <c r="H19" i="199"/>
  <c r="G20" i="199"/>
  <c r="H20" i="199"/>
  <c r="G21" i="199"/>
  <c r="H21" i="199"/>
  <c r="D22" i="199"/>
  <c r="G22" i="199"/>
  <c r="H22" i="199"/>
  <c r="G23" i="199"/>
  <c r="H23" i="199"/>
  <c r="G24" i="199"/>
  <c r="H24" i="199"/>
  <c r="G25" i="199"/>
  <c r="H25" i="199"/>
  <c r="D26" i="199"/>
  <c r="G26" i="199"/>
  <c r="H26" i="199"/>
  <c r="G27" i="199"/>
  <c r="H27" i="199"/>
  <c r="G28" i="199"/>
  <c r="H28" i="199"/>
  <c r="F29" i="199"/>
  <c r="G29" i="199"/>
  <c r="H29" i="199"/>
  <c r="F30" i="199"/>
  <c r="G30" i="199" s="1"/>
  <c r="H30" i="199"/>
  <c r="D31" i="199"/>
  <c r="F31" i="199"/>
  <c r="G31" i="199" s="1"/>
  <c r="H31" i="199"/>
  <c r="D32" i="199"/>
  <c r="F32" i="199"/>
  <c r="G32" i="199" s="1"/>
  <c r="H32" i="199"/>
  <c r="D33" i="199"/>
  <c r="F33" i="199"/>
  <c r="G33" i="199" s="1"/>
  <c r="H33" i="199"/>
  <c r="F34" i="199"/>
  <c r="G34" i="199" s="1"/>
  <c r="H34" i="199"/>
  <c r="F35" i="199"/>
  <c r="G35" i="199" s="1"/>
  <c r="H35" i="199"/>
  <c r="F36" i="199"/>
  <c r="G36" i="199" s="1"/>
  <c r="H36" i="199"/>
  <c r="F37" i="199"/>
  <c r="G37" i="199" s="1"/>
  <c r="H37" i="199"/>
  <c r="F38" i="199"/>
  <c r="G38" i="199" s="1"/>
  <c r="H38" i="199"/>
  <c r="F39" i="199"/>
  <c r="G39" i="199" s="1"/>
  <c r="H39" i="199"/>
  <c r="D40" i="199"/>
  <c r="F40" i="199"/>
  <c r="G40" i="199" s="1"/>
  <c r="H40" i="199"/>
  <c r="F41" i="199"/>
  <c r="G41" i="199" s="1"/>
  <c r="H41" i="199"/>
  <c r="F42" i="199"/>
  <c r="G42" i="199" s="1"/>
  <c r="H42" i="199"/>
  <c r="F43" i="199"/>
  <c r="G43" i="199" s="1"/>
  <c r="H43" i="199"/>
  <c r="D44" i="199"/>
  <c r="F44" i="199"/>
  <c r="G44" i="199" s="1"/>
  <c r="H44" i="199"/>
  <c r="F45" i="199"/>
  <c r="G45" i="199" s="1"/>
  <c r="H45" i="199"/>
  <c r="F46" i="199"/>
  <c r="G46" i="199" s="1"/>
  <c r="H46" i="199"/>
  <c r="F47" i="199"/>
  <c r="G47" i="199" s="1"/>
  <c r="H47" i="199"/>
  <c r="F48" i="199"/>
  <c r="G48" i="199" s="1"/>
  <c r="H48" i="199"/>
  <c r="F49" i="199"/>
  <c r="G49" i="199" s="1"/>
  <c r="H49" i="199"/>
  <c r="F50" i="199"/>
  <c r="G50" i="199" s="1"/>
  <c r="H50" i="199"/>
  <c r="F51" i="199"/>
  <c r="G51" i="199" s="1"/>
  <c r="H51" i="199"/>
  <c r="D52" i="199"/>
  <c r="F52" i="199"/>
  <c r="G52" i="199" s="1"/>
  <c r="H52" i="199"/>
  <c r="F53" i="199"/>
  <c r="G53" i="199" s="1"/>
  <c r="H53" i="199"/>
  <c r="F54" i="199"/>
  <c r="G54" i="199" s="1"/>
  <c r="H54" i="199"/>
  <c r="F55" i="199"/>
  <c r="G55" i="199" s="1"/>
  <c r="H55" i="199"/>
  <c r="D56" i="199"/>
  <c r="F56" i="199"/>
  <c r="G56" i="199" s="1"/>
  <c r="H56" i="199"/>
  <c r="F57" i="199"/>
  <c r="G57" i="199" s="1"/>
  <c r="H57" i="199"/>
  <c r="F58" i="199"/>
  <c r="G58" i="199" s="1"/>
  <c r="H58" i="199"/>
  <c r="F59" i="199"/>
  <c r="G59" i="199"/>
  <c r="H59" i="199"/>
  <c r="F60" i="199"/>
  <c r="G60" i="199" s="1"/>
  <c r="H60" i="199"/>
  <c r="D61" i="199"/>
  <c r="F61" i="199"/>
  <c r="G61" i="199" s="1"/>
  <c r="H61" i="199"/>
  <c r="F62" i="199"/>
  <c r="G62" i="199" s="1"/>
  <c r="H62" i="199"/>
  <c r="F63" i="199"/>
  <c r="G63" i="199" s="1"/>
  <c r="H63" i="199"/>
  <c r="F64" i="199"/>
  <c r="G64" i="199"/>
  <c r="H64" i="199"/>
  <c r="F65" i="199"/>
  <c r="G65" i="199"/>
  <c r="H65" i="199"/>
  <c r="F66" i="199"/>
  <c r="G66" i="199" s="1"/>
  <c r="H66" i="199"/>
  <c r="F67" i="199"/>
  <c r="G67" i="199"/>
  <c r="H67" i="199"/>
  <c r="F68" i="199"/>
  <c r="G68" i="199"/>
  <c r="H68" i="199"/>
  <c r="P10" i="189"/>
  <c r="N10" i="189"/>
  <c r="Q10" i="189" s="1"/>
  <c r="E46" i="156"/>
  <c r="F46" i="156" s="1"/>
  <c r="H46" i="156"/>
  <c r="O107" i="37"/>
  <c r="H110" i="198"/>
  <c r="D48" i="199" l="1"/>
  <c r="D34" i="199"/>
  <c r="I26" i="199"/>
  <c r="I22" i="199"/>
  <c r="D62" i="199"/>
  <c r="I62" i="199" s="1"/>
  <c r="D57" i="199"/>
  <c r="I57" i="199" s="1"/>
  <c r="D53" i="199"/>
  <c r="I53" i="199" s="1"/>
  <c r="D49" i="199"/>
  <c r="I49" i="199" s="1"/>
  <c r="D45" i="199"/>
  <c r="I45" i="199" s="1"/>
  <c r="D41" i="199"/>
  <c r="I41" i="199" s="1"/>
  <c r="D35" i="199"/>
  <c r="I35" i="199" s="1"/>
  <c r="D27" i="199"/>
  <c r="I27" i="199" s="1"/>
  <c r="D23" i="199"/>
  <c r="I23" i="199" s="1"/>
  <c r="D19" i="199"/>
  <c r="I19" i="199" s="1"/>
  <c r="D66" i="199"/>
  <c r="I66" i="199" s="1"/>
  <c r="D65" i="199"/>
  <c r="I65" i="199" s="1"/>
  <c r="D64" i="199"/>
  <c r="I64" i="199" s="1"/>
  <c r="D63" i="199"/>
  <c r="I63" i="199" s="1"/>
  <c r="D58" i="199"/>
  <c r="I58" i="199" s="1"/>
  <c r="D54" i="199"/>
  <c r="I54" i="199" s="1"/>
  <c r="D50" i="199"/>
  <c r="I50" i="199" s="1"/>
  <c r="D46" i="199"/>
  <c r="I46" i="199" s="1"/>
  <c r="D42" i="199"/>
  <c r="I42" i="199" s="1"/>
  <c r="D38" i="199"/>
  <c r="I38" i="199" s="1"/>
  <c r="D37" i="199"/>
  <c r="I37" i="199" s="1"/>
  <c r="D36" i="199"/>
  <c r="I36" i="199" s="1"/>
  <c r="D28" i="199"/>
  <c r="I28" i="199" s="1"/>
  <c r="D24" i="199"/>
  <c r="I24" i="199" s="1"/>
  <c r="D20" i="199"/>
  <c r="I20" i="199" s="1"/>
  <c r="D74" i="199"/>
  <c r="E92" i="199" s="1"/>
  <c r="D68" i="199"/>
  <c r="I68" i="199" s="1"/>
  <c r="D67" i="199"/>
  <c r="I67" i="199" s="1"/>
  <c r="I61" i="199"/>
  <c r="D60" i="199"/>
  <c r="I60" i="199" s="1"/>
  <c r="D59" i="199"/>
  <c r="I59" i="199" s="1"/>
  <c r="I56" i="199"/>
  <c r="D55" i="199"/>
  <c r="I55" i="199" s="1"/>
  <c r="I52" i="199"/>
  <c r="D51" i="199"/>
  <c r="I51" i="199" s="1"/>
  <c r="I48" i="199"/>
  <c r="D47" i="199"/>
  <c r="I47" i="199" s="1"/>
  <c r="I44" i="199"/>
  <c r="D43" i="199"/>
  <c r="I43" i="199" s="1"/>
  <c r="I40" i="199"/>
  <c r="D39" i="199"/>
  <c r="I39" i="199" s="1"/>
  <c r="D30" i="199"/>
  <c r="I30" i="199" s="1"/>
  <c r="D29" i="199"/>
  <c r="I29" i="199" s="1"/>
  <c r="D25" i="199"/>
  <c r="I25" i="199" s="1"/>
  <c r="D21" i="199"/>
  <c r="I33" i="199"/>
  <c r="I32" i="199"/>
  <c r="I34" i="199"/>
  <c r="I21" i="199"/>
  <c r="I31" i="199"/>
  <c r="I18" i="199"/>
  <c r="G124" i="190"/>
  <c r="I29" i="159"/>
  <c r="G39" i="135"/>
  <c r="C109" i="198"/>
  <c r="P39" i="37" s="1"/>
  <c r="H101" i="198"/>
  <c r="F101" i="198"/>
  <c r="G101" i="198" s="1"/>
  <c r="H100" i="198"/>
  <c r="F100" i="198"/>
  <c r="G100" i="198" s="1"/>
  <c r="H99" i="198"/>
  <c r="F99" i="198"/>
  <c r="G99" i="198" s="1"/>
  <c r="D99" i="198"/>
  <c r="I99" i="198" s="1"/>
  <c r="H98" i="198"/>
  <c r="F98" i="198"/>
  <c r="G98" i="198" s="1"/>
  <c r="D98" i="198"/>
  <c r="I98" i="198" s="1"/>
  <c r="H97" i="198"/>
  <c r="F97" i="198"/>
  <c r="G97" i="198" s="1"/>
  <c r="H96" i="198"/>
  <c r="F96" i="198"/>
  <c r="G96" i="198" s="1"/>
  <c r="H95" i="198"/>
  <c r="F95" i="198"/>
  <c r="G95" i="198" s="1"/>
  <c r="H94" i="198"/>
  <c r="F94" i="198"/>
  <c r="G94" i="198" s="1"/>
  <c r="H93" i="198"/>
  <c r="F93" i="198"/>
  <c r="G93" i="198" s="1"/>
  <c r="H92" i="198"/>
  <c r="F92" i="198"/>
  <c r="G92" i="198" s="1"/>
  <c r="D92" i="198"/>
  <c r="H91" i="198"/>
  <c r="F91" i="198"/>
  <c r="G91" i="198" s="1"/>
  <c r="H90" i="198"/>
  <c r="F90" i="198"/>
  <c r="G90" i="198" s="1"/>
  <c r="H89" i="198"/>
  <c r="G89" i="198"/>
  <c r="F89" i="198"/>
  <c r="H88" i="198"/>
  <c r="F88" i="198"/>
  <c r="G88" i="198" s="1"/>
  <c r="H87" i="198"/>
  <c r="F87" i="198"/>
  <c r="G87" i="198" s="1"/>
  <c r="D87" i="198"/>
  <c r="H86" i="198"/>
  <c r="F86" i="198"/>
  <c r="G86" i="198" s="1"/>
  <c r="D86" i="198"/>
  <c r="H85" i="198"/>
  <c r="F85" i="198"/>
  <c r="G85" i="198" s="1"/>
  <c r="H84" i="198"/>
  <c r="F84" i="198"/>
  <c r="G84" i="198" s="1"/>
  <c r="H83" i="198"/>
  <c r="F83" i="198"/>
  <c r="G83" i="198" s="1"/>
  <c r="D83" i="198"/>
  <c r="I83" i="198" s="1"/>
  <c r="H82" i="198"/>
  <c r="F82" i="198"/>
  <c r="G82" i="198" s="1"/>
  <c r="D82" i="198"/>
  <c r="I82" i="198" s="1"/>
  <c r="H81" i="198"/>
  <c r="F81" i="198"/>
  <c r="G81" i="198" s="1"/>
  <c r="H80" i="198"/>
  <c r="F80" i="198"/>
  <c r="G80" i="198" s="1"/>
  <c r="H79" i="198"/>
  <c r="F79" i="198"/>
  <c r="G79" i="198" s="1"/>
  <c r="H78" i="198"/>
  <c r="F78" i="198"/>
  <c r="G78" i="198" s="1"/>
  <c r="H77" i="198"/>
  <c r="F77" i="198"/>
  <c r="G77" i="198" s="1"/>
  <c r="H76" i="198"/>
  <c r="F76" i="198"/>
  <c r="G76" i="198" s="1"/>
  <c r="D76" i="198"/>
  <c r="H75" i="198"/>
  <c r="F75" i="198"/>
  <c r="G75" i="198" s="1"/>
  <c r="H74" i="198"/>
  <c r="F74" i="198"/>
  <c r="G74" i="198" s="1"/>
  <c r="H73" i="198"/>
  <c r="G73" i="198"/>
  <c r="F73" i="198"/>
  <c r="H72" i="198"/>
  <c r="F72" i="198"/>
  <c r="G72" i="198" s="1"/>
  <c r="H71" i="198"/>
  <c r="F71" i="198"/>
  <c r="G71" i="198" s="1"/>
  <c r="D71" i="198"/>
  <c r="H70" i="198"/>
  <c r="F70" i="198"/>
  <c r="G70" i="198" s="1"/>
  <c r="D70" i="198"/>
  <c r="H69" i="198"/>
  <c r="F69" i="198"/>
  <c r="G69" i="198" s="1"/>
  <c r="H68" i="198"/>
  <c r="F68" i="198"/>
  <c r="G68" i="198" s="1"/>
  <c r="H67" i="198"/>
  <c r="F67" i="198"/>
  <c r="G67" i="198" s="1"/>
  <c r="D67" i="198"/>
  <c r="I67" i="198" s="1"/>
  <c r="H66" i="198"/>
  <c r="F66" i="198"/>
  <c r="G66" i="198" s="1"/>
  <c r="D66" i="198"/>
  <c r="I66" i="198" s="1"/>
  <c r="H65" i="198"/>
  <c r="F65" i="198"/>
  <c r="G65" i="198" s="1"/>
  <c r="H64" i="198"/>
  <c r="F64" i="198"/>
  <c r="G64" i="198" s="1"/>
  <c r="H63" i="198"/>
  <c r="F63" i="198"/>
  <c r="G63" i="198" s="1"/>
  <c r="D63" i="198"/>
  <c r="H62" i="198"/>
  <c r="F62" i="198"/>
  <c r="G62" i="198" s="1"/>
  <c r="D62" i="198"/>
  <c r="H61" i="198"/>
  <c r="F61" i="198"/>
  <c r="G61" i="198" s="1"/>
  <c r="H60" i="198"/>
  <c r="F60" i="198"/>
  <c r="G60" i="198" s="1"/>
  <c r="D60" i="198"/>
  <c r="H59" i="198"/>
  <c r="F59" i="198"/>
  <c r="G59" i="198" s="1"/>
  <c r="H58" i="198"/>
  <c r="F58" i="198"/>
  <c r="G58" i="198" s="1"/>
  <c r="H57" i="198"/>
  <c r="F57" i="198"/>
  <c r="G57" i="198" s="1"/>
  <c r="H56" i="198"/>
  <c r="F56" i="198"/>
  <c r="G56" i="198" s="1"/>
  <c r="D56" i="198"/>
  <c r="I55" i="198"/>
  <c r="H55" i="198"/>
  <c r="F55" i="198"/>
  <c r="G55" i="198" s="1"/>
  <c r="D55" i="198"/>
  <c r="H54" i="198"/>
  <c r="F54" i="198"/>
  <c r="G54" i="198" s="1"/>
  <c r="H53" i="198"/>
  <c r="F53" i="198"/>
  <c r="G53" i="198" s="1"/>
  <c r="H52" i="198"/>
  <c r="F52" i="198"/>
  <c r="G52" i="198" s="1"/>
  <c r="D52" i="198"/>
  <c r="H51" i="198"/>
  <c r="F51" i="198"/>
  <c r="G51" i="198" s="1"/>
  <c r="D51" i="198"/>
  <c r="I51" i="198" s="1"/>
  <c r="H50" i="198"/>
  <c r="F50" i="198"/>
  <c r="G50" i="198" s="1"/>
  <c r="H49" i="198"/>
  <c r="F49" i="198"/>
  <c r="G49" i="198" s="1"/>
  <c r="H48" i="198"/>
  <c r="F48" i="198"/>
  <c r="G48" i="198" s="1"/>
  <c r="D48" i="198"/>
  <c r="H47" i="198"/>
  <c r="F47" i="198"/>
  <c r="G47" i="198" s="1"/>
  <c r="D47" i="198"/>
  <c r="H46" i="198"/>
  <c r="F46" i="198"/>
  <c r="G46" i="198" s="1"/>
  <c r="D46" i="198"/>
  <c r="H45" i="198"/>
  <c r="F45" i="198"/>
  <c r="G45" i="198" s="1"/>
  <c r="H44" i="198"/>
  <c r="G44" i="198"/>
  <c r="F44" i="198"/>
  <c r="H43" i="198"/>
  <c r="F43" i="198"/>
  <c r="G43" i="198" s="1"/>
  <c r="H42" i="198"/>
  <c r="F42" i="198"/>
  <c r="G42" i="198" s="1"/>
  <c r="D42" i="198"/>
  <c r="I42" i="198" s="1"/>
  <c r="H41" i="198"/>
  <c r="F41" i="198"/>
  <c r="G41" i="198" s="1"/>
  <c r="H40" i="198"/>
  <c r="G40" i="198"/>
  <c r="F40" i="198"/>
  <c r="H39" i="198"/>
  <c r="F39" i="198"/>
  <c r="G39" i="198" s="1"/>
  <c r="H38" i="198"/>
  <c r="F38" i="198"/>
  <c r="G38" i="198" s="1"/>
  <c r="H37" i="198"/>
  <c r="F37" i="198"/>
  <c r="G37" i="198" s="1"/>
  <c r="H36" i="198"/>
  <c r="F36" i="198"/>
  <c r="G36" i="198" s="1"/>
  <c r="D36" i="198"/>
  <c r="H35" i="198"/>
  <c r="F35" i="198"/>
  <c r="G35" i="198" s="1"/>
  <c r="H34" i="198"/>
  <c r="F34" i="198"/>
  <c r="G34" i="198" s="1"/>
  <c r="H33" i="198"/>
  <c r="F33" i="198"/>
  <c r="G33" i="198" s="1"/>
  <c r="H32" i="198"/>
  <c r="G32" i="198"/>
  <c r="H31" i="198"/>
  <c r="G31" i="198"/>
  <c r="H30" i="198"/>
  <c r="G30" i="198"/>
  <c r="H29" i="198"/>
  <c r="G29" i="198"/>
  <c r="H28" i="198"/>
  <c r="G28" i="198"/>
  <c r="H27" i="198"/>
  <c r="G27" i="198"/>
  <c r="H26" i="198"/>
  <c r="G26" i="198"/>
  <c r="H25" i="198"/>
  <c r="G25" i="198"/>
  <c r="G24" i="198"/>
  <c r="H23" i="198"/>
  <c r="G23" i="198"/>
  <c r="D23" i="198"/>
  <c r="H22" i="198"/>
  <c r="G22" i="198"/>
  <c r="D22" i="198"/>
  <c r="H21" i="198"/>
  <c r="G21" i="198"/>
  <c r="H20" i="198"/>
  <c r="G20" i="198"/>
  <c r="D15" i="198"/>
  <c r="D101" i="198" s="1"/>
  <c r="G23" i="197"/>
  <c r="F21" i="197"/>
  <c r="I21" i="197" s="1"/>
  <c r="F22" i="197"/>
  <c r="F23" i="197"/>
  <c r="I23" i="197" s="1"/>
  <c r="F20" i="197"/>
  <c r="I20" i="197" s="1"/>
  <c r="F15" i="197"/>
  <c r="I15" i="197" s="1"/>
  <c r="F14" i="197"/>
  <c r="I14" i="197" s="1"/>
  <c r="F13" i="197"/>
  <c r="I13" i="197" s="1"/>
  <c r="G15" i="197"/>
  <c r="G22" i="197"/>
  <c r="F12" i="197"/>
  <c r="I12" i="197" s="1"/>
  <c r="G14" i="197"/>
  <c r="E66" i="154"/>
  <c r="F66" i="154" s="1"/>
  <c r="G66" i="154"/>
  <c r="H66" i="154"/>
  <c r="E73" i="130"/>
  <c r="F73" i="130" s="1"/>
  <c r="H73" i="130"/>
  <c r="L128" i="133"/>
  <c r="I12" i="133"/>
  <c r="I131" i="133" s="1"/>
  <c r="C94" i="89"/>
  <c r="R137" i="37"/>
  <c r="E94" i="196"/>
  <c r="D39" i="196"/>
  <c r="D40" i="196"/>
  <c r="D41" i="196"/>
  <c r="D38" i="196"/>
  <c r="D47" i="196"/>
  <c r="D48" i="196"/>
  <c r="D49" i="196"/>
  <c r="D50" i="196"/>
  <c r="D51" i="196"/>
  <c r="D52" i="196"/>
  <c r="D53" i="196"/>
  <c r="D54" i="196"/>
  <c r="D55" i="196"/>
  <c r="D56" i="196"/>
  <c r="D57" i="196"/>
  <c r="D58" i="196"/>
  <c r="D59" i="196"/>
  <c r="D60" i="196"/>
  <c r="D61" i="196"/>
  <c r="D62" i="196"/>
  <c r="D63" i="196"/>
  <c r="D64" i="196"/>
  <c r="D65" i="196"/>
  <c r="D66" i="196"/>
  <c r="D67" i="196"/>
  <c r="D68" i="196"/>
  <c r="D69" i="196"/>
  <c r="D70" i="196"/>
  <c r="D71" i="196"/>
  <c r="D72" i="196"/>
  <c r="D73" i="196"/>
  <c r="D74" i="196"/>
  <c r="D75" i="196"/>
  <c r="D76" i="196"/>
  <c r="D77" i="196"/>
  <c r="D78" i="196"/>
  <c r="D79" i="196"/>
  <c r="D80" i="196"/>
  <c r="D81" i="196"/>
  <c r="D82" i="196"/>
  <c r="D83" i="196"/>
  <c r="D84" i="196"/>
  <c r="D85" i="196"/>
  <c r="D46" i="196"/>
  <c r="K47" i="196"/>
  <c r="K48" i="196"/>
  <c r="K49" i="196"/>
  <c r="K50" i="196"/>
  <c r="K51" i="196"/>
  <c r="K52" i="196"/>
  <c r="K53" i="196"/>
  <c r="K54" i="196"/>
  <c r="K55" i="196"/>
  <c r="K56" i="196"/>
  <c r="K57" i="196"/>
  <c r="K58" i="196"/>
  <c r="K59" i="196"/>
  <c r="K60" i="196"/>
  <c r="K61" i="196"/>
  <c r="K62" i="196"/>
  <c r="K63" i="196"/>
  <c r="K64" i="196"/>
  <c r="K65" i="196"/>
  <c r="K66" i="196"/>
  <c r="K67" i="196"/>
  <c r="K68" i="196"/>
  <c r="K69" i="196"/>
  <c r="K70" i="196"/>
  <c r="K71" i="196"/>
  <c r="K72" i="196"/>
  <c r="K73" i="196"/>
  <c r="K74" i="196"/>
  <c r="K75" i="196"/>
  <c r="K76" i="196"/>
  <c r="K77" i="196"/>
  <c r="K78" i="196"/>
  <c r="K79" i="196"/>
  <c r="K80" i="196"/>
  <c r="K81" i="196"/>
  <c r="K82" i="196"/>
  <c r="K83" i="196"/>
  <c r="K84" i="196"/>
  <c r="K85" i="196"/>
  <c r="K46" i="196"/>
  <c r="D17" i="111"/>
  <c r="D37" i="196"/>
  <c r="D32" i="196"/>
  <c r="E87" i="196" s="1"/>
  <c r="H27" i="185"/>
  <c r="G27" i="185"/>
  <c r="D27" i="185"/>
  <c r="P68" i="37"/>
  <c r="R68" i="37" s="1"/>
  <c r="F291" i="161"/>
  <c r="H291" i="161"/>
  <c r="F270" i="161"/>
  <c r="H270" i="161"/>
  <c r="F249" i="161"/>
  <c r="H249" i="161"/>
  <c r="F228" i="161"/>
  <c r="H228" i="161"/>
  <c r="F207" i="161"/>
  <c r="H207" i="161"/>
  <c r="F186" i="161"/>
  <c r="H186" i="161"/>
  <c r="F165" i="161"/>
  <c r="H165" i="161"/>
  <c r="F144" i="161"/>
  <c r="H144" i="161"/>
  <c r="F124" i="161"/>
  <c r="H124" i="161"/>
  <c r="F103" i="161"/>
  <c r="H103" i="161"/>
  <c r="F81" i="161"/>
  <c r="H81" i="161"/>
  <c r="F60" i="161"/>
  <c r="H60" i="161"/>
  <c r="E27" i="160"/>
  <c r="F27" i="160" s="1"/>
  <c r="G27" i="160"/>
  <c r="H27" i="160"/>
  <c r="E33" i="183"/>
  <c r="F33" i="183"/>
  <c r="G33" i="183"/>
  <c r="E118" i="187"/>
  <c r="F118" i="187" s="1"/>
  <c r="G118" i="187"/>
  <c r="C122" i="190"/>
  <c r="E122" i="190"/>
  <c r="F122" i="190" s="1"/>
  <c r="C123" i="190"/>
  <c r="E123" i="190"/>
  <c r="F123" i="190" s="1"/>
  <c r="G111" i="173"/>
  <c r="C110" i="173"/>
  <c r="E110" i="173"/>
  <c r="F110" i="173"/>
  <c r="G110" i="173" s="1"/>
  <c r="E28" i="159"/>
  <c r="F28" i="159" s="1"/>
  <c r="G28" i="159"/>
  <c r="H28" i="159"/>
  <c r="D38" i="135"/>
  <c r="E38" i="135"/>
  <c r="F38" i="135"/>
  <c r="E45" i="156"/>
  <c r="F45" i="156" s="1"/>
  <c r="H45" i="156"/>
  <c r="E102" i="155"/>
  <c r="F102" i="155" s="1"/>
  <c r="G102" i="155"/>
  <c r="E93" i="134"/>
  <c r="F93" i="134" s="1"/>
  <c r="H93" i="134"/>
  <c r="E208" i="138"/>
  <c r="F208" i="138" s="1"/>
  <c r="H208" i="138"/>
  <c r="E45" i="146"/>
  <c r="F45" i="146" s="1"/>
  <c r="G45" i="146"/>
  <c r="E246" i="184"/>
  <c r="F246" i="184" s="1"/>
  <c r="E65" i="154"/>
  <c r="F65" i="154" s="1"/>
  <c r="G65" i="154"/>
  <c r="H65" i="154"/>
  <c r="E72" i="130"/>
  <c r="F72" i="130" s="1"/>
  <c r="H72" i="130"/>
  <c r="F99" i="185"/>
  <c r="G99" i="185" s="1"/>
  <c r="H99" i="185"/>
  <c r="D20" i="195"/>
  <c r="B14" i="195"/>
  <c r="B36" i="28"/>
  <c r="F28" i="195"/>
  <c r="I28" i="195" s="1"/>
  <c r="F21" i="195"/>
  <c r="I21" i="195" s="1"/>
  <c r="F22" i="195"/>
  <c r="I22" i="195" s="1"/>
  <c r="F23" i="195"/>
  <c r="I23" i="195" s="1"/>
  <c r="D42" i="28"/>
  <c r="F20" i="195"/>
  <c r="I20" i="195" s="1"/>
  <c r="F27" i="195"/>
  <c r="I27" i="195" s="1"/>
  <c r="F26" i="195"/>
  <c r="I26" i="195" s="1"/>
  <c r="F25" i="195"/>
  <c r="I25" i="195" s="1"/>
  <c r="F24" i="195"/>
  <c r="I24" i="195" s="1"/>
  <c r="I70" i="199" l="1"/>
  <c r="D75" i="199" s="1"/>
  <c r="I66" i="154"/>
  <c r="D78" i="199"/>
  <c r="E88" i="199"/>
  <c r="E91" i="199" s="1"/>
  <c r="E93" i="199" s="1"/>
  <c r="D103" i="199" s="1"/>
  <c r="I103" i="199" s="1"/>
  <c r="I48" i="198"/>
  <c r="I62" i="198"/>
  <c r="I75" i="198"/>
  <c r="I36" i="198"/>
  <c r="I46" i="198"/>
  <c r="I56" i="198"/>
  <c r="I71" i="198"/>
  <c r="I87" i="198"/>
  <c r="I86" i="198"/>
  <c r="D90" i="198"/>
  <c r="I90" i="198" s="1"/>
  <c r="D91" i="198"/>
  <c r="I91" i="198" s="1"/>
  <c r="D20" i="198"/>
  <c r="D24" i="198"/>
  <c r="I24" i="198" s="1"/>
  <c r="D34" i="198"/>
  <c r="I34" i="198" s="1"/>
  <c r="D38" i="198"/>
  <c r="I38" i="198" s="1"/>
  <c r="D43" i="198"/>
  <c r="I43" i="198" s="1"/>
  <c r="D58" i="198"/>
  <c r="I58" i="198" s="1"/>
  <c r="D64" i="198"/>
  <c r="I64" i="198" s="1"/>
  <c r="D68" i="198"/>
  <c r="I68" i="198" s="1"/>
  <c r="D72" i="198"/>
  <c r="I72" i="198" s="1"/>
  <c r="D78" i="198"/>
  <c r="I78" i="198" s="1"/>
  <c r="D79" i="198"/>
  <c r="I79" i="198" s="1"/>
  <c r="D80" i="198"/>
  <c r="D84" i="198"/>
  <c r="I84" i="198" s="1"/>
  <c r="D88" i="198"/>
  <c r="I88" i="198" s="1"/>
  <c r="D94" i="198"/>
  <c r="I94" i="198" s="1"/>
  <c r="D95" i="198"/>
  <c r="I95" i="198" s="1"/>
  <c r="D96" i="198"/>
  <c r="D100" i="198"/>
  <c r="I100" i="198" s="1"/>
  <c r="I52" i="198"/>
  <c r="I60" i="198"/>
  <c r="I63" i="198"/>
  <c r="D21" i="198"/>
  <c r="I21" i="198" s="1"/>
  <c r="D35" i="198"/>
  <c r="I35" i="198" s="1"/>
  <c r="D39" i="198"/>
  <c r="I39" i="198" s="1"/>
  <c r="D40" i="198"/>
  <c r="I40" i="198" s="1"/>
  <c r="D44" i="198"/>
  <c r="I44" i="198" s="1"/>
  <c r="I47" i="198"/>
  <c r="D50" i="198"/>
  <c r="D54" i="198"/>
  <c r="I54" i="198" s="1"/>
  <c r="D59" i="198"/>
  <c r="I59" i="198" s="1"/>
  <c r="I70" i="198"/>
  <c r="D74" i="198"/>
  <c r="I74" i="198" s="1"/>
  <c r="D75" i="198"/>
  <c r="H20" i="195"/>
  <c r="D21" i="195" s="1"/>
  <c r="D42" i="196"/>
  <c r="I28" i="159"/>
  <c r="I50" i="198"/>
  <c r="I101" i="198"/>
  <c r="I80" i="198"/>
  <c r="I96" i="198"/>
  <c r="I23" i="198"/>
  <c r="I76" i="198"/>
  <c r="I92" i="198"/>
  <c r="I22" i="198"/>
  <c r="D25" i="198"/>
  <c r="I25" i="198" s="1"/>
  <c r="D26" i="198"/>
  <c r="I26" i="198" s="1"/>
  <c r="D27" i="198"/>
  <c r="I27" i="198" s="1"/>
  <c r="D28" i="198"/>
  <c r="I28" i="198" s="1"/>
  <c r="D29" i="198"/>
  <c r="I29" i="198" s="1"/>
  <c r="D30" i="198"/>
  <c r="I30" i="198" s="1"/>
  <c r="D31" i="198"/>
  <c r="I31" i="198" s="1"/>
  <c r="D32" i="198"/>
  <c r="I32" i="198" s="1"/>
  <c r="D33" i="198"/>
  <c r="I33" i="198" s="1"/>
  <c r="D37" i="198"/>
  <c r="I37" i="198" s="1"/>
  <c r="D41" i="198"/>
  <c r="I41" i="198" s="1"/>
  <c r="D45" i="198"/>
  <c r="I45" i="198" s="1"/>
  <c r="D49" i="198"/>
  <c r="I49" i="198" s="1"/>
  <c r="D53" i="198"/>
  <c r="I53" i="198" s="1"/>
  <c r="D57" i="198"/>
  <c r="I57" i="198" s="1"/>
  <c r="D61" i="198"/>
  <c r="I61" i="198" s="1"/>
  <c r="D65" i="198"/>
  <c r="I65" i="198" s="1"/>
  <c r="D69" i="198"/>
  <c r="I69" i="198" s="1"/>
  <c r="D73" i="198"/>
  <c r="I73" i="198" s="1"/>
  <c r="D77" i="198"/>
  <c r="I77" i="198" s="1"/>
  <c r="D81" i="198"/>
  <c r="I81" i="198" s="1"/>
  <c r="D85" i="198"/>
  <c r="I85" i="198" s="1"/>
  <c r="D89" i="198"/>
  <c r="I89" i="198" s="1"/>
  <c r="D93" i="198"/>
  <c r="I93" i="198" s="1"/>
  <c r="D97" i="198"/>
  <c r="I97" i="198" s="1"/>
  <c r="H12" i="197"/>
  <c r="J12" i="197" s="1"/>
  <c r="H20" i="197"/>
  <c r="D21" i="197" s="1"/>
  <c r="H21" i="197" s="1"/>
  <c r="D22" i="197" s="1"/>
  <c r="H22" i="197" s="1"/>
  <c r="D23" i="197" s="1"/>
  <c r="H23" i="197" s="1"/>
  <c r="E50" i="196"/>
  <c r="L50" i="196" s="1"/>
  <c r="E54" i="196"/>
  <c r="L54" i="196" s="1"/>
  <c r="E58" i="196"/>
  <c r="E62" i="196"/>
  <c r="L62" i="196" s="1"/>
  <c r="E66" i="196"/>
  <c r="E70" i="196"/>
  <c r="E74" i="196"/>
  <c r="L74" i="196" s="1"/>
  <c r="E78" i="196"/>
  <c r="L78" i="196" s="1"/>
  <c r="E82" i="196"/>
  <c r="L82" i="196" s="1"/>
  <c r="L46" i="196"/>
  <c r="E48" i="196"/>
  <c r="L48" i="196" s="1"/>
  <c r="E60" i="196"/>
  <c r="L60" i="196" s="1"/>
  <c r="E68" i="196"/>
  <c r="L68" i="196" s="1"/>
  <c r="E76" i="196"/>
  <c r="E84" i="196"/>
  <c r="E49" i="196"/>
  <c r="L49" i="196" s="1"/>
  <c r="E61" i="196"/>
  <c r="L61" i="196" s="1"/>
  <c r="E69" i="196"/>
  <c r="L69" i="196" s="1"/>
  <c r="E77" i="196"/>
  <c r="L77" i="196" s="1"/>
  <c r="E85" i="196"/>
  <c r="L85" i="196" s="1"/>
  <c r="E47" i="196"/>
  <c r="L47" i="196" s="1"/>
  <c r="E51" i="196"/>
  <c r="L51" i="196" s="1"/>
  <c r="E55" i="196"/>
  <c r="E59" i="196"/>
  <c r="L59" i="196" s="1"/>
  <c r="E63" i="196"/>
  <c r="L63" i="196" s="1"/>
  <c r="E67" i="196"/>
  <c r="E71" i="196"/>
  <c r="E75" i="196"/>
  <c r="L75" i="196" s="1"/>
  <c r="E79" i="196"/>
  <c r="L79" i="196" s="1"/>
  <c r="E83" i="196"/>
  <c r="L83" i="196" s="1"/>
  <c r="E52" i="196"/>
  <c r="L52" i="196" s="1"/>
  <c r="E56" i="196"/>
  <c r="L56" i="196" s="1"/>
  <c r="E64" i="196"/>
  <c r="L64" i="196" s="1"/>
  <c r="E72" i="196"/>
  <c r="L72" i="196" s="1"/>
  <c r="E80" i="196"/>
  <c r="L80" i="196" s="1"/>
  <c r="E53" i="196"/>
  <c r="L53" i="196" s="1"/>
  <c r="E57" i="196"/>
  <c r="L57" i="196" s="1"/>
  <c r="E65" i="196"/>
  <c r="L65" i="196" s="1"/>
  <c r="E73" i="196"/>
  <c r="L73" i="196" s="1"/>
  <c r="E81" i="196"/>
  <c r="L81" i="196" s="1"/>
  <c r="D86" i="196"/>
  <c r="L76" i="196"/>
  <c r="L71" i="196"/>
  <c r="L67" i="196"/>
  <c r="L55" i="196"/>
  <c r="L70" i="196"/>
  <c r="L58" i="196"/>
  <c r="L66" i="196"/>
  <c r="L84" i="196"/>
  <c r="I27" i="185"/>
  <c r="G122" i="190"/>
  <c r="G123" i="190"/>
  <c r="G38" i="135"/>
  <c r="I65" i="154"/>
  <c r="J20" i="195"/>
  <c r="H21" i="195"/>
  <c r="F32" i="185"/>
  <c r="G32" i="185" s="1"/>
  <c r="H32" i="185"/>
  <c r="D101" i="199" l="1"/>
  <c r="I101" i="199" s="1"/>
  <c r="D102" i="199"/>
  <c r="I102" i="199" s="1"/>
  <c r="D99" i="199"/>
  <c r="D100" i="199"/>
  <c r="I100" i="199" s="1"/>
  <c r="I20" i="198"/>
  <c r="C106" i="198"/>
  <c r="O39" i="37" s="1"/>
  <c r="J20" i="197"/>
  <c r="D13" i="197"/>
  <c r="H13" i="197" s="1"/>
  <c r="E86" i="196"/>
  <c r="E88" i="196" s="1"/>
  <c r="C91" i="196" s="1"/>
  <c r="C93" i="196" s="1"/>
  <c r="C97" i="196" s="1"/>
  <c r="C101" i="196" s="1"/>
  <c r="L86" i="196"/>
  <c r="J21" i="195"/>
  <c r="D22" i="195"/>
  <c r="H22" i="195"/>
  <c r="I13" i="133"/>
  <c r="I14" i="133"/>
  <c r="I15" i="133"/>
  <c r="I16" i="133"/>
  <c r="I17" i="133"/>
  <c r="I18" i="133"/>
  <c r="I19" i="133"/>
  <c r="I20" i="133"/>
  <c r="I21" i="133"/>
  <c r="I22" i="133"/>
  <c r="I23" i="133"/>
  <c r="I24" i="133"/>
  <c r="I25" i="133"/>
  <c r="I26" i="133"/>
  <c r="I27" i="133"/>
  <c r="I28" i="133"/>
  <c r="I29" i="133"/>
  <c r="I30" i="133"/>
  <c r="I31" i="133"/>
  <c r="I32" i="133"/>
  <c r="I33" i="133"/>
  <c r="I34" i="133"/>
  <c r="I35" i="133"/>
  <c r="I36" i="133"/>
  <c r="I37" i="133"/>
  <c r="I38" i="133"/>
  <c r="I39" i="133"/>
  <c r="I40" i="133"/>
  <c r="I41" i="133"/>
  <c r="I42" i="133"/>
  <c r="I43" i="133"/>
  <c r="I44" i="133"/>
  <c r="I45" i="133"/>
  <c r="I46" i="133"/>
  <c r="I47" i="133"/>
  <c r="I48" i="133"/>
  <c r="I49" i="133"/>
  <c r="I50" i="133"/>
  <c r="I51" i="133"/>
  <c r="I52" i="133"/>
  <c r="I53" i="133"/>
  <c r="I54" i="133"/>
  <c r="I55" i="133"/>
  <c r="I56" i="133"/>
  <c r="I57" i="133"/>
  <c r="I58" i="133"/>
  <c r="I59" i="133"/>
  <c r="I60" i="133"/>
  <c r="I61" i="133"/>
  <c r="I62" i="133"/>
  <c r="I63" i="133"/>
  <c r="I64" i="133"/>
  <c r="I65" i="133"/>
  <c r="I66" i="133"/>
  <c r="I67" i="133"/>
  <c r="I68" i="133"/>
  <c r="I69" i="133"/>
  <c r="I70" i="133"/>
  <c r="I71" i="133"/>
  <c r="I72" i="133"/>
  <c r="I73" i="133"/>
  <c r="I74" i="133"/>
  <c r="I75" i="133"/>
  <c r="I76" i="133"/>
  <c r="I77" i="133"/>
  <c r="I78" i="133"/>
  <c r="I79" i="133"/>
  <c r="I80" i="133"/>
  <c r="I81" i="133"/>
  <c r="I82" i="133"/>
  <c r="I83" i="133"/>
  <c r="I84" i="133"/>
  <c r="I85" i="133"/>
  <c r="I86" i="133"/>
  <c r="I87" i="133"/>
  <c r="I88" i="133"/>
  <c r="I89" i="133"/>
  <c r="I90" i="133"/>
  <c r="I91" i="133"/>
  <c r="I92" i="133"/>
  <c r="I93" i="133"/>
  <c r="I94" i="133"/>
  <c r="I95" i="133"/>
  <c r="I96" i="133"/>
  <c r="I97" i="133"/>
  <c r="I98" i="133"/>
  <c r="I99" i="133"/>
  <c r="I100" i="133"/>
  <c r="I101" i="133"/>
  <c r="I102" i="133"/>
  <c r="I103" i="133"/>
  <c r="I104" i="133"/>
  <c r="I105" i="133"/>
  <c r="I106" i="133"/>
  <c r="I107" i="133"/>
  <c r="I108" i="133"/>
  <c r="I109" i="133"/>
  <c r="I110" i="133"/>
  <c r="I111" i="133"/>
  <c r="I112" i="133"/>
  <c r="I113" i="133"/>
  <c r="I114" i="133"/>
  <c r="I115" i="133"/>
  <c r="I116" i="133"/>
  <c r="I117" i="133"/>
  <c r="I118" i="133"/>
  <c r="I119" i="133"/>
  <c r="I120" i="133"/>
  <c r="I121" i="133"/>
  <c r="I122" i="133"/>
  <c r="I123" i="133"/>
  <c r="I124" i="133"/>
  <c r="I125" i="133"/>
  <c r="I126" i="133"/>
  <c r="I127" i="133"/>
  <c r="I128" i="133"/>
  <c r="I129" i="133"/>
  <c r="I130" i="133"/>
  <c r="F12" i="133"/>
  <c r="I99" i="199" l="1"/>
  <c r="C108" i="199"/>
  <c r="P13" i="209" s="1"/>
  <c r="C107" i="198"/>
  <c r="D123" i="198" s="1"/>
  <c r="D124" i="198" s="1"/>
  <c r="D128" i="198" s="1"/>
  <c r="Q39" i="37"/>
  <c r="R39" i="37" s="1"/>
  <c r="J21" i="197"/>
  <c r="D14" i="197"/>
  <c r="H14" i="197" s="1"/>
  <c r="J13" i="197"/>
  <c r="J22" i="195"/>
  <c r="D23" i="195"/>
  <c r="H23" i="195" s="1"/>
  <c r="J23" i="195" s="1"/>
  <c r="A4" i="37"/>
  <c r="A3" i="37"/>
  <c r="O8" i="189"/>
  <c r="R8" i="189" s="1"/>
  <c r="E72" i="148"/>
  <c r="C74" i="148"/>
  <c r="C124" i="125"/>
  <c r="F39" i="161"/>
  <c r="H39" i="161"/>
  <c r="D251" i="179"/>
  <c r="E245" i="184"/>
  <c r="F245" i="184" s="1"/>
  <c r="F290" i="161"/>
  <c r="H290" i="161"/>
  <c r="F269" i="161"/>
  <c r="H269" i="161"/>
  <c r="F248" i="161"/>
  <c r="H248" i="161"/>
  <c r="F227" i="161"/>
  <c r="H227" i="161"/>
  <c r="F206" i="161"/>
  <c r="H206" i="161"/>
  <c r="F185" i="161"/>
  <c r="H185" i="161"/>
  <c r="F164" i="161"/>
  <c r="H164" i="161"/>
  <c r="F143" i="161"/>
  <c r="H143" i="161"/>
  <c r="F123" i="161"/>
  <c r="H123" i="161"/>
  <c r="F102" i="161"/>
  <c r="H102" i="161"/>
  <c r="H80" i="161"/>
  <c r="F80" i="161"/>
  <c r="F59" i="161"/>
  <c r="H59" i="161"/>
  <c r="E26" i="160"/>
  <c r="F26" i="160" s="1"/>
  <c r="G26" i="160"/>
  <c r="H26" i="160"/>
  <c r="D105" i="149"/>
  <c r="E117" i="187"/>
  <c r="F117" i="187" s="1"/>
  <c r="G117" i="187"/>
  <c r="C109" i="173"/>
  <c r="E109" i="173"/>
  <c r="F109" i="173" s="1"/>
  <c r="E27" i="159"/>
  <c r="F27" i="159" s="1"/>
  <c r="G27" i="159"/>
  <c r="H27" i="159"/>
  <c r="D37" i="135"/>
  <c r="E37" i="135"/>
  <c r="F37" i="135"/>
  <c r="E44" i="156"/>
  <c r="F44" i="156" s="1"/>
  <c r="H44" i="156"/>
  <c r="E101" i="155"/>
  <c r="F101" i="155" s="1"/>
  <c r="G101" i="155"/>
  <c r="H68" i="172"/>
  <c r="G124" i="149" l="1"/>
  <c r="I124" i="149" s="1"/>
  <c r="G125" i="149"/>
  <c r="I125" i="149" s="1"/>
  <c r="G126" i="149"/>
  <c r="I126" i="149" s="1"/>
  <c r="C109" i="199"/>
  <c r="R13" i="209" s="1"/>
  <c r="S13" i="209" s="1"/>
  <c r="X13" i="209" s="1"/>
  <c r="C404" i="149"/>
  <c r="G123" i="149"/>
  <c r="I123" i="149" s="1"/>
  <c r="O50" i="37"/>
  <c r="G110" i="149"/>
  <c r="G114" i="149"/>
  <c r="G118" i="149"/>
  <c r="G122" i="149"/>
  <c r="G112" i="149"/>
  <c r="G116" i="149"/>
  <c r="G120" i="149"/>
  <c r="G109" i="149"/>
  <c r="G117" i="149"/>
  <c r="G108" i="149"/>
  <c r="G111" i="149"/>
  <c r="G115" i="149"/>
  <c r="G119" i="149"/>
  <c r="G113" i="149"/>
  <c r="G121" i="149"/>
  <c r="I27" i="159"/>
  <c r="G37" i="135"/>
  <c r="J22" i="197"/>
  <c r="J23" i="197"/>
  <c r="J14" i="197"/>
  <c r="D15" i="197"/>
  <c r="G109" i="173"/>
  <c r="D24" i="195"/>
  <c r="H24" i="195" s="1"/>
  <c r="J24" i="195" s="1"/>
  <c r="E92" i="134"/>
  <c r="F92" i="134" s="1"/>
  <c r="H92" i="134"/>
  <c r="E207" i="138"/>
  <c r="F207" i="138" s="1"/>
  <c r="H207" i="138"/>
  <c r="E175" i="138"/>
  <c r="F175" i="138" s="1"/>
  <c r="H175" i="138"/>
  <c r="E143" i="138"/>
  <c r="F143" i="138" s="1"/>
  <c r="H143" i="138"/>
  <c r="E110" i="138"/>
  <c r="F110" i="138" s="1"/>
  <c r="H110" i="138"/>
  <c r="E78" i="138"/>
  <c r="F78" i="138" s="1"/>
  <c r="H78" i="138"/>
  <c r="E45" i="138"/>
  <c r="F45" i="138" s="1"/>
  <c r="H45" i="138"/>
  <c r="E130" i="133"/>
  <c r="F130" i="133" s="1"/>
  <c r="G130" i="133"/>
  <c r="H130" i="133"/>
  <c r="E44" i="146"/>
  <c r="F44" i="146" s="1"/>
  <c r="G44" i="146"/>
  <c r="E104" i="131"/>
  <c r="F104" i="131" s="1"/>
  <c r="E64" i="154"/>
  <c r="F64" i="154" s="1"/>
  <c r="G64" i="154"/>
  <c r="H64" i="154"/>
  <c r="E71" i="130"/>
  <c r="F71" i="130" s="1"/>
  <c r="H71" i="130"/>
  <c r="K39" i="129"/>
  <c r="F98" i="185"/>
  <c r="G98" i="185" s="1"/>
  <c r="H98" i="185"/>
  <c r="E32" i="183"/>
  <c r="F32" i="183"/>
  <c r="G32" i="183"/>
  <c r="E33" i="179"/>
  <c r="D37" i="179"/>
  <c r="C248" i="179"/>
  <c r="C247" i="179"/>
  <c r="D84" i="179"/>
  <c r="H111" i="149"/>
  <c r="H110" i="149"/>
  <c r="H109" i="149"/>
  <c r="H108" i="149"/>
  <c r="H41" i="149"/>
  <c r="H40" i="149"/>
  <c r="H39" i="149"/>
  <c r="H38" i="149"/>
  <c r="H17" i="149"/>
  <c r="H16" i="149"/>
  <c r="H15" i="149"/>
  <c r="H14" i="149"/>
  <c r="Q50" i="37" l="1"/>
  <c r="R50" i="37" s="1"/>
  <c r="C112" i="199"/>
  <c r="I109" i="149"/>
  <c r="I111" i="149"/>
  <c r="I108" i="149"/>
  <c r="I110" i="149"/>
  <c r="J25" i="197"/>
  <c r="B36" i="197" s="1"/>
  <c r="H15" i="197"/>
  <c r="J15" i="197" s="1"/>
  <c r="I64" i="154"/>
  <c r="D25" i="195"/>
  <c r="H25" i="195" s="1"/>
  <c r="J25" i="195" s="1"/>
  <c r="E27" i="190"/>
  <c r="F27" i="190" s="1"/>
  <c r="E26" i="190"/>
  <c r="F26" i="190" s="1"/>
  <c r="C26" i="190"/>
  <c r="C27" i="190"/>
  <c r="E25" i="190"/>
  <c r="F25" i="190" s="1"/>
  <c r="E24" i="190"/>
  <c r="F24" i="190" s="1"/>
  <c r="E23" i="190"/>
  <c r="F23" i="190" s="1"/>
  <c r="E22" i="190"/>
  <c r="F22" i="190" s="1"/>
  <c r="E21" i="190"/>
  <c r="F21" i="190" s="1"/>
  <c r="E20" i="190"/>
  <c r="F20" i="190" s="1"/>
  <c r="E19" i="190"/>
  <c r="F19" i="190" s="1"/>
  <c r="C20" i="190"/>
  <c r="C21" i="190"/>
  <c r="C22" i="190"/>
  <c r="C23" i="190"/>
  <c r="C24" i="190"/>
  <c r="C25" i="190"/>
  <c r="C19" i="190"/>
  <c r="B133" i="190"/>
  <c r="E121" i="190"/>
  <c r="F121" i="190" s="1"/>
  <c r="C121" i="190"/>
  <c r="E120" i="190"/>
  <c r="F120" i="190" s="1"/>
  <c r="C120" i="190"/>
  <c r="E119" i="190"/>
  <c r="F119" i="190" s="1"/>
  <c r="C119" i="190"/>
  <c r="E118" i="190"/>
  <c r="F118" i="190" s="1"/>
  <c r="C118" i="190"/>
  <c r="E117" i="190"/>
  <c r="F117" i="190" s="1"/>
  <c r="C117" i="190"/>
  <c r="E116" i="190"/>
  <c r="F116" i="190" s="1"/>
  <c r="C116" i="190"/>
  <c r="E115" i="190"/>
  <c r="F115" i="190" s="1"/>
  <c r="C115" i="190"/>
  <c r="E114" i="190"/>
  <c r="F114" i="190" s="1"/>
  <c r="C114" i="190"/>
  <c r="E113" i="190"/>
  <c r="F113" i="190" s="1"/>
  <c r="C113" i="190"/>
  <c r="E112" i="190"/>
  <c r="F112" i="190" s="1"/>
  <c r="C112" i="190"/>
  <c r="E111" i="190"/>
  <c r="F111" i="190" s="1"/>
  <c r="C111" i="190"/>
  <c r="E110" i="190"/>
  <c r="F110" i="190" s="1"/>
  <c r="C110" i="190"/>
  <c r="E109" i="190"/>
  <c r="F109" i="190" s="1"/>
  <c r="C109" i="190"/>
  <c r="E108" i="190"/>
  <c r="F108" i="190" s="1"/>
  <c r="C108" i="190"/>
  <c r="E107" i="190"/>
  <c r="F107" i="190" s="1"/>
  <c r="C107" i="190"/>
  <c r="E106" i="190"/>
  <c r="F106" i="190" s="1"/>
  <c r="C106" i="190"/>
  <c r="E105" i="190"/>
  <c r="F105" i="190" s="1"/>
  <c r="C105" i="190"/>
  <c r="E104" i="190"/>
  <c r="F104" i="190" s="1"/>
  <c r="C104" i="190"/>
  <c r="E103" i="190"/>
  <c r="F103" i="190" s="1"/>
  <c r="C103" i="190"/>
  <c r="E102" i="190"/>
  <c r="F102" i="190" s="1"/>
  <c r="C102" i="190"/>
  <c r="E101" i="190"/>
  <c r="F101" i="190" s="1"/>
  <c r="C101" i="190"/>
  <c r="E100" i="190"/>
  <c r="F100" i="190" s="1"/>
  <c r="C100" i="190"/>
  <c r="E99" i="190"/>
  <c r="F99" i="190" s="1"/>
  <c r="C99" i="190"/>
  <c r="E98" i="190"/>
  <c r="F98" i="190" s="1"/>
  <c r="C98" i="190"/>
  <c r="E97" i="190"/>
  <c r="F97" i="190" s="1"/>
  <c r="C97" i="190"/>
  <c r="E96" i="190"/>
  <c r="F96" i="190" s="1"/>
  <c r="C96" i="190"/>
  <c r="E95" i="190"/>
  <c r="F95" i="190" s="1"/>
  <c r="C95" i="190"/>
  <c r="E94" i="190"/>
  <c r="F94" i="190" s="1"/>
  <c r="C94" i="190"/>
  <c r="E93" i="190"/>
  <c r="F93" i="190" s="1"/>
  <c r="C93" i="190"/>
  <c r="E92" i="190"/>
  <c r="F92" i="190" s="1"/>
  <c r="C92" i="190"/>
  <c r="E91" i="190"/>
  <c r="F91" i="190" s="1"/>
  <c r="C91" i="190"/>
  <c r="H90" i="190"/>
  <c r="E90" i="190"/>
  <c r="F90" i="190" s="1"/>
  <c r="C90" i="190"/>
  <c r="E89" i="190"/>
  <c r="F89" i="190" s="1"/>
  <c r="C89" i="190"/>
  <c r="E88" i="190"/>
  <c r="F88" i="190" s="1"/>
  <c r="C88" i="190"/>
  <c r="E87" i="190"/>
  <c r="F87" i="190" s="1"/>
  <c r="C87" i="190"/>
  <c r="E86" i="190"/>
  <c r="F86" i="190" s="1"/>
  <c r="C86" i="190"/>
  <c r="E85" i="190"/>
  <c r="F85" i="190" s="1"/>
  <c r="C85" i="190"/>
  <c r="E84" i="190"/>
  <c r="F84" i="190" s="1"/>
  <c r="C84" i="190"/>
  <c r="E83" i="190"/>
  <c r="F83" i="190" s="1"/>
  <c r="C83" i="190"/>
  <c r="E82" i="190"/>
  <c r="F82" i="190" s="1"/>
  <c r="C82" i="190"/>
  <c r="E81" i="190"/>
  <c r="F81" i="190" s="1"/>
  <c r="C81" i="190"/>
  <c r="E80" i="190"/>
  <c r="F80" i="190" s="1"/>
  <c r="C80" i="190"/>
  <c r="E79" i="190"/>
  <c r="F79" i="190" s="1"/>
  <c r="C79" i="190"/>
  <c r="E78" i="190"/>
  <c r="F78" i="190" s="1"/>
  <c r="C78" i="190"/>
  <c r="E77" i="190"/>
  <c r="F77" i="190" s="1"/>
  <c r="C77" i="190"/>
  <c r="E76" i="190"/>
  <c r="F76" i="190" s="1"/>
  <c r="C76" i="190"/>
  <c r="E75" i="190"/>
  <c r="F75" i="190" s="1"/>
  <c r="C75" i="190"/>
  <c r="E74" i="190"/>
  <c r="F74" i="190" s="1"/>
  <c r="C74" i="190"/>
  <c r="E73" i="190"/>
  <c r="F73" i="190" s="1"/>
  <c r="C73" i="190"/>
  <c r="E72" i="190"/>
  <c r="F72" i="190" s="1"/>
  <c r="C72" i="190"/>
  <c r="E71" i="190"/>
  <c r="F71" i="190" s="1"/>
  <c r="C71" i="190"/>
  <c r="E70" i="190"/>
  <c r="F70" i="190" s="1"/>
  <c r="C70" i="190"/>
  <c r="E69" i="190"/>
  <c r="F69" i="190" s="1"/>
  <c r="C69" i="190"/>
  <c r="E68" i="190"/>
  <c r="F68" i="190" s="1"/>
  <c r="C68" i="190"/>
  <c r="E67" i="190"/>
  <c r="F67" i="190" s="1"/>
  <c r="C67" i="190"/>
  <c r="E66" i="190"/>
  <c r="F66" i="190" s="1"/>
  <c r="C66" i="190"/>
  <c r="E65" i="190"/>
  <c r="F65" i="190" s="1"/>
  <c r="C65" i="190"/>
  <c r="E64" i="190"/>
  <c r="F64" i="190" s="1"/>
  <c r="C64" i="190"/>
  <c r="E63" i="190"/>
  <c r="F63" i="190" s="1"/>
  <c r="C63" i="190"/>
  <c r="E62" i="190"/>
  <c r="F62" i="190" s="1"/>
  <c r="C62" i="190"/>
  <c r="E61" i="190"/>
  <c r="F61" i="190" s="1"/>
  <c r="C61" i="190"/>
  <c r="E60" i="190"/>
  <c r="F60" i="190" s="1"/>
  <c r="C60" i="190"/>
  <c r="E59" i="190"/>
  <c r="F59" i="190" s="1"/>
  <c r="C59" i="190"/>
  <c r="E58" i="190"/>
  <c r="F58" i="190" s="1"/>
  <c r="G58" i="190" s="1"/>
  <c r="E47" i="190"/>
  <c r="F47" i="190" s="1"/>
  <c r="C47" i="190"/>
  <c r="E46" i="190"/>
  <c r="F46" i="190" s="1"/>
  <c r="C46" i="190"/>
  <c r="E45" i="190"/>
  <c r="F45" i="190" s="1"/>
  <c r="C45" i="190"/>
  <c r="E44" i="190"/>
  <c r="F44" i="190" s="1"/>
  <c r="C44" i="190"/>
  <c r="E43" i="190"/>
  <c r="F43" i="190" s="1"/>
  <c r="C43" i="190"/>
  <c r="E42" i="190"/>
  <c r="F42" i="190" s="1"/>
  <c r="C42" i="190"/>
  <c r="E41" i="190"/>
  <c r="F41" i="190" s="1"/>
  <c r="C41" i="190"/>
  <c r="E18" i="190"/>
  <c r="F18" i="190" s="1"/>
  <c r="C18" i="190"/>
  <c r="E17" i="190"/>
  <c r="F17" i="190" s="1"/>
  <c r="C17" i="190"/>
  <c r="E16" i="190"/>
  <c r="F16" i="190" s="1"/>
  <c r="C16" i="190"/>
  <c r="E15" i="190"/>
  <c r="F15" i="190" s="1"/>
  <c r="C15" i="190"/>
  <c r="E14" i="190"/>
  <c r="F14" i="190" s="1"/>
  <c r="C14" i="190"/>
  <c r="E101" i="187"/>
  <c r="F101" i="187" s="1"/>
  <c r="G101" i="187"/>
  <c r="Q7" i="189"/>
  <c r="O7" i="189"/>
  <c r="R7" i="189" s="1"/>
  <c r="C2" i="189"/>
  <c r="G92" i="190" l="1"/>
  <c r="J16" i="197"/>
  <c r="B35" i="197" s="1"/>
  <c r="B38" i="197" s="1"/>
  <c r="G18" i="190"/>
  <c r="G26" i="190"/>
  <c r="D26" i="195"/>
  <c r="H26" i="195" s="1"/>
  <c r="J26" i="195" s="1"/>
  <c r="G19" i="190"/>
  <c r="G23" i="190"/>
  <c r="G22" i="190"/>
  <c r="G20" i="190"/>
  <c r="G24" i="190"/>
  <c r="G21" i="190"/>
  <c r="G25" i="190"/>
  <c r="G27" i="190"/>
  <c r="G42" i="190"/>
  <c r="G45" i="190"/>
  <c r="G47" i="190"/>
  <c r="G46" i="190"/>
  <c r="G41" i="190"/>
  <c r="G43" i="190"/>
  <c r="G91" i="190"/>
  <c r="G44" i="190"/>
  <c r="G14" i="190"/>
  <c r="G16" i="190"/>
  <c r="G59" i="190"/>
  <c r="G61" i="190"/>
  <c r="G63" i="190"/>
  <c r="G65" i="190"/>
  <c r="G67" i="190"/>
  <c r="G69" i="190"/>
  <c r="G71" i="190"/>
  <c r="G73" i="190"/>
  <c r="G75" i="190"/>
  <c r="G77" i="190"/>
  <c r="G79" i="190"/>
  <c r="G81" i="190"/>
  <c r="G83" i="190"/>
  <c r="G85" i="190"/>
  <c r="G87" i="190"/>
  <c r="G89" i="190"/>
  <c r="G93" i="190"/>
  <c r="G95" i="190"/>
  <c r="G97" i="190"/>
  <c r="G99" i="190"/>
  <c r="G101" i="190"/>
  <c r="G103" i="190"/>
  <c r="G105" i="190"/>
  <c r="G107" i="190"/>
  <c r="G109" i="190"/>
  <c r="G111" i="190"/>
  <c r="G113" i="190"/>
  <c r="G115" i="190"/>
  <c r="G117" i="190"/>
  <c r="G119" i="190"/>
  <c r="G121" i="190"/>
  <c r="G15" i="190"/>
  <c r="G17" i="190"/>
  <c r="G60" i="190"/>
  <c r="G62" i="190"/>
  <c r="G64" i="190"/>
  <c r="G66" i="190"/>
  <c r="G68" i="190"/>
  <c r="G70" i="190"/>
  <c r="G72" i="190"/>
  <c r="G74" i="190"/>
  <c r="G76" i="190"/>
  <c r="G78" i="190"/>
  <c r="G80" i="190"/>
  <c r="G82" i="190"/>
  <c r="G84" i="190"/>
  <c r="G86" i="190"/>
  <c r="G88" i="190"/>
  <c r="G90" i="190"/>
  <c r="G94" i="190"/>
  <c r="G96" i="190"/>
  <c r="G98" i="190"/>
  <c r="G100" i="190"/>
  <c r="G102" i="190"/>
  <c r="G104" i="190"/>
  <c r="G106" i="190"/>
  <c r="G108" i="190"/>
  <c r="G110" i="190"/>
  <c r="G112" i="190"/>
  <c r="G114" i="190"/>
  <c r="G116" i="190"/>
  <c r="G118" i="190"/>
  <c r="G120" i="190"/>
  <c r="G116" i="187"/>
  <c r="G109" i="187"/>
  <c r="G110" i="187"/>
  <c r="G111" i="187"/>
  <c r="G112" i="187"/>
  <c r="G113" i="187"/>
  <c r="G114" i="187"/>
  <c r="G115" i="187"/>
  <c r="G100" i="187"/>
  <c r="G102" i="187"/>
  <c r="G103" i="187"/>
  <c r="G104" i="187"/>
  <c r="G105" i="187"/>
  <c r="G106" i="187"/>
  <c r="G107" i="187"/>
  <c r="G108" i="187"/>
  <c r="G99" i="187"/>
  <c r="G98" i="187"/>
  <c r="G97" i="187"/>
  <c r="F98" i="187"/>
  <c r="E116" i="187"/>
  <c r="F116" i="187" s="1"/>
  <c r="E115" i="187"/>
  <c r="F115" i="187" s="1"/>
  <c r="E114" i="187"/>
  <c r="F114" i="187" s="1"/>
  <c r="E113" i="187"/>
  <c r="F113" i="187" s="1"/>
  <c r="E112" i="187"/>
  <c r="F112" i="187" s="1"/>
  <c r="E111" i="187"/>
  <c r="F111" i="187" s="1"/>
  <c r="E110" i="187"/>
  <c r="F110" i="187" s="1"/>
  <c r="E109" i="187"/>
  <c r="F109" i="187" s="1"/>
  <c r="E108" i="187"/>
  <c r="F108" i="187" s="1"/>
  <c r="E107" i="187"/>
  <c r="F107" i="187" s="1"/>
  <c r="E106" i="187"/>
  <c r="F106" i="187" s="1"/>
  <c r="E105" i="187"/>
  <c r="F105" i="187" s="1"/>
  <c r="E104" i="187"/>
  <c r="F104" i="187" s="1"/>
  <c r="E103" i="187"/>
  <c r="F103" i="187" s="1"/>
  <c r="E102" i="187"/>
  <c r="F102" i="187" s="1"/>
  <c r="F100" i="187"/>
  <c r="F99" i="187"/>
  <c r="F89" i="187"/>
  <c r="F90" i="187"/>
  <c r="F91" i="187"/>
  <c r="F92" i="187"/>
  <c r="F93" i="187"/>
  <c r="F94" i="187"/>
  <c r="F95" i="187"/>
  <c r="F96" i="187"/>
  <c r="F97" i="187"/>
  <c r="G89" i="187"/>
  <c r="G90" i="187"/>
  <c r="G91" i="187"/>
  <c r="G92" i="187"/>
  <c r="G93" i="187"/>
  <c r="G94" i="187"/>
  <c r="G95" i="187"/>
  <c r="G96" i="187"/>
  <c r="C85" i="187"/>
  <c r="I60" i="187"/>
  <c r="J60" i="187"/>
  <c r="K60" i="187"/>
  <c r="L60" i="187"/>
  <c r="I61" i="187"/>
  <c r="J61" i="187"/>
  <c r="K61" i="187"/>
  <c r="L61" i="187"/>
  <c r="I62" i="187"/>
  <c r="J62" i="187"/>
  <c r="K62" i="187"/>
  <c r="L62" i="187"/>
  <c r="I63" i="187"/>
  <c r="J63" i="187"/>
  <c r="K63" i="187"/>
  <c r="L63" i="187"/>
  <c r="I64" i="187"/>
  <c r="J64" i="187"/>
  <c r="K64" i="187"/>
  <c r="L64" i="187"/>
  <c r="I65" i="187"/>
  <c r="J65" i="187"/>
  <c r="K65" i="187"/>
  <c r="L65" i="187"/>
  <c r="I66" i="187"/>
  <c r="J66" i="187"/>
  <c r="K66" i="187"/>
  <c r="L66" i="187"/>
  <c r="I67" i="187"/>
  <c r="J67" i="187"/>
  <c r="K67" i="187"/>
  <c r="L67" i="187"/>
  <c r="I68" i="187"/>
  <c r="J68" i="187"/>
  <c r="K68" i="187"/>
  <c r="L68" i="187"/>
  <c r="I69" i="187"/>
  <c r="J69" i="187"/>
  <c r="K69" i="187"/>
  <c r="L69" i="187"/>
  <c r="I70" i="187"/>
  <c r="J70" i="187"/>
  <c r="K70" i="187"/>
  <c r="L70" i="187"/>
  <c r="L59" i="187"/>
  <c r="K59" i="187"/>
  <c r="J59" i="187"/>
  <c r="I59" i="187"/>
  <c r="C75" i="187"/>
  <c r="C74" i="187"/>
  <c r="C73" i="187"/>
  <c r="C72" i="187"/>
  <c r="C71" i="187"/>
  <c r="E75" i="187"/>
  <c r="E74" i="187"/>
  <c r="E73" i="187"/>
  <c r="E72" i="187"/>
  <c r="E71" i="187"/>
  <c r="E70" i="187"/>
  <c r="F70" i="187" s="1"/>
  <c r="E69" i="187"/>
  <c r="F69" i="187" s="1"/>
  <c r="E68" i="187"/>
  <c r="F68" i="187" s="1"/>
  <c r="E67" i="187"/>
  <c r="F67" i="187" s="1"/>
  <c r="E66" i="187"/>
  <c r="F66" i="187" s="1"/>
  <c r="E65" i="187"/>
  <c r="F65" i="187" s="1"/>
  <c r="E64" i="187"/>
  <c r="F64" i="187" s="1"/>
  <c r="E63" i="187"/>
  <c r="F63" i="187" s="1"/>
  <c r="E62" i="187"/>
  <c r="F62" i="187" s="1"/>
  <c r="E61" i="187"/>
  <c r="F61" i="187" s="1"/>
  <c r="E60" i="187"/>
  <c r="F60" i="187" s="1"/>
  <c r="E59" i="187"/>
  <c r="F59" i="187" s="1"/>
  <c r="I38" i="187"/>
  <c r="J38" i="187"/>
  <c r="K38" i="187"/>
  <c r="L38" i="187"/>
  <c r="I39" i="187"/>
  <c r="J39" i="187"/>
  <c r="K39" i="187"/>
  <c r="L39" i="187"/>
  <c r="I40" i="187"/>
  <c r="J40" i="187"/>
  <c r="K40" i="187"/>
  <c r="L40" i="187"/>
  <c r="I41" i="187"/>
  <c r="J41" i="187"/>
  <c r="K41" i="187"/>
  <c r="L41" i="187"/>
  <c r="I42" i="187"/>
  <c r="J42" i="187"/>
  <c r="K42" i="187"/>
  <c r="L42" i="187"/>
  <c r="I43" i="187"/>
  <c r="J43" i="187"/>
  <c r="K43" i="187"/>
  <c r="L43" i="187"/>
  <c r="I44" i="187"/>
  <c r="J44" i="187"/>
  <c r="K44" i="187"/>
  <c r="L44" i="187"/>
  <c r="I45" i="187"/>
  <c r="J45" i="187"/>
  <c r="K45" i="187"/>
  <c r="L45" i="187"/>
  <c r="I46" i="187"/>
  <c r="J46" i="187"/>
  <c r="K46" i="187"/>
  <c r="L46" i="187"/>
  <c r="I47" i="187"/>
  <c r="J47" i="187"/>
  <c r="K47" i="187"/>
  <c r="L47" i="187"/>
  <c r="I48" i="187"/>
  <c r="J48" i="187"/>
  <c r="K48" i="187"/>
  <c r="L48" i="187"/>
  <c r="L37" i="187"/>
  <c r="K37" i="187"/>
  <c r="J37" i="187"/>
  <c r="I37" i="187"/>
  <c r="E49" i="187"/>
  <c r="E50" i="187"/>
  <c r="E51" i="187"/>
  <c r="E52" i="187"/>
  <c r="E53" i="187"/>
  <c r="C53" i="187"/>
  <c r="C52" i="187"/>
  <c r="C50" i="187"/>
  <c r="C51" i="187"/>
  <c r="C49" i="187"/>
  <c r="E37" i="187"/>
  <c r="F37" i="187" s="1"/>
  <c r="E43" i="187"/>
  <c r="F43" i="187" s="1"/>
  <c r="E44" i="187"/>
  <c r="F44" i="187" s="1"/>
  <c r="E45" i="187"/>
  <c r="F45" i="187" s="1"/>
  <c r="E46" i="187"/>
  <c r="F46" i="187" s="1"/>
  <c r="E47" i="187"/>
  <c r="F47" i="187" s="1"/>
  <c r="E48" i="187"/>
  <c r="F48" i="187" s="1"/>
  <c r="E38" i="187"/>
  <c r="F38" i="187" s="1"/>
  <c r="E39" i="187"/>
  <c r="F39" i="187" s="1"/>
  <c r="E40" i="187"/>
  <c r="F40" i="187" s="1"/>
  <c r="E41" i="187"/>
  <c r="F41" i="187" s="1"/>
  <c r="E42" i="187"/>
  <c r="F42" i="187" s="1"/>
  <c r="I17" i="187"/>
  <c r="J17" i="187"/>
  <c r="K17" i="187"/>
  <c r="L17" i="187"/>
  <c r="I18" i="187"/>
  <c r="J18" i="187"/>
  <c r="K18" i="187"/>
  <c r="L18" i="187"/>
  <c r="I19" i="187"/>
  <c r="J19" i="187"/>
  <c r="K19" i="187"/>
  <c r="L19" i="187"/>
  <c r="I20" i="187"/>
  <c r="J20" i="187"/>
  <c r="K20" i="187"/>
  <c r="L20" i="187"/>
  <c r="I21" i="187"/>
  <c r="J21" i="187"/>
  <c r="K21" i="187"/>
  <c r="L21" i="187"/>
  <c r="I22" i="187"/>
  <c r="J22" i="187"/>
  <c r="K22" i="187"/>
  <c r="L22" i="187"/>
  <c r="I23" i="187"/>
  <c r="J23" i="187"/>
  <c r="K23" i="187"/>
  <c r="L23" i="187"/>
  <c r="I24" i="187"/>
  <c r="J24" i="187"/>
  <c r="K24" i="187"/>
  <c r="L24" i="187"/>
  <c r="I25" i="187"/>
  <c r="J25" i="187"/>
  <c r="K25" i="187"/>
  <c r="L25" i="187"/>
  <c r="I26" i="187"/>
  <c r="J26" i="187"/>
  <c r="K26" i="187"/>
  <c r="L26" i="187"/>
  <c r="C31" i="187"/>
  <c r="C30" i="187"/>
  <c r="C29" i="187"/>
  <c r="C28" i="187"/>
  <c r="D27" i="187"/>
  <c r="E27" i="187" s="1"/>
  <c r="C27" i="187"/>
  <c r="K27" i="187" s="1"/>
  <c r="F11" i="187"/>
  <c r="E17" i="187"/>
  <c r="F17" i="187" s="1"/>
  <c r="E18" i="187"/>
  <c r="F18" i="187" s="1"/>
  <c r="E19" i="187"/>
  <c r="F19" i="187" s="1"/>
  <c r="E20" i="187"/>
  <c r="F20" i="187" s="1"/>
  <c r="E21" i="187"/>
  <c r="F21" i="187" s="1"/>
  <c r="E22" i="187"/>
  <c r="F22" i="187" s="1"/>
  <c r="E23" i="187"/>
  <c r="F23" i="187" s="1"/>
  <c r="E24" i="187"/>
  <c r="F24" i="187" s="1"/>
  <c r="E25" i="187"/>
  <c r="F25" i="187" s="1"/>
  <c r="E26" i="187"/>
  <c r="F26" i="187" s="1"/>
  <c r="E16" i="187"/>
  <c r="C16" i="187"/>
  <c r="L16" i="187" s="1"/>
  <c r="E244" i="184"/>
  <c r="F244" i="184" s="1"/>
  <c r="F38" i="161"/>
  <c r="H38" i="161"/>
  <c r="E25" i="160"/>
  <c r="F25" i="160" s="1"/>
  <c r="G25" i="160"/>
  <c r="H25" i="160"/>
  <c r="B115" i="173"/>
  <c r="F31" i="183"/>
  <c r="G31" i="183"/>
  <c r="E31" i="183"/>
  <c r="E30" i="183"/>
  <c r="E29" i="183"/>
  <c r="E28" i="183"/>
  <c r="E27" i="183"/>
  <c r="E26" i="183"/>
  <c r="E25" i="183"/>
  <c r="E24" i="183"/>
  <c r="F23" i="183"/>
  <c r="G23" i="183"/>
  <c r="F24" i="183"/>
  <c r="G24" i="183"/>
  <c r="F25" i="183"/>
  <c r="G25" i="183"/>
  <c r="F26" i="183"/>
  <c r="G26" i="183"/>
  <c r="F27" i="183"/>
  <c r="G27" i="183"/>
  <c r="F28" i="183"/>
  <c r="G28" i="183"/>
  <c r="F29" i="183"/>
  <c r="G29" i="183"/>
  <c r="F30" i="183"/>
  <c r="G30" i="183"/>
  <c r="D25" i="181"/>
  <c r="F15" i="181"/>
  <c r="C108" i="173"/>
  <c r="G108" i="173" s="1"/>
  <c r="E108" i="173"/>
  <c r="F108" i="173" s="1"/>
  <c r="C35" i="135"/>
  <c r="C36" i="135"/>
  <c r="D36" i="135" s="1"/>
  <c r="E36" i="135"/>
  <c r="F36" i="135"/>
  <c r="E26" i="159"/>
  <c r="F26" i="159" s="1"/>
  <c r="G26" i="159"/>
  <c r="H26" i="159"/>
  <c r="E43" i="156"/>
  <c r="F43" i="156" s="1"/>
  <c r="H43" i="156"/>
  <c r="E100" i="155"/>
  <c r="F100" i="155" s="1"/>
  <c r="G100" i="155"/>
  <c r="E90" i="134"/>
  <c r="F90" i="134" s="1"/>
  <c r="H90" i="134"/>
  <c r="E91" i="134"/>
  <c r="F91" i="134" s="1"/>
  <c r="H91" i="134"/>
  <c r="I83" i="148"/>
  <c r="I81" i="148"/>
  <c r="I82" i="148"/>
  <c r="I80" i="148"/>
  <c r="I79" i="148"/>
  <c r="E206" i="138"/>
  <c r="F206" i="138" s="1"/>
  <c r="H206" i="138"/>
  <c r="E170" i="138"/>
  <c r="F170" i="138" s="1"/>
  <c r="H170" i="138"/>
  <c r="E171" i="138"/>
  <c r="F171" i="138" s="1"/>
  <c r="H171" i="138"/>
  <c r="E172" i="138"/>
  <c r="F172" i="138" s="1"/>
  <c r="H172" i="138"/>
  <c r="E173" i="138"/>
  <c r="F173" i="138" s="1"/>
  <c r="H173" i="138"/>
  <c r="E174" i="138"/>
  <c r="F174" i="138" s="1"/>
  <c r="H174" i="138"/>
  <c r="E138" i="138"/>
  <c r="F138" i="138" s="1"/>
  <c r="H138" i="138"/>
  <c r="E139" i="138"/>
  <c r="F139" i="138" s="1"/>
  <c r="H139" i="138"/>
  <c r="E140" i="138"/>
  <c r="F140" i="138" s="1"/>
  <c r="H140" i="138"/>
  <c r="E141" i="138"/>
  <c r="F141" i="138" s="1"/>
  <c r="H141" i="138"/>
  <c r="E142" i="138"/>
  <c r="F142" i="138" s="1"/>
  <c r="H142" i="138"/>
  <c r="E105" i="138"/>
  <c r="F105" i="138" s="1"/>
  <c r="H105" i="138"/>
  <c r="E106" i="138"/>
  <c r="F106" i="138" s="1"/>
  <c r="H106" i="138"/>
  <c r="E107" i="138"/>
  <c r="F107" i="138" s="1"/>
  <c r="H107" i="138"/>
  <c r="E108" i="138"/>
  <c r="F108" i="138" s="1"/>
  <c r="H108" i="138"/>
  <c r="E109" i="138"/>
  <c r="F109" i="138" s="1"/>
  <c r="H109" i="138"/>
  <c r="E73" i="138"/>
  <c r="F73" i="138" s="1"/>
  <c r="H73" i="138"/>
  <c r="E74" i="138"/>
  <c r="F74" i="138" s="1"/>
  <c r="H74" i="138"/>
  <c r="E75" i="138"/>
  <c r="F75" i="138" s="1"/>
  <c r="H75" i="138"/>
  <c r="E76" i="138"/>
  <c r="F76" i="138" s="1"/>
  <c r="H76" i="138"/>
  <c r="E77" i="138"/>
  <c r="F77" i="138" s="1"/>
  <c r="H77" i="138"/>
  <c r="E43" i="138"/>
  <c r="F43" i="138" s="1"/>
  <c r="H43" i="138"/>
  <c r="E44" i="138"/>
  <c r="F44" i="138" s="1"/>
  <c r="H44" i="138"/>
  <c r="E40" i="138"/>
  <c r="F40" i="138" s="1"/>
  <c r="H40" i="138"/>
  <c r="E41" i="138"/>
  <c r="F41" i="138" s="1"/>
  <c r="H41" i="138"/>
  <c r="E42" i="138"/>
  <c r="F42" i="138" s="1"/>
  <c r="H42" i="138"/>
  <c r="E129" i="133"/>
  <c r="F129" i="133" s="1"/>
  <c r="G129" i="133"/>
  <c r="H129" i="133"/>
  <c r="E63" i="154"/>
  <c r="F63" i="154" s="1"/>
  <c r="G63" i="154"/>
  <c r="H63" i="154"/>
  <c r="E103" i="131"/>
  <c r="F103" i="131" s="1"/>
  <c r="E101" i="131"/>
  <c r="F101" i="131" s="1"/>
  <c r="E102" i="131"/>
  <c r="F102" i="131" s="1"/>
  <c r="C119" i="97"/>
  <c r="I114" i="97"/>
  <c r="E70" i="130"/>
  <c r="F70" i="130" s="1"/>
  <c r="H70" i="130"/>
  <c r="C54" i="129"/>
  <c r="C51" i="129"/>
  <c r="C47" i="129"/>
  <c r="C45" i="129"/>
  <c r="C44" i="129"/>
  <c r="C43" i="129"/>
  <c r="J79" i="141"/>
  <c r="E78" i="141"/>
  <c r="F78" i="141" s="1"/>
  <c r="G78" i="141" s="1"/>
  <c r="J78" i="141" s="1"/>
  <c r="H78" i="141"/>
  <c r="I78" i="141"/>
  <c r="F97" i="185"/>
  <c r="G97" i="185" s="1"/>
  <c r="H97" i="185"/>
  <c r="G32" i="190" l="1"/>
  <c r="G33" i="190" s="1"/>
  <c r="G35" i="190" s="1"/>
  <c r="Q107" i="37"/>
  <c r="R107" i="37" s="1"/>
  <c r="N22" i="187"/>
  <c r="N21" i="187"/>
  <c r="N20" i="187"/>
  <c r="N18" i="187"/>
  <c r="N17" i="187"/>
  <c r="N45" i="187"/>
  <c r="G36" i="135"/>
  <c r="M26" i="187"/>
  <c r="M24" i="187"/>
  <c r="M22" i="187"/>
  <c r="M21" i="187"/>
  <c r="N37" i="187"/>
  <c r="I26" i="159"/>
  <c r="D27" i="195"/>
  <c r="H27" i="195" s="1"/>
  <c r="G48" i="190"/>
  <c r="G49" i="190" s="1"/>
  <c r="G51" i="190" s="1"/>
  <c r="B134" i="190"/>
  <c r="H91" i="190"/>
  <c r="H92" i="190" s="1"/>
  <c r="F53" i="187"/>
  <c r="N47" i="187"/>
  <c r="N65" i="187"/>
  <c r="N61" i="187"/>
  <c r="F27" i="187"/>
  <c r="M47" i="187"/>
  <c r="M45" i="187"/>
  <c r="M44" i="187"/>
  <c r="M41" i="187"/>
  <c r="M40" i="187"/>
  <c r="M39" i="187"/>
  <c r="L71" i="187"/>
  <c r="L27" i="187"/>
  <c r="L28" i="187" s="1"/>
  <c r="M20" i="187"/>
  <c r="N41" i="187"/>
  <c r="N39" i="187"/>
  <c r="M67" i="187"/>
  <c r="M65" i="187"/>
  <c r="M64" i="187"/>
  <c r="M63" i="187"/>
  <c r="M62" i="187"/>
  <c r="M61" i="187"/>
  <c r="M60" i="187"/>
  <c r="I16" i="187"/>
  <c r="M37" i="187"/>
  <c r="N48" i="187"/>
  <c r="F73" i="187"/>
  <c r="F74" i="187"/>
  <c r="J27" i="187"/>
  <c r="N24" i="187"/>
  <c r="M18" i="187"/>
  <c r="M17" i="187"/>
  <c r="M48" i="187"/>
  <c r="M43" i="187"/>
  <c r="F72" i="187"/>
  <c r="I71" i="187"/>
  <c r="N69" i="187"/>
  <c r="N68" i="187"/>
  <c r="D28" i="187"/>
  <c r="D29" i="187" s="1"/>
  <c r="E29" i="187" s="1"/>
  <c r="F29" i="187" s="1"/>
  <c r="N26" i="187"/>
  <c r="N25" i="187"/>
  <c r="K49" i="187"/>
  <c r="N43" i="187"/>
  <c r="N42" i="187"/>
  <c r="M38" i="187"/>
  <c r="J71" i="187"/>
  <c r="M70" i="187"/>
  <c r="M69" i="187"/>
  <c r="M68" i="187"/>
  <c r="N66" i="187"/>
  <c r="N62" i="187"/>
  <c r="F71" i="187"/>
  <c r="F75" i="187"/>
  <c r="K71" i="187"/>
  <c r="J16" i="187"/>
  <c r="I27" i="187"/>
  <c r="M27" i="187" s="1"/>
  <c r="M25" i="187"/>
  <c r="N23" i="187"/>
  <c r="N19" i="187"/>
  <c r="L49" i="187"/>
  <c r="I49" i="187"/>
  <c r="N59" i="187"/>
  <c r="N63" i="187"/>
  <c r="M59" i="187"/>
  <c r="K16" i="187"/>
  <c r="K28" i="187" s="1"/>
  <c r="M23" i="187"/>
  <c r="M19" i="187"/>
  <c r="N46" i="187"/>
  <c r="M42" i="187"/>
  <c r="J49" i="187"/>
  <c r="N70" i="187"/>
  <c r="M66" i="187"/>
  <c r="N64" i="187"/>
  <c r="F16" i="187"/>
  <c r="M46" i="187"/>
  <c r="N44" i="187"/>
  <c r="N40" i="187"/>
  <c r="N67" i="187"/>
  <c r="N60" i="187"/>
  <c r="N38" i="187"/>
  <c r="F49" i="187"/>
  <c r="F52" i="187"/>
  <c r="F50" i="187"/>
  <c r="F51" i="187"/>
  <c r="I63" i="154"/>
  <c r="G18" i="144"/>
  <c r="G27" i="144"/>
  <c r="H27" i="144"/>
  <c r="H19" i="144"/>
  <c r="H20" i="144"/>
  <c r="H18" i="144"/>
  <c r="D12" i="144"/>
  <c r="D18" i="144" s="1"/>
  <c r="Q92" i="37" l="1"/>
  <c r="R40" i="209"/>
  <c r="B135" i="190"/>
  <c r="Q40" i="209" s="1"/>
  <c r="S40" i="209" s="1"/>
  <c r="N27" i="187"/>
  <c r="J28" i="187"/>
  <c r="D28" i="195"/>
  <c r="H28" i="195" s="1"/>
  <c r="J28" i="195" s="1"/>
  <c r="J27" i="195"/>
  <c r="E28" i="187"/>
  <c r="F28" i="187" s="1"/>
  <c r="M16" i="187"/>
  <c r="M28" i="187" s="1"/>
  <c r="G130" i="190"/>
  <c r="N49" i="187"/>
  <c r="F76" i="187"/>
  <c r="D30" i="187"/>
  <c r="E30" i="187" s="1"/>
  <c r="F30" i="187" s="1"/>
  <c r="I28" i="187"/>
  <c r="F33" i="187" s="1"/>
  <c r="F54" i="187"/>
  <c r="M49" i="187"/>
  <c r="M71" i="187"/>
  <c r="F77" i="187"/>
  <c r="N71" i="187"/>
  <c r="F55" i="187"/>
  <c r="N16" i="187"/>
  <c r="D27" i="144"/>
  <c r="I27" i="144" s="1"/>
  <c r="D31" i="187" l="1"/>
  <c r="E31" i="187" s="1"/>
  <c r="F31" i="187" s="1"/>
  <c r="B136" i="190"/>
  <c r="P92" i="37"/>
  <c r="N28" i="187"/>
  <c r="B33" i="195"/>
  <c r="O86" i="37" s="1"/>
  <c r="F78" i="187"/>
  <c r="C82" i="187"/>
  <c r="F32" i="187"/>
  <c r="C81" i="187" s="1"/>
  <c r="F56" i="187"/>
  <c r="G20" i="185"/>
  <c r="C105" i="185"/>
  <c r="H96" i="185"/>
  <c r="F96" i="185"/>
  <c r="G96" i="185" s="1"/>
  <c r="H95" i="185"/>
  <c r="F95" i="185"/>
  <c r="G95" i="185" s="1"/>
  <c r="H94" i="185"/>
  <c r="F94" i="185"/>
  <c r="G94" i="185" s="1"/>
  <c r="H93" i="185"/>
  <c r="F93" i="185"/>
  <c r="G93" i="185" s="1"/>
  <c r="H92" i="185"/>
  <c r="F92" i="185"/>
  <c r="G92" i="185" s="1"/>
  <c r="H91" i="185"/>
  <c r="F91" i="185"/>
  <c r="G91" i="185" s="1"/>
  <c r="H90" i="185"/>
  <c r="F90" i="185"/>
  <c r="G90" i="185" s="1"/>
  <c r="H89" i="185"/>
  <c r="F89" i="185"/>
  <c r="G89" i="185" s="1"/>
  <c r="H88" i="185"/>
  <c r="F88" i="185"/>
  <c r="G88" i="185" s="1"/>
  <c r="H87" i="185"/>
  <c r="F87" i="185"/>
  <c r="G87" i="185" s="1"/>
  <c r="H86" i="185"/>
  <c r="F86" i="185"/>
  <c r="G86" i="185" s="1"/>
  <c r="H85" i="185"/>
  <c r="F85" i="185"/>
  <c r="G85" i="185" s="1"/>
  <c r="H84" i="185"/>
  <c r="F84" i="185"/>
  <c r="G84" i="185" s="1"/>
  <c r="H83" i="185"/>
  <c r="F83" i="185"/>
  <c r="G83" i="185" s="1"/>
  <c r="H82" i="185"/>
  <c r="F82" i="185"/>
  <c r="G82" i="185" s="1"/>
  <c r="H81" i="185"/>
  <c r="F81" i="185"/>
  <c r="G81" i="185" s="1"/>
  <c r="H80" i="185"/>
  <c r="F80" i="185"/>
  <c r="G80" i="185" s="1"/>
  <c r="H79" i="185"/>
  <c r="F79" i="185"/>
  <c r="G79" i="185" s="1"/>
  <c r="H78" i="185"/>
  <c r="F78" i="185"/>
  <c r="G78" i="185" s="1"/>
  <c r="H77" i="185"/>
  <c r="F77" i="185"/>
  <c r="G77" i="185" s="1"/>
  <c r="H76" i="185"/>
  <c r="F76" i="185"/>
  <c r="G76" i="185" s="1"/>
  <c r="H75" i="185"/>
  <c r="F75" i="185"/>
  <c r="G75" i="185" s="1"/>
  <c r="H74" i="185"/>
  <c r="F74" i="185"/>
  <c r="G74" i="185" s="1"/>
  <c r="H73" i="185"/>
  <c r="F73" i="185"/>
  <c r="G73" i="185" s="1"/>
  <c r="H72" i="185"/>
  <c r="F72" i="185"/>
  <c r="G72" i="185" s="1"/>
  <c r="H71" i="185"/>
  <c r="F71" i="185"/>
  <c r="G71" i="185" s="1"/>
  <c r="H70" i="185"/>
  <c r="F70" i="185"/>
  <c r="G70" i="185" s="1"/>
  <c r="H69" i="185"/>
  <c r="F69" i="185"/>
  <c r="G69" i="185" s="1"/>
  <c r="H68" i="185"/>
  <c r="F68" i="185"/>
  <c r="G68" i="185" s="1"/>
  <c r="H67" i="185"/>
  <c r="F67" i="185"/>
  <c r="G67" i="185" s="1"/>
  <c r="H66" i="185"/>
  <c r="F66" i="185"/>
  <c r="G66" i="185" s="1"/>
  <c r="H65" i="185"/>
  <c r="F65" i="185"/>
  <c r="G65" i="185" s="1"/>
  <c r="H64" i="185"/>
  <c r="F64" i="185"/>
  <c r="G64" i="185" s="1"/>
  <c r="H63" i="185"/>
  <c r="F63" i="185"/>
  <c r="G63" i="185" s="1"/>
  <c r="H62" i="185"/>
  <c r="F62" i="185"/>
  <c r="G62" i="185" s="1"/>
  <c r="H61" i="185"/>
  <c r="F61" i="185"/>
  <c r="G61" i="185" s="1"/>
  <c r="H60" i="185"/>
  <c r="F60" i="185"/>
  <c r="G60" i="185" s="1"/>
  <c r="H59" i="185"/>
  <c r="F59" i="185"/>
  <c r="G59" i="185" s="1"/>
  <c r="H58" i="185"/>
  <c r="F58" i="185"/>
  <c r="G58" i="185" s="1"/>
  <c r="H57" i="185"/>
  <c r="F57" i="185"/>
  <c r="G57" i="185" s="1"/>
  <c r="H56" i="185"/>
  <c r="F56" i="185"/>
  <c r="G56" i="185" s="1"/>
  <c r="H55" i="185"/>
  <c r="F55" i="185"/>
  <c r="G55" i="185" s="1"/>
  <c r="H54" i="185"/>
  <c r="F54" i="185"/>
  <c r="G54" i="185" s="1"/>
  <c r="H53" i="185"/>
  <c r="F53" i="185"/>
  <c r="G53" i="185" s="1"/>
  <c r="H52" i="185"/>
  <c r="F52" i="185"/>
  <c r="G52" i="185" s="1"/>
  <c r="H51" i="185"/>
  <c r="F51" i="185"/>
  <c r="G51" i="185" s="1"/>
  <c r="H50" i="185"/>
  <c r="F50" i="185"/>
  <c r="G50" i="185" s="1"/>
  <c r="H49" i="185"/>
  <c r="F49" i="185"/>
  <c r="G49" i="185" s="1"/>
  <c r="H48" i="185"/>
  <c r="F48" i="185"/>
  <c r="G48" i="185" s="1"/>
  <c r="H47" i="185"/>
  <c r="F47" i="185"/>
  <c r="G47" i="185" s="1"/>
  <c r="H46" i="185"/>
  <c r="F46" i="185"/>
  <c r="G46" i="185" s="1"/>
  <c r="H45" i="185"/>
  <c r="F45" i="185"/>
  <c r="G45" i="185" s="1"/>
  <c r="H44" i="185"/>
  <c r="F44" i="185"/>
  <c r="G44" i="185" s="1"/>
  <c r="H43" i="185"/>
  <c r="F43" i="185"/>
  <c r="G43" i="185" s="1"/>
  <c r="H42" i="185"/>
  <c r="F42" i="185"/>
  <c r="G42" i="185" s="1"/>
  <c r="H41" i="185"/>
  <c r="F41" i="185"/>
  <c r="G41" i="185" s="1"/>
  <c r="H40" i="185"/>
  <c r="F40" i="185"/>
  <c r="G40" i="185" s="1"/>
  <c r="H39" i="185"/>
  <c r="F39" i="185"/>
  <c r="G39" i="185" s="1"/>
  <c r="H38" i="185"/>
  <c r="F38" i="185"/>
  <c r="G38" i="185" s="1"/>
  <c r="H37" i="185"/>
  <c r="F37" i="185"/>
  <c r="G37" i="185" s="1"/>
  <c r="H36" i="185"/>
  <c r="F36" i="185"/>
  <c r="G36" i="185" s="1"/>
  <c r="H35" i="185"/>
  <c r="F35" i="185"/>
  <c r="G35" i="185" s="1"/>
  <c r="H34" i="185"/>
  <c r="F34" i="185"/>
  <c r="G34" i="185" s="1"/>
  <c r="H33" i="185"/>
  <c r="F33" i="185"/>
  <c r="G33" i="185" s="1"/>
  <c r="H31" i="185"/>
  <c r="G31" i="185"/>
  <c r="H30" i="185"/>
  <c r="G30" i="185"/>
  <c r="H29" i="185"/>
  <c r="G29" i="185"/>
  <c r="H28" i="185"/>
  <c r="G28" i="185"/>
  <c r="G26" i="185"/>
  <c r="G25" i="185"/>
  <c r="G24" i="185"/>
  <c r="G23" i="185"/>
  <c r="H22" i="185"/>
  <c r="G22" i="185"/>
  <c r="H21" i="185"/>
  <c r="G21" i="185"/>
  <c r="H20" i="185"/>
  <c r="D15" i="185"/>
  <c r="D22" i="140"/>
  <c r="D17" i="140"/>
  <c r="D11" i="140"/>
  <c r="D104" i="140"/>
  <c r="F201" i="184"/>
  <c r="E243" i="184"/>
  <c r="F243" i="184" s="1"/>
  <c r="E242" i="184"/>
  <c r="F242" i="184" s="1"/>
  <c r="E241" i="184"/>
  <c r="F241" i="184" s="1"/>
  <c r="E240" i="184"/>
  <c r="F240" i="184" s="1"/>
  <c r="E239" i="184"/>
  <c r="F239" i="184" s="1"/>
  <c r="E238" i="184"/>
  <c r="F238" i="184" s="1"/>
  <c r="E237" i="184"/>
  <c r="F237" i="184" s="1"/>
  <c r="E236" i="184"/>
  <c r="F236" i="184" s="1"/>
  <c r="E235" i="184"/>
  <c r="F235" i="184" s="1"/>
  <c r="E234" i="184"/>
  <c r="F234" i="184" s="1"/>
  <c r="E233" i="184"/>
  <c r="F233" i="184" s="1"/>
  <c r="E232" i="184"/>
  <c r="F232" i="184" s="1"/>
  <c r="E231" i="184"/>
  <c r="F231" i="184" s="1"/>
  <c r="E230" i="184"/>
  <c r="F230" i="184" s="1"/>
  <c r="E229" i="184"/>
  <c r="F229" i="184" s="1"/>
  <c r="E228" i="184"/>
  <c r="F228" i="184" s="1"/>
  <c r="E227" i="184"/>
  <c r="F227" i="184" s="1"/>
  <c r="E226" i="184"/>
  <c r="F226" i="184" s="1"/>
  <c r="E225" i="184"/>
  <c r="F225" i="184" s="1"/>
  <c r="E224" i="184"/>
  <c r="F224" i="184" s="1"/>
  <c r="E223" i="184"/>
  <c r="F223" i="184" s="1"/>
  <c r="E222" i="184"/>
  <c r="F222" i="184" s="1"/>
  <c r="E221" i="184"/>
  <c r="F221" i="184" s="1"/>
  <c r="E220" i="184"/>
  <c r="F220" i="184" s="1"/>
  <c r="E219" i="184"/>
  <c r="F219" i="184" s="1"/>
  <c r="E218" i="184"/>
  <c r="F218" i="184" s="1"/>
  <c r="E217" i="184"/>
  <c r="F217" i="184" s="1"/>
  <c r="E216" i="184"/>
  <c r="F216" i="184" s="1"/>
  <c r="E215" i="184"/>
  <c r="F215" i="184" s="1"/>
  <c r="E214" i="184"/>
  <c r="F214" i="184" s="1"/>
  <c r="E213" i="184"/>
  <c r="F213" i="184" s="1"/>
  <c r="E212" i="184"/>
  <c r="F212" i="184" s="1"/>
  <c r="E211" i="184"/>
  <c r="F211" i="184" s="1"/>
  <c r="E210" i="184"/>
  <c r="F210" i="184" s="1"/>
  <c r="E209" i="184"/>
  <c r="F209" i="184" s="1"/>
  <c r="E208" i="184"/>
  <c r="F208" i="184" s="1"/>
  <c r="E207" i="184"/>
  <c r="F207" i="184" s="1"/>
  <c r="E206" i="184"/>
  <c r="F206" i="184" s="1"/>
  <c r="E205" i="184"/>
  <c r="F205" i="184" s="1"/>
  <c r="E204" i="184"/>
  <c r="F204" i="184" s="1"/>
  <c r="E203" i="184"/>
  <c r="F203" i="184" s="1"/>
  <c r="E202" i="184"/>
  <c r="F202" i="184" s="1"/>
  <c r="F193" i="184"/>
  <c r="F194" i="184"/>
  <c r="F195" i="184"/>
  <c r="F196" i="184"/>
  <c r="F197" i="184"/>
  <c r="F198" i="184"/>
  <c r="F199" i="184"/>
  <c r="F200" i="184"/>
  <c r="F192" i="184"/>
  <c r="I163" i="184"/>
  <c r="J163" i="184"/>
  <c r="K163" i="184"/>
  <c r="L163" i="184"/>
  <c r="I164" i="184"/>
  <c r="J164" i="184"/>
  <c r="K164" i="184"/>
  <c r="L164" i="184"/>
  <c r="I165" i="184"/>
  <c r="J165" i="184"/>
  <c r="K165" i="184"/>
  <c r="L165" i="184"/>
  <c r="I166" i="184"/>
  <c r="J166" i="184"/>
  <c r="K166" i="184"/>
  <c r="L166" i="184"/>
  <c r="I167" i="184"/>
  <c r="J167" i="184"/>
  <c r="K167" i="184"/>
  <c r="L167" i="184"/>
  <c r="I168" i="184"/>
  <c r="J168" i="184"/>
  <c r="K168" i="184"/>
  <c r="L168" i="184"/>
  <c r="I169" i="184"/>
  <c r="J169" i="184"/>
  <c r="K169" i="184"/>
  <c r="L169" i="184"/>
  <c r="I170" i="184"/>
  <c r="J170" i="184"/>
  <c r="K170" i="184"/>
  <c r="L170" i="184"/>
  <c r="I171" i="184"/>
  <c r="J171" i="184"/>
  <c r="K171" i="184"/>
  <c r="L171" i="184"/>
  <c r="I172" i="184"/>
  <c r="J172" i="184"/>
  <c r="K172" i="184"/>
  <c r="L172" i="184"/>
  <c r="I173" i="184"/>
  <c r="J173" i="184"/>
  <c r="K173" i="184"/>
  <c r="L173" i="184"/>
  <c r="L162" i="184"/>
  <c r="K162" i="184"/>
  <c r="J162" i="184"/>
  <c r="I162" i="184"/>
  <c r="C178" i="184"/>
  <c r="C177" i="184"/>
  <c r="C176" i="184"/>
  <c r="C175" i="184"/>
  <c r="C174" i="184"/>
  <c r="E162" i="184"/>
  <c r="F162" i="184" s="1"/>
  <c r="E178" i="184"/>
  <c r="E177" i="184"/>
  <c r="E176" i="184"/>
  <c r="E175" i="184"/>
  <c r="E174" i="184"/>
  <c r="E173" i="184"/>
  <c r="F173" i="184" s="1"/>
  <c r="E172" i="184"/>
  <c r="F172" i="184" s="1"/>
  <c r="E171" i="184"/>
  <c r="F171" i="184" s="1"/>
  <c r="E170" i="184"/>
  <c r="F170" i="184" s="1"/>
  <c r="E169" i="184"/>
  <c r="F169" i="184" s="1"/>
  <c r="E168" i="184"/>
  <c r="F168" i="184" s="1"/>
  <c r="E167" i="184"/>
  <c r="F167" i="184" s="1"/>
  <c r="E166" i="184"/>
  <c r="F166" i="184" s="1"/>
  <c r="E165" i="184"/>
  <c r="F165" i="184" s="1"/>
  <c r="E164" i="184"/>
  <c r="F164" i="184" s="1"/>
  <c r="E163" i="184"/>
  <c r="F163" i="184" s="1"/>
  <c r="I141" i="184"/>
  <c r="J141" i="184"/>
  <c r="K141" i="184"/>
  <c r="L141" i="184"/>
  <c r="I142" i="184"/>
  <c r="J142" i="184"/>
  <c r="K142" i="184"/>
  <c r="L142" i="184"/>
  <c r="I143" i="184"/>
  <c r="J143" i="184"/>
  <c r="K143" i="184"/>
  <c r="L143" i="184"/>
  <c r="I144" i="184"/>
  <c r="J144" i="184"/>
  <c r="K144" i="184"/>
  <c r="L144" i="184"/>
  <c r="I145" i="184"/>
  <c r="J145" i="184"/>
  <c r="K145" i="184"/>
  <c r="L145" i="184"/>
  <c r="I146" i="184"/>
  <c r="J146" i="184"/>
  <c r="K146" i="184"/>
  <c r="L146" i="184"/>
  <c r="I147" i="184"/>
  <c r="J147" i="184"/>
  <c r="K147" i="184"/>
  <c r="L147" i="184"/>
  <c r="I148" i="184"/>
  <c r="J148" i="184"/>
  <c r="K148" i="184"/>
  <c r="L148" i="184"/>
  <c r="I149" i="184"/>
  <c r="J149" i="184"/>
  <c r="K149" i="184"/>
  <c r="L149" i="184"/>
  <c r="I150" i="184"/>
  <c r="J150" i="184"/>
  <c r="K150" i="184"/>
  <c r="L150" i="184"/>
  <c r="I151" i="184"/>
  <c r="J151" i="184"/>
  <c r="K151" i="184"/>
  <c r="L151" i="184"/>
  <c r="L140" i="184"/>
  <c r="K140" i="184"/>
  <c r="J140" i="184"/>
  <c r="I140" i="184"/>
  <c r="C156" i="184"/>
  <c r="C155" i="184"/>
  <c r="C154" i="184"/>
  <c r="C153" i="184"/>
  <c r="C152" i="184"/>
  <c r="E151" i="184"/>
  <c r="F151" i="184" s="1"/>
  <c r="E146" i="184"/>
  <c r="F146" i="184" s="1"/>
  <c r="E147" i="184"/>
  <c r="F147" i="184" s="1"/>
  <c r="E148" i="184"/>
  <c r="F148" i="184" s="1"/>
  <c r="E149" i="184"/>
  <c r="F149" i="184" s="1"/>
  <c r="E150" i="184"/>
  <c r="F150" i="184" s="1"/>
  <c r="E141" i="184"/>
  <c r="F141" i="184" s="1"/>
  <c r="E142" i="184"/>
  <c r="F142" i="184" s="1"/>
  <c r="E143" i="184"/>
  <c r="F143" i="184" s="1"/>
  <c r="E144" i="184"/>
  <c r="F144" i="184" s="1"/>
  <c r="E145" i="184"/>
  <c r="F145" i="184" s="1"/>
  <c r="E140" i="184"/>
  <c r="F140" i="184" s="1"/>
  <c r="L128" i="184"/>
  <c r="K128" i="184"/>
  <c r="J128" i="184"/>
  <c r="I128" i="184"/>
  <c r="L127" i="184"/>
  <c r="K127" i="184"/>
  <c r="J127" i="184"/>
  <c r="I127" i="184"/>
  <c r="L126" i="184"/>
  <c r="K126" i="184"/>
  <c r="J126" i="184"/>
  <c r="I126" i="184"/>
  <c r="L125" i="184"/>
  <c r="K125" i="184"/>
  <c r="J125" i="184"/>
  <c r="I125" i="184"/>
  <c r="L124" i="184"/>
  <c r="K124" i="184"/>
  <c r="J124" i="184"/>
  <c r="I124" i="184"/>
  <c r="L123" i="184"/>
  <c r="K123" i="184"/>
  <c r="J123" i="184"/>
  <c r="I123" i="184"/>
  <c r="L122" i="184"/>
  <c r="K122" i="184"/>
  <c r="J122" i="184"/>
  <c r="I122" i="184"/>
  <c r="L121" i="184"/>
  <c r="K121" i="184"/>
  <c r="J121" i="184"/>
  <c r="I121" i="184"/>
  <c r="L120" i="184"/>
  <c r="K120" i="184"/>
  <c r="J120" i="184"/>
  <c r="I120" i="184"/>
  <c r="L119" i="184"/>
  <c r="K119" i="184"/>
  <c r="J119" i="184"/>
  <c r="I119" i="184"/>
  <c r="L118" i="184"/>
  <c r="K118" i="184"/>
  <c r="J118" i="184"/>
  <c r="I118" i="184"/>
  <c r="L117" i="184"/>
  <c r="K117" i="184"/>
  <c r="K129" i="184" s="1"/>
  <c r="J117" i="184"/>
  <c r="I117" i="184"/>
  <c r="C133" i="184"/>
  <c r="C132" i="184"/>
  <c r="C131" i="184"/>
  <c r="C130" i="184"/>
  <c r="C129" i="184"/>
  <c r="E118" i="184"/>
  <c r="F118" i="184" s="1"/>
  <c r="E119" i="184"/>
  <c r="F119" i="184" s="1"/>
  <c r="E120" i="184"/>
  <c r="F120" i="184" s="1"/>
  <c r="E121" i="184"/>
  <c r="F121" i="184" s="1"/>
  <c r="E122" i="184"/>
  <c r="F122" i="184" s="1"/>
  <c r="E123" i="184"/>
  <c r="F123" i="184" s="1"/>
  <c r="E124" i="184"/>
  <c r="F124" i="184" s="1"/>
  <c r="E125" i="184"/>
  <c r="F125" i="184" s="1"/>
  <c r="E126" i="184"/>
  <c r="F126" i="184" s="1"/>
  <c r="E127" i="184"/>
  <c r="F127" i="184" s="1"/>
  <c r="E128" i="184"/>
  <c r="F128" i="184" s="1"/>
  <c r="E117" i="184"/>
  <c r="F117" i="184" s="1"/>
  <c r="I95" i="184"/>
  <c r="J95" i="184"/>
  <c r="K95" i="184"/>
  <c r="L95" i="184"/>
  <c r="I96" i="184"/>
  <c r="J96" i="184"/>
  <c r="K96" i="184"/>
  <c r="L96" i="184"/>
  <c r="I97" i="184"/>
  <c r="J97" i="184"/>
  <c r="K97" i="184"/>
  <c r="L97" i="184"/>
  <c r="I98" i="184"/>
  <c r="J98" i="184"/>
  <c r="K98" i="184"/>
  <c r="L98" i="184"/>
  <c r="I99" i="184"/>
  <c r="J99" i="184"/>
  <c r="K99" i="184"/>
  <c r="L99" i="184"/>
  <c r="I100" i="184"/>
  <c r="J100" i="184"/>
  <c r="K100" i="184"/>
  <c r="L100" i="184"/>
  <c r="I101" i="184"/>
  <c r="J101" i="184"/>
  <c r="K101" i="184"/>
  <c r="L101" i="184"/>
  <c r="I102" i="184"/>
  <c r="J102" i="184"/>
  <c r="K102" i="184"/>
  <c r="L102" i="184"/>
  <c r="I103" i="184"/>
  <c r="J103" i="184"/>
  <c r="K103" i="184"/>
  <c r="L103" i="184"/>
  <c r="I104" i="184"/>
  <c r="J104" i="184"/>
  <c r="K104" i="184"/>
  <c r="L104" i="184"/>
  <c r="I105" i="184"/>
  <c r="J105" i="184"/>
  <c r="K105" i="184"/>
  <c r="L105" i="184"/>
  <c r="L94" i="184"/>
  <c r="K94" i="184"/>
  <c r="J94" i="184"/>
  <c r="I94" i="184"/>
  <c r="E95" i="184"/>
  <c r="F95" i="184" s="1"/>
  <c r="E96" i="184"/>
  <c r="F96" i="184" s="1"/>
  <c r="E97" i="184"/>
  <c r="F97" i="184" s="1"/>
  <c r="E98" i="184"/>
  <c r="F98" i="184" s="1"/>
  <c r="E99" i="184"/>
  <c r="F99" i="184" s="1"/>
  <c r="E100" i="184"/>
  <c r="F100" i="184" s="1"/>
  <c r="E101" i="184"/>
  <c r="F101" i="184" s="1"/>
  <c r="E102" i="184"/>
  <c r="F102" i="184" s="1"/>
  <c r="E103" i="184"/>
  <c r="F103" i="184" s="1"/>
  <c r="E104" i="184"/>
  <c r="F104" i="184" s="1"/>
  <c r="E105" i="184"/>
  <c r="F105" i="184" s="1"/>
  <c r="E94" i="184"/>
  <c r="F94" i="184" s="1"/>
  <c r="C110" i="184"/>
  <c r="C109" i="184"/>
  <c r="C108" i="184"/>
  <c r="C107" i="184"/>
  <c r="C106" i="184"/>
  <c r="K72" i="184"/>
  <c r="J72" i="184"/>
  <c r="I72" i="184"/>
  <c r="L83" i="184"/>
  <c r="K83" i="184"/>
  <c r="J83" i="184"/>
  <c r="I83" i="184"/>
  <c r="L82" i="184"/>
  <c r="K82" i="184"/>
  <c r="J82" i="184"/>
  <c r="I82" i="184"/>
  <c r="L81" i="184"/>
  <c r="K81" i="184"/>
  <c r="J81" i="184"/>
  <c r="I81" i="184"/>
  <c r="L80" i="184"/>
  <c r="K80" i="184"/>
  <c r="J80" i="184"/>
  <c r="I80" i="184"/>
  <c r="L79" i="184"/>
  <c r="K79" i="184"/>
  <c r="J79" i="184"/>
  <c r="I79" i="184"/>
  <c r="L78" i="184"/>
  <c r="K78" i="184"/>
  <c r="J78" i="184"/>
  <c r="I78" i="184"/>
  <c r="L77" i="184"/>
  <c r="K77" i="184"/>
  <c r="J77" i="184"/>
  <c r="I77" i="184"/>
  <c r="L76" i="184"/>
  <c r="K76" i="184"/>
  <c r="J76" i="184"/>
  <c r="I76" i="184"/>
  <c r="L75" i="184"/>
  <c r="K75" i="184"/>
  <c r="J75" i="184"/>
  <c r="I75" i="184"/>
  <c r="L74" i="184"/>
  <c r="K74" i="184"/>
  <c r="J74" i="184"/>
  <c r="I74" i="184"/>
  <c r="L73" i="184"/>
  <c r="K73" i="184"/>
  <c r="J73" i="184"/>
  <c r="J84" i="184" s="1"/>
  <c r="I73" i="184"/>
  <c r="L72" i="184"/>
  <c r="K84" i="184"/>
  <c r="E78" i="184"/>
  <c r="F78" i="184" s="1"/>
  <c r="E79" i="184"/>
  <c r="F79" i="184" s="1"/>
  <c r="E80" i="184"/>
  <c r="F80" i="184" s="1"/>
  <c r="E81" i="184"/>
  <c r="F81" i="184" s="1"/>
  <c r="E82" i="184"/>
  <c r="F82" i="184" s="1"/>
  <c r="E83" i="184"/>
  <c r="F83" i="184" s="1"/>
  <c r="E73" i="184"/>
  <c r="F73" i="184" s="1"/>
  <c r="E74" i="184"/>
  <c r="F74" i="184" s="1"/>
  <c r="E75" i="184"/>
  <c r="F75" i="184" s="1"/>
  <c r="E76" i="184"/>
  <c r="F76" i="184" s="1"/>
  <c r="E77" i="184"/>
  <c r="F77" i="184" s="1"/>
  <c r="E72" i="184"/>
  <c r="F72" i="184" s="1"/>
  <c r="C88" i="184"/>
  <c r="C87" i="184"/>
  <c r="C86" i="184"/>
  <c r="C85" i="184"/>
  <c r="C84" i="184"/>
  <c r="D156" i="184"/>
  <c r="D155" i="184"/>
  <c r="E155" i="184" s="1"/>
  <c r="D154" i="184"/>
  <c r="E154" i="184" s="1"/>
  <c r="D153" i="184"/>
  <c r="E153" i="184" s="1"/>
  <c r="D152" i="184"/>
  <c r="E152" i="184" s="1"/>
  <c r="F152" i="184" s="1"/>
  <c r="D133" i="184"/>
  <c r="E133" i="184" s="1"/>
  <c r="D132" i="184"/>
  <c r="E132" i="184" s="1"/>
  <c r="D131" i="184"/>
  <c r="E131" i="184" s="1"/>
  <c r="D130" i="184"/>
  <c r="E130" i="184" s="1"/>
  <c r="D129" i="184"/>
  <c r="E129" i="184" s="1"/>
  <c r="D110" i="184"/>
  <c r="E110" i="184" s="1"/>
  <c r="D109" i="184"/>
  <c r="E109" i="184" s="1"/>
  <c r="D108" i="184"/>
  <c r="D107" i="184"/>
  <c r="E107" i="184" s="1"/>
  <c r="D106" i="184"/>
  <c r="E106" i="184" s="1"/>
  <c r="D88" i="184"/>
  <c r="E88" i="184" s="1"/>
  <c r="D87" i="184"/>
  <c r="E87" i="184" s="1"/>
  <c r="D86" i="184"/>
  <c r="E86" i="184" s="1"/>
  <c r="D85" i="184"/>
  <c r="E85" i="184" s="1"/>
  <c r="D84" i="184"/>
  <c r="I50" i="184"/>
  <c r="J50" i="184"/>
  <c r="K50" i="184"/>
  <c r="L50" i="184"/>
  <c r="I51" i="184"/>
  <c r="J51" i="184"/>
  <c r="K51" i="184"/>
  <c r="L51" i="184"/>
  <c r="I52" i="184"/>
  <c r="J52" i="184"/>
  <c r="K52" i="184"/>
  <c r="L52" i="184"/>
  <c r="I53" i="184"/>
  <c r="J53" i="184"/>
  <c r="K53" i="184"/>
  <c r="L53" i="184"/>
  <c r="I54" i="184"/>
  <c r="J54" i="184"/>
  <c r="K54" i="184"/>
  <c r="L54" i="184"/>
  <c r="I55" i="184"/>
  <c r="J55" i="184"/>
  <c r="K55" i="184"/>
  <c r="L55" i="184"/>
  <c r="I56" i="184"/>
  <c r="J56" i="184"/>
  <c r="K56" i="184"/>
  <c r="L56" i="184"/>
  <c r="I57" i="184"/>
  <c r="J57" i="184"/>
  <c r="K57" i="184"/>
  <c r="L57" i="184"/>
  <c r="I58" i="184"/>
  <c r="J58" i="184"/>
  <c r="K58" i="184"/>
  <c r="L58" i="184"/>
  <c r="I59" i="184"/>
  <c r="J59" i="184"/>
  <c r="K59" i="184"/>
  <c r="L59" i="184"/>
  <c r="I60" i="184"/>
  <c r="J60" i="184"/>
  <c r="K60" i="184"/>
  <c r="L60" i="184"/>
  <c r="L49" i="184"/>
  <c r="K49" i="184"/>
  <c r="J49" i="184"/>
  <c r="I49" i="184"/>
  <c r="C65" i="184"/>
  <c r="C64" i="184"/>
  <c r="C63" i="184"/>
  <c r="C62" i="184"/>
  <c r="C61" i="184"/>
  <c r="E56" i="184"/>
  <c r="F56" i="184" s="1"/>
  <c r="E57" i="184"/>
  <c r="F57" i="184" s="1"/>
  <c r="E58" i="184"/>
  <c r="F58" i="184" s="1"/>
  <c r="E59" i="184"/>
  <c r="F59" i="184" s="1"/>
  <c r="E60" i="184"/>
  <c r="F60" i="184" s="1"/>
  <c r="E50" i="184"/>
  <c r="F50" i="184" s="1"/>
  <c r="E51" i="184"/>
  <c r="F51" i="184" s="1"/>
  <c r="E52" i="184"/>
  <c r="F52" i="184" s="1"/>
  <c r="E53" i="184"/>
  <c r="F53" i="184" s="1"/>
  <c r="E54" i="184"/>
  <c r="F54" i="184" s="1"/>
  <c r="E55" i="184"/>
  <c r="F55" i="184" s="1"/>
  <c r="F49" i="184"/>
  <c r="D65" i="184"/>
  <c r="E65" i="184" s="1"/>
  <c r="D64" i="184"/>
  <c r="E64" i="184" s="1"/>
  <c r="D63" i="184"/>
  <c r="E63" i="184" s="1"/>
  <c r="D62" i="184"/>
  <c r="E62" i="184" s="1"/>
  <c r="D61" i="184"/>
  <c r="I28" i="184"/>
  <c r="J28" i="184"/>
  <c r="K28" i="184"/>
  <c r="L28" i="184"/>
  <c r="I29" i="184"/>
  <c r="J29" i="184"/>
  <c r="K29" i="184"/>
  <c r="L29" i="184"/>
  <c r="I30" i="184"/>
  <c r="J30" i="184"/>
  <c r="K30" i="184"/>
  <c r="L30" i="184"/>
  <c r="I31" i="184"/>
  <c r="J31" i="184"/>
  <c r="K31" i="184"/>
  <c r="L31" i="184"/>
  <c r="I32" i="184"/>
  <c r="J32" i="184"/>
  <c r="K32" i="184"/>
  <c r="L32" i="184"/>
  <c r="I33" i="184"/>
  <c r="J33" i="184"/>
  <c r="K33" i="184"/>
  <c r="L33" i="184"/>
  <c r="I34" i="184"/>
  <c r="J34" i="184"/>
  <c r="K34" i="184"/>
  <c r="L34" i="184"/>
  <c r="I35" i="184"/>
  <c r="J35" i="184"/>
  <c r="K35" i="184"/>
  <c r="L35" i="184"/>
  <c r="I36" i="184"/>
  <c r="J36" i="184"/>
  <c r="K36" i="184"/>
  <c r="L36" i="184"/>
  <c r="I37" i="184"/>
  <c r="J37" i="184"/>
  <c r="K37" i="184"/>
  <c r="L37" i="184"/>
  <c r="I38" i="184"/>
  <c r="J38" i="184"/>
  <c r="K38" i="184"/>
  <c r="L38" i="184"/>
  <c r="L27" i="184"/>
  <c r="K27" i="184"/>
  <c r="J27" i="184"/>
  <c r="I27" i="184"/>
  <c r="G17" i="111"/>
  <c r="G49" i="111"/>
  <c r="C43" i="184"/>
  <c r="C42" i="184"/>
  <c r="C41" i="184"/>
  <c r="C40" i="184"/>
  <c r="C39" i="184"/>
  <c r="C19" i="184"/>
  <c r="C17" i="184"/>
  <c r="C16" i="184"/>
  <c r="C14" i="184"/>
  <c r="F32" i="184"/>
  <c r="F33" i="184"/>
  <c r="F34" i="184"/>
  <c r="F35" i="184"/>
  <c r="F36" i="184"/>
  <c r="F37" i="184"/>
  <c r="F28" i="184"/>
  <c r="F29" i="184"/>
  <c r="F30" i="184"/>
  <c r="F31" i="184"/>
  <c r="F27" i="184"/>
  <c r="D43" i="184"/>
  <c r="D42" i="184"/>
  <c r="D41" i="184"/>
  <c r="D40" i="184"/>
  <c r="D39" i="184"/>
  <c r="L15" i="184"/>
  <c r="K15" i="184"/>
  <c r="J15" i="184"/>
  <c r="I15" i="184"/>
  <c r="E12" i="184"/>
  <c r="C18" i="184" s="1"/>
  <c r="D163" i="111"/>
  <c r="D20" i="184"/>
  <c r="D19" i="184"/>
  <c r="D18" i="184"/>
  <c r="O97" i="37"/>
  <c r="R97" i="37" s="1"/>
  <c r="D24" i="153"/>
  <c r="D23" i="153"/>
  <c r="D22" i="153"/>
  <c r="D21" i="153"/>
  <c r="D20" i="153"/>
  <c r="D25" i="153" s="1"/>
  <c r="B30" i="153" s="1"/>
  <c r="A13" i="153"/>
  <c r="B13" i="153" s="1"/>
  <c r="F289" i="161"/>
  <c r="H289" i="161"/>
  <c r="F268" i="161"/>
  <c r="H268" i="161"/>
  <c r="F267" i="161"/>
  <c r="H267" i="161"/>
  <c r="F246" i="161"/>
  <c r="H246" i="161"/>
  <c r="F247" i="161"/>
  <c r="H247" i="161"/>
  <c r="F225" i="161"/>
  <c r="H225" i="161"/>
  <c r="F226" i="161"/>
  <c r="H226" i="161"/>
  <c r="F204" i="161"/>
  <c r="H204" i="161"/>
  <c r="F205" i="161"/>
  <c r="H205" i="161"/>
  <c r="F183" i="161"/>
  <c r="H183" i="161"/>
  <c r="F184" i="161"/>
  <c r="H184" i="161"/>
  <c r="F163" i="161"/>
  <c r="H163" i="161"/>
  <c r="F142" i="161"/>
  <c r="H142" i="161"/>
  <c r="F122" i="161"/>
  <c r="H122" i="161"/>
  <c r="F121" i="161"/>
  <c r="H121" i="161"/>
  <c r="F101" i="161"/>
  <c r="H101" i="161"/>
  <c r="F79" i="161"/>
  <c r="H79" i="161"/>
  <c r="F58" i="161"/>
  <c r="H58" i="161"/>
  <c r="F162" i="161"/>
  <c r="H162" i="161"/>
  <c r="F141" i="161"/>
  <c r="H141" i="161"/>
  <c r="F100" i="161"/>
  <c r="H100" i="161"/>
  <c r="F78" i="161"/>
  <c r="H78" i="161"/>
  <c r="F57" i="161"/>
  <c r="H57" i="161"/>
  <c r="H36" i="161"/>
  <c r="F36" i="161"/>
  <c r="F37" i="161"/>
  <c r="H37" i="161"/>
  <c r="D35" i="160"/>
  <c r="E24" i="160"/>
  <c r="F24" i="160" s="1"/>
  <c r="E23" i="160"/>
  <c r="F23" i="160" s="1"/>
  <c r="G24" i="160"/>
  <c r="H24" i="160"/>
  <c r="F14" i="183"/>
  <c r="F15" i="183"/>
  <c r="F16" i="183"/>
  <c r="F17" i="183"/>
  <c r="F18" i="183"/>
  <c r="F19" i="183"/>
  <c r="F20" i="183"/>
  <c r="F21" i="183"/>
  <c r="F22" i="183"/>
  <c r="F13" i="183"/>
  <c r="G14" i="183"/>
  <c r="G15" i="183"/>
  <c r="G16" i="183"/>
  <c r="G17" i="183"/>
  <c r="G18" i="183"/>
  <c r="G19" i="183"/>
  <c r="G20" i="183"/>
  <c r="G21" i="183"/>
  <c r="G22" i="183"/>
  <c r="G13" i="183"/>
  <c r="C11" i="183"/>
  <c r="C107" i="173"/>
  <c r="E107" i="173"/>
  <c r="F107" i="173" s="1"/>
  <c r="E25" i="159"/>
  <c r="F25" i="159" s="1"/>
  <c r="G25" i="159"/>
  <c r="H25" i="159"/>
  <c r="D35" i="135"/>
  <c r="E35" i="135"/>
  <c r="F35" i="135"/>
  <c r="E42" i="156"/>
  <c r="F42" i="156" s="1"/>
  <c r="H42" i="156"/>
  <c r="E99" i="155"/>
  <c r="F99" i="155" s="1"/>
  <c r="G99" i="155"/>
  <c r="E128" i="133"/>
  <c r="F128" i="133" s="1"/>
  <c r="G128" i="133"/>
  <c r="H128" i="133"/>
  <c r="E42" i="146"/>
  <c r="F42" i="146" s="1"/>
  <c r="G42" i="146"/>
  <c r="E43" i="146"/>
  <c r="F43" i="146" s="1"/>
  <c r="G43" i="146"/>
  <c r="E62" i="154"/>
  <c r="F62" i="154" s="1"/>
  <c r="G62" i="154"/>
  <c r="H62" i="154"/>
  <c r="E69" i="130"/>
  <c r="F69" i="130" s="1"/>
  <c r="H69" i="130"/>
  <c r="F19" i="181"/>
  <c r="F16" i="181"/>
  <c r="F17" i="181"/>
  <c r="F18" i="181"/>
  <c r="F14" i="181"/>
  <c r="H14" i="181" s="1"/>
  <c r="G15" i="181"/>
  <c r="H15" i="181" s="1"/>
  <c r="G16" i="181"/>
  <c r="G17" i="181"/>
  <c r="G18" i="181"/>
  <c r="G19" i="181"/>
  <c r="G14" i="181"/>
  <c r="C12" i="181"/>
  <c r="E277" i="120"/>
  <c r="N219" i="120"/>
  <c r="N220" i="120"/>
  <c r="H36" i="183" l="1"/>
  <c r="H37" i="183"/>
  <c r="H18" i="181"/>
  <c r="H17" i="181"/>
  <c r="H16" i="181"/>
  <c r="M143" i="184"/>
  <c r="M58" i="184"/>
  <c r="N35" i="184"/>
  <c r="H34" i="183"/>
  <c r="H35" i="183"/>
  <c r="H19" i="181"/>
  <c r="H32" i="183"/>
  <c r="H33" i="183"/>
  <c r="C83" i="187"/>
  <c r="H117" i="187" s="1"/>
  <c r="F132" i="184"/>
  <c r="I84" i="184"/>
  <c r="F90" i="184" s="1"/>
  <c r="N55" i="184"/>
  <c r="M166" i="184"/>
  <c r="M164" i="184"/>
  <c r="N60" i="184"/>
  <c r="F130" i="184"/>
  <c r="N164" i="184"/>
  <c r="N27" i="184"/>
  <c r="M38" i="184"/>
  <c r="M30" i="184"/>
  <c r="N100" i="184"/>
  <c r="N144" i="184"/>
  <c r="N168" i="184"/>
  <c r="M105" i="184"/>
  <c r="M103" i="184"/>
  <c r="D28" i="185"/>
  <c r="D32" i="185"/>
  <c r="I32" i="185" s="1"/>
  <c r="D36" i="185"/>
  <c r="D40" i="185"/>
  <c r="I40" i="185" s="1"/>
  <c r="D44" i="185"/>
  <c r="D48" i="185"/>
  <c r="D52" i="185"/>
  <c r="I52" i="185" s="1"/>
  <c r="D56" i="185"/>
  <c r="I56" i="185" s="1"/>
  <c r="D60" i="185"/>
  <c r="D64" i="185"/>
  <c r="D68" i="185"/>
  <c r="I68" i="185" s="1"/>
  <c r="D72" i="185"/>
  <c r="I72" i="185" s="1"/>
  <c r="D76" i="185"/>
  <c r="D80" i="185"/>
  <c r="D84" i="185"/>
  <c r="I84" i="185" s="1"/>
  <c r="D88" i="185"/>
  <c r="I88" i="185" s="1"/>
  <c r="D92" i="185"/>
  <c r="D96" i="185"/>
  <c r="D21" i="185"/>
  <c r="D91" i="185"/>
  <c r="I91" i="185" s="1"/>
  <c r="D24" i="185"/>
  <c r="D29" i="185"/>
  <c r="I29" i="185" s="1"/>
  <c r="D33" i="185"/>
  <c r="I33" i="185" s="1"/>
  <c r="D37" i="185"/>
  <c r="I37" i="185" s="1"/>
  <c r="D41" i="185"/>
  <c r="D45" i="185"/>
  <c r="I45" i="185" s="1"/>
  <c r="D49" i="185"/>
  <c r="I49" i="185" s="1"/>
  <c r="D53" i="185"/>
  <c r="I53" i="185" s="1"/>
  <c r="D57" i="185"/>
  <c r="D61" i="185"/>
  <c r="I61" i="185" s="1"/>
  <c r="D65" i="185"/>
  <c r="D69" i="185"/>
  <c r="I69" i="185" s="1"/>
  <c r="D73" i="185"/>
  <c r="D77" i="185"/>
  <c r="I77" i="185" s="1"/>
  <c r="D81" i="185"/>
  <c r="D85" i="185"/>
  <c r="I85" i="185" s="1"/>
  <c r="D89" i="185"/>
  <c r="D93" i="185"/>
  <c r="I93" i="185" s="1"/>
  <c r="D97" i="185"/>
  <c r="I97" i="185" s="1"/>
  <c r="D22" i="185"/>
  <c r="D26" i="185"/>
  <c r="D47" i="185"/>
  <c r="D55" i="185"/>
  <c r="D63" i="185"/>
  <c r="I63" i="185" s="1"/>
  <c r="D71" i="185"/>
  <c r="D79" i="185"/>
  <c r="D87" i="185"/>
  <c r="I87" i="185" s="1"/>
  <c r="D99" i="185"/>
  <c r="I99" i="185" s="1"/>
  <c r="D23" i="185"/>
  <c r="D25" i="185"/>
  <c r="I25" i="185" s="1"/>
  <c r="D30" i="185"/>
  <c r="I30" i="185" s="1"/>
  <c r="D34" i="185"/>
  <c r="I34" i="185" s="1"/>
  <c r="D38" i="185"/>
  <c r="D42" i="185"/>
  <c r="I42" i="185" s="1"/>
  <c r="D46" i="185"/>
  <c r="I46" i="185" s="1"/>
  <c r="D50" i="185"/>
  <c r="I50" i="185" s="1"/>
  <c r="D54" i="185"/>
  <c r="D58" i="185"/>
  <c r="I58" i="185" s="1"/>
  <c r="D62" i="185"/>
  <c r="D66" i="185"/>
  <c r="I66" i="185" s="1"/>
  <c r="D70" i="185"/>
  <c r="D74" i="185"/>
  <c r="I74" i="185" s="1"/>
  <c r="D78" i="185"/>
  <c r="I78" i="185" s="1"/>
  <c r="D82" i="185"/>
  <c r="I82" i="185" s="1"/>
  <c r="D86" i="185"/>
  <c r="D90" i="185"/>
  <c r="I90" i="185" s="1"/>
  <c r="D94" i="185"/>
  <c r="D98" i="185"/>
  <c r="D20" i="185"/>
  <c r="D31" i="185"/>
  <c r="D35" i="185"/>
  <c r="I35" i="185" s="1"/>
  <c r="D39" i="185"/>
  <c r="I39" i="185" s="1"/>
  <c r="D43" i="185"/>
  <c r="I43" i="185" s="1"/>
  <c r="D51" i="185"/>
  <c r="D59" i="185"/>
  <c r="I59" i="185" s="1"/>
  <c r="D67" i="185"/>
  <c r="I67" i="185" s="1"/>
  <c r="D75" i="185"/>
  <c r="I75" i="185" s="1"/>
  <c r="D83" i="185"/>
  <c r="I83" i="185" s="1"/>
  <c r="D95" i="185"/>
  <c r="F34" i="187"/>
  <c r="G35" i="135"/>
  <c r="M60" i="184"/>
  <c r="N148" i="184"/>
  <c r="N146" i="184"/>
  <c r="N145" i="184"/>
  <c r="F38" i="184"/>
  <c r="N105" i="184"/>
  <c r="M99" i="184"/>
  <c r="M150" i="184"/>
  <c r="M149" i="184"/>
  <c r="M146" i="184"/>
  <c r="M145" i="184"/>
  <c r="M170" i="184"/>
  <c r="M168" i="184"/>
  <c r="M167" i="184"/>
  <c r="N166" i="184"/>
  <c r="N165" i="184"/>
  <c r="B34" i="195"/>
  <c r="I98" i="185"/>
  <c r="N51" i="184"/>
  <c r="M95" i="184"/>
  <c r="I106" i="184"/>
  <c r="F16" i="184"/>
  <c r="N33" i="184"/>
  <c r="N29" i="184"/>
  <c r="N52" i="184"/>
  <c r="M34" i="184"/>
  <c r="F64" i="184"/>
  <c r="M54" i="184"/>
  <c r="M53" i="184"/>
  <c r="M52" i="184"/>
  <c r="M73" i="184"/>
  <c r="M74" i="184"/>
  <c r="M75" i="184"/>
  <c r="M76" i="184"/>
  <c r="M77" i="184"/>
  <c r="M78" i="184"/>
  <c r="M79" i="184"/>
  <c r="M80" i="184"/>
  <c r="M81" i="184"/>
  <c r="M82" i="184"/>
  <c r="M83" i="184"/>
  <c r="N98" i="184"/>
  <c r="N140" i="184"/>
  <c r="H101" i="187"/>
  <c r="H103" i="187"/>
  <c r="H104" i="187"/>
  <c r="H100" i="187"/>
  <c r="H111" i="187"/>
  <c r="H114" i="187"/>
  <c r="H112" i="187"/>
  <c r="H113" i="187"/>
  <c r="H107" i="187"/>
  <c r="H108" i="187"/>
  <c r="H105" i="187"/>
  <c r="H102" i="187"/>
  <c r="H99" i="187"/>
  <c r="H115" i="187"/>
  <c r="H109" i="187"/>
  <c r="H106" i="187"/>
  <c r="H116" i="187"/>
  <c r="H110" i="187"/>
  <c r="G107" i="173"/>
  <c r="I25" i="159"/>
  <c r="I21" i="185"/>
  <c r="H13" i="183"/>
  <c r="H28" i="183"/>
  <c r="H23" i="183"/>
  <c r="H26" i="183"/>
  <c r="H30" i="183"/>
  <c r="H31" i="183"/>
  <c r="H24" i="183"/>
  <c r="H29" i="183"/>
  <c r="H27" i="183"/>
  <c r="H25" i="183"/>
  <c r="H89" i="187"/>
  <c r="H93" i="187"/>
  <c r="H97" i="187"/>
  <c r="H91" i="187"/>
  <c r="H90" i="187"/>
  <c r="H94" i="187"/>
  <c r="H98" i="187"/>
  <c r="H95" i="187"/>
  <c r="H92" i="187"/>
  <c r="H96" i="187"/>
  <c r="O67" i="37"/>
  <c r="M15" i="184"/>
  <c r="N30" i="184"/>
  <c r="J61" i="184"/>
  <c r="I61" i="184"/>
  <c r="K106" i="184"/>
  <c r="J129" i="184"/>
  <c r="J174" i="184"/>
  <c r="F19" i="184"/>
  <c r="N37" i="184"/>
  <c r="M32" i="184"/>
  <c r="M31" i="184"/>
  <c r="N57" i="184"/>
  <c r="N56" i="184"/>
  <c r="F109" i="184"/>
  <c r="I14" i="184"/>
  <c r="I18" i="184" s="1"/>
  <c r="K14" i="184"/>
  <c r="C20" i="184"/>
  <c r="F20" i="184" s="1"/>
  <c r="L61" i="184"/>
  <c r="F87" i="184"/>
  <c r="M140" i="184"/>
  <c r="M151" i="184"/>
  <c r="N142" i="184"/>
  <c r="N141" i="184"/>
  <c r="I174" i="184"/>
  <c r="N171" i="184"/>
  <c r="N94" i="184"/>
  <c r="M101" i="184"/>
  <c r="M100" i="184"/>
  <c r="N99" i="184"/>
  <c r="N96" i="184"/>
  <c r="N117" i="184"/>
  <c r="N118" i="184"/>
  <c r="N119" i="184"/>
  <c r="N120" i="184"/>
  <c r="N121" i="184"/>
  <c r="N122" i="184"/>
  <c r="K39" i="184"/>
  <c r="M36" i="184"/>
  <c r="M35" i="184"/>
  <c r="N34" i="184"/>
  <c r="N31" i="184"/>
  <c r="F65" i="184"/>
  <c r="N49" i="184"/>
  <c r="M57" i="184"/>
  <c r="M56" i="184"/>
  <c r="F155" i="184"/>
  <c r="N72" i="184"/>
  <c r="N73" i="184"/>
  <c r="N74" i="184"/>
  <c r="N75" i="184"/>
  <c r="N76" i="184"/>
  <c r="N77" i="184"/>
  <c r="N78" i="184"/>
  <c r="N79" i="184"/>
  <c r="N80" i="184"/>
  <c r="N81" i="184"/>
  <c r="N82" i="184"/>
  <c r="N83" i="184"/>
  <c r="N102" i="184"/>
  <c r="M97" i="184"/>
  <c r="M96" i="184"/>
  <c r="N150" i="184"/>
  <c r="N149" i="184"/>
  <c r="M147" i="184"/>
  <c r="K152" i="184"/>
  <c r="M141" i="184"/>
  <c r="M173" i="184"/>
  <c r="M172" i="184"/>
  <c r="M171" i="184"/>
  <c r="N169" i="184"/>
  <c r="H22" i="183"/>
  <c r="H16" i="183"/>
  <c r="H20" i="183"/>
  <c r="H17" i="183"/>
  <c r="D41" i="183"/>
  <c r="H15" i="183"/>
  <c r="H19" i="183"/>
  <c r="H21" i="183"/>
  <c r="H18" i="183"/>
  <c r="H14" i="183"/>
  <c r="I62" i="154"/>
  <c r="I96" i="185"/>
  <c r="I94" i="185"/>
  <c r="I92" i="185"/>
  <c r="I86" i="185"/>
  <c r="I80" i="185"/>
  <c r="I76" i="185"/>
  <c r="I70" i="185"/>
  <c r="I64" i="185"/>
  <c r="I62" i="185"/>
  <c r="I60" i="185"/>
  <c r="I54" i="185"/>
  <c r="I48" i="185"/>
  <c r="I44" i="185"/>
  <c r="I95" i="185"/>
  <c r="I89" i="185"/>
  <c r="I81" i="185"/>
  <c r="I79" i="185"/>
  <c r="I73" i="185"/>
  <c r="I71" i="185"/>
  <c r="I65" i="185"/>
  <c r="I57" i="185"/>
  <c r="I55" i="185"/>
  <c r="I51" i="185"/>
  <c r="I47" i="185"/>
  <c r="I41" i="185"/>
  <c r="I22" i="185"/>
  <c r="I26" i="185"/>
  <c r="I31" i="185"/>
  <c r="I36" i="185"/>
  <c r="I38" i="185"/>
  <c r="I23" i="185"/>
  <c r="I28" i="185"/>
  <c r="I24" i="185"/>
  <c r="K61" i="184"/>
  <c r="F18" i="184"/>
  <c r="M27" i="184"/>
  <c r="F62" i="184"/>
  <c r="M94" i="184"/>
  <c r="K174" i="184"/>
  <c r="M163" i="184"/>
  <c r="L174" i="184"/>
  <c r="N162" i="184"/>
  <c r="L39" i="184"/>
  <c r="E61" i="184"/>
  <c r="F61" i="184" s="1"/>
  <c r="E84" i="184"/>
  <c r="F84" i="184" s="1"/>
  <c r="F17" i="184"/>
  <c r="J39" i="184"/>
  <c r="M49" i="184"/>
  <c r="N53" i="184"/>
  <c r="M122" i="184"/>
  <c r="L106" i="184"/>
  <c r="J152" i="184"/>
  <c r="N38" i="184"/>
  <c r="N28" i="184"/>
  <c r="I39" i="184"/>
  <c r="F45" i="184" s="1"/>
  <c r="M59" i="184"/>
  <c r="N58" i="184"/>
  <c r="M55" i="184"/>
  <c r="N54" i="184"/>
  <c r="M51" i="184"/>
  <c r="M50" i="184"/>
  <c r="E108" i="184"/>
  <c r="F108" i="184" s="1"/>
  <c r="M104" i="184"/>
  <c r="N103" i="184"/>
  <c r="J106" i="184"/>
  <c r="F131" i="184"/>
  <c r="M118" i="184"/>
  <c r="M119" i="184"/>
  <c r="M120" i="184"/>
  <c r="M121" i="184"/>
  <c r="N123" i="184"/>
  <c r="N124" i="184"/>
  <c r="N125" i="184"/>
  <c r="N126" i="184"/>
  <c r="N127" i="184"/>
  <c r="N128" i="184"/>
  <c r="L129" i="184"/>
  <c r="E156" i="184"/>
  <c r="F156" i="184" s="1"/>
  <c r="I152" i="184"/>
  <c r="N151" i="184"/>
  <c r="M148" i="184"/>
  <c r="N147" i="184"/>
  <c r="M144" i="184"/>
  <c r="N143" i="184"/>
  <c r="N172" i="184"/>
  <c r="M169" i="184"/>
  <c r="M165" i="184"/>
  <c r="M162" i="184"/>
  <c r="N15" i="184"/>
  <c r="M37" i="184"/>
  <c r="N36" i="184"/>
  <c r="M33" i="184"/>
  <c r="N32" i="184"/>
  <c r="M29" i="184"/>
  <c r="M28" i="184"/>
  <c r="N59" i="184"/>
  <c r="F86" i="184"/>
  <c r="N104" i="184"/>
  <c r="M102" i="184"/>
  <c r="N101" i="184"/>
  <c r="M98" i="184"/>
  <c r="N97" i="184"/>
  <c r="M123" i="184"/>
  <c r="M124" i="184"/>
  <c r="M125" i="184"/>
  <c r="M126" i="184"/>
  <c r="M127" i="184"/>
  <c r="M128" i="184"/>
  <c r="I129" i="184"/>
  <c r="F135" i="184" s="1"/>
  <c r="N173" i="184"/>
  <c r="N170" i="184"/>
  <c r="N167" i="184"/>
  <c r="N163" i="184"/>
  <c r="F175" i="184"/>
  <c r="F177" i="184"/>
  <c r="F174" i="184"/>
  <c r="F176" i="184"/>
  <c r="F178" i="184"/>
  <c r="M142" i="184"/>
  <c r="L152" i="184"/>
  <c r="F153" i="184"/>
  <c r="F154" i="184"/>
  <c r="M117" i="184"/>
  <c r="F133" i="184"/>
  <c r="F129" i="184"/>
  <c r="N95" i="184"/>
  <c r="F106" i="184"/>
  <c r="F110" i="184"/>
  <c r="F107" i="184"/>
  <c r="M72" i="184"/>
  <c r="L84" i="184"/>
  <c r="F88" i="184"/>
  <c r="F85" i="184"/>
  <c r="N50" i="184"/>
  <c r="F63" i="184"/>
  <c r="F42" i="184"/>
  <c r="K18" i="184"/>
  <c r="M14" i="184"/>
  <c r="M18" i="184" s="1"/>
  <c r="J14" i="184"/>
  <c r="J18" i="184" s="1"/>
  <c r="L14" i="184"/>
  <c r="F41" i="184"/>
  <c r="F39" i="184"/>
  <c r="F43" i="184"/>
  <c r="F40" i="184"/>
  <c r="O91" i="37"/>
  <c r="R91" i="37" s="1"/>
  <c r="E10" i="180"/>
  <c r="E8" i="180"/>
  <c r="E6" i="180"/>
  <c r="C83" i="141"/>
  <c r="H19" i="141"/>
  <c r="H20" i="141"/>
  <c r="H21" i="141"/>
  <c r="H22" i="141"/>
  <c r="H23" i="141"/>
  <c r="H24" i="141"/>
  <c r="H25" i="141"/>
  <c r="H26" i="141"/>
  <c r="H27" i="141"/>
  <c r="H28" i="141"/>
  <c r="H29" i="141"/>
  <c r="H30" i="141"/>
  <c r="H31" i="141"/>
  <c r="H32" i="141"/>
  <c r="H33" i="141"/>
  <c r="H34" i="141"/>
  <c r="H35" i="141"/>
  <c r="H36" i="141"/>
  <c r="H37" i="141"/>
  <c r="H38" i="141"/>
  <c r="H39" i="141"/>
  <c r="H40" i="141"/>
  <c r="H41" i="141"/>
  <c r="H42" i="141"/>
  <c r="H43" i="141"/>
  <c r="H44" i="141"/>
  <c r="H45" i="141"/>
  <c r="H46" i="141"/>
  <c r="H47" i="141"/>
  <c r="H48" i="141"/>
  <c r="H49" i="141"/>
  <c r="H50" i="141"/>
  <c r="H51" i="141"/>
  <c r="H52" i="141"/>
  <c r="H53" i="141"/>
  <c r="H54" i="141"/>
  <c r="H55" i="141"/>
  <c r="H56" i="141"/>
  <c r="H57" i="141"/>
  <c r="H58" i="141"/>
  <c r="H59" i="141"/>
  <c r="H60" i="141"/>
  <c r="H61" i="141"/>
  <c r="H62" i="141"/>
  <c r="H63" i="141"/>
  <c r="H64" i="141"/>
  <c r="H65" i="141"/>
  <c r="H66" i="141"/>
  <c r="H67" i="141"/>
  <c r="H68" i="141"/>
  <c r="H69" i="141"/>
  <c r="H70" i="141"/>
  <c r="H71" i="141"/>
  <c r="H72" i="141"/>
  <c r="H73" i="141"/>
  <c r="H74" i="141"/>
  <c r="H75" i="141"/>
  <c r="H76" i="141"/>
  <c r="H77" i="141"/>
  <c r="H18" i="141"/>
  <c r="H10" i="141"/>
  <c r="H11" i="141"/>
  <c r="H12" i="141"/>
  <c r="H13" i="141"/>
  <c r="H14" i="141"/>
  <c r="H9" i="141"/>
  <c r="J80" i="141"/>
  <c r="D68" i="144"/>
  <c r="G96" i="140"/>
  <c r="G32" i="140"/>
  <c r="E77" i="141"/>
  <c r="F77" i="141"/>
  <c r="G77" i="141" s="1"/>
  <c r="I77" i="141"/>
  <c r="E75" i="141"/>
  <c r="F75" i="141" s="1"/>
  <c r="G75" i="141" s="1"/>
  <c r="I75" i="141"/>
  <c r="E76" i="141"/>
  <c r="F76" i="141"/>
  <c r="G76" i="141" s="1"/>
  <c r="I76" i="141"/>
  <c r="D96" i="140"/>
  <c r="I96" i="140" s="1"/>
  <c r="F96" i="140"/>
  <c r="H96" i="140"/>
  <c r="F62" i="144"/>
  <c r="G62" i="144" s="1"/>
  <c r="H62" i="144"/>
  <c r="E205" i="138"/>
  <c r="F205" i="138" s="1"/>
  <c r="H205" i="138"/>
  <c r="D13" i="138"/>
  <c r="D12" i="138"/>
  <c r="C350" i="165"/>
  <c r="I28" i="74"/>
  <c r="R46" i="209" l="1"/>
  <c r="S46" i="209" s="1"/>
  <c r="D26" i="181"/>
  <c r="Q86" i="37"/>
  <c r="R86" i="37" s="1"/>
  <c r="R12" i="209"/>
  <c r="S12" i="209" s="1"/>
  <c r="P24" i="209"/>
  <c r="H122" i="187"/>
  <c r="H119" i="187"/>
  <c r="H121" i="187"/>
  <c r="H120" i="187"/>
  <c r="H118" i="187"/>
  <c r="C127" i="187"/>
  <c r="B36" i="195"/>
  <c r="F112" i="184"/>
  <c r="F89" i="184"/>
  <c r="F91" i="184" s="1"/>
  <c r="I20" i="185"/>
  <c r="I100" i="185" s="1"/>
  <c r="C103" i="185" s="1"/>
  <c r="C102" i="185"/>
  <c r="M106" i="184"/>
  <c r="M84" i="184"/>
  <c r="N152" i="184"/>
  <c r="M61" i="184"/>
  <c r="N61" i="184"/>
  <c r="F66" i="184"/>
  <c r="M129" i="184"/>
  <c r="M174" i="184"/>
  <c r="N39" i="184"/>
  <c r="F179" i="184"/>
  <c r="N84" i="184"/>
  <c r="F180" i="184"/>
  <c r="F46" i="184"/>
  <c r="F111" i="184"/>
  <c r="N106" i="184"/>
  <c r="F157" i="184"/>
  <c r="M152" i="184"/>
  <c r="F158" i="184"/>
  <c r="F67" i="184"/>
  <c r="N174" i="184"/>
  <c r="N129" i="184"/>
  <c r="F134" i="184"/>
  <c r="M39" i="184"/>
  <c r="F22" i="184"/>
  <c r="L18" i="184"/>
  <c r="N14" i="184"/>
  <c r="N18" i="184" s="1"/>
  <c r="J96" i="140"/>
  <c r="F13" i="160"/>
  <c r="D28" i="181" l="1"/>
  <c r="Q90" i="37"/>
  <c r="R90" i="37" s="1"/>
  <c r="R38" i="209"/>
  <c r="S38" i="209" s="1"/>
  <c r="R24" i="209"/>
  <c r="S24" i="209" s="1"/>
  <c r="F113" i="184"/>
  <c r="F181" i="184"/>
  <c r="F68" i="184"/>
  <c r="C106" i="185"/>
  <c r="F159" i="184"/>
  <c r="Q98" i="37"/>
  <c r="R98" i="37" s="1"/>
  <c r="D42" i="183"/>
  <c r="D44" i="183" s="1"/>
  <c r="F136" i="184"/>
  <c r="I225" i="179"/>
  <c r="I226" i="179"/>
  <c r="I227" i="179"/>
  <c r="I224" i="179"/>
  <c r="I202" i="179"/>
  <c r="I203" i="179"/>
  <c r="I204" i="179"/>
  <c r="I201" i="179"/>
  <c r="I216" i="179" s="1"/>
  <c r="C197" i="179"/>
  <c r="I179" i="179"/>
  <c r="I180" i="179"/>
  <c r="I181" i="179"/>
  <c r="I178" i="179"/>
  <c r="I156" i="179"/>
  <c r="I157" i="179"/>
  <c r="I158" i="179"/>
  <c r="I155" i="179"/>
  <c r="I133" i="179"/>
  <c r="I134" i="179"/>
  <c r="I135" i="179"/>
  <c r="I132" i="179"/>
  <c r="I87" i="179"/>
  <c r="I88" i="179"/>
  <c r="I89" i="179"/>
  <c r="I86" i="179"/>
  <c r="I64" i="179"/>
  <c r="I65" i="179"/>
  <c r="I66" i="179"/>
  <c r="I63" i="179"/>
  <c r="I78" i="179" s="1"/>
  <c r="C81" i="179" s="1"/>
  <c r="I54" i="179"/>
  <c r="I40" i="179"/>
  <c r="I41" i="179"/>
  <c r="I42" i="179"/>
  <c r="I39" i="179"/>
  <c r="I110" i="179"/>
  <c r="I111" i="179"/>
  <c r="I112" i="179"/>
  <c r="I109" i="179"/>
  <c r="J110" i="179"/>
  <c r="J111" i="179"/>
  <c r="J112" i="179"/>
  <c r="J109" i="179"/>
  <c r="I193" i="179"/>
  <c r="C103" i="179"/>
  <c r="H270" i="179"/>
  <c r="G270" i="179"/>
  <c r="E270" i="179"/>
  <c r="H269" i="179"/>
  <c r="G269" i="179"/>
  <c r="E269" i="179"/>
  <c r="G268" i="179"/>
  <c r="E268" i="179"/>
  <c r="H268" i="179" s="1"/>
  <c r="G267" i="179"/>
  <c r="E267" i="179"/>
  <c r="H267" i="179" s="1"/>
  <c r="H266" i="179"/>
  <c r="G266" i="179"/>
  <c r="E266" i="179"/>
  <c r="H265" i="179"/>
  <c r="G265" i="179"/>
  <c r="E265" i="179"/>
  <c r="G264" i="179"/>
  <c r="E264" i="179"/>
  <c r="H264" i="179" s="1"/>
  <c r="G263" i="179"/>
  <c r="E263" i="179"/>
  <c r="H263" i="179" s="1"/>
  <c r="H262" i="179"/>
  <c r="G262" i="179"/>
  <c r="E262" i="179"/>
  <c r="H261" i="179"/>
  <c r="G261" i="179"/>
  <c r="E261" i="179"/>
  <c r="G260" i="179"/>
  <c r="E260" i="179"/>
  <c r="H260" i="179" s="1"/>
  <c r="G259" i="179"/>
  <c r="E259" i="179"/>
  <c r="H259" i="179" s="1"/>
  <c r="H238" i="179"/>
  <c r="G238" i="179"/>
  <c r="E238" i="179"/>
  <c r="H237" i="179"/>
  <c r="G237" i="179"/>
  <c r="E237" i="179"/>
  <c r="H236" i="179"/>
  <c r="G236" i="179"/>
  <c r="E236" i="179"/>
  <c r="H235" i="179"/>
  <c r="G235" i="179"/>
  <c r="E235" i="179"/>
  <c r="H234" i="179"/>
  <c r="G234" i="179"/>
  <c r="H233" i="179"/>
  <c r="G233" i="179"/>
  <c r="H232" i="179"/>
  <c r="G232" i="179"/>
  <c r="H231" i="179"/>
  <c r="G231" i="179"/>
  <c r="H230" i="179"/>
  <c r="G230" i="179"/>
  <c r="H229" i="179"/>
  <c r="G229" i="179"/>
  <c r="H228" i="179"/>
  <c r="G228" i="179"/>
  <c r="H227" i="179"/>
  <c r="G227" i="179"/>
  <c r="H226" i="179"/>
  <c r="G226" i="179"/>
  <c r="H225" i="179"/>
  <c r="G225" i="179"/>
  <c r="H224" i="179"/>
  <c r="G224" i="179"/>
  <c r="G215" i="179"/>
  <c r="E215" i="179"/>
  <c r="H215" i="179" s="1"/>
  <c r="G214" i="179"/>
  <c r="E214" i="179"/>
  <c r="H214" i="179" s="1"/>
  <c r="G213" i="179"/>
  <c r="E213" i="179"/>
  <c r="H213" i="179" s="1"/>
  <c r="G212" i="179"/>
  <c r="E212" i="179"/>
  <c r="H212" i="179" s="1"/>
  <c r="H211" i="179"/>
  <c r="G211" i="179"/>
  <c r="H210" i="179"/>
  <c r="G210" i="179"/>
  <c r="H209" i="179"/>
  <c r="G209" i="179"/>
  <c r="H208" i="179"/>
  <c r="G208" i="179"/>
  <c r="H207" i="179"/>
  <c r="G207" i="179"/>
  <c r="H206" i="179"/>
  <c r="G206" i="179"/>
  <c r="H205" i="179"/>
  <c r="G205" i="179"/>
  <c r="H204" i="179"/>
  <c r="G204" i="179"/>
  <c r="H203" i="179"/>
  <c r="G203" i="179"/>
  <c r="H202" i="179"/>
  <c r="G202" i="179"/>
  <c r="H201" i="179"/>
  <c r="G201" i="179"/>
  <c r="D199" i="179"/>
  <c r="C218" i="179" s="1"/>
  <c r="G192" i="179"/>
  <c r="E192" i="179"/>
  <c r="H192" i="179" s="1"/>
  <c r="G191" i="179"/>
  <c r="E191" i="179"/>
  <c r="H191" i="179" s="1"/>
  <c r="G190" i="179"/>
  <c r="E190" i="179"/>
  <c r="H190" i="179" s="1"/>
  <c r="G189" i="179"/>
  <c r="E189" i="179"/>
  <c r="H189" i="179" s="1"/>
  <c r="H188" i="179"/>
  <c r="G188" i="179"/>
  <c r="H187" i="179"/>
  <c r="G187" i="179"/>
  <c r="H186" i="179"/>
  <c r="G186" i="179"/>
  <c r="H185" i="179"/>
  <c r="G185" i="179"/>
  <c r="H184" i="179"/>
  <c r="G184" i="179"/>
  <c r="H183" i="179"/>
  <c r="G183" i="179"/>
  <c r="H182" i="179"/>
  <c r="G182" i="179"/>
  <c r="H181" i="179"/>
  <c r="G181" i="179"/>
  <c r="H180" i="179"/>
  <c r="G180" i="179"/>
  <c r="H179" i="179"/>
  <c r="G179" i="179"/>
  <c r="H178" i="179"/>
  <c r="G178" i="179"/>
  <c r="D176" i="179"/>
  <c r="C195" i="179" s="1"/>
  <c r="G169" i="179"/>
  <c r="E169" i="179"/>
  <c r="H169" i="179" s="1"/>
  <c r="G168" i="179"/>
  <c r="E168" i="179"/>
  <c r="H168" i="179" s="1"/>
  <c r="G167" i="179"/>
  <c r="E167" i="179"/>
  <c r="H167" i="179" s="1"/>
  <c r="G166" i="179"/>
  <c r="E166" i="179"/>
  <c r="H166" i="179" s="1"/>
  <c r="H165" i="179"/>
  <c r="G165" i="179"/>
  <c r="H164" i="179"/>
  <c r="G164" i="179"/>
  <c r="H163" i="179"/>
  <c r="G163" i="179"/>
  <c r="H162" i="179"/>
  <c r="G162" i="179"/>
  <c r="H161" i="179"/>
  <c r="G161" i="179"/>
  <c r="H160" i="179"/>
  <c r="G160" i="179"/>
  <c r="H159" i="179"/>
  <c r="G159" i="179"/>
  <c r="H158" i="179"/>
  <c r="G158" i="179"/>
  <c r="H157" i="179"/>
  <c r="G157" i="179"/>
  <c r="H156" i="179"/>
  <c r="G156" i="179"/>
  <c r="H155" i="179"/>
  <c r="G155" i="179"/>
  <c r="D153" i="179"/>
  <c r="C172" i="179" s="1"/>
  <c r="G146" i="179"/>
  <c r="E146" i="179"/>
  <c r="H146" i="179" s="1"/>
  <c r="G145" i="179"/>
  <c r="E145" i="179"/>
  <c r="H145" i="179" s="1"/>
  <c r="G144" i="179"/>
  <c r="E144" i="179"/>
  <c r="H144" i="179" s="1"/>
  <c r="G143" i="179"/>
  <c r="E143" i="179"/>
  <c r="H143" i="179" s="1"/>
  <c r="H142" i="179"/>
  <c r="G142" i="179"/>
  <c r="H141" i="179"/>
  <c r="G141" i="179"/>
  <c r="H140" i="179"/>
  <c r="G140" i="179"/>
  <c r="H139" i="179"/>
  <c r="G139" i="179"/>
  <c r="H138" i="179"/>
  <c r="G138" i="179"/>
  <c r="H137" i="179"/>
  <c r="G137" i="179"/>
  <c r="H136" i="179"/>
  <c r="G136" i="179"/>
  <c r="H135" i="179"/>
  <c r="G135" i="179"/>
  <c r="H134" i="179"/>
  <c r="G134" i="179"/>
  <c r="H133" i="179"/>
  <c r="G133" i="179"/>
  <c r="H132" i="179"/>
  <c r="G132" i="179"/>
  <c r="G123" i="179"/>
  <c r="E123" i="179"/>
  <c r="H123" i="179" s="1"/>
  <c r="G122" i="179"/>
  <c r="E122" i="179"/>
  <c r="H122" i="179" s="1"/>
  <c r="G121" i="179"/>
  <c r="E121" i="179"/>
  <c r="H121" i="179" s="1"/>
  <c r="G120" i="179"/>
  <c r="E120" i="179"/>
  <c r="H120" i="179" s="1"/>
  <c r="H119" i="179"/>
  <c r="G119" i="179"/>
  <c r="H118" i="179"/>
  <c r="G118" i="179"/>
  <c r="H117" i="179"/>
  <c r="G117" i="179"/>
  <c r="H116" i="179"/>
  <c r="G116" i="179"/>
  <c r="H115" i="179"/>
  <c r="G115" i="179"/>
  <c r="H114" i="179"/>
  <c r="G114" i="179"/>
  <c r="H113" i="179"/>
  <c r="G113" i="179"/>
  <c r="H112" i="179"/>
  <c r="G112" i="179"/>
  <c r="H111" i="179"/>
  <c r="G111" i="179"/>
  <c r="H110" i="179"/>
  <c r="G110" i="179"/>
  <c r="H109" i="179"/>
  <c r="G109" i="179"/>
  <c r="D107" i="179"/>
  <c r="F114" i="179" s="1"/>
  <c r="G100" i="179"/>
  <c r="E100" i="179"/>
  <c r="H100" i="179" s="1"/>
  <c r="G99" i="179"/>
  <c r="E99" i="179"/>
  <c r="H99" i="179" s="1"/>
  <c r="G98" i="179"/>
  <c r="E98" i="179"/>
  <c r="H98" i="179" s="1"/>
  <c r="G97" i="179"/>
  <c r="E97" i="179"/>
  <c r="H97" i="179" s="1"/>
  <c r="H96" i="179"/>
  <c r="G96" i="179"/>
  <c r="H95" i="179"/>
  <c r="G95" i="179"/>
  <c r="H94" i="179"/>
  <c r="G94" i="179"/>
  <c r="H93" i="179"/>
  <c r="G93" i="179"/>
  <c r="H92" i="179"/>
  <c r="G92" i="179"/>
  <c r="H91" i="179"/>
  <c r="G91" i="179"/>
  <c r="H90" i="179"/>
  <c r="G90" i="179"/>
  <c r="H89" i="179"/>
  <c r="G89" i="179"/>
  <c r="H88" i="179"/>
  <c r="G88" i="179"/>
  <c r="H87" i="179"/>
  <c r="G87" i="179"/>
  <c r="H86" i="179"/>
  <c r="G86" i="179"/>
  <c r="C80" i="179"/>
  <c r="G77" i="179"/>
  <c r="E77" i="179"/>
  <c r="H77" i="179" s="1"/>
  <c r="G76" i="179"/>
  <c r="F76" i="179"/>
  <c r="E76" i="179"/>
  <c r="H76" i="179" s="1"/>
  <c r="G75" i="179"/>
  <c r="F75" i="179"/>
  <c r="E75" i="179"/>
  <c r="H75" i="179" s="1"/>
  <c r="G74" i="179"/>
  <c r="F74" i="179"/>
  <c r="E74" i="179"/>
  <c r="H74" i="179" s="1"/>
  <c r="H73" i="179"/>
  <c r="G73" i="179"/>
  <c r="F73" i="179"/>
  <c r="H72" i="179"/>
  <c r="G72" i="179"/>
  <c r="F72" i="179"/>
  <c r="H71" i="179"/>
  <c r="G71" i="179"/>
  <c r="F71" i="179"/>
  <c r="H70" i="179"/>
  <c r="G70" i="179"/>
  <c r="F70" i="179"/>
  <c r="H69" i="179"/>
  <c r="G69" i="179"/>
  <c r="F69" i="179"/>
  <c r="H68" i="179"/>
  <c r="G68" i="179"/>
  <c r="F68" i="179"/>
  <c r="H67" i="179"/>
  <c r="G67" i="179"/>
  <c r="F67" i="179"/>
  <c r="H66" i="179"/>
  <c r="G66" i="179"/>
  <c r="F66" i="179"/>
  <c r="H65" i="179"/>
  <c r="G65" i="179"/>
  <c r="F65" i="179"/>
  <c r="H64" i="179"/>
  <c r="G64" i="179"/>
  <c r="F64" i="179"/>
  <c r="H63" i="179"/>
  <c r="G63" i="179"/>
  <c r="F63" i="179"/>
  <c r="H53" i="179"/>
  <c r="G53" i="179"/>
  <c r="E53" i="179"/>
  <c r="H52" i="179"/>
  <c r="G52" i="179"/>
  <c r="E52" i="179"/>
  <c r="H51" i="179"/>
  <c r="G51" i="179"/>
  <c r="E51" i="179"/>
  <c r="H50" i="179"/>
  <c r="G50" i="179"/>
  <c r="E50" i="179"/>
  <c r="H49" i="179"/>
  <c r="G49" i="179"/>
  <c r="H48" i="179"/>
  <c r="G48" i="179"/>
  <c r="H47" i="179"/>
  <c r="G47" i="179"/>
  <c r="H46" i="179"/>
  <c r="G46" i="179"/>
  <c r="H45" i="179"/>
  <c r="G45" i="179"/>
  <c r="H44" i="179"/>
  <c r="G44" i="179"/>
  <c r="H43" i="179"/>
  <c r="G43" i="179"/>
  <c r="H42" i="179"/>
  <c r="G42" i="179"/>
  <c r="H41" i="179"/>
  <c r="G41" i="179"/>
  <c r="H40" i="179"/>
  <c r="G40" i="179"/>
  <c r="H39" i="179"/>
  <c r="G39" i="179"/>
  <c r="C37" i="179"/>
  <c r="C57" i="179" s="1"/>
  <c r="D28" i="179"/>
  <c r="D25" i="179"/>
  <c r="D222" i="179" s="1"/>
  <c r="C241" i="179" s="1"/>
  <c r="D24" i="179"/>
  <c r="D23" i="179"/>
  <c r="D22" i="179"/>
  <c r="D21" i="179"/>
  <c r="D130" i="179" s="1"/>
  <c r="D20" i="179"/>
  <c r="D19" i="179"/>
  <c r="D18" i="179"/>
  <c r="D17" i="179"/>
  <c r="C33" i="179" s="1"/>
  <c r="D12" i="179"/>
  <c r="E12" i="179" s="1"/>
  <c r="E24" i="171"/>
  <c r="I353" i="165"/>
  <c r="K13" i="119"/>
  <c r="K10" i="119"/>
  <c r="B36" i="163"/>
  <c r="E20" i="116"/>
  <c r="E19" i="116"/>
  <c r="E22" i="116"/>
  <c r="C52" i="116"/>
  <c r="H126" i="187" l="1"/>
  <c r="C128" i="187"/>
  <c r="C129" i="187" s="1"/>
  <c r="D129" i="187" s="1"/>
  <c r="Q67" i="37"/>
  <c r="R67" i="37" s="1"/>
  <c r="H251" i="184"/>
  <c r="I124" i="179"/>
  <c r="C127" i="179" s="1"/>
  <c r="C82" i="179"/>
  <c r="F99" i="179"/>
  <c r="F98" i="179"/>
  <c r="F97" i="179"/>
  <c r="F96" i="179"/>
  <c r="F92" i="179"/>
  <c r="F94" i="179"/>
  <c r="F90" i="179"/>
  <c r="F89" i="179"/>
  <c r="F88" i="179"/>
  <c r="F87" i="179"/>
  <c r="F86" i="179"/>
  <c r="F93" i="179"/>
  <c r="F91" i="179"/>
  <c r="F95" i="179"/>
  <c r="F270" i="179"/>
  <c r="I270" i="179" s="1"/>
  <c r="F266" i="179"/>
  <c r="I266" i="179" s="1"/>
  <c r="F262" i="179"/>
  <c r="I262" i="179" s="1"/>
  <c r="C276" i="179"/>
  <c r="F269" i="179"/>
  <c r="I269" i="179" s="1"/>
  <c r="F265" i="179"/>
  <c r="I265" i="179" s="1"/>
  <c r="F261" i="179"/>
  <c r="I261" i="179" s="1"/>
  <c r="F268" i="179"/>
  <c r="I268" i="179" s="1"/>
  <c r="F264" i="179"/>
  <c r="I264" i="179" s="1"/>
  <c r="F260" i="179"/>
  <c r="I260" i="179" s="1"/>
  <c r="C274" i="179"/>
  <c r="F267" i="179"/>
  <c r="I267" i="179" s="1"/>
  <c r="F263" i="179"/>
  <c r="I263" i="179" s="1"/>
  <c r="F259" i="179"/>
  <c r="I259" i="179" s="1"/>
  <c r="F238" i="179"/>
  <c r="F237" i="179"/>
  <c r="F236" i="179"/>
  <c r="F235" i="179"/>
  <c r="F234" i="179"/>
  <c r="F230" i="179"/>
  <c r="F209" i="179"/>
  <c r="F205" i="179"/>
  <c r="F204" i="179"/>
  <c r="F203" i="179"/>
  <c r="F202" i="179"/>
  <c r="F201" i="179"/>
  <c r="F191" i="179"/>
  <c r="F190" i="179"/>
  <c r="F189" i="179"/>
  <c r="F188" i="179"/>
  <c r="F184" i="179"/>
  <c r="F163" i="179"/>
  <c r="F159" i="179"/>
  <c r="F158" i="179"/>
  <c r="F157" i="179"/>
  <c r="F156" i="179"/>
  <c r="F155" i="179"/>
  <c r="I170" i="179" s="1"/>
  <c r="C173" i="179" s="1"/>
  <c r="C174" i="179" s="1"/>
  <c r="C149" i="179"/>
  <c r="F145" i="179"/>
  <c r="F144" i="179"/>
  <c r="F143" i="179"/>
  <c r="F142" i="179"/>
  <c r="F138" i="179"/>
  <c r="F231" i="179"/>
  <c r="F232" i="179"/>
  <c r="F228" i="179"/>
  <c r="F227" i="179"/>
  <c r="F226" i="179"/>
  <c r="F225" i="179"/>
  <c r="F224" i="179"/>
  <c r="F214" i="179"/>
  <c r="F213" i="179"/>
  <c r="F212" i="179"/>
  <c r="F211" i="179"/>
  <c r="F207" i="179"/>
  <c r="F186" i="179"/>
  <c r="F182" i="179"/>
  <c r="F181" i="179"/>
  <c r="F180" i="179"/>
  <c r="F179" i="179"/>
  <c r="F178" i="179"/>
  <c r="C196" i="179" s="1"/>
  <c r="F168" i="179"/>
  <c r="F167" i="179"/>
  <c r="F166" i="179"/>
  <c r="F165" i="179"/>
  <c r="F161" i="179"/>
  <c r="F140" i="179"/>
  <c r="F136" i="179"/>
  <c r="F135" i="179"/>
  <c r="F134" i="179"/>
  <c r="F133" i="179"/>
  <c r="F132" i="179"/>
  <c r="F208" i="179"/>
  <c r="F185" i="179"/>
  <c r="F162" i="179"/>
  <c r="F139" i="179"/>
  <c r="F233" i="179"/>
  <c r="F206" i="179"/>
  <c r="F183" i="179"/>
  <c r="F160" i="179"/>
  <c r="F137" i="179"/>
  <c r="F229" i="179"/>
  <c r="F210" i="179"/>
  <c r="F187" i="179"/>
  <c r="F164" i="179"/>
  <c r="F141" i="179"/>
  <c r="F49" i="179"/>
  <c r="F50" i="179"/>
  <c r="F52" i="179"/>
  <c r="F53" i="179"/>
  <c r="F39" i="179"/>
  <c r="F43" i="179"/>
  <c r="F118" i="179"/>
  <c r="F42" i="179"/>
  <c r="F45" i="179"/>
  <c r="F41" i="179"/>
  <c r="F47" i="179"/>
  <c r="F192" i="179"/>
  <c r="F146" i="179"/>
  <c r="F100" i="179"/>
  <c r="F46" i="179"/>
  <c r="F215" i="179"/>
  <c r="F169" i="179"/>
  <c r="F123" i="179"/>
  <c r="F77" i="179"/>
  <c r="F48" i="179"/>
  <c r="F44" i="179"/>
  <c r="F40" i="179"/>
  <c r="F51" i="179"/>
  <c r="F117" i="179"/>
  <c r="F113" i="179"/>
  <c r="F112" i="179"/>
  <c r="F111" i="179"/>
  <c r="F110" i="179"/>
  <c r="F109" i="179"/>
  <c r="C126" i="179"/>
  <c r="F122" i="179"/>
  <c r="F121" i="179"/>
  <c r="F120" i="179"/>
  <c r="F119" i="179"/>
  <c r="F115" i="179"/>
  <c r="F116" i="179"/>
  <c r="B17" i="96"/>
  <c r="B16" i="96"/>
  <c r="B15" i="96"/>
  <c r="B15" i="163"/>
  <c r="B14" i="163"/>
  <c r="B13" i="163"/>
  <c r="B36" i="96"/>
  <c r="J350" i="124"/>
  <c r="C51" i="116"/>
  <c r="C55" i="116" s="1"/>
  <c r="O41" i="37" l="1"/>
  <c r="P16" i="209"/>
  <c r="H250" i="184"/>
  <c r="H248" i="184"/>
  <c r="H249" i="184"/>
  <c r="H209" i="184"/>
  <c r="H213" i="184"/>
  <c r="H217" i="184"/>
  <c r="H221" i="184"/>
  <c r="H225" i="184"/>
  <c r="H229" i="184"/>
  <c r="H233" i="184"/>
  <c r="H237" i="184"/>
  <c r="H241" i="184"/>
  <c r="H245" i="184"/>
  <c r="H202" i="184"/>
  <c r="H206" i="184"/>
  <c r="H197" i="184"/>
  <c r="H193" i="184"/>
  <c r="H211" i="184"/>
  <c r="H219" i="184"/>
  <c r="H227" i="184"/>
  <c r="H235" i="184"/>
  <c r="H243" i="184"/>
  <c r="H247" i="184"/>
  <c r="H208" i="184"/>
  <c r="H195" i="184"/>
  <c r="H224" i="184"/>
  <c r="H232" i="184"/>
  <c r="H240" i="184"/>
  <c r="H201" i="184"/>
  <c r="H200" i="184"/>
  <c r="H210" i="184"/>
  <c r="H214" i="184"/>
  <c r="H218" i="184"/>
  <c r="H222" i="184"/>
  <c r="H226" i="184"/>
  <c r="H230" i="184"/>
  <c r="H234" i="184"/>
  <c r="H238" i="184"/>
  <c r="H242" i="184"/>
  <c r="H246" i="184"/>
  <c r="H203" i="184"/>
  <c r="H207" i="184"/>
  <c r="H198" i="184"/>
  <c r="H194" i="184"/>
  <c r="D255" i="184"/>
  <c r="H215" i="184"/>
  <c r="H223" i="184"/>
  <c r="H231" i="184"/>
  <c r="H239" i="184"/>
  <c r="H204" i="184"/>
  <c r="H199" i="184"/>
  <c r="H212" i="184"/>
  <c r="H216" i="184"/>
  <c r="H220" i="184"/>
  <c r="H228" i="184"/>
  <c r="H236" i="184"/>
  <c r="H244" i="184"/>
  <c r="H205" i="184"/>
  <c r="H196" i="184"/>
  <c r="H192" i="184"/>
  <c r="C128" i="179"/>
  <c r="I147" i="179"/>
  <c r="C150" i="179" s="1"/>
  <c r="C151" i="179" s="1"/>
  <c r="I101" i="179"/>
  <c r="C104" i="179" s="1"/>
  <c r="C105" i="179" s="1"/>
  <c r="C58" i="179"/>
  <c r="I239" i="179"/>
  <c r="C242" i="179" s="1"/>
  <c r="C243" i="179" s="1"/>
  <c r="C219" i="179"/>
  <c r="C220" i="179" s="1"/>
  <c r="I271" i="179"/>
  <c r="C275" i="179" s="1"/>
  <c r="C277" i="179" s="1"/>
  <c r="H64" i="43"/>
  <c r="H65" i="43"/>
  <c r="H66" i="43"/>
  <c r="H67" i="43"/>
  <c r="H68" i="43"/>
  <c r="H69" i="43"/>
  <c r="H70" i="43"/>
  <c r="H71" i="43"/>
  <c r="H72" i="43"/>
  <c r="H73" i="43"/>
  <c r="H74" i="43"/>
  <c r="H75" i="43"/>
  <c r="H76" i="43"/>
  <c r="H77" i="43"/>
  <c r="H78" i="43"/>
  <c r="H79" i="43"/>
  <c r="H80" i="43"/>
  <c r="H81" i="43"/>
  <c r="H82" i="43"/>
  <c r="H83" i="43"/>
  <c r="H84" i="43"/>
  <c r="H85" i="43"/>
  <c r="H86" i="43"/>
  <c r="H87" i="43"/>
  <c r="H88" i="43"/>
  <c r="H89" i="43"/>
  <c r="H90" i="43"/>
  <c r="H91" i="43"/>
  <c r="H92" i="43"/>
  <c r="H63" i="43"/>
  <c r="J42" i="28"/>
  <c r="F13" i="47"/>
  <c r="E17" i="55"/>
  <c r="E16" i="55"/>
  <c r="E75" i="162"/>
  <c r="H252" i="184" l="1"/>
  <c r="R16" i="209" s="1"/>
  <c r="S16" i="209" s="1"/>
  <c r="C249" i="179"/>
  <c r="C59" i="179"/>
  <c r="G178" i="178"/>
  <c r="G179" i="178"/>
  <c r="G180" i="178"/>
  <c r="G181" i="178"/>
  <c r="G182" i="178"/>
  <c r="G183" i="178"/>
  <c r="G184" i="178"/>
  <c r="G177" i="178"/>
  <c r="G79" i="178"/>
  <c r="G80" i="178"/>
  <c r="G81" i="178"/>
  <c r="G82" i="178"/>
  <c r="G83" i="178"/>
  <c r="G84" i="178"/>
  <c r="G85" i="178"/>
  <c r="G86" i="178"/>
  <c r="G87" i="178"/>
  <c r="G88" i="178"/>
  <c r="G89" i="178"/>
  <c r="G90" i="178"/>
  <c r="G91" i="178"/>
  <c r="G92" i="178"/>
  <c r="G93" i="178"/>
  <c r="G94" i="178"/>
  <c r="G95" i="178"/>
  <c r="G96" i="178"/>
  <c r="G97" i="178"/>
  <c r="G98" i="178"/>
  <c r="G99" i="178"/>
  <c r="G100" i="178"/>
  <c r="G101" i="178"/>
  <c r="G102" i="178"/>
  <c r="G103" i="178"/>
  <c r="G104" i="178"/>
  <c r="G105" i="178"/>
  <c r="G106" i="178"/>
  <c r="G107" i="178"/>
  <c r="G108" i="178"/>
  <c r="G109" i="178"/>
  <c r="G110" i="178"/>
  <c r="G111" i="178"/>
  <c r="G112" i="178"/>
  <c r="G113" i="178"/>
  <c r="G114" i="178"/>
  <c r="G115" i="178"/>
  <c r="G116" i="178"/>
  <c r="G117" i="178"/>
  <c r="G118" i="178"/>
  <c r="G119" i="178"/>
  <c r="G120" i="178"/>
  <c r="G121" i="178"/>
  <c r="G122" i="178"/>
  <c r="G123" i="178"/>
  <c r="G124" i="178"/>
  <c r="G125" i="178"/>
  <c r="G126" i="178"/>
  <c r="G127" i="178"/>
  <c r="G128" i="178"/>
  <c r="G129" i="178"/>
  <c r="G130" i="178"/>
  <c r="G131" i="178"/>
  <c r="G132" i="178"/>
  <c r="G133" i="178"/>
  <c r="G134" i="178"/>
  <c r="G135" i="178"/>
  <c r="G136" i="178"/>
  <c r="G137" i="178"/>
  <c r="G138" i="178"/>
  <c r="G139" i="178"/>
  <c r="G140" i="178"/>
  <c r="G141" i="178"/>
  <c r="G142" i="178"/>
  <c r="G143" i="178"/>
  <c r="G144" i="178"/>
  <c r="G145" i="178"/>
  <c r="G146" i="178"/>
  <c r="G147" i="178"/>
  <c r="G148" i="178"/>
  <c r="G149" i="178"/>
  <c r="G150" i="178"/>
  <c r="G151" i="178"/>
  <c r="G152" i="178"/>
  <c r="G153" i="178"/>
  <c r="G154" i="178"/>
  <c r="G155" i="178"/>
  <c r="G156" i="178"/>
  <c r="G157" i="178"/>
  <c r="G158" i="178"/>
  <c r="G159" i="178"/>
  <c r="G160" i="178"/>
  <c r="G161" i="178"/>
  <c r="G78" i="178"/>
  <c r="G71" i="178"/>
  <c r="G72" i="178"/>
  <c r="G73" i="178"/>
  <c r="G74" i="178"/>
  <c r="G75" i="178"/>
  <c r="G76" i="178"/>
  <c r="G70" i="178"/>
  <c r="E184" i="178"/>
  <c r="F184" i="178" s="1"/>
  <c r="E183" i="178"/>
  <c r="F183" i="178" s="1"/>
  <c r="E182" i="178"/>
  <c r="F182" i="178" s="1"/>
  <c r="E181" i="178"/>
  <c r="F181" i="178" s="1"/>
  <c r="E180" i="178"/>
  <c r="F180" i="178" s="1"/>
  <c r="E179" i="178"/>
  <c r="F179" i="178" s="1"/>
  <c r="E178" i="178"/>
  <c r="F178" i="178" s="1"/>
  <c r="E177" i="178"/>
  <c r="F177" i="178" s="1"/>
  <c r="E161" i="178"/>
  <c r="F161" i="178" s="1"/>
  <c r="E160" i="178"/>
  <c r="F160" i="178" s="1"/>
  <c r="E159" i="178"/>
  <c r="F159" i="178" s="1"/>
  <c r="E158" i="178"/>
  <c r="F158" i="178" s="1"/>
  <c r="E157" i="178"/>
  <c r="F157" i="178" s="1"/>
  <c r="E156" i="178"/>
  <c r="F156" i="178" s="1"/>
  <c r="E155" i="178"/>
  <c r="F155" i="178" s="1"/>
  <c r="E154" i="178"/>
  <c r="F154" i="178" s="1"/>
  <c r="E153" i="178"/>
  <c r="F153" i="178" s="1"/>
  <c r="E152" i="178"/>
  <c r="F152" i="178" s="1"/>
  <c r="E151" i="178"/>
  <c r="F151" i="178" s="1"/>
  <c r="E150" i="178"/>
  <c r="F150" i="178" s="1"/>
  <c r="E149" i="178"/>
  <c r="F149" i="178" s="1"/>
  <c r="E148" i="178"/>
  <c r="F148" i="178" s="1"/>
  <c r="E147" i="178"/>
  <c r="F147" i="178" s="1"/>
  <c r="E146" i="178"/>
  <c r="F146" i="178" s="1"/>
  <c r="E145" i="178"/>
  <c r="F145" i="178" s="1"/>
  <c r="E144" i="178"/>
  <c r="F144" i="178" s="1"/>
  <c r="E143" i="178"/>
  <c r="F143" i="178" s="1"/>
  <c r="E142" i="178"/>
  <c r="F142" i="178" s="1"/>
  <c r="E141" i="178"/>
  <c r="F141" i="178" s="1"/>
  <c r="E140" i="178"/>
  <c r="F140" i="178" s="1"/>
  <c r="E139" i="178"/>
  <c r="F139" i="178" s="1"/>
  <c r="E138" i="178"/>
  <c r="F138" i="178" s="1"/>
  <c r="E137" i="178"/>
  <c r="F137" i="178" s="1"/>
  <c r="E136" i="178"/>
  <c r="F136" i="178" s="1"/>
  <c r="E135" i="178"/>
  <c r="F135" i="178" s="1"/>
  <c r="E134" i="178"/>
  <c r="F134" i="178" s="1"/>
  <c r="E133" i="178"/>
  <c r="F133" i="178" s="1"/>
  <c r="E132" i="178"/>
  <c r="F132" i="178" s="1"/>
  <c r="E131" i="178"/>
  <c r="F131" i="178" s="1"/>
  <c r="E130" i="178"/>
  <c r="F130" i="178" s="1"/>
  <c r="E129" i="178"/>
  <c r="F129" i="178" s="1"/>
  <c r="E128" i="178"/>
  <c r="F128" i="178" s="1"/>
  <c r="E127" i="178"/>
  <c r="F127" i="178" s="1"/>
  <c r="E126" i="178"/>
  <c r="F126" i="178" s="1"/>
  <c r="E125" i="178"/>
  <c r="F125" i="178" s="1"/>
  <c r="E124" i="178"/>
  <c r="F124" i="178" s="1"/>
  <c r="E123" i="178"/>
  <c r="F123" i="178" s="1"/>
  <c r="E122" i="178"/>
  <c r="F122" i="178" s="1"/>
  <c r="E121" i="178"/>
  <c r="F121" i="178" s="1"/>
  <c r="E120" i="178"/>
  <c r="F120" i="178" s="1"/>
  <c r="E119" i="178"/>
  <c r="F119" i="178" s="1"/>
  <c r="E118" i="178"/>
  <c r="F118" i="178" s="1"/>
  <c r="E117" i="178"/>
  <c r="F117" i="178" s="1"/>
  <c r="E116" i="178"/>
  <c r="F116" i="178" s="1"/>
  <c r="E115" i="178"/>
  <c r="F115" i="178" s="1"/>
  <c r="E114" i="178"/>
  <c r="F114" i="178" s="1"/>
  <c r="E113" i="178"/>
  <c r="F113" i="178" s="1"/>
  <c r="E112" i="178"/>
  <c r="F112" i="178" s="1"/>
  <c r="E111" i="178"/>
  <c r="F111" i="178" s="1"/>
  <c r="E110" i="178"/>
  <c r="F110" i="178" s="1"/>
  <c r="E109" i="178"/>
  <c r="F109" i="178" s="1"/>
  <c r="E108" i="178"/>
  <c r="F108" i="178" s="1"/>
  <c r="E107" i="178"/>
  <c r="F107" i="178" s="1"/>
  <c r="E106" i="178"/>
  <c r="F106" i="178" s="1"/>
  <c r="E105" i="178"/>
  <c r="F105" i="178" s="1"/>
  <c r="E104" i="178"/>
  <c r="F104" i="178" s="1"/>
  <c r="E103" i="178"/>
  <c r="F103" i="178" s="1"/>
  <c r="E102" i="178"/>
  <c r="F102" i="178" s="1"/>
  <c r="E101" i="178"/>
  <c r="F101" i="178" s="1"/>
  <c r="E100" i="178"/>
  <c r="F100" i="178" s="1"/>
  <c r="E99" i="178"/>
  <c r="F99" i="178" s="1"/>
  <c r="E98" i="178"/>
  <c r="F98" i="178" s="1"/>
  <c r="E97" i="178"/>
  <c r="F97" i="178" s="1"/>
  <c r="E96" i="178"/>
  <c r="F96" i="178" s="1"/>
  <c r="E95" i="178"/>
  <c r="F95" i="178" s="1"/>
  <c r="E94" i="178"/>
  <c r="F94" i="178" s="1"/>
  <c r="E93" i="178"/>
  <c r="F93" i="178" s="1"/>
  <c r="E92" i="178"/>
  <c r="F92" i="178" s="1"/>
  <c r="E91" i="178"/>
  <c r="E90" i="178"/>
  <c r="F78" i="178"/>
  <c r="E76" i="178"/>
  <c r="F76" i="178" s="1"/>
  <c r="F75" i="178"/>
  <c r="E75" i="178"/>
  <c r="F74" i="178"/>
  <c r="E74" i="178"/>
  <c r="E73" i="178"/>
  <c r="F73" i="178" s="1"/>
  <c r="E72" i="178"/>
  <c r="F72" i="178" s="1"/>
  <c r="F71" i="178"/>
  <c r="E71" i="178"/>
  <c r="F70" i="178"/>
  <c r="E70" i="178"/>
  <c r="C65" i="178"/>
  <c r="E64" i="178"/>
  <c r="F64" i="178" s="1"/>
  <c r="F63" i="178"/>
  <c r="E63" i="178"/>
  <c r="E62" i="178"/>
  <c r="F62" i="178" s="1"/>
  <c r="F61" i="178"/>
  <c r="E61" i="178"/>
  <c r="E60" i="178"/>
  <c r="F60" i="178" s="1"/>
  <c r="E59" i="178"/>
  <c r="F59" i="178" s="1"/>
  <c r="E58" i="178"/>
  <c r="F58" i="178" s="1"/>
  <c r="C56" i="178"/>
  <c r="E54" i="178"/>
  <c r="E53" i="178"/>
  <c r="C53" i="178"/>
  <c r="F53" i="178" s="1"/>
  <c r="E52" i="178"/>
  <c r="E51" i="178"/>
  <c r="F51" i="178" s="1"/>
  <c r="C51" i="178"/>
  <c r="E50" i="178"/>
  <c r="C50" i="178"/>
  <c r="E49" i="178"/>
  <c r="C49" i="178"/>
  <c r="F49" i="178" s="1"/>
  <c r="F48" i="178"/>
  <c r="E48" i="178"/>
  <c r="C48" i="178"/>
  <c r="C46" i="178"/>
  <c r="C45" i="178"/>
  <c r="E43" i="178"/>
  <c r="E42" i="178"/>
  <c r="C42" i="178"/>
  <c r="F42" i="178" s="1"/>
  <c r="E41" i="178"/>
  <c r="F40" i="178"/>
  <c r="E40" i="178"/>
  <c r="E39" i="178"/>
  <c r="C39" i="178"/>
  <c r="F39" i="178" s="1"/>
  <c r="F38" i="178"/>
  <c r="E38" i="178"/>
  <c r="C38" i="178"/>
  <c r="E37" i="178"/>
  <c r="F37" i="178" s="1"/>
  <c r="C37" i="178"/>
  <c r="H30" i="178"/>
  <c r="E30" i="178"/>
  <c r="D30" i="178"/>
  <c r="G30" i="178" s="1"/>
  <c r="C30" i="178"/>
  <c r="F30" i="178" s="1"/>
  <c r="F28" i="178"/>
  <c r="H27" i="178"/>
  <c r="F27" i="178"/>
  <c r="E27" i="178"/>
  <c r="D27" i="178"/>
  <c r="G27" i="178" s="1"/>
  <c r="C27" i="178"/>
  <c r="F26" i="178"/>
  <c r="D26" i="178"/>
  <c r="G26" i="178" s="1"/>
  <c r="C26" i="178"/>
  <c r="F25" i="178"/>
  <c r="F32" i="178" s="1"/>
  <c r="I32" i="178" s="1"/>
  <c r="E25" i="178"/>
  <c r="H25" i="178" s="1"/>
  <c r="H32" i="178" s="1"/>
  <c r="D25" i="178"/>
  <c r="G25" i="178" s="1"/>
  <c r="G32" i="178" s="1"/>
  <c r="C25" i="178"/>
  <c r="G21" i="178"/>
  <c r="H21" i="178" s="1"/>
  <c r="E21" i="178"/>
  <c r="F21" i="178" s="1"/>
  <c r="C21" i="178"/>
  <c r="D21" i="178" s="1"/>
  <c r="E20" i="178"/>
  <c r="G19" i="178"/>
  <c r="H19" i="178" s="1"/>
  <c r="F19" i="178"/>
  <c r="E19" i="178"/>
  <c r="C19" i="178"/>
  <c r="D19" i="178" s="1"/>
  <c r="C20" i="178" s="1"/>
  <c r="Q18" i="37"/>
  <c r="P18" i="37"/>
  <c r="O18" i="37"/>
  <c r="D84" i="26"/>
  <c r="D87" i="26"/>
  <c r="D85" i="26"/>
  <c r="I11" i="26"/>
  <c r="I42" i="26" s="1"/>
  <c r="I12"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44" i="26"/>
  <c r="D35" i="177"/>
  <c r="G14" i="177"/>
  <c r="G15" i="177"/>
  <c r="G16" i="177"/>
  <c r="G17" i="177"/>
  <c r="G18" i="177"/>
  <c r="G19" i="177"/>
  <c r="G20" i="177"/>
  <c r="G21" i="177"/>
  <c r="G22" i="177"/>
  <c r="G23" i="177"/>
  <c r="G24" i="177"/>
  <c r="G25" i="177"/>
  <c r="G26" i="177"/>
  <c r="G27" i="177"/>
  <c r="G28" i="177"/>
  <c r="G29" i="177"/>
  <c r="G30" i="177"/>
  <c r="G31" i="177"/>
  <c r="G32" i="177"/>
  <c r="G13" i="177"/>
  <c r="E131" i="177"/>
  <c r="D131" i="177"/>
  <c r="C131" i="177"/>
  <c r="B131" i="177"/>
  <c r="F130" i="177"/>
  <c r="F129" i="177"/>
  <c r="F128" i="177"/>
  <c r="F127" i="177"/>
  <c r="F126" i="177"/>
  <c r="F125" i="177"/>
  <c r="F124" i="177"/>
  <c r="F123" i="177"/>
  <c r="F122" i="177"/>
  <c r="F121" i="177"/>
  <c r="F120" i="177"/>
  <c r="F119" i="177"/>
  <c r="F118" i="177"/>
  <c r="F117" i="177"/>
  <c r="F116" i="177"/>
  <c r="F115" i="177"/>
  <c r="F114" i="177"/>
  <c r="F113" i="177"/>
  <c r="F112" i="177"/>
  <c r="F111" i="177"/>
  <c r="F110" i="177"/>
  <c r="F109" i="177"/>
  <c r="F108" i="177"/>
  <c r="F107" i="177"/>
  <c r="F106" i="177"/>
  <c r="F105" i="177"/>
  <c r="F104" i="177"/>
  <c r="F103" i="177"/>
  <c r="F102" i="177"/>
  <c r="F101" i="177"/>
  <c r="F100" i="177"/>
  <c r="F99" i="177"/>
  <c r="F98" i="177"/>
  <c r="F97" i="177"/>
  <c r="F96" i="177"/>
  <c r="F95" i="177"/>
  <c r="F94" i="177"/>
  <c r="F93" i="177"/>
  <c r="F92" i="177"/>
  <c r="F91" i="177"/>
  <c r="F90" i="177"/>
  <c r="F89" i="177"/>
  <c r="F88" i="177"/>
  <c r="F87" i="177"/>
  <c r="F86" i="177"/>
  <c r="F85" i="177"/>
  <c r="F84" i="177"/>
  <c r="F83" i="177"/>
  <c r="F82" i="177"/>
  <c r="F81" i="177"/>
  <c r="F80" i="177"/>
  <c r="F79" i="177"/>
  <c r="F78" i="177"/>
  <c r="F77" i="177"/>
  <c r="F76" i="177"/>
  <c r="F75" i="177"/>
  <c r="F74" i="177"/>
  <c r="F73" i="177"/>
  <c r="F72" i="177"/>
  <c r="F71" i="177"/>
  <c r="F70" i="177"/>
  <c r="F69" i="177"/>
  <c r="F68" i="177"/>
  <c r="F67" i="177"/>
  <c r="F66" i="177"/>
  <c r="F65" i="177"/>
  <c r="F64" i="177"/>
  <c r="F63" i="177"/>
  <c r="F62" i="177"/>
  <c r="F61" i="177"/>
  <c r="F60" i="177"/>
  <c r="F59" i="177"/>
  <c r="F58" i="177"/>
  <c r="F57" i="177"/>
  <c r="F56" i="177"/>
  <c r="F55" i="177"/>
  <c r="F54" i="177"/>
  <c r="F53" i="177"/>
  <c r="E32" i="177"/>
  <c r="F32" i="177" s="1"/>
  <c r="E31" i="177"/>
  <c r="F31" i="177" s="1"/>
  <c r="I31" i="177" s="1"/>
  <c r="E30" i="177"/>
  <c r="F30" i="177" s="1"/>
  <c r="I30" i="177" s="1"/>
  <c r="E29" i="177"/>
  <c r="F29" i="177" s="1"/>
  <c r="E28" i="177"/>
  <c r="F28" i="177" s="1"/>
  <c r="E27" i="177"/>
  <c r="F27" i="177" s="1"/>
  <c r="I27" i="177" s="1"/>
  <c r="E26" i="177"/>
  <c r="F26" i="177" s="1"/>
  <c r="I26" i="177" s="1"/>
  <c r="E25" i="177"/>
  <c r="F25" i="177" s="1"/>
  <c r="E24" i="177"/>
  <c r="F24" i="177" s="1"/>
  <c r="E23" i="177"/>
  <c r="F23" i="177" s="1"/>
  <c r="I23" i="177" s="1"/>
  <c r="E22" i="177"/>
  <c r="F22" i="177" s="1"/>
  <c r="I22" i="177" s="1"/>
  <c r="E21" i="177"/>
  <c r="F21" i="177" s="1"/>
  <c r="E20" i="177"/>
  <c r="F20" i="177" s="1"/>
  <c r="E19" i="177"/>
  <c r="F19" i="177" s="1"/>
  <c r="I19" i="177" s="1"/>
  <c r="H18" i="177"/>
  <c r="E18" i="177"/>
  <c r="F18" i="177" s="1"/>
  <c r="I18" i="177" s="1"/>
  <c r="H17" i="177"/>
  <c r="E17" i="177"/>
  <c r="F17" i="177" s="1"/>
  <c r="H16" i="177"/>
  <c r="E16" i="177"/>
  <c r="F16" i="177" s="1"/>
  <c r="I16" i="177" s="1"/>
  <c r="H15" i="177"/>
  <c r="E15" i="177"/>
  <c r="F15" i="177" s="1"/>
  <c r="H14" i="177"/>
  <c r="E14" i="177"/>
  <c r="F14" i="177" s="1"/>
  <c r="H13" i="177"/>
  <c r="E13" i="177"/>
  <c r="F13" i="177" s="1"/>
  <c r="H12" i="177"/>
  <c r="E12" i="177"/>
  <c r="F12" i="177" s="1"/>
  <c r="G17" i="61"/>
  <c r="G18" i="61"/>
  <c r="G19" i="61"/>
  <c r="G20" i="61"/>
  <c r="G21" i="61"/>
  <c r="G22" i="61"/>
  <c r="G23" i="61"/>
  <c r="G24" i="61"/>
  <c r="G25" i="61"/>
  <c r="G26" i="61"/>
  <c r="G27" i="61"/>
  <c r="G28" i="61"/>
  <c r="G29" i="61"/>
  <c r="G30" i="61"/>
  <c r="G31" i="61"/>
  <c r="G32" i="61"/>
  <c r="G33" i="61"/>
  <c r="G34" i="61"/>
  <c r="G35" i="61"/>
  <c r="G36" i="61"/>
  <c r="G37" i="61"/>
  <c r="K39" i="61"/>
  <c r="D256" i="184" l="1"/>
  <c r="D258" i="184" s="1"/>
  <c r="Q41" i="37"/>
  <c r="R41" i="37" s="1"/>
  <c r="R18" i="37"/>
  <c r="C31" i="178"/>
  <c r="D20" i="178"/>
  <c r="C22" i="178" s="1"/>
  <c r="E22" i="178"/>
  <c r="F65" i="178"/>
  <c r="D31" i="178"/>
  <c r="G31" i="178" s="1"/>
  <c r="F20" i="178"/>
  <c r="G20" i="178"/>
  <c r="F50" i="178"/>
  <c r="E26" i="178"/>
  <c r="H26" i="178" s="1"/>
  <c r="C54" i="178"/>
  <c r="F54" i="178" s="1"/>
  <c r="I15" i="177"/>
  <c r="I12" i="177"/>
  <c r="F131" i="177"/>
  <c r="C136" i="177"/>
  <c r="C135" i="177"/>
  <c r="I25" i="177"/>
  <c r="I21" i="177"/>
  <c r="I29" i="177"/>
  <c r="I17" i="177"/>
  <c r="I20" i="177"/>
  <c r="I24" i="177"/>
  <c r="I28" i="177"/>
  <c r="I32" i="177"/>
  <c r="I13" i="177"/>
  <c r="I14" i="177"/>
  <c r="K12" i="61"/>
  <c r="H20" i="178" l="1"/>
  <c r="G22" i="178" s="1"/>
  <c r="E29" i="178" s="1"/>
  <c r="E31" i="178"/>
  <c r="H31" i="178" s="1"/>
  <c r="F31" i="178"/>
  <c r="C43" i="178"/>
  <c r="F43" i="178" s="1"/>
  <c r="D29" i="178"/>
  <c r="C52" i="178"/>
  <c r="C41" i="178"/>
  <c r="F41" i="178" s="1"/>
  <c r="F44" i="178" s="1"/>
  <c r="C29" i="178"/>
  <c r="C137" i="177"/>
  <c r="C141" i="177" s="1"/>
  <c r="C143" i="177" s="1"/>
  <c r="I33" i="177"/>
  <c r="D38" i="177" s="1"/>
  <c r="F52" i="178" l="1"/>
  <c r="F55" i="178" s="1"/>
  <c r="F66" i="178" s="1"/>
  <c r="C67" i="178" s="1"/>
  <c r="C55" i="178"/>
  <c r="H29" i="178"/>
  <c r="E32" i="178"/>
  <c r="G29" i="178"/>
  <c r="D32" i="178"/>
  <c r="F29" i="178"/>
  <c r="C32" i="178"/>
  <c r="E137" i="123"/>
  <c r="O102" i="37"/>
  <c r="R102" i="37" s="1"/>
  <c r="F288" i="161"/>
  <c r="H288" i="161"/>
  <c r="F266" i="161"/>
  <c r="H266" i="161"/>
  <c r="F245" i="161"/>
  <c r="H245" i="161"/>
  <c r="F224" i="161"/>
  <c r="H224" i="161"/>
  <c r="F203" i="161"/>
  <c r="H203" i="161"/>
  <c r="F182" i="161"/>
  <c r="H182" i="161"/>
  <c r="F161" i="161"/>
  <c r="H161" i="161"/>
  <c r="F140" i="161"/>
  <c r="H140" i="161"/>
  <c r="F120" i="161"/>
  <c r="H120" i="161"/>
  <c r="F99" i="161"/>
  <c r="H99" i="161"/>
  <c r="F77" i="161"/>
  <c r="H77" i="161"/>
  <c r="F56" i="161"/>
  <c r="H56" i="161"/>
  <c r="H35" i="161"/>
  <c r="F35" i="161"/>
  <c r="F287" i="161"/>
  <c r="H287" i="161"/>
  <c r="F22" i="160"/>
  <c r="G21" i="160"/>
  <c r="H21" i="160"/>
  <c r="G22" i="160"/>
  <c r="H22" i="160"/>
  <c r="G23" i="160"/>
  <c r="H23" i="160"/>
  <c r="F21" i="160"/>
  <c r="C105" i="173"/>
  <c r="E105" i="173"/>
  <c r="F105" i="173" s="1"/>
  <c r="C106" i="173"/>
  <c r="E106" i="173"/>
  <c r="F106" i="173" s="1"/>
  <c r="E23" i="159"/>
  <c r="F23" i="159" s="1"/>
  <c r="E24" i="159"/>
  <c r="F24" i="159" s="1"/>
  <c r="E22" i="159"/>
  <c r="G23" i="159"/>
  <c r="H23" i="159"/>
  <c r="G24" i="159"/>
  <c r="H24" i="159"/>
  <c r="B48" i="135"/>
  <c r="C33" i="135"/>
  <c r="D33" i="135" s="1"/>
  <c r="E33" i="135"/>
  <c r="F33" i="135"/>
  <c r="C34" i="135"/>
  <c r="D34" i="135" s="1"/>
  <c r="E34" i="135"/>
  <c r="F34" i="135"/>
  <c r="E41" i="156"/>
  <c r="F41" i="156" s="1"/>
  <c r="E40" i="156"/>
  <c r="F40" i="156" s="1"/>
  <c r="H40" i="156"/>
  <c r="H41" i="156"/>
  <c r="G73" i="155"/>
  <c r="G106" i="173" l="1"/>
  <c r="G105" i="173"/>
  <c r="I24" i="159"/>
  <c r="I23" i="159"/>
  <c r="G33" i="135"/>
  <c r="G34" i="135"/>
  <c r="C165" i="178"/>
  <c r="H178" i="178"/>
  <c r="H182" i="178"/>
  <c r="H181" i="178"/>
  <c r="H177" i="178"/>
  <c r="H179" i="178"/>
  <c r="H73" i="178"/>
  <c r="H96" i="178"/>
  <c r="H104" i="178"/>
  <c r="H112" i="178"/>
  <c r="H120" i="178"/>
  <c r="H128" i="178"/>
  <c r="H136" i="178"/>
  <c r="H144" i="178"/>
  <c r="H152" i="178"/>
  <c r="H160" i="178"/>
  <c r="H95" i="178"/>
  <c r="H103" i="178"/>
  <c r="H111" i="178"/>
  <c r="H119" i="178"/>
  <c r="H127" i="178"/>
  <c r="H135" i="178"/>
  <c r="H143" i="178"/>
  <c r="H151" i="178"/>
  <c r="H159" i="178"/>
  <c r="H113" i="178"/>
  <c r="H137" i="178"/>
  <c r="H153" i="178"/>
  <c r="H108" i="178"/>
  <c r="H124" i="178"/>
  <c r="H140" i="178"/>
  <c r="H74" i="178"/>
  <c r="H75" i="178"/>
  <c r="H99" i="178"/>
  <c r="H115" i="178"/>
  <c r="H131" i="178"/>
  <c r="H147" i="178"/>
  <c r="H184" i="178"/>
  <c r="H94" i="178"/>
  <c r="H102" i="178"/>
  <c r="H110" i="178"/>
  <c r="H126" i="178"/>
  <c r="H142" i="178"/>
  <c r="H158" i="178"/>
  <c r="H70" i="178"/>
  <c r="H93" i="178"/>
  <c r="H109" i="178"/>
  <c r="H125" i="178"/>
  <c r="H141" i="178"/>
  <c r="H157" i="178"/>
  <c r="H76" i="178"/>
  <c r="H98" i="178"/>
  <c r="H106" i="178"/>
  <c r="H114" i="178"/>
  <c r="H122" i="178"/>
  <c r="H130" i="178"/>
  <c r="H138" i="178"/>
  <c r="H146" i="178"/>
  <c r="H154" i="178"/>
  <c r="H71" i="178"/>
  <c r="H97" i="178"/>
  <c r="H105" i="178"/>
  <c r="H121" i="178"/>
  <c r="H129" i="178"/>
  <c r="H145" i="178"/>
  <c r="H161" i="178"/>
  <c r="H180" i="178"/>
  <c r="H183" i="178"/>
  <c r="H72" i="178"/>
  <c r="H92" i="178"/>
  <c r="H100" i="178"/>
  <c r="H116" i="178"/>
  <c r="H132" i="178"/>
  <c r="H148" i="178"/>
  <c r="H156" i="178"/>
  <c r="H107" i="178"/>
  <c r="H123" i="178"/>
  <c r="H139" i="178"/>
  <c r="H155" i="178"/>
  <c r="H118" i="178"/>
  <c r="H134" i="178"/>
  <c r="H150" i="178"/>
  <c r="H101" i="178"/>
  <c r="H117" i="178"/>
  <c r="H133" i="178"/>
  <c r="H149" i="178"/>
  <c r="F25" i="116"/>
  <c r="E18" i="105"/>
  <c r="G74" i="155"/>
  <c r="G75" i="155"/>
  <c r="G76" i="155"/>
  <c r="G77" i="155"/>
  <c r="G78" i="155"/>
  <c r="G79" i="155"/>
  <c r="G80" i="155"/>
  <c r="G81" i="155"/>
  <c r="G82" i="155"/>
  <c r="G83" i="155"/>
  <c r="G84" i="155"/>
  <c r="G85" i="155"/>
  <c r="G86" i="155"/>
  <c r="G87" i="155"/>
  <c r="G88" i="155"/>
  <c r="G89" i="155"/>
  <c r="G90" i="155"/>
  <c r="G91" i="155"/>
  <c r="G92" i="155"/>
  <c r="G93" i="155"/>
  <c r="G94" i="155"/>
  <c r="G95" i="155"/>
  <c r="G96" i="155"/>
  <c r="G97" i="155"/>
  <c r="G98" i="155"/>
  <c r="H67" i="116"/>
  <c r="C34" i="116"/>
  <c r="E73" i="155"/>
  <c r="F73" i="155" s="1"/>
  <c r="E98" i="155"/>
  <c r="F98" i="155" s="1"/>
  <c r="E97" i="155"/>
  <c r="F97" i="155" s="1"/>
  <c r="E96" i="155"/>
  <c r="F96" i="155" s="1"/>
  <c r="E95" i="155"/>
  <c r="F95" i="155" s="1"/>
  <c r="E94" i="155"/>
  <c r="F94" i="155" s="1"/>
  <c r="E93" i="155"/>
  <c r="F93" i="155" s="1"/>
  <c r="E92" i="155"/>
  <c r="F92" i="155" s="1"/>
  <c r="E91" i="155"/>
  <c r="F91" i="155" s="1"/>
  <c r="E90" i="155"/>
  <c r="F90" i="155" s="1"/>
  <c r="E89" i="155"/>
  <c r="F89" i="155" s="1"/>
  <c r="E88" i="155"/>
  <c r="F88" i="155" s="1"/>
  <c r="E87" i="155"/>
  <c r="F87" i="155" s="1"/>
  <c r="E86" i="155"/>
  <c r="F86" i="155" s="1"/>
  <c r="E85" i="155"/>
  <c r="F85" i="155" s="1"/>
  <c r="E84" i="155"/>
  <c r="F84" i="155" s="1"/>
  <c r="E83" i="155"/>
  <c r="F83" i="155" s="1"/>
  <c r="E82" i="155"/>
  <c r="F82" i="155" s="1"/>
  <c r="E81" i="155"/>
  <c r="F81" i="155" s="1"/>
  <c r="E80" i="155"/>
  <c r="F80" i="155" s="1"/>
  <c r="E79" i="155"/>
  <c r="F79" i="155" s="1"/>
  <c r="E78" i="155"/>
  <c r="F78" i="155" s="1"/>
  <c r="E77" i="155"/>
  <c r="F77" i="155" s="1"/>
  <c r="E76" i="155"/>
  <c r="F76" i="155" s="1"/>
  <c r="E75" i="155"/>
  <c r="F75" i="155" s="1"/>
  <c r="E74" i="155"/>
  <c r="F74" i="155" s="1"/>
  <c r="E89" i="134"/>
  <c r="F89" i="134" s="1"/>
  <c r="E88" i="134"/>
  <c r="F88" i="134" s="1"/>
  <c r="H88" i="134"/>
  <c r="H89" i="134"/>
  <c r="G25" i="116"/>
  <c r="E203" i="138"/>
  <c r="F203" i="138" s="1"/>
  <c r="H203" i="138"/>
  <c r="E204" i="138"/>
  <c r="F204" i="138" s="1"/>
  <c r="H204" i="138"/>
  <c r="E126" i="133"/>
  <c r="F126" i="133" s="1"/>
  <c r="G126" i="133"/>
  <c r="H126" i="133"/>
  <c r="E127" i="133"/>
  <c r="F127" i="133" s="1"/>
  <c r="G127" i="133"/>
  <c r="H127" i="133"/>
  <c r="E40" i="146"/>
  <c r="F40" i="146" s="1"/>
  <c r="G40" i="146"/>
  <c r="E41" i="146"/>
  <c r="F41" i="146" s="1"/>
  <c r="G41" i="146"/>
  <c r="F60" i="144"/>
  <c r="G60" i="144" s="1"/>
  <c r="H60" i="144"/>
  <c r="F61" i="144"/>
  <c r="G61" i="144" s="1"/>
  <c r="H61" i="144"/>
  <c r="E99" i="131"/>
  <c r="F99" i="131" s="1"/>
  <c r="E100" i="131"/>
  <c r="F100" i="131" s="1"/>
  <c r="E60" i="154"/>
  <c r="F60" i="154" s="1"/>
  <c r="G60" i="154"/>
  <c r="H60" i="154"/>
  <c r="E61" i="154"/>
  <c r="F61" i="154" s="1"/>
  <c r="G61" i="154"/>
  <c r="H61" i="154"/>
  <c r="E68" i="130"/>
  <c r="F68" i="130" s="1"/>
  <c r="H68" i="130"/>
  <c r="E67" i="130"/>
  <c r="F67" i="130" s="1"/>
  <c r="H67" i="130"/>
  <c r="C42" i="129"/>
  <c r="F37" i="129"/>
  <c r="F95" i="140"/>
  <c r="G95" i="140" s="1"/>
  <c r="H95" i="140"/>
  <c r="F94" i="140"/>
  <c r="G94" i="140" s="1"/>
  <c r="H94" i="140"/>
  <c r="F286" i="161"/>
  <c r="H286" i="161"/>
  <c r="F265" i="161"/>
  <c r="H265" i="161"/>
  <c r="F244" i="161"/>
  <c r="H244" i="161"/>
  <c r="F223" i="161"/>
  <c r="H223" i="161"/>
  <c r="F202" i="161"/>
  <c r="H202" i="161"/>
  <c r="F181" i="161"/>
  <c r="H181" i="161"/>
  <c r="F160" i="161"/>
  <c r="H160" i="161"/>
  <c r="F139" i="161"/>
  <c r="H139" i="161"/>
  <c r="F119" i="161"/>
  <c r="H119" i="161"/>
  <c r="F98" i="161"/>
  <c r="H98" i="161"/>
  <c r="F76" i="161"/>
  <c r="H76" i="161"/>
  <c r="F55" i="161"/>
  <c r="H55" i="161"/>
  <c r="H34" i="161"/>
  <c r="F34" i="161"/>
  <c r="B13" i="176"/>
  <c r="B16" i="176" s="1"/>
  <c r="O152" i="86"/>
  <c r="C33" i="56"/>
  <c r="C37" i="56"/>
  <c r="I39" i="56"/>
  <c r="D243" i="56"/>
  <c r="C248" i="56"/>
  <c r="C247" i="56"/>
  <c r="E249" i="56"/>
  <c r="C72" i="171"/>
  <c r="C71" i="171"/>
  <c r="C70" i="171"/>
  <c r="B65" i="28"/>
  <c r="A64" i="28"/>
  <c r="B49" i="28"/>
  <c r="B51" i="28"/>
  <c r="D48" i="175"/>
  <c r="H42" i="175"/>
  <c r="F42" i="175"/>
  <c r="E42" i="175"/>
  <c r="H41" i="175"/>
  <c r="F41" i="175"/>
  <c r="E41" i="175"/>
  <c r="H40" i="175"/>
  <c r="E40" i="175"/>
  <c r="F40" i="175" s="1"/>
  <c r="H39" i="175"/>
  <c r="E39" i="175"/>
  <c r="F39" i="175" s="1"/>
  <c r="H38" i="175"/>
  <c r="E38" i="175"/>
  <c r="F38" i="175" s="1"/>
  <c r="H37" i="175"/>
  <c r="F37" i="175"/>
  <c r="E37" i="175"/>
  <c r="H36" i="175"/>
  <c r="E36" i="175"/>
  <c r="F36" i="175" s="1"/>
  <c r="H35" i="175"/>
  <c r="E35" i="175"/>
  <c r="F35" i="175" s="1"/>
  <c r="H34" i="175"/>
  <c r="E34" i="175"/>
  <c r="F34" i="175" s="1"/>
  <c r="H33" i="175"/>
  <c r="F33" i="175"/>
  <c r="E33" i="175"/>
  <c r="H32" i="175"/>
  <c r="E32" i="175"/>
  <c r="F32" i="175" s="1"/>
  <c r="H31" i="175"/>
  <c r="E31" i="175"/>
  <c r="F31" i="175" s="1"/>
  <c r="H30" i="175"/>
  <c r="E30" i="175"/>
  <c r="F30" i="175" s="1"/>
  <c r="H29" i="175"/>
  <c r="F29" i="175"/>
  <c r="E29" i="175"/>
  <c r="H28" i="175"/>
  <c r="E28" i="175"/>
  <c r="F28" i="175" s="1"/>
  <c r="H27" i="175"/>
  <c r="E27" i="175"/>
  <c r="F27" i="175" s="1"/>
  <c r="H26" i="175"/>
  <c r="E26" i="175"/>
  <c r="F26" i="175" s="1"/>
  <c r="H25" i="175"/>
  <c r="F25" i="175"/>
  <c r="E25" i="175"/>
  <c r="H24" i="175"/>
  <c r="F24" i="175"/>
  <c r="E24" i="175"/>
  <c r="H23" i="175"/>
  <c r="E23" i="175"/>
  <c r="F23" i="175" s="1"/>
  <c r="H22" i="175"/>
  <c r="F22" i="175"/>
  <c r="H21" i="175"/>
  <c r="F21" i="175"/>
  <c r="H20" i="175"/>
  <c r="F20" i="175"/>
  <c r="H19" i="175"/>
  <c r="F19" i="175"/>
  <c r="H18" i="175"/>
  <c r="F18" i="175"/>
  <c r="H17" i="175"/>
  <c r="F17" i="175"/>
  <c r="H16" i="175"/>
  <c r="F16" i="175"/>
  <c r="H15" i="175"/>
  <c r="F15" i="175"/>
  <c r="H14" i="175"/>
  <c r="F14" i="175"/>
  <c r="H13" i="175"/>
  <c r="F13" i="175"/>
  <c r="H12" i="175"/>
  <c r="F12" i="175"/>
  <c r="C10" i="175"/>
  <c r="G39" i="175" s="1"/>
  <c r="K12" i="119"/>
  <c r="K11" i="119"/>
  <c r="L9" i="119"/>
  <c r="M7" i="119"/>
  <c r="L10" i="119"/>
  <c r="E252" i="165"/>
  <c r="O9" i="119"/>
  <c r="O16" i="119" s="1"/>
  <c r="E13" i="43"/>
  <c r="F10" i="119"/>
  <c r="O7" i="119"/>
  <c r="L7" i="119"/>
  <c r="K7" i="119"/>
  <c r="F11" i="119"/>
  <c r="G10" i="119"/>
  <c r="F12" i="119"/>
  <c r="H97" i="161"/>
  <c r="H75" i="161"/>
  <c r="F75" i="161"/>
  <c r="H54" i="161"/>
  <c r="F54" i="161"/>
  <c r="H33" i="161"/>
  <c r="F33" i="161"/>
  <c r="F285" i="161"/>
  <c r="F264" i="161"/>
  <c r="F243" i="161"/>
  <c r="F222" i="161"/>
  <c r="F201" i="161"/>
  <c r="F180" i="161"/>
  <c r="F159" i="161"/>
  <c r="H138" i="161"/>
  <c r="F138" i="161"/>
  <c r="H118" i="161"/>
  <c r="F118" i="161"/>
  <c r="F97" i="161"/>
  <c r="G20" i="160"/>
  <c r="H20" i="160"/>
  <c r="E104" i="173"/>
  <c r="F104" i="173" s="1"/>
  <c r="G21" i="159"/>
  <c r="H21" i="159"/>
  <c r="F21" i="159"/>
  <c r="F22" i="159"/>
  <c r="G22" i="159"/>
  <c r="H22" i="159"/>
  <c r="C32" i="135"/>
  <c r="D32" i="135" s="1"/>
  <c r="E32" i="135"/>
  <c r="F32" i="135"/>
  <c r="E39" i="156"/>
  <c r="F39" i="156" s="1"/>
  <c r="H39" i="156"/>
  <c r="E86" i="134"/>
  <c r="F86" i="134" s="1"/>
  <c r="H86" i="134"/>
  <c r="E87" i="134"/>
  <c r="F87" i="134" s="1"/>
  <c r="H87" i="134"/>
  <c r="E202" i="138"/>
  <c r="F202" i="138" s="1"/>
  <c r="H202" i="138"/>
  <c r="E125" i="133"/>
  <c r="F125" i="133" s="1"/>
  <c r="G125" i="133"/>
  <c r="H125" i="133"/>
  <c r="O54" i="37"/>
  <c r="E39" i="146"/>
  <c r="F39" i="146" s="1"/>
  <c r="G39" i="146"/>
  <c r="E59" i="154"/>
  <c r="F59" i="154" s="1"/>
  <c r="G59" i="154"/>
  <c r="H59" i="154"/>
  <c r="F59" i="144"/>
  <c r="G59" i="144" s="1"/>
  <c r="H59" i="144"/>
  <c r="E66" i="130"/>
  <c r="F66" i="130" s="1"/>
  <c r="H66" i="130"/>
  <c r="E74" i="141"/>
  <c r="F74" i="141" s="1"/>
  <c r="G74" i="141" s="1"/>
  <c r="I74" i="141"/>
  <c r="F93" i="140"/>
  <c r="G93" i="140" s="1"/>
  <c r="H93" i="140"/>
  <c r="F29" i="139"/>
  <c r="K147" i="58"/>
  <c r="E68" i="172"/>
  <c r="H61" i="172"/>
  <c r="F41" i="172"/>
  <c r="H60" i="172"/>
  <c r="G51" i="172"/>
  <c r="G52" i="172"/>
  <c r="G53" i="172"/>
  <c r="G54" i="172"/>
  <c r="G55" i="172"/>
  <c r="G56" i="172"/>
  <c r="G57" i="172"/>
  <c r="G58" i="172"/>
  <c r="G59" i="172"/>
  <c r="E34" i="172"/>
  <c r="E35" i="172"/>
  <c r="E36" i="172"/>
  <c r="E37" i="172"/>
  <c r="E38" i="172"/>
  <c r="E39" i="172"/>
  <c r="E40" i="172"/>
  <c r="E33" i="172"/>
  <c r="E46" i="119"/>
  <c r="C53" i="65"/>
  <c r="C52" i="65"/>
  <c r="J37" i="65"/>
  <c r="J36" i="65"/>
  <c r="I22" i="159" l="1"/>
  <c r="I21" i="159"/>
  <c r="G32" i="135"/>
  <c r="I60" i="154"/>
  <c r="H185" i="178"/>
  <c r="H191" i="178" s="1"/>
  <c r="I191" i="178" s="1"/>
  <c r="H162" i="178"/>
  <c r="C166" i="178" s="1"/>
  <c r="C167" i="178" s="1"/>
  <c r="H190" i="178"/>
  <c r="C176" i="178"/>
  <c r="I61" i="154"/>
  <c r="I59" i="154"/>
  <c r="I39" i="175"/>
  <c r="G25" i="175"/>
  <c r="I25" i="175" s="1"/>
  <c r="G37" i="175"/>
  <c r="I37" i="175" s="1"/>
  <c r="G41" i="175"/>
  <c r="I41" i="175" s="1"/>
  <c r="G28" i="175"/>
  <c r="I28" i="175" s="1"/>
  <c r="G36" i="175"/>
  <c r="I36" i="175" s="1"/>
  <c r="G40" i="175"/>
  <c r="I40" i="175" s="1"/>
  <c r="G29" i="175"/>
  <c r="I29" i="175" s="1"/>
  <c r="G33" i="175"/>
  <c r="I33" i="175" s="1"/>
  <c r="G12" i="175"/>
  <c r="I12" i="175" s="1"/>
  <c r="G13" i="175"/>
  <c r="I13" i="175" s="1"/>
  <c r="G14" i="175"/>
  <c r="I14" i="175" s="1"/>
  <c r="G15" i="175"/>
  <c r="I15" i="175" s="1"/>
  <c r="G16" i="175"/>
  <c r="I16" i="175" s="1"/>
  <c r="G17" i="175"/>
  <c r="I17" i="175" s="1"/>
  <c r="G18" i="175"/>
  <c r="I18" i="175" s="1"/>
  <c r="G19" i="175"/>
  <c r="I19" i="175" s="1"/>
  <c r="G20" i="175"/>
  <c r="I20" i="175" s="1"/>
  <c r="G21" i="175"/>
  <c r="I21" i="175" s="1"/>
  <c r="G22" i="175"/>
  <c r="I22" i="175" s="1"/>
  <c r="G26" i="175"/>
  <c r="I26" i="175" s="1"/>
  <c r="G30" i="175"/>
  <c r="I30" i="175" s="1"/>
  <c r="G34" i="175"/>
  <c r="I34" i="175" s="1"/>
  <c r="G38" i="175"/>
  <c r="I38" i="175" s="1"/>
  <c r="G42" i="175"/>
  <c r="I42" i="175" s="1"/>
  <c r="C46" i="175"/>
  <c r="G24" i="175"/>
  <c r="I24" i="175" s="1"/>
  <c r="G32" i="175"/>
  <c r="I32" i="175" s="1"/>
  <c r="G23" i="175"/>
  <c r="I23" i="175" s="1"/>
  <c r="G27" i="175"/>
  <c r="I27" i="175" s="1"/>
  <c r="G31" i="175"/>
  <c r="I31" i="175" s="1"/>
  <c r="G35" i="175"/>
  <c r="I35" i="175" s="1"/>
  <c r="O17" i="119"/>
  <c r="L13" i="119"/>
  <c r="K14" i="119" s="1"/>
  <c r="K15" i="119" s="1"/>
  <c r="C54" i="65"/>
  <c r="M80" i="21"/>
  <c r="I190" i="178" l="1"/>
  <c r="I192" i="178" s="1"/>
  <c r="H192" i="178"/>
  <c r="I43" i="175"/>
  <c r="C47" i="175" s="1"/>
  <c r="C48" i="175" s="1"/>
  <c r="O92" i="37"/>
  <c r="R92" i="37" s="1"/>
  <c r="E91" i="173"/>
  <c r="F91" i="173" s="1"/>
  <c r="E92" i="173"/>
  <c r="F92" i="173" s="1"/>
  <c r="E93" i="173"/>
  <c r="F93" i="173" s="1"/>
  <c r="E94" i="173"/>
  <c r="F94" i="173" s="1"/>
  <c r="E95" i="173"/>
  <c r="F95" i="173" s="1"/>
  <c r="E96" i="173"/>
  <c r="F96" i="173"/>
  <c r="E97" i="173"/>
  <c r="F97" i="173" s="1"/>
  <c r="E98" i="173"/>
  <c r="F98" i="173"/>
  <c r="E99" i="173"/>
  <c r="F99" i="173" s="1"/>
  <c r="E100" i="173"/>
  <c r="F100" i="173" s="1"/>
  <c r="E101" i="173"/>
  <c r="F101" i="173" s="1"/>
  <c r="E102" i="173"/>
  <c r="F102" i="173"/>
  <c r="E103" i="173"/>
  <c r="F103" i="173" s="1"/>
  <c r="H77" i="173"/>
  <c r="C56" i="173"/>
  <c r="C57" i="173"/>
  <c r="C58" i="173"/>
  <c r="G58" i="173" s="1"/>
  <c r="C59" i="173"/>
  <c r="C60" i="173"/>
  <c r="C61" i="173"/>
  <c r="C62" i="173"/>
  <c r="G62" i="173" s="1"/>
  <c r="C63" i="173"/>
  <c r="C64" i="173"/>
  <c r="C65" i="173"/>
  <c r="C66" i="173"/>
  <c r="G66" i="173" s="1"/>
  <c r="C67" i="173"/>
  <c r="C68" i="173"/>
  <c r="C69" i="173"/>
  <c r="C70" i="173"/>
  <c r="G70" i="173" s="1"/>
  <c r="C71" i="173"/>
  <c r="C72" i="173"/>
  <c r="C73" i="173"/>
  <c r="C74" i="173"/>
  <c r="G74" i="173" s="1"/>
  <c r="C75" i="173"/>
  <c r="C76" i="173"/>
  <c r="C77" i="173"/>
  <c r="C78" i="173"/>
  <c r="G78" i="173" s="1"/>
  <c r="C79" i="173"/>
  <c r="C80" i="173"/>
  <c r="C81" i="173"/>
  <c r="C82" i="173"/>
  <c r="G82" i="173" s="1"/>
  <c r="C83" i="173"/>
  <c r="C84" i="173"/>
  <c r="C85" i="173"/>
  <c r="C86" i="173"/>
  <c r="G86" i="173" s="1"/>
  <c r="C87" i="173"/>
  <c r="C88" i="173"/>
  <c r="C89" i="173"/>
  <c r="C90" i="173"/>
  <c r="G90" i="173" s="1"/>
  <c r="C91" i="173"/>
  <c r="G91" i="173" s="1"/>
  <c r="C92" i="173"/>
  <c r="G92" i="173" s="1"/>
  <c r="C93" i="173"/>
  <c r="G93" i="173" s="1"/>
  <c r="C94" i="173"/>
  <c r="G94" i="173" s="1"/>
  <c r="C95" i="173"/>
  <c r="G95" i="173" s="1"/>
  <c r="C96" i="173"/>
  <c r="C97" i="173"/>
  <c r="C98" i="173"/>
  <c r="G98" i="173" s="1"/>
  <c r="C99" i="173"/>
  <c r="C100" i="173"/>
  <c r="C101" i="173"/>
  <c r="G101" i="173" s="1"/>
  <c r="C102" i="173"/>
  <c r="G102" i="173" s="1"/>
  <c r="C103" i="173"/>
  <c r="C104" i="173"/>
  <c r="G104" i="173" s="1"/>
  <c r="C55" i="173"/>
  <c r="E56" i="173"/>
  <c r="F56" i="173" s="1"/>
  <c r="E57" i="173"/>
  <c r="F57" i="173" s="1"/>
  <c r="E58" i="173"/>
  <c r="F58" i="173" s="1"/>
  <c r="E59" i="173"/>
  <c r="F59" i="173" s="1"/>
  <c r="E60" i="173"/>
  <c r="F60" i="173" s="1"/>
  <c r="E61" i="173"/>
  <c r="F61" i="173" s="1"/>
  <c r="E62" i="173"/>
  <c r="F62" i="173" s="1"/>
  <c r="E63" i="173"/>
  <c r="F63" i="173" s="1"/>
  <c r="E64" i="173"/>
  <c r="F64" i="173" s="1"/>
  <c r="E65" i="173"/>
  <c r="F65" i="173" s="1"/>
  <c r="E66" i="173"/>
  <c r="F66" i="173" s="1"/>
  <c r="E67" i="173"/>
  <c r="F67" i="173" s="1"/>
  <c r="E68" i="173"/>
  <c r="F68" i="173" s="1"/>
  <c r="E69" i="173"/>
  <c r="F69" i="173" s="1"/>
  <c r="E70" i="173"/>
  <c r="F70" i="173" s="1"/>
  <c r="E71" i="173"/>
  <c r="F71" i="173" s="1"/>
  <c r="E72" i="173"/>
  <c r="F72" i="173" s="1"/>
  <c r="E73" i="173"/>
  <c r="F73" i="173" s="1"/>
  <c r="E74" i="173"/>
  <c r="F74" i="173" s="1"/>
  <c r="E75" i="173"/>
  <c r="F75" i="173" s="1"/>
  <c r="E76" i="173"/>
  <c r="F76" i="173" s="1"/>
  <c r="E77" i="173"/>
  <c r="F77" i="173" s="1"/>
  <c r="E78" i="173"/>
  <c r="F78" i="173" s="1"/>
  <c r="E79" i="173"/>
  <c r="F79" i="173" s="1"/>
  <c r="E80" i="173"/>
  <c r="F80" i="173" s="1"/>
  <c r="E81" i="173"/>
  <c r="F81" i="173" s="1"/>
  <c r="E82" i="173"/>
  <c r="F82" i="173" s="1"/>
  <c r="E83" i="173"/>
  <c r="F83" i="173" s="1"/>
  <c r="E84" i="173"/>
  <c r="F84" i="173" s="1"/>
  <c r="E85" i="173"/>
  <c r="F85" i="173" s="1"/>
  <c r="E86" i="173"/>
  <c r="F86" i="173" s="1"/>
  <c r="E87" i="173"/>
  <c r="F87" i="173" s="1"/>
  <c r="E88" i="173"/>
  <c r="F88" i="173" s="1"/>
  <c r="E89" i="173"/>
  <c r="F89" i="173" s="1"/>
  <c r="E90" i="173"/>
  <c r="F90" i="173" s="1"/>
  <c r="E53" i="173"/>
  <c r="F53" i="173" s="1"/>
  <c r="E54" i="173"/>
  <c r="F54" i="173" s="1"/>
  <c r="E55" i="173"/>
  <c r="F55" i="173" s="1"/>
  <c r="E47" i="173"/>
  <c r="F47" i="173" s="1"/>
  <c r="E48" i="173"/>
  <c r="F48" i="173" s="1"/>
  <c r="E49" i="173"/>
  <c r="F49" i="173" s="1"/>
  <c r="E50" i="173"/>
  <c r="F50" i="173" s="1"/>
  <c r="E51" i="173"/>
  <c r="F51" i="173" s="1"/>
  <c r="E52" i="173"/>
  <c r="F52" i="173" s="1"/>
  <c r="C48" i="173"/>
  <c r="G48" i="173" s="1"/>
  <c r="C49" i="173"/>
  <c r="C50" i="173"/>
  <c r="G50" i="173" s="1"/>
  <c r="C51" i="173"/>
  <c r="G51" i="173" s="1"/>
  <c r="C52" i="173"/>
  <c r="G52" i="173" s="1"/>
  <c r="C53" i="173"/>
  <c r="C54" i="173"/>
  <c r="C47" i="173"/>
  <c r="G47" i="173" s="1"/>
  <c r="E46" i="173"/>
  <c r="F46" i="173" s="1"/>
  <c r="C46" i="173"/>
  <c r="E45" i="173"/>
  <c r="F45" i="173" s="1"/>
  <c r="G45" i="173" s="1"/>
  <c r="E33" i="173"/>
  <c r="F33" i="173" s="1"/>
  <c r="C33" i="173"/>
  <c r="G33" i="173" s="1"/>
  <c r="E34" i="173"/>
  <c r="F34" i="173" s="1"/>
  <c r="C34" i="173"/>
  <c r="G34" i="173" s="1"/>
  <c r="E32" i="173"/>
  <c r="F32" i="173" s="1"/>
  <c r="C32" i="173"/>
  <c r="G32" i="173" s="1"/>
  <c r="E31" i="173"/>
  <c r="F31" i="173" s="1"/>
  <c r="C31" i="173"/>
  <c r="G31" i="173" s="1"/>
  <c r="E30" i="173"/>
  <c r="F30" i="173" s="1"/>
  <c r="C30" i="173"/>
  <c r="G30" i="173" s="1"/>
  <c r="E29" i="173"/>
  <c r="F29" i="173" s="1"/>
  <c r="C29" i="173"/>
  <c r="G29" i="173" s="1"/>
  <c r="E28" i="173"/>
  <c r="F28" i="173" s="1"/>
  <c r="C28" i="173"/>
  <c r="G28" i="173" s="1"/>
  <c r="E15" i="173"/>
  <c r="E16" i="173"/>
  <c r="E17" i="173"/>
  <c r="E18" i="173"/>
  <c r="E14" i="173"/>
  <c r="G96" i="173" l="1"/>
  <c r="G53" i="173"/>
  <c r="G99" i="173"/>
  <c r="G55" i="173"/>
  <c r="G97" i="173"/>
  <c r="G89" i="173"/>
  <c r="G85" i="173"/>
  <c r="G81" i="173"/>
  <c r="G77" i="173"/>
  <c r="G73" i="173"/>
  <c r="G69" i="173"/>
  <c r="G65" i="173"/>
  <c r="G61" i="173"/>
  <c r="G57" i="173"/>
  <c r="G54" i="173"/>
  <c r="G100" i="173"/>
  <c r="G88" i="173"/>
  <c r="G84" i="173"/>
  <c r="G80" i="173"/>
  <c r="G76" i="173"/>
  <c r="G72" i="173"/>
  <c r="G68" i="173"/>
  <c r="G64" i="173"/>
  <c r="G60" i="173"/>
  <c r="G56" i="173"/>
  <c r="G46" i="173"/>
  <c r="G49" i="173"/>
  <c r="G103" i="173"/>
  <c r="G87" i="173"/>
  <c r="G83" i="173"/>
  <c r="G79" i="173"/>
  <c r="G75" i="173"/>
  <c r="G71" i="173"/>
  <c r="G67" i="173"/>
  <c r="G63" i="173"/>
  <c r="G59" i="173"/>
  <c r="F16" i="173"/>
  <c r="C18" i="173"/>
  <c r="F17" i="173"/>
  <c r="C16" i="173"/>
  <c r="C17" i="173"/>
  <c r="G17" i="173" s="1"/>
  <c r="F15" i="173"/>
  <c r="F18" i="173"/>
  <c r="C15" i="173"/>
  <c r="F14" i="173"/>
  <c r="C14" i="173"/>
  <c r="C47" i="174"/>
  <c r="H43" i="174"/>
  <c r="F43" i="174"/>
  <c r="E43" i="174"/>
  <c r="H42" i="174"/>
  <c r="E42" i="174"/>
  <c r="F42" i="174" s="1"/>
  <c r="H41" i="174"/>
  <c r="E41" i="174"/>
  <c r="F41" i="174" s="1"/>
  <c r="H40" i="174"/>
  <c r="E40" i="174"/>
  <c r="F40" i="174" s="1"/>
  <c r="H39" i="174"/>
  <c r="F39" i="174"/>
  <c r="E39" i="174"/>
  <c r="H38" i="174"/>
  <c r="G38" i="174"/>
  <c r="E38" i="174"/>
  <c r="F38" i="174" s="1"/>
  <c r="H37" i="174"/>
  <c r="E37" i="174"/>
  <c r="F37" i="174" s="1"/>
  <c r="H36" i="174"/>
  <c r="E36" i="174"/>
  <c r="F36" i="174" s="1"/>
  <c r="H35" i="174"/>
  <c r="F35" i="174"/>
  <c r="E35" i="174"/>
  <c r="H34" i="174"/>
  <c r="E34" i="174"/>
  <c r="F34" i="174" s="1"/>
  <c r="H33" i="174"/>
  <c r="E33" i="174"/>
  <c r="F33" i="174" s="1"/>
  <c r="H32" i="174"/>
  <c r="E32" i="174"/>
  <c r="F32" i="174" s="1"/>
  <c r="H31" i="174"/>
  <c r="F31" i="174"/>
  <c r="E31" i="174"/>
  <c r="H30" i="174"/>
  <c r="G30" i="174"/>
  <c r="E30" i="174"/>
  <c r="F30" i="174" s="1"/>
  <c r="H29" i="174"/>
  <c r="E29" i="174"/>
  <c r="F29" i="174" s="1"/>
  <c r="H28" i="174"/>
  <c r="E28" i="174"/>
  <c r="F28" i="174" s="1"/>
  <c r="H27" i="174"/>
  <c r="F27" i="174"/>
  <c r="H26" i="174"/>
  <c r="F26" i="174"/>
  <c r="H25" i="174"/>
  <c r="F25" i="174"/>
  <c r="H24" i="174"/>
  <c r="F24" i="174"/>
  <c r="H23" i="174"/>
  <c r="F23" i="174"/>
  <c r="H22" i="174"/>
  <c r="F22" i="174"/>
  <c r="H21" i="174"/>
  <c r="F21" i="174"/>
  <c r="H20" i="174"/>
  <c r="F20" i="174"/>
  <c r="H19" i="174"/>
  <c r="F19" i="174"/>
  <c r="H18" i="174"/>
  <c r="F18" i="174"/>
  <c r="H17" i="174"/>
  <c r="F17" i="174"/>
  <c r="F16" i="174"/>
  <c r="I16" i="174" s="1"/>
  <c r="F15" i="174"/>
  <c r="I15" i="174" s="1"/>
  <c r="F14" i="174"/>
  <c r="I14" i="174" s="1"/>
  <c r="F13" i="174"/>
  <c r="I13" i="174" s="1"/>
  <c r="F12" i="174"/>
  <c r="I12" i="174" s="1"/>
  <c r="C10" i="174"/>
  <c r="G41" i="174" s="1"/>
  <c r="N152" i="86"/>
  <c r="S126" i="86"/>
  <c r="F54" i="86"/>
  <c r="F53" i="86"/>
  <c r="I41" i="99"/>
  <c r="D45" i="99" s="1"/>
  <c r="G14" i="173" l="1"/>
  <c r="G18" i="173"/>
  <c r="B116" i="173"/>
  <c r="B117" i="173" s="1"/>
  <c r="G16" i="173"/>
  <c r="G15" i="173"/>
  <c r="G35" i="173"/>
  <c r="G36" i="173" s="1"/>
  <c r="G38" i="173" s="1"/>
  <c r="G112" i="173"/>
  <c r="H78" i="173"/>
  <c r="H79" i="173" s="1"/>
  <c r="G34" i="174"/>
  <c r="I34" i="174" s="1"/>
  <c r="G42" i="174"/>
  <c r="I42" i="174" s="1"/>
  <c r="I30" i="174"/>
  <c r="I38" i="174"/>
  <c r="I23" i="174"/>
  <c r="I20" i="174"/>
  <c r="I28" i="174"/>
  <c r="I41" i="174"/>
  <c r="G17" i="174"/>
  <c r="I17" i="174" s="1"/>
  <c r="G18" i="174"/>
  <c r="I18" i="174" s="1"/>
  <c r="G19" i="174"/>
  <c r="I19" i="174" s="1"/>
  <c r="G20" i="174"/>
  <c r="G21" i="174"/>
  <c r="I21" i="174" s="1"/>
  <c r="G22" i="174"/>
  <c r="I22" i="174" s="1"/>
  <c r="G23" i="174"/>
  <c r="G24" i="174"/>
  <c r="I24" i="174" s="1"/>
  <c r="G25" i="174"/>
  <c r="I25" i="174" s="1"/>
  <c r="G26" i="174"/>
  <c r="I26" i="174" s="1"/>
  <c r="G27" i="174"/>
  <c r="I27" i="174" s="1"/>
  <c r="G31" i="174"/>
  <c r="I31" i="174" s="1"/>
  <c r="G35" i="174"/>
  <c r="I35" i="174" s="1"/>
  <c r="G39" i="174"/>
  <c r="I39" i="174" s="1"/>
  <c r="G43" i="174"/>
  <c r="I43" i="174" s="1"/>
  <c r="G28" i="174"/>
  <c r="G32" i="174"/>
  <c r="I32" i="174" s="1"/>
  <c r="G36" i="174"/>
  <c r="I36" i="174" s="1"/>
  <c r="G40" i="174"/>
  <c r="I40" i="174" s="1"/>
  <c r="G29" i="174"/>
  <c r="I29" i="174" s="1"/>
  <c r="G33" i="174"/>
  <c r="I33" i="174" s="1"/>
  <c r="G37" i="174"/>
  <c r="I37" i="174" s="1"/>
  <c r="I60" i="64"/>
  <c r="G21" i="64"/>
  <c r="D18" i="64"/>
  <c r="D12" i="64"/>
  <c r="G19" i="173" l="1"/>
  <c r="G20" i="173" s="1"/>
  <c r="G22" i="173" s="1"/>
  <c r="I44" i="174"/>
  <c r="E151" i="62"/>
  <c r="T84" i="171"/>
  <c r="T82" i="171"/>
  <c r="X76" i="171"/>
  <c r="X74" i="171"/>
  <c r="S76" i="171"/>
  <c r="S75" i="171"/>
  <c r="S74" i="171"/>
  <c r="K75" i="171"/>
  <c r="J75" i="171"/>
  <c r="H75" i="171"/>
  <c r="C48" i="174" l="1"/>
  <c r="C49" i="174" s="1"/>
  <c r="I45" i="174"/>
  <c r="S84" i="171"/>
  <c r="G48" i="172"/>
  <c r="H45" i="172"/>
  <c r="G47" i="172" s="1"/>
  <c r="H47" i="172" s="1"/>
  <c r="G141" i="172"/>
  <c r="H141" i="172" s="1"/>
  <c r="D141" i="172"/>
  <c r="G140" i="172"/>
  <c r="H140" i="172" s="1"/>
  <c r="D140" i="172"/>
  <c r="H139" i="172"/>
  <c r="G139" i="172"/>
  <c r="D139" i="172"/>
  <c r="G138" i="172"/>
  <c r="H138" i="172" s="1"/>
  <c r="D138" i="172"/>
  <c r="H137" i="172"/>
  <c r="G137" i="172"/>
  <c r="D137" i="172"/>
  <c r="G136" i="172"/>
  <c r="H136" i="172" s="1"/>
  <c r="D136" i="172"/>
  <c r="H135" i="172"/>
  <c r="G135" i="172"/>
  <c r="D135" i="172"/>
  <c r="G134" i="172"/>
  <c r="H134" i="172" s="1"/>
  <c r="D134" i="172"/>
  <c r="H133" i="172"/>
  <c r="G133" i="172"/>
  <c r="D133" i="172"/>
  <c r="G132" i="172"/>
  <c r="H132" i="172" s="1"/>
  <c r="D132" i="172"/>
  <c r="H131" i="172"/>
  <c r="G131" i="172"/>
  <c r="D131" i="172"/>
  <c r="G130" i="172"/>
  <c r="H130" i="172" s="1"/>
  <c r="D130" i="172"/>
  <c r="H129" i="172"/>
  <c r="G129" i="172"/>
  <c r="D129" i="172"/>
  <c r="G128" i="172"/>
  <c r="H128" i="172" s="1"/>
  <c r="D128" i="172"/>
  <c r="H127" i="172"/>
  <c r="G127" i="172"/>
  <c r="D127" i="172"/>
  <c r="G126" i="172"/>
  <c r="H126" i="172" s="1"/>
  <c r="D126" i="172"/>
  <c r="H125" i="172"/>
  <c r="G125" i="172"/>
  <c r="D125" i="172"/>
  <c r="G124" i="172"/>
  <c r="H124" i="172" s="1"/>
  <c r="D124" i="172"/>
  <c r="H123" i="172"/>
  <c r="G123" i="172"/>
  <c r="D123" i="172"/>
  <c r="G122" i="172"/>
  <c r="H122" i="172" s="1"/>
  <c r="D122" i="172"/>
  <c r="H121" i="172"/>
  <c r="G121" i="172"/>
  <c r="D121" i="172"/>
  <c r="G120" i="172"/>
  <c r="H120" i="172" s="1"/>
  <c r="D120" i="172"/>
  <c r="H119" i="172"/>
  <c r="G119" i="172"/>
  <c r="D119" i="172"/>
  <c r="G118" i="172"/>
  <c r="H118" i="172" s="1"/>
  <c r="D118" i="172"/>
  <c r="H117" i="172"/>
  <c r="G117" i="172"/>
  <c r="D117" i="172"/>
  <c r="G116" i="172"/>
  <c r="H116" i="172" s="1"/>
  <c r="D116" i="172"/>
  <c r="H115" i="172"/>
  <c r="G115" i="172"/>
  <c r="D115" i="172"/>
  <c r="G114" i="172"/>
  <c r="H114" i="172" s="1"/>
  <c r="D114" i="172"/>
  <c r="H113" i="172"/>
  <c r="G113" i="172"/>
  <c r="D113" i="172"/>
  <c r="G112" i="172"/>
  <c r="H112" i="172" s="1"/>
  <c r="D112" i="172"/>
  <c r="H111" i="172"/>
  <c r="G111" i="172"/>
  <c r="D111" i="172"/>
  <c r="G110" i="172"/>
  <c r="H110" i="172" s="1"/>
  <c r="D110" i="172"/>
  <c r="H109" i="172"/>
  <c r="G109" i="172"/>
  <c r="D109" i="172"/>
  <c r="G108" i="172"/>
  <c r="H108" i="172" s="1"/>
  <c r="D108" i="172"/>
  <c r="H107" i="172"/>
  <c r="G107" i="172"/>
  <c r="D107" i="172"/>
  <c r="G106" i="172"/>
  <c r="H106" i="172" s="1"/>
  <c r="D106" i="172"/>
  <c r="H105" i="172"/>
  <c r="G105" i="172"/>
  <c r="D105" i="172"/>
  <c r="G104" i="172"/>
  <c r="H104" i="172" s="1"/>
  <c r="D104" i="172"/>
  <c r="H103" i="172"/>
  <c r="G103" i="172"/>
  <c r="D103" i="172"/>
  <c r="G102" i="172"/>
  <c r="H102" i="172" s="1"/>
  <c r="D102" i="172"/>
  <c r="H101" i="172"/>
  <c r="G101" i="172"/>
  <c r="D101" i="172"/>
  <c r="G100" i="172"/>
  <c r="H100" i="172" s="1"/>
  <c r="D100" i="172"/>
  <c r="H99" i="172"/>
  <c r="G99" i="172"/>
  <c r="D99" i="172"/>
  <c r="G98" i="172"/>
  <c r="H98" i="172" s="1"/>
  <c r="D98" i="172"/>
  <c r="H97" i="172"/>
  <c r="G97" i="172"/>
  <c r="D97" i="172"/>
  <c r="G96" i="172"/>
  <c r="H96" i="172" s="1"/>
  <c r="D96" i="172"/>
  <c r="H95" i="172"/>
  <c r="G95" i="172"/>
  <c r="D95" i="172"/>
  <c r="G94" i="172"/>
  <c r="H94" i="172" s="1"/>
  <c r="H93" i="172"/>
  <c r="G93" i="172"/>
  <c r="G92" i="172"/>
  <c r="H92" i="172" s="1"/>
  <c r="I92" i="172" s="1"/>
  <c r="H91" i="172"/>
  <c r="I91" i="172" s="1"/>
  <c r="G91" i="172"/>
  <c r="G90" i="172"/>
  <c r="H90" i="172" s="1"/>
  <c r="I90" i="172" s="1"/>
  <c r="H89" i="172"/>
  <c r="I89" i="172" s="1"/>
  <c r="G89" i="172"/>
  <c r="G88" i="172"/>
  <c r="H88" i="172" s="1"/>
  <c r="I88" i="172" s="1"/>
  <c r="H87" i="172"/>
  <c r="I87" i="172" s="1"/>
  <c r="G87" i="172"/>
  <c r="G86" i="172"/>
  <c r="H86" i="172" s="1"/>
  <c r="I86" i="172" s="1"/>
  <c r="H85" i="172"/>
  <c r="I85" i="172" s="1"/>
  <c r="G85" i="172"/>
  <c r="G84" i="172"/>
  <c r="H84" i="172" s="1"/>
  <c r="I84" i="172" s="1"/>
  <c r="H83" i="172"/>
  <c r="I83" i="172" s="1"/>
  <c r="G83" i="172"/>
  <c r="G82" i="172"/>
  <c r="H82" i="172" s="1"/>
  <c r="I82" i="172" s="1"/>
  <c r="H81" i="172"/>
  <c r="I81" i="172" s="1"/>
  <c r="G81" i="172"/>
  <c r="G80" i="172"/>
  <c r="H80" i="172" s="1"/>
  <c r="I80" i="172" s="1"/>
  <c r="H79" i="172"/>
  <c r="I79" i="172" s="1"/>
  <c r="G79" i="172"/>
  <c r="G78" i="172"/>
  <c r="H78" i="172" s="1"/>
  <c r="I78" i="172" s="1"/>
  <c r="H77" i="172"/>
  <c r="I77" i="172" s="1"/>
  <c r="G77" i="172"/>
  <c r="G76" i="172"/>
  <c r="H76" i="172" s="1"/>
  <c r="I76" i="172" s="1"/>
  <c r="H75" i="172"/>
  <c r="I75" i="172" s="1"/>
  <c r="G75" i="172"/>
  <c r="G74" i="172"/>
  <c r="H74" i="172" s="1"/>
  <c r="D74" i="172"/>
  <c r="H73" i="172"/>
  <c r="G73" i="172"/>
  <c r="D73" i="172"/>
  <c r="G72" i="172"/>
  <c r="H72" i="172" s="1"/>
  <c r="D72" i="172"/>
  <c r="H71" i="172"/>
  <c r="G71" i="172"/>
  <c r="D71" i="172"/>
  <c r="G70" i="172"/>
  <c r="H70" i="172" s="1"/>
  <c r="D70" i="172"/>
  <c r="H69" i="172"/>
  <c r="G69" i="172"/>
  <c r="D69" i="172"/>
  <c r="G68" i="172"/>
  <c r="D68" i="172"/>
  <c r="E59" i="172"/>
  <c r="D59" i="172"/>
  <c r="E58" i="172"/>
  <c r="D58" i="172"/>
  <c r="E57" i="172"/>
  <c r="D57" i="172"/>
  <c r="E56" i="172"/>
  <c r="D56" i="172"/>
  <c r="H56" i="172" s="1"/>
  <c r="E55" i="172"/>
  <c r="D55" i="172"/>
  <c r="E54" i="172"/>
  <c r="D54" i="172"/>
  <c r="E53" i="172"/>
  <c r="D53" i="172"/>
  <c r="E52" i="172"/>
  <c r="D52" i="172"/>
  <c r="H52" i="172" s="1"/>
  <c r="E51" i="172"/>
  <c r="D51" i="172"/>
  <c r="H51" i="172" s="1"/>
  <c r="E50" i="172"/>
  <c r="D50" i="172"/>
  <c r="E49" i="172"/>
  <c r="D49" i="172"/>
  <c r="E48" i="172"/>
  <c r="D48" i="172"/>
  <c r="E47" i="172"/>
  <c r="D47" i="172"/>
  <c r="F40" i="172"/>
  <c r="F39" i="172"/>
  <c r="F38" i="172"/>
  <c r="F37" i="172"/>
  <c r="F36" i="172"/>
  <c r="F35" i="172"/>
  <c r="F34" i="172"/>
  <c r="F33" i="172"/>
  <c r="C24" i="172"/>
  <c r="C23" i="172"/>
  <c r="C22" i="172"/>
  <c r="C21" i="172"/>
  <c r="C3" i="172"/>
  <c r="G49" i="172" l="1"/>
  <c r="G50" i="172"/>
  <c r="H55" i="172"/>
  <c r="H59" i="172"/>
  <c r="H50" i="172"/>
  <c r="H54" i="172"/>
  <c r="H58" i="172"/>
  <c r="H53" i="172"/>
  <c r="H57" i="172"/>
  <c r="H49" i="172"/>
  <c r="H48" i="172"/>
  <c r="H73" i="171"/>
  <c r="S82" i="171" s="1"/>
  <c r="H74" i="171"/>
  <c r="S83" i="171" s="1"/>
  <c r="I68" i="172" l="1"/>
  <c r="B216" i="171"/>
  <c r="D213" i="171"/>
  <c r="E213" i="171" s="1"/>
  <c r="D209" i="171"/>
  <c r="D201" i="171"/>
  <c r="D197" i="171"/>
  <c r="D193" i="171"/>
  <c r="E189" i="171"/>
  <c r="D215" i="171" s="1"/>
  <c r="E215" i="171" s="1"/>
  <c r="D186" i="171"/>
  <c r="D185" i="171"/>
  <c r="D184" i="171"/>
  <c r="D183" i="171"/>
  <c r="D182" i="171"/>
  <c r="D181" i="171"/>
  <c r="D180" i="171"/>
  <c r="D179" i="171"/>
  <c r="D178" i="171"/>
  <c r="D177" i="171"/>
  <c r="B166" i="171"/>
  <c r="B165" i="171"/>
  <c r="O157" i="171"/>
  <c r="G140" i="171"/>
  <c r="E140" i="171"/>
  <c r="D140" i="171"/>
  <c r="G139" i="171"/>
  <c r="D139" i="171"/>
  <c r="E139" i="171" s="1"/>
  <c r="G138" i="171"/>
  <c r="E138" i="171"/>
  <c r="D138" i="171"/>
  <c r="G137" i="171"/>
  <c r="E137" i="171"/>
  <c r="D137" i="171"/>
  <c r="G136" i="171"/>
  <c r="E136" i="171"/>
  <c r="D136" i="171"/>
  <c r="G135" i="171"/>
  <c r="D135" i="171"/>
  <c r="E135" i="171" s="1"/>
  <c r="G134" i="171"/>
  <c r="E134" i="171"/>
  <c r="G133" i="171"/>
  <c r="E133" i="171"/>
  <c r="G132" i="171"/>
  <c r="E132" i="171"/>
  <c r="G131" i="171"/>
  <c r="E131" i="171"/>
  <c r="G130" i="171"/>
  <c r="E130" i="171"/>
  <c r="G129" i="171"/>
  <c r="E129" i="171"/>
  <c r="G128" i="171"/>
  <c r="E128" i="171"/>
  <c r="G127" i="171"/>
  <c r="E127" i="171"/>
  <c r="G126" i="171"/>
  <c r="E126" i="171"/>
  <c r="G125" i="171"/>
  <c r="E125" i="171"/>
  <c r="G124" i="171"/>
  <c r="E124" i="171"/>
  <c r="G123" i="171"/>
  <c r="E123" i="171"/>
  <c r="G122" i="171"/>
  <c r="E122" i="171"/>
  <c r="G121" i="171"/>
  <c r="E121" i="171"/>
  <c r="G120" i="171"/>
  <c r="E120" i="171"/>
  <c r="G119" i="171"/>
  <c r="E119" i="171"/>
  <c r="G118" i="171"/>
  <c r="E118" i="171"/>
  <c r="G117" i="171"/>
  <c r="E117" i="171"/>
  <c r="G116" i="171"/>
  <c r="E116" i="171"/>
  <c r="G115" i="171"/>
  <c r="E115" i="171"/>
  <c r="G114" i="171"/>
  <c r="E114" i="171"/>
  <c r="G113" i="171"/>
  <c r="E113" i="171"/>
  <c r="G112" i="171"/>
  <c r="E112" i="171"/>
  <c r="G111" i="171"/>
  <c r="E111" i="171"/>
  <c r="G110" i="171"/>
  <c r="E110" i="171"/>
  <c r="G109" i="171"/>
  <c r="E109" i="171"/>
  <c r="G108" i="171"/>
  <c r="E108" i="171"/>
  <c r="G107" i="171"/>
  <c r="E107" i="171"/>
  <c r="G106" i="171"/>
  <c r="E106" i="171"/>
  <c r="G105" i="171"/>
  <c r="E105" i="171"/>
  <c r="G104" i="171"/>
  <c r="E104" i="171"/>
  <c r="G103" i="171"/>
  <c r="E103" i="171"/>
  <c r="G102" i="171"/>
  <c r="E102" i="171"/>
  <c r="G101" i="171"/>
  <c r="E101" i="171"/>
  <c r="G100" i="171"/>
  <c r="E100" i="171"/>
  <c r="G99" i="171"/>
  <c r="E99" i="171"/>
  <c r="G98" i="171"/>
  <c r="E98" i="171"/>
  <c r="G97" i="171"/>
  <c r="E97" i="171"/>
  <c r="G96" i="171"/>
  <c r="E96" i="171"/>
  <c r="E95" i="171"/>
  <c r="E94" i="171"/>
  <c r="E93" i="171"/>
  <c r="G92" i="171"/>
  <c r="E92" i="171"/>
  <c r="G91" i="171"/>
  <c r="E91" i="171"/>
  <c r="G90" i="171"/>
  <c r="E90" i="171"/>
  <c r="G89" i="171"/>
  <c r="E89" i="171"/>
  <c r="H83" i="171"/>
  <c r="K83" i="171" s="1"/>
  <c r="H82" i="171"/>
  <c r="K82" i="171" s="1"/>
  <c r="J83" i="171"/>
  <c r="H81" i="171"/>
  <c r="K81" i="171" s="1"/>
  <c r="J82" i="171"/>
  <c r="J81" i="171"/>
  <c r="I80" i="171"/>
  <c r="K74" i="171"/>
  <c r="J74" i="171"/>
  <c r="J73" i="171"/>
  <c r="K73" i="171" s="1"/>
  <c r="F64" i="171"/>
  <c r="E64" i="171"/>
  <c r="F63" i="171"/>
  <c r="E63" i="171"/>
  <c r="F62" i="171"/>
  <c r="E62" i="171"/>
  <c r="F61" i="171"/>
  <c r="E61" i="171"/>
  <c r="F60" i="171"/>
  <c r="E60" i="171"/>
  <c r="F59" i="171"/>
  <c r="E59" i="171"/>
  <c r="M58" i="171"/>
  <c r="K58" i="171"/>
  <c r="J58" i="171"/>
  <c r="I58" i="171"/>
  <c r="H58" i="171"/>
  <c r="L58" i="171" s="1"/>
  <c r="F58" i="171"/>
  <c r="E58" i="171"/>
  <c r="M57" i="171"/>
  <c r="K57" i="171"/>
  <c r="J57" i="171"/>
  <c r="I57" i="171"/>
  <c r="H57" i="171"/>
  <c r="L57" i="171" s="1"/>
  <c r="F57" i="171"/>
  <c r="E57" i="171"/>
  <c r="K56" i="171"/>
  <c r="J56" i="171"/>
  <c r="I56" i="171"/>
  <c r="M56" i="171" s="1"/>
  <c r="H56" i="171"/>
  <c r="L56" i="171" s="1"/>
  <c r="F56" i="171"/>
  <c r="E56" i="171"/>
  <c r="K55" i="171"/>
  <c r="J55" i="171"/>
  <c r="I55" i="171"/>
  <c r="M55" i="171" s="1"/>
  <c r="H55" i="171"/>
  <c r="L55" i="171" s="1"/>
  <c r="F55" i="171"/>
  <c r="E55" i="171"/>
  <c r="M54" i="171"/>
  <c r="K54" i="171"/>
  <c r="J54" i="171"/>
  <c r="I54" i="171"/>
  <c r="H54" i="171"/>
  <c r="L54" i="171" s="1"/>
  <c r="F54" i="171"/>
  <c r="E54" i="171"/>
  <c r="M53" i="171"/>
  <c r="K53" i="171"/>
  <c r="J53" i="171"/>
  <c r="I53" i="171"/>
  <c r="H53" i="171"/>
  <c r="L53" i="171" s="1"/>
  <c r="F53" i="171"/>
  <c r="E53" i="171"/>
  <c r="K52" i="171"/>
  <c r="J52" i="171"/>
  <c r="I52" i="171"/>
  <c r="M52" i="171" s="1"/>
  <c r="H52" i="171"/>
  <c r="L52" i="171" s="1"/>
  <c r="F52" i="171"/>
  <c r="E52" i="171"/>
  <c r="K51" i="171"/>
  <c r="J51" i="171"/>
  <c r="I51" i="171"/>
  <c r="M51" i="171" s="1"/>
  <c r="H51" i="171"/>
  <c r="L51" i="171" s="1"/>
  <c r="F51" i="171"/>
  <c r="E51" i="171"/>
  <c r="M50" i="171"/>
  <c r="K50" i="171"/>
  <c r="J50" i="171"/>
  <c r="I50" i="171"/>
  <c r="H50" i="171"/>
  <c r="L50" i="171" s="1"/>
  <c r="F50" i="171"/>
  <c r="E50" i="171"/>
  <c r="K49" i="171"/>
  <c r="M49" i="171" s="1"/>
  <c r="J49" i="171"/>
  <c r="I49" i="171"/>
  <c r="H49" i="171"/>
  <c r="L49" i="171" s="1"/>
  <c r="F49" i="171"/>
  <c r="E49" i="171"/>
  <c r="K48" i="171"/>
  <c r="K60" i="171" s="1"/>
  <c r="J48" i="171"/>
  <c r="I48" i="171"/>
  <c r="M48" i="171" s="1"/>
  <c r="H48" i="171"/>
  <c r="L48" i="171" s="1"/>
  <c r="F48" i="171"/>
  <c r="E48" i="171"/>
  <c r="K47" i="171"/>
  <c r="J47" i="171"/>
  <c r="J60" i="171" s="1"/>
  <c r="I47" i="171"/>
  <c r="I60" i="171" s="1"/>
  <c r="H47" i="171"/>
  <c r="L47" i="171" s="1"/>
  <c r="F47" i="171"/>
  <c r="E47" i="171"/>
  <c r="E41" i="171"/>
  <c r="F41" i="171" s="1"/>
  <c r="D41" i="171"/>
  <c r="F40" i="171"/>
  <c r="D40" i="171"/>
  <c r="E40" i="171" s="1"/>
  <c r="D38" i="171"/>
  <c r="E37" i="171"/>
  <c r="F37" i="171" s="1"/>
  <c r="D37" i="171"/>
  <c r="D36" i="171"/>
  <c r="E36" i="171" s="1"/>
  <c r="F36" i="171" s="1"/>
  <c r="K35" i="171"/>
  <c r="J35" i="171"/>
  <c r="I35" i="171"/>
  <c r="M35" i="171" s="1"/>
  <c r="H35" i="171"/>
  <c r="L35" i="171" s="1"/>
  <c r="E35" i="171"/>
  <c r="F35" i="171" s="1"/>
  <c r="K34" i="171"/>
  <c r="J34" i="171"/>
  <c r="I34" i="171"/>
  <c r="M34" i="171" s="1"/>
  <c r="H34" i="171"/>
  <c r="L34" i="171" s="1"/>
  <c r="E34" i="171"/>
  <c r="F34" i="171" s="1"/>
  <c r="K33" i="171"/>
  <c r="J33" i="171"/>
  <c r="I33" i="171"/>
  <c r="M33" i="171" s="1"/>
  <c r="H33" i="171"/>
  <c r="L33" i="171" s="1"/>
  <c r="E33" i="171"/>
  <c r="F33" i="171" s="1"/>
  <c r="K32" i="171"/>
  <c r="J32" i="171"/>
  <c r="I32" i="171"/>
  <c r="H32" i="171"/>
  <c r="L32" i="171" s="1"/>
  <c r="E32" i="171"/>
  <c r="F32" i="171" s="1"/>
  <c r="K31" i="171"/>
  <c r="J31" i="171"/>
  <c r="I31" i="171"/>
  <c r="M31" i="171" s="1"/>
  <c r="H31" i="171"/>
  <c r="L31" i="171" s="1"/>
  <c r="E31" i="171"/>
  <c r="F31" i="171" s="1"/>
  <c r="K30" i="171"/>
  <c r="J30" i="171"/>
  <c r="I30" i="171"/>
  <c r="M30" i="171" s="1"/>
  <c r="H30" i="171"/>
  <c r="L30" i="171" s="1"/>
  <c r="F30" i="171"/>
  <c r="E30" i="171"/>
  <c r="K29" i="171"/>
  <c r="J29" i="171"/>
  <c r="I29" i="171"/>
  <c r="H29" i="171"/>
  <c r="L29" i="171" s="1"/>
  <c r="F29" i="171"/>
  <c r="E29" i="171"/>
  <c r="K28" i="171"/>
  <c r="J28" i="171"/>
  <c r="I28" i="171"/>
  <c r="H28" i="171"/>
  <c r="L28" i="171" s="1"/>
  <c r="E28" i="171"/>
  <c r="F28" i="171" s="1"/>
  <c r="K27" i="171"/>
  <c r="J27" i="171"/>
  <c r="I27" i="171"/>
  <c r="M27" i="171" s="1"/>
  <c r="H27" i="171"/>
  <c r="L27" i="171" s="1"/>
  <c r="E27" i="171"/>
  <c r="F27" i="171" s="1"/>
  <c r="K26" i="171"/>
  <c r="J26" i="171"/>
  <c r="I26" i="171"/>
  <c r="M26" i="171" s="1"/>
  <c r="H26" i="171"/>
  <c r="L26" i="171" s="1"/>
  <c r="F26" i="171"/>
  <c r="E26" i="171"/>
  <c r="K25" i="171"/>
  <c r="J25" i="171"/>
  <c r="I25" i="171"/>
  <c r="M25" i="171" s="1"/>
  <c r="H25" i="171"/>
  <c r="L25" i="171" s="1"/>
  <c r="F25" i="171"/>
  <c r="E25" i="171"/>
  <c r="K24" i="171"/>
  <c r="J24" i="171"/>
  <c r="J37" i="171" s="1"/>
  <c r="I24" i="171"/>
  <c r="I37" i="171" s="1"/>
  <c r="H24" i="171"/>
  <c r="L24" i="171" s="1"/>
  <c r="F24" i="171"/>
  <c r="I20" i="171"/>
  <c r="F18" i="171"/>
  <c r="E18" i="171"/>
  <c r="K17" i="171"/>
  <c r="J17" i="171"/>
  <c r="I17" i="171"/>
  <c r="M17" i="171" s="1"/>
  <c r="H17" i="171"/>
  <c r="L17" i="171" s="1"/>
  <c r="F17" i="171"/>
  <c r="E17" i="171"/>
  <c r="K16" i="171"/>
  <c r="J16" i="171"/>
  <c r="I16" i="171"/>
  <c r="M16" i="171" s="1"/>
  <c r="H16" i="171"/>
  <c r="L16" i="171" s="1"/>
  <c r="F16" i="171"/>
  <c r="E16" i="171"/>
  <c r="K15" i="171"/>
  <c r="J15" i="171"/>
  <c r="I15" i="171"/>
  <c r="M15" i="171" s="1"/>
  <c r="H15" i="171"/>
  <c r="L15" i="171" s="1"/>
  <c r="F15" i="171"/>
  <c r="E15" i="171"/>
  <c r="K14" i="171"/>
  <c r="J14" i="171"/>
  <c r="I14" i="171"/>
  <c r="M14" i="171" s="1"/>
  <c r="H14" i="171"/>
  <c r="L14" i="171" s="1"/>
  <c r="F14" i="171"/>
  <c r="E14" i="171"/>
  <c r="K13" i="171"/>
  <c r="K20" i="171" s="1"/>
  <c r="J13" i="171"/>
  <c r="J20" i="171" s="1"/>
  <c r="I13" i="171"/>
  <c r="M13" i="171" s="1"/>
  <c r="H13" i="171"/>
  <c r="H20" i="171" s="1"/>
  <c r="F20" i="171" s="1"/>
  <c r="F13" i="171"/>
  <c r="F19" i="171" s="1"/>
  <c r="E13" i="171"/>
  <c r="E140" i="172" l="1"/>
  <c r="I140" i="172" s="1"/>
  <c r="E120" i="172"/>
  <c r="I120" i="172" s="1"/>
  <c r="E104" i="172"/>
  <c r="I104" i="172" s="1"/>
  <c r="E139" i="172"/>
  <c r="I139" i="172" s="1"/>
  <c r="E123" i="172"/>
  <c r="I123" i="172" s="1"/>
  <c r="E107" i="172"/>
  <c r="I107" i="172" s="1"/>
  <c r="E71" i="172"/>
  <c r="I71" i="172" s="1"/>
  <c r="E125" i="172"/>
  <c r="I125" i="172" s="1"/>
  <c r="E134" i="172"/>
  <c r="I134" i="172" s="1"/>
  <c r="E118" i="172"/>
  <c r="I118" i="172" s="1"/>
  <c r="E102" i="172"/>
  <c r="I102" i="172" s="1"/>
  <c r="E70" i="172"/>
  <c r="I70" i="172" s="1"/>
  <c r="E101" i="172"/>
  <c r="I101" i="172" s="1"/>
  <c r="E128" i="172"/>
  <c r="I128" i="172" s="1"/>
  <c r="E96" i="172"/>
  <c r="I96" i="172" s="1"/>
  <c r="E105" i="172"/>
  <c r="I105" i="172" s="1"/>
  <c r="E115" i="172"/>
  <c r="I115" i="172" s="1"/>
  <c r="E137" i="172"/>
  <c r="I137" i="172" s="1"/>
  <c r="E126" i="172"/>
  <c r="I126" i="172" s="1"/>
  <c r="E94" i="172"/>
  <c r="I94" i="172" s="1"/>
  <c r="E69" i="172"/>
  <c r="I69" i="172" s="1"/>
  <c r="E124" i="172"/>
  <c r="I124" i="172" s="1"/>
  <c r="E73" i="172"/>
  <c r="I73" i="172" s="1"/>
  <c r="E111" i="172"/>
  <c r="I111" i="172" s="1"/>
  <c r="E95" i="172"/>
  <c r="I95" i="172" s="1"/>
  <c r="E138" i="172"/>
  <c r="I138" i="172" s="1"/>
  <c r="E106" i="172"/>
  <c r="I106" i="172" s="1"/>
  <c r="E109" i="172"/>
  <c r="I109" i="172" s="1"/>
  <c r="E116" i="172"/>
  <c r="I116" i="172" s="1"/>
  <c r="E100" i="172"/>
  <c r="I100" i="172" s="1"/>
  <c r="E121" i="172"/>
  <c r="I121" i="172" s="1"/>
  <c r="E135" i="172"/>
  <c r="I135" i="172" s="1"/>
  <c r="E119" i="172"/>
  <c r="I119" i="172" s="1"/>
  <c r="E103" i="172"/>
  <c r="I103" i="172" s="1"/>
  <c r="E141" i="172"/>
  <c r="I141" i="172" s="1"/>
  <c r="E117" i="172"/>
  <c r="I117" i="172" s="1"/>
  <c r="E130" i="172"/>
  <c r="I130" i="172" s="1"/>
  <c r="E114" i="172"/>
  <c r="I114" i="172" s="1"/>
  <c r="E98" i="172"/>
  <c r="I98" i="172" s="1"/>
  <c r="E129" i="172"/>
  <c r="I129" i="172" s="1"/>
  <c r="E97" i="172"/>
  <c r="I97" i="172" s="1"/>
  <c r="E112" i="172"/>
  <c r="I112" i="172" s="1"/>
  <c r="E131" i="172"/>
  <c r="I131" i="172" s="1"/>
  <c r="E99" i="172"/>
  <c r="I99" i="172" s="1"/>
  <c r="C145" i="172"/>
  <c r="E110" i="172"/>
  <c r="I110" i="172" s="1"/>
  <c r="E113" i="172"/>
  <c r="I113" i="172" s="1"/>
  <c r="E108" i="172"/>
  <c r="I108" i="172" s="1"/>
  <c r="E72" i="172"/>
  <c r="I72" i="172" s="1"/>
  <c r="E127" i="172"/>
  <c r="I127" i="172" s="1"/>
  <c r="E133" i="172"/>
  <c r="I133" i="172" s="1"/>
  <c r="E122" i="172"/>
  <c r="I122" i="172" s="1"/>
  <c r="E74" i="172"/>
  <c r="I74" i="172" s="1"/>
  <c r="E136" i="172"/>
  <c r="I136" i="172" s="1"/>
  <c r="E132" i="172"/>
  <c r="I132" i="172" s="1"/>
  <c r="K76" i="171"/>
  <c r="C73" i="171" s="1"/>
  <c r="K84" i="171"/>
  <c r="C74" i="171" s="1"/>
  <c r="F21" i="171"/>
  <c r="M20" i="171"/>
  <c r="L37" i="171"/>
  <c r="E38" i="171"/>
  <c r="F38" i="171" s="1"/>
  <c r="D39" i="171"/>
  <c r="E39" i="171" s="1"/>
  <c r="F39" i="171" s="1"/>
  <c r="F42" i="171" s="1"/>
  <c r="L13" i="171"/>
  <c r="L20" i="171" s="1"/>
  <c r="M24" i="171"/>
  <c r="H37" i="171"/>
  <c r="F43" i="171" s="1"/>
  <c r="D187" i="171"/>
  <c r="M29" i="171"/>
  <c r="F65" i="171"/>
  <c r="K37" i="171"/>
  <c r="M28" i="171"/>
  <c r="M32" i="171"/>
  <c r="L60" i="171"/>
  <c r="M47" i="171"/>
  <c r="M60" i="171" s="1"/>
  <c r="D212" i="171"/>
  <c r="D208" i="171"/>
  <c r="D204" i="171"/>
  <c r="D200" i="171"/>
  <c r="D196" i="171"/>
  <c r="D192" i="171"/>
  <c r="D214" i="171"/>
  <c r="E214" i="171" s="1"/>
  <c r="D211" i="171"/>
  <c r="D207" i="171"/>
  <c r="D203" i="171"/>
  <c r="D199" i="171"/>
  <c r="D195" i="171"/>
  <c r="D191" i="171"/>
  <c r="D210" i="171"/>
  <c r="D206" i="171"/>
  <c r="D202" i="171"/>
  <c r="D198" i="171"/>
  <c r="D194" i="171"/>
  <c r="D190" i="171"/>
  <c r="D205" i="171"/>
  <c r="H60" i="171"/>
  <c r="F66" i="171" s="1"/>
  <c r="I142" i="172" l="1"/>
  <c r="C146" i="172" s="1"/>
  <c r="C147" i="172" s="1"/>
  <c r="F44" i="171"/>
  <c r="C75" i="171"/>
  <c r="C81" i="171" s="1"/>
  <c r="D216" i="171"/>
  <c r="F67" i="171"/>
  <c r="M37" i="171"/>
  <c r="D146" i="171" l="1"/>
  <c r="D87" i="171"/>
  <c r="F140" i="171" l="1"/>
  <c r="H140" i="171" s="1"/>
  <c r="F136" i="171"/>
  <c r="H136" i="171" s="1"/>
  <c r="F94" i="171"/>
  <c r="H94" i="171" s="1"/>
  <c r="F139" i="171"/>
  <c r="H139" i="171" s="1"/>
  <c r="F135" i="171"/>
  <c r="H135" i="171" s="1"/>
  <c r="F95" i="171"/>
  <c r="H95" i="171" s="1"/>
  <c r="F138" i="171"/>
  <c r="H138" i="171" s="1"/>
  <c r="F134" i="171"/>
  <c r="H134" i="171" s="1"/>
  <c r="F133" i="171"/>
  <c r="H133" i="171" s="1"/>
  <c r="F132" i="171"/>
  <c r="H132" i="171" s="1"/>
  <c r="F131" i="171"/>
  <c r="H131" i="171" s="1"/>
  <c r="F130" i="171"/>
  <c r="H130" i="171" s="1"/>
  <c r="F129" i="171"/>
  <c r="H129" i="171" s="1"/>
  <c r="F128" i="171"/>
  <c r="H128" i="171" s="1"/>
  <c r="F127" i="171"/>
  <c r="H127" i="171" s="1"/>
  <c r="F126" i="171"/>
  <c r="H126" i="171" s="1"/>
  <c r="F125" i="171"/>
  <c r="H125" i="171" s="1"/>
  <c r="F124" i="171"/>
  <c r="H124" i="171" s="1"/>
  <c r="F123" i="171"/>
  <c r="H123" i="171" s="1"/>
  <c r="F122" i="171"/>
  <c r="H122" i="171" s="1"/>
  <c r="F121" i="171"/>
  <c r="H121" i="171" s="1"/>
  <c r="F120" i="171"/>
  <c r="H120" i="171" s="1"/>
  <c r="F119" i="171"/>
  <c r="H119" i="171" s="1"/>
  <c r="F118" i="171"/>
  <c r="H118" i="171" s="1"/>
  <c r="F117" i="171"/>
  <c r="H117" i="171" s="1"/>
  <c r="F116" i="171"/>
  <c r="H116" i="171" s="1"/>
  <c r="F115" i="171"/>
  <c r="H115" i="171" s="1"/>
  <c r="F114" i="171"/>
  <c r="H114" i="171" s="1"/>
  <c r="F113" i="171"/>
  <c r="H113" i="171" s="1"/>
  <c r="F112" i="171"/>
  <c r="H112" i="171" s="1"/>
  <c r="F111" i="171"/>
  <c r="H111" i="171" s="1"/>
  <c r="F110" i="171"/>
  <c r="H110" i="171" s="1"/>
  <c r="F109" i="171"/>
  <c r="H109" i="171" s="1"/>
  <c r="F108" i="171"/>
  <c r="H108" i="171" s="1"/>
  <c r="F107" i="171"/>
  <c r="H107" i="171" s="1"/>
  <c r="F106" i="171"/>
  <c r="H106" i="171" s="1"/>
  <c r="F105" i="171"/>
  <c r="H105" i="171" s="1"/>
  <c r="F104" i="171"/>
  <c r="H104" i="171" s="1"/>
  <c r="F103" i="171"/>
  <c r="H103" i="171" s="1"/>
  <c r="F102" i="171"/>
  <c r="H102" i="171" s="1"/>
  <c r="F101" i="171"/>
  <c r="H101" i="171" s="1"/>
  <c r="F100" i="171"/>
  <c r="H100" i="171" s="1"/>
  <c r="F99" i="171"/>
  <c r="H99" i="171" s="1"/>
  <c r="F98" i="171"/>
  <c r="H98" i="171" s="1"/>
  <c r="F97" i="171"/>
  <c r="H97" i="171" s="1"/>
  <c r="F96" i="171"/>
  <c r="H96" i="171" s="1"/>
  <c r="F137" i="171"/>
  <c r="H137" i="171" s="1"/>
  <c r="F91" i="171"/>
  <c r="H91" i="171" s="1"/>
  <c r="F92" i="171"/>
  <c r="H92" i="171" s="1"/>
  <c r="F93" i="171"/>
  <c r="H93" i="171" s="1"/>
  <c r="F89" i="171"/>
  <c r="H89" i="171" s="1"/>
  <c r="F90" i="171"/>
  <c r="H90" i="171" s="1"/>
  <c r="C165" i="171"/>
  <c r="H141" i="171" l="1"/>
  <c r="D147" i="171" s="1"/>
  <c r="C166" i="171" l="1"/>
  <c r="C167" i="171" s="1"/>
  <c r="P156" i="171"/>
  <c r="D151" i="171"/>
  <c r="Q157" i="171" l="1"/>
  <c r="Q156" i="171"/>
  <c r="O152" i="171"/>
  <c r="I164" i="171"/>
  <c r="C168" i="171"/>
  <c r="C169" i="171"/>
  <c r="Q158" i="171" l="1"/>
  <c r="D151" i="166"/>
  <c r="H141" i="166"/>
  <c r="F151" i="62"/>
  <c r="B154" i="170" l="1"/>
  <c r="B153" i="170"/>
  <c r="C145" i="170"/>
  <c r="P144" i="170"/>
  <c r="P143" i="170"/>
  <c r="D143" i="170"/>
  <c r="D135" i="170"/>
  <c r="D145" i="170" s="1"/>
  <c r="C135" i="170"/>
  <c r="D134" i="170"/>
  <c r="P133" i="170"/>
  <c r="E130" i="170"/>
  <c r="C136" i="170" s="1"/>
  <c r="E129" i="170"/>
  <c r="P128" i="170"/>
  <c r="N134" i="170" s="1"/>
  <c r="Q134" i="170" s="1"/>
  <c r="P127" i="170"/>
  <c r="N133" i="170" s="1"/>
  <c r="N143" i="170" s="1"/>
  <c r="Q143" i="170" s="1"/>
  <c r="Q125" i="170"/>
  <c r="O125" i="170"/>
  <c r="R125" i="170" s="1"/>
  <c r="Q124" i="170"/>
  <c r="O124" i="170"/>
  <c r="R124" i="170" s="1"/>
  <c r="Q123" i="170"/>
  <c r="O123" i="170"/>
  <c r="R123" i="170" s="1"/>
  <c r="Q122" i="170"/>
  <c r="O122" i="170"/>
  <c r="R122" i="170" s="1"/>
  <c r="F122" i="170"/>
  <c r="D122" i="170"/>
  <c r="G122" i="170" s="1"/>
  <c r="R121" i="170"/>
  <c r="Q121" i="170"/>
  <c r="O121" i="170"/>
  <c r="G121" i="170"/>
  <c r="F121" i="170"/>
  <c r="D121" i="170"/>
  <c r="Q120" i="170"/>
  <c r="O120" i="170"/>
  <c r="R120" i="170" s="1"/>
  <c r="F120" i="170"/>
  <c r="D120" i="170"/>
  <c r="G120" i="170" s="1"/>
  <c r="R119" i="170"/>
  <c r="Q119" i="170"/>
  <c r="G119" i="170"/>
  <c r="F119" i="170"/>
  <c r="R118" i="170"/>
  <c r="Q118" i="170"/>
  <c r="G118" i="170"/>
  <c r="F118" i="170"/>
  <c r="R117" i="170"/>
  <c r="Q117" i="170"/>
  <c r="G117" i="170"/>
  <c r="F117" i="170"/>
  <c r="R116" i="170"/>
  <c r="Q116" i="170"/>
  <c r="G116" i="170"/>
  <c r="F116" i="170"/>
  <c r="R115" i="170"/>
  <c r="Q115" i="170"/>
  <c r="G115" i="170"/>
  <c r="F115" i="170"/>
  <c r="R114" i="170"/>
  <c r="Q114" i="170"/>
  <c r="G114" i="170"/>
  <c r="F114" i="170"/>
  <c r="R113" i="170"/>
  <c r="Q113" i="170"/>
  <c r="G113" i="170"/>
  <c r="F113" i="170"/>
  <c r="R112" i="170"/>
  <c r="Q112" i="170"/>
  <c r="G112" i="170"/>
  <c r="F112" i="170"/>
  <c r="R111" i="170"/>
  <c r="Q111" i="170"/>
  <c r="G111" i="170"/>
  <c r="F111" i="170"/>
  <c r="R110" i="170"/>
  <c r="Q110" i="170"/>
  <c r="G110" i="170"/>
  <c r="F110" i="170"/>
  <c r="R109" i="170"/>
  <c r="Q109" i="170"/>
  <c r="G109" i="170"/>
  <c r="F109" i="170"/>
  <c r="R108" i="170"/>
  <c r="Q108" i="170"/>
  <c r="G108" i="170"/>
  <c r="F108" i="170"/>
  <c r="R107" i="170"/>
  <c r="Q107" i="170"/>
  <c r="G107" i="170"/>
  <c r="F107" i="170"/>
  <c r="R106" i="170"/>
  <c r="Q106" i="170"/>
  <c r="G106" i="170"/>
  <c r="F106" i="170"/>
  <c r="R105" i="170"/>
  <c r="Q105" i="170"/>
  <c r="G105" i="170"/>
  <c r="F105" i="170"/>
  <c r="R104" i="170"/>
  <c r="Q104" i="170"/>
  <c r="G104" i="170"/>
  <c r="F104" i="170"/>
  <c r="R103" i="170"/>
  <c r="Q103" i="170"/>
  <c r="G103" i="170"/>
  <c r="F103" i="170"/>
  <c r="R102" i="170"/>
  <c r="Q102" i="170"/>
  <c r="G102" i="170"/>
  <c r="F102" i="170"/>
  <c r="R101" i="170"/>
  <c r="Q101" i="170"/>
  <c r="G101" i="170"/>
  <c r="F101" i="170"/>
  <c r="R100" i="170"/>
  <c r="Q100" i="170"/>
  <c r="G100" i="170"/>
  <c r="F100" i="170"/>
  <c r="R99" i="170"/>
  <c r="Q99" i="170"/>
  <c r="G99" i="170"/>
  <c r="F99" i="170"/>
  <c r="R98" i="170"/>
  <c r="Q98" i="170"/>
  <c r="G98" i="170"/>
  <c r="F98" i="170"/>
  <c r="R97" i="170"/>
  <c r="Q97" i="170"/>
  <c r="G97" i="170"/>
  <c r="F97" i="170"/>
  <c r="R96" i="170"/>
  <c r="Q96" i="170"/>
  <c r="G96" i="170"/>
  <c r="F96" i="170"/>
  <c r="R95" i="170"/>
  <c r="Q95" i="170"/>
  <c r="G95" i="170"/>
  <c r="F95" i="170"/>
  <c r="R94" i="170"/>
  <c r="Q94" i="170"/>
  <c r="G94" i="170"/>
  <c r="F94" i="170"/>
  <c r="R93" i="170"/>
  <c r="Q93" i="170"/>
  <c r="G93" i="170"/>
  <c r="F93" i="170"/>
  <c r="R92" i="170"/>
  <c r="Q92" i="170"/>
  <c r="G92" i="170"/>
  <c r="F92" i="170"/>
  <c r="R91" i="170"/>
  <c r="Q91" i="170"/>
  <c r="G91" i="170"/>
  <c r="F91" i="170"/>
  <c r="R90" i="170"/>
  <c r="Q90" i="170"/>
  <c r="G90" i="170"/>
  <c r="F90" i="170"/>
  <c r="R89" i="170"/>
  <c r="Q89" i="170"/>
  <c r="G89" i="170"/>
  <c r="F89" i="170"/>
  <c r="R88" i="170"/>
  <c r="Q88" i="170"/>
  <c r="G88" i="170"/>
  <c r="F88" i="170"/>
  <c r="R87" i="170"/>
  <c r="Q87" i="170"/>
  <c r="G87" i="170"/>
  <c r="F87" i="170"/>
  <c r="R86" i="170"/>
  <c r="Q86" i="170"/>
  <c r="G86" i="170"/>
  <c r="F86" i="170"/>
  <c r="R85" i="170"/>
  <c r="Q85" i="170"/>
  <c r="G85" i="170"/>
  <c r="F85" i="170"/>
  <c r="R84" i="170"/>
  <c r="Q84" i="170"/>
  <c r="G84" i="170"/>
  <c r="F84" i="170"/>
  <c r="R83" i="170"/>
  <c r="Q83" i="170"/>
  <c r="G83" i="170"/>
  <c r="F83" i="170"/>
  <c r="R82" i="170"/>
  <c r="Q82" i="170"/>
  <c r="G82" i="170"/>
  <c r="F82" i="170"/>
  <c r="R81" i="170"/>
  <c r="Q81" i="170"/>
  <c r="G81" i="170"/>
  <c r="F81" i="170"/>
  <c r="R80" i="170"/>
  <c r="Q80" i="170"/>
  <c r="G80" i="170"/>
  <c r="F80" i="170"/>
  <c r="R79" i="170"/>
  <c r="Q79" i="170"/>
  <c r="G79" i="170"/>
  <c r="F79" i="170"/>
  <c r="R78" i="170"/>
  <c r="Q78" i="170"/>
  <c r="G78" i="170"/>
  <c r="F78" i="170"/>
  <c r="R77" i="170"/>
  <c r="Q77" i="170"/>
  <c r="G77" i="170"/>
  <c r="F77" i="170"/>
  <c r="Q76" i="170"/>
  <c r="O76" i="170"/>
  <c r="R76" i="170" s="1"/>
  <c r="F76" i="170"/>
  <c r="D76" i="170"/>
  <c r="G76" i="170" s="1"/>
  <c r="R75" i="170"/>
  <c r="Q75" i="170"/>
  <c r="G75" i="170"/>
  <c r="F75" i="170"/>
  <c r="R74" i="170"/>
  <c r="Q74" i="170"/>
  <c r="G74" i="170"/>
  <c r="F74" i="170"/>
  <c r="R73" i="170"/>
  <c r="Q73" i="170"/>
  <c r="G73" i="170"/>
  <c r="F73" i="170"/>
  <c r="R72" i="170"/>
  <c r="Q72" i="170"/>
  <c r="G72" i="170"/>
  <c r="F72" i="170"/>
  <c r="R71" i="170"/>
  <c r="Q71" i="170"/>
  <c r="G71" i="170"/>
  <c r="F71" i="170"/>
  <c r="R70" i="170"/>
  <c r="Q70" i="170"/>
  <c r="G70" i="170"/>
  <c r="F70" i="170"/>
  <c r="R69" i="170"/>
  <c r="Q69" i="170"/>
  <c r="G69" i="170"/>
  <c r="F69" i="170"/>
  <c r="R68" i="170"/>
  <c r="Q68" i="170"/>
  <c r="G68" i="170"/>
  <c r="F68" i="170"/>
  <c r="R67" i="170"/>
  <c r="Q67" i="170"/>
  <c r="G67" i="170"/>
  <c r="F67" i="170"/>
  <c r="R66" i="170"/>
  <c r="Q66" i="170"/>
  <c r="G66" i="170"/>
  <c r="F66" i="170"/>
  <c r="R65" i="170"/>
  <c r="Q65" i="170"/>
  <c r="G65" i="170"/>
  <c r="F65" i="170"/>
  <c r="R64" i="170"/>
  <c r="Q64" i="170"/>
  <c r="G64" i="170"/>
  <c r="F64" i="170"/>
  <c r="R63" i="170"/>
  <c r="Q63" i="170"/>
  <c r="G63" i="170"/>
  <c r="F63" i="170"/>
  <c r="R62" i="170"/>
  <c r="Q62" i="170"/>
  <c r="G62" i="170"/>
  <c r="F62" i="170"/>
  <c r="R61" i="170"/>
  <c r="Q61" i="170"/>
  <c r="G61" i="170"/>
  <c r="F61" i="170"/>
  <c r="R60" i="170"/>
  <c r="Q60" i="170"/>
  <c r="G60" i="170"/>
  <c r="F60" i="170"/>
  <c r="R59" i="170"/>
  <c r="Q59" i="170"/>
  <c r="G59" i="170"/>
  <c r="F59" i="170"/>
  <c r="R58" i="170"/>
  <c r="Q58" i="170"/>
  <c r="G58" i="170"/>
  <c r="F58" i="170"/>
  <c r="O38" i="170"/>
  <c r="N38" i="170"/>
  <c r="E38" i="170"/>
  <c r="F38" i="170" s="1"/>
  <c r="C38" i="170"/>
  <c r="M38" i="170" s="1"/>
  <c r="Q38" i="170" s="1"/>
  <c r="Q46" i="170" s="1"/>
  <c r="P37" i="170"/>
  <c r="O37" i="170"/>
  <c r="N37" i="170"/>
  <c r="M37" i="170"/>
  <c r="L37" i="170"/>
  <c r="F37" i="170"/>
  <c r="E37" i="170"/>
  <c r="O36" i="170"/>
  <c r="N36" i="170"/>
  <c r="M36" i="170"/>
  <c r="Q36" i="170" s="1"/>
  <c r="L36" i="170"/>
  <c r="P36" i="170" s="1"/>
  <c r="F36" i="170"/>
  <c r="E36" i="170"/>
  <c r="O35" i="170"/>
  <c r="N35" i="170"/>
  <c r="M35" i="170"/>
  <c r="L35" i="170"/>
  <c r="P35" i="170" s="1"/>
  <c r="F35" i="170"/>
  <c r="E35" i="170"/>
  <c r="O34" i="170"/>
  <c r="N34" i="170"/>
  <c r="M34" i="170"/>
  <c r="Q34" i="170" s="1"/>
  <c r="L34" i="170"/>
  <c r="P34" i="170" s="1"/>
  <c r="F34" i="170"/>
  <c r="E34" i="170"/>
  <c r="O33" i="170"/>
  <c r="O46" i="170" s="1"/>
  <c r="N33" i="170"/>
  <c r="M33" i="170"/>
  <c r="M46" i="170" s="1"/>
  <c r="L33" i="170"/>
  <c r="F33" i="170"/>
  <c r="F46" i="170" s="1"/>
  <c r="E33" i="170"/>
  <c r="B30" i="170"/>
  <c r="F24" i="170"/>
  <c r="E24" i="170"/>
  <c r="D24" i="170"/>
  <c r="E23" i="170"/>
  <c r="F23" i="170" s="1"/>
  <c r="D23" i="170"/>
  <c r="D22" i="170"/>
  <c r="E22" i="170" s="1"/>
  <c r="F22" i="170" s="1"/>
  <c r="D21" i="170"/>
  <c r="E21" i="170" s="1"/>
  <c r="F21" i="170" s="1"/>
  <c r="F20" i="170"/>
  <c r="E20" i="170"/>
  <c r="D20" i="170"/>
  <c r="E19" i="170"/>
  <c r="F19" i="170" s="1"/>
  <c r="D19" i="170"/>
  <c r="O18" i="170"/>
  <c r="N18" i="170"/>
  <c r="L18" i="170"/>
  <c r="P18" i="170" s="1"/>
  <c r="F18" i="170"/>
  <c r="E18" i="170"/>
  <c r="C18" i="170"/>
  <c r="M18" i="170" s="1"/>
  <c r="M17" i="170"/>
  <c r="Q17" i="170" s="1"/>
  <c r="L17" i="170"/>
  <c r="E17" i="170"/>
  <c r="C17" i="170"/>
  <c r="O17" i="170" s="1"/>
  <c r="E16" i="170"/>
  <c r="C16" i="170"/>
  <c r="O15" i="170"/>
  <c r="N15" i="170"/>
  <c r="E15" i="170"/>
  <c r="F15" i="170" s="1"/>
  <c r="C15" i="170"/>
  <c r="M15" i="170" s="1"/>
  <c r="Q15" i="170" s="1"/>
  <c r="O14" i="170"/>
  <c r="N14" i="170"/>
  <c r="L14" i="170"/>
  <c r="P14" i="170" s="1"/>
  <c r="F14" i="170"/>
  <c r="E14" i="170"/>
  <c r="C14" i="170"/>
  <c r="M14" i="170" s="1"/>
  <c r="L13" i="170"/>
  <c r="E13" i="170"/>
  <c r="C13" i="170"/>
  <c r="O13" i="170" s="1"/>
  <c r="M12" i="170"/>
  <c r="E12" i="170"/>
  <c r="C12" i="170"/>
  <c r="S145" i="86"/>
  <c r="F52" i="86"/>
  <c r="I12" i="169"/>
  <c r="K40" i="169"/>
  <c r="I36" i="169"/>
  <c r="C38" i="169"/>
  <c r="H35" i="169"/>
  <c r="G35" i="169"/>
  <c r="E35" i="169"/>
  <c r="F35" i="169" s="1"/>
  <c r="I35" i="169" s="1"/>
  <c r="H34" i="169"/>
  <c r="G34" i="169"/>
  <c r="I34" i="169" s="1"/>
  <c r="F34" i="169"/>
  <c r="E34" i="169"/>
  <c r="H33" i="169"/>
  <c r="G33" i="169"/>
  <c r="I33" i="169" s="1"/>
  <c r="F33" i="169"/>
  <c r="E33" i="169"/>
  <c r="H32" i="169"/>
  <c r="G32" i="169"/>
  <c r="I32" i="169" s="1"/>
  <c r="E32" i="169"/>
  <c r="F32" i="169" s="1"/>
  <c r="H31" i="169"/>
  <c r="G31" i="169"/>
  <c r="E31" i="169"/>
  <c r="F31" i="169" s="1"/>
  <c r="I31" i="169" s="1"/>
  <c r="H30" i="169"/>
  <c r="G30" i="169"/>
  <c r="F30" i="169"/>
  <c r="E30" i="169"/>
  <c r="H29" i="169"/>
  <c r="G29" i="169"/>
  <c r="I29" i="169" s="1"/>
  <c r="F29" i="169"/>
  <c r="E29" i="169"/>
  <c r="H28" i="169"/>
  <c r="G28" i="169"/>
  <c r="E28" i="169"/>
  <c r="F28" i="169" s="1"/>
  <c r="H27" i="169"/>
  <c r="G27" i="169"/>
  <c r="E27" i="169"/>
  <c r="F27" i="169" s="1"/>
  <c r="I27" i="169" s="1"/>
  <c r="H26" i="169"/>
  <c r="G26" i="169"/>
  <c r="F26" i="169"/>
  <c r="I26" i="169" s="1"/>
  <c r="E26" i="169"/>
  <c r="H25" i="169"/>
  <c r="G25" i="169"/>
  <c r="I25" i="169" s="1"/>
  <c r="F25" i="169"/>
  <c r="E25" i="169"/>
  <c r="H24" i="169"/>
  <c r="G24" i="169"/>
  <c r="I24" i="169" s="1"/>
  <c r="E24" i="169"/>
  <c r="F24" i="169" s="1"/>
  <c r="H23" i="169"/>
  <c r="G23" i="169"/>
  <c r="E23" i="169"/>
  <c r="F23" i="169" s="1"/>
  <c r="I23" i="169" s="1"/>
  <c r="H22" i="169"/>
  <c r="G22" i="169"/>
  <c r="F22" i="169"/>
  <c r="H21" i="169"/>
  <c r="G21" i="169"/>
  <c r="F21" i="169"/>
  <c r="I21" i="169" s="1"/>
  <c r="H20" i="169"/>
  <c r="G20" i="169"/>
  <c r="F20" i="169"/>
  <c r="I20" i="169" s="1"/>
  <c r="H19" i="169"/>
  <c r="G19" i="169"/>
  <c r="F19" i="169"/>
  <c r="I19" i="169" s="1"/>
  <c r="H18" i="169"/>
  <c r="G18" i="169"/>
  <c r="F18" i="169"/>
  <c r="H17" i="169"/>
  <c r="G17" i="169"/>
  <c r="F17" i="169"/>
  <c r="I17" i="169" s="1"/>
  <c r="H16" i="169"/>
  <c r="G16" i="169"/>
  <c r="F16" i="169"/>
  <c r="I16" i="169" s="1"/>
  <c r="H15" i="169"/>
  <c r="G15" i="169"/>
  <c r="F15" i="169"/>
  <c r="I15" i="169" s="1"/>
  <c r="H14" i="169"/>
  <c r="G14" i="169"/>
  <c r="F14" i="169"/>
  <c r="H13" i="169"/>
  <c r="G13" i="169"/>
  <c r="F13" i="169"/>
  <c r="I13" i="169" s="1"/>
  <c r="H12" i="169"/>
  <c r="G12" i="169"/>
  <c r="F12" i="169"/>
  <c r="C39" i="98"/>
  <c r="F136" i="170" l="1"/>
  <c r="C146" i="170"/>
  <c r="L16" i="170"/>
  <c r="P16" i="170" s="1"/>
  <c r="O16" i="170"/>
  <c r="F16" i="170"/>
  <c r="N16" i="170"/>
  <c r="Q12" i="170"/>
  <c r="Q18" i="170"/>
  <c r="Q35" i="170"/>
  <c r="Q37" i="170"/>
  <c r="L12" i="170"/>
  <c r="N12" i="170"/>
  <c r="O12" i="170"/>
  <c r="F12" i="170"/>
  <c r="Q14" i="170"/>
  <c r="M16" i="170"/>
  <c r="N46" i="170"/>
  <c r="M13" i="170"/>
  <c r="Q13" i="170" s="1"/>
  <c r="Q133" i="170"/>
  <c r="Q135" i="170" s="1"/>
  <c r="F145" i="170"/>
  <c r="N13" i="170"/>
  <c r="P13" i="170" s="1"/>
  <c r="L15" i="170"/>
  <c r="P15" i="170" s="1"/>
  <c r="N17" i="170"/>
  <c r="P17" i="170" s="1"/>
  <c r="Q33" i="170"/>
  <c r="L38" i="170"/>
  <c r="P38" i="170" s="1"/>
  <c r="P46" i="170" s="1"/>
  <c r="E136" i="170"/>
  <c r="E135" i="170"/>
  <c r="F135" i="170" s="1"/>
  <c r="F138" i="170" s="1"/>
  <c r="C153" i="170" s="1"/>
  <c r="E146" i="170"/>
  <c r="E145" i="170"/>
  <c r="P33" i="170"/>
  <c r="F13" i="170"/>
  <c r="F17" i="170"/>
  <c r="N144" i="170"/>
  <c r="Q144" i="170" s="1"/>
  <c r="Q145" i="170" s="1"/>
  <c r="I14" i="169"/>
  <c r="I18" i="169"/>
  <c r="I22" i="169"/>
  <c r="I30" i="169"/>
  <c r="I28" i="169"/>
  <c r="D110" i="162"/>
  <c r="C154" i="126"/>
  <c r="F55" i="86"/>
  <c r="N56" i="86" s="1"/>
  <c r="N150" i="86" s="1"/>
  <c r="F51" i="86"/>
  <c r="F48" i="86"/>
  <c r="F47" i="86"/>
  <c r="F46" i="86"/>
  <c r="F28" i="86"/>
  <c r="F27" i="86"/>
  <c r="F26" i="86"/>
  <c r="F26" i="170" l="1"/>
  <c r="L46" i="170"/>
  <c r="F47" i="170" s="1"/>
  <c r="F48" i="170" s="1"/>
  <c r="S145" i="170"/>
  <c r="P12" i="170"/>
  <c r="P26" i="170" s="1"/>
  <c r="L26" i="170"/>
  <c r="F27" i="170" s="1"/>
  <c r="F52" i="170" s="1"/>
  <c r="O26" i="170"/>
  <c r="M26" i="170"/>
  <c r="F147" i="170"/>
  <c r="C154" i="170" s="1"/>
  <c r="Q16" i="170"/>
  <c r="Q26" i="170" s="1"/>
  <c r="N26" i="170"/>
  <c r="F146" i="170"/>
  <c r="C39" i="169"/>
  <c r="C40" i="169" s="1"/>
  <c r="H142" i="62"/>
  <c r="C73" i="62"/>
  <c r="F75" i="119"/>
  <c r="F85" i="119"/>
  <c r="F28" i="170" l="1"/>
  <c r="F51" i="170"/>
  <c r="F53" i="170" s="1"/>
  <c r="I17" i="99"/>
  <c r="C151" i="170" l="1"/>
  <c r="E58" i="170"/>
  <c r="F55" i="170"/>
  <c r="N56" i="170" s="1"/>
  <c r="H342" i="124"/>
  <c r="P121" i="170" l="1"/>
  <c r="S121" i="170" s="1"/>
  <c r="P119" i="170"/>
  <c r="S119" i="170" s="1"/>
  <c r="P118" i="170"/>
  <c r="S118" i="170" s="1"/>
  <c r="P117" i="170"/>
  <c r="S117" i="170" s="1"/>
  <c r="P116" i="170"/>
  <c r="S116" i="170" s="1"/>
  <c r="P115" i="170"/>
  <c r="S115" i="170" s="1"/>
  <c r="P114" i="170"/>
  <c r="S114" i="170" s="1"/>
  <c r="P113" i="170"/>
  <c r="S113" i="170" s="1"/>
  <c r="P112" i="170"/>
  <c r="S112" i="170" s="1"/>
  <c r="P111" i="170"/>
  <c r="S111" i="170" s="1"/>
  <c r="P110" i="170"/>
  <c r="S110" i="170" s="1"/>
  <c r="P109" i="170"/>
  <c r="S109" i="170" s="1"/>
  <c r="P108" i="170"/>
  <c r="S108" i="170" s="1"/>
  <c r="P107" i="170"/>
  <c r="S107" i="170" s="1"/>
  <c r="P106" i="170"/>
  <c r="S106" i="170" s="1"/>
  <c r="P105" i="170"/>
  <c r="S105" i="170" s="1"/>
  <c r="P104" i="170"/>
  <c r="S104" i="170" s="1"/>
  <c r="P103" i="170"/>
  <c r="S103" i="170" s="1"/>
  <c r="P102" i="170"/>
  <c r="S102" i="170" s="1"/>
  <c r="P101" i="170"/>
  <c r="S101" i="170" s="1"/>
  <c r="P100" i="170"/>
  <c r="S100" i="170" s="1"/>
  <c r="P99" i="170"/>
  <c r="S99" i="170" s="1"/>
  <c r="P98" i="170"/>
  <c r="S98" i="170" s="1"/>
  <c r="P97" i="170"/>
  <c r="S97" i="170" s="1"/>
  <c r="P96" i="170"/>
  <c r="S96" i="170" s="1"/>
  <c r="P95" i="170"/>
  <c r="S95" i="170" s="1"/>
  <c r="P94" i="170"/>
  <c r="S94" i="170" s="1"/>
  <c r="P93" i="170"/>
  <c r="S93" i="170" s="1"/>
  <c r="P92" i="170"/>
  <c r="S92" i="170" s="1"/>
  <c r="P91" i="170"/>
  <c r="S91" i="170" s="1"/>
  <c r="P90" i="170"/>
  <c r="S90" i="170" s="1"/>
  <c r="P89" i="170"/>
  <c r="S89" i="170" s="1"/>
  <c r="P88" i="170"/>
  <c r="S88" i="170" s="1"/>
  <c r="P87" i="170"/>
  <c r="S87" i="170" s="1"/>
  <c r="P86" i="170"/>
  <c r="S86" i="170" s="1"/>
  <c r="P85" i="170"/>
  <c r="S85" i="170" s="1"/>
  <c r="N150" i="170"/>
  <c r="P123" i="170"/>
  <c r="S123" i="170" s="1"/>
  <c r="P120" i="170"/>
  <c r="S120" i="170" s="1"/>
  <c r="P75" i="170"/>
  <c r="S75" i="170" s="1"/>
  <c r="P74" i="170"/>
  <c r="S74" i="170" s="1"/>
  <c r="P73" i="170"/>
  <c r="S73" i="170" s="1"/>
  <c r="P72" i="170"/>
  <c r="S72" i="170" s="1"/>
  <c r="P71" i="170"/>
  <c r="S71" i="170" s="1"/>
  <c r="P70" i="170"/>
  <c r="S70" i="170" s="1"/>
  <c r="P69" i="170"/>
  <c r="S69" i="170" s="1"/>
  <c r="P68" i="170"/>
  <c r="S68" i="170" s="1"/>
  <c r="P67" i="170"/>
  <c r="S67" i="170" s="1"/>
  <c r="P66" i="170"/>
  <c r="S66" i="170" s="1"/>
  <c r="P65" i="170"/>
  <c r="S65" i="170" s="1"/>
  <c r="P64" i="170"/>
  <c r="S64" i="170" s="1"/>
  <c r="P63" i="170"/>
  <c r="S63" i="170" s="1"/>
  <c r="P62" i="170"/>
  <c r="S62" i="170" s="1"/>
  <c r="P61" i="170"/>
  <c r="S61" i="170" s="1"/>
  <c r="P60" i="170"/>
  <c r="S60" i="170" s="1"/>
  <c r="P59" i="170"/>
  <c r="S59" i="170" s="1"/>
  <c r="P58" i="170"/>
  <c r="S58" i="170" s="1"/>
  <c r="P124" i="170"/>
  <c r="S124" i="170" s="1"/>
  <c r="P125" i="170"/>
  <c r="S125" i="170" s="1"/>
  <c r="P122" i="170"/>
  <c r="S122" i="170" s="1"/>
  <c r="P84" i="170"/>
  <c r="S84" i="170" s="1"/>
  <c r="P83" i="170"/>
  <c r="S83" i="170" s="1"/>
  <c r="P82" i="170"/>
  <c r="S82" i="170" s="1"/>
  <c r="P81" i="170"/>
  <c r="S81" i="170" s="1"/>
  <c r="P80" i="170"/>
  <c r="S80" i="170" s="1"/>
  <c r="P79" i="170"/>
  <c r="S79" i="170" s="1"/>
  <c r="P78" i="170"/>
  <c r="S78" i="170" s="1"/>
  <c r="P77" i="170"/>
  <c r="S77" i="170" s="1"/>
  <c r="P76" i="170"/>
  <c r="S76" i="170" s="1"/>
  <c r="I58" i="170"/>
  <c r="D88" i="62"/>
  <c r="B216" i="166"/>
  <c r="E189" i="166"/>
  <c r="D201" i="166" s="1"/>
  <c r="D186" i="166"/>
  <c r="D185" i="166"/>
  <c r="D184" i="166"/>
  <c r="D183" i="166"/>
  <c r="D182" i="166"/>
  <c r="D181" i="166"/>
  <c r="D180" i="166"/>
  <c r="D179" i="166"/>
  <c r="D178" i="166"/>
  <c r="D177" i="166"/>
  <c r="B166" i="166"/>
  <c r="B165" i="166"/>
  <c r="O157" i="166"/>
  <c r="G140" i="166"/>
  <c r="D140" i="166"/>
  <c r="E140" i="166" s="1"/>
  <c r="G139" i="166"/>
  <c r="D139" i="166"/>
  <c r="E139" i="166" s="1"/>
  <c r="G138" i="166"/>
  <c r="D138" i="166"/>
  <c r="E138" i="166" s="1"/>
  <c r="G137" i="166"/>
  <c r="D137" i="166"/>
  <c r="E137" i="166" s="1"/>
  <c r="G136" i="166"/>
  <c r="D136" i="166"/>
  <c r="E136" i="166" s="1"/>
  <c r="G135" i="166"/>
  <c r="D135" i="166"/>
  <c r="E135" i="166" s="1"/>
  <c r="G134" i="166"/>
  <c r="E134" i="166"/>
  <c r="G133" i="166"/>
  <c r="E133" i="166"/>
  <c r="G132" i="166"/>
  <c r="E132" i="166"/>
  <c r="G131" i="166"/>
  <c r="E131" i="166"/>
  <c r="G130" i="166"/>
  <c r="E130" i="166"/>
  <c r="G129" i="166"/>
  <c r="E129" i="166"/>
  <c r="G128" i="166"/>
  <c r="E128" i="166"/>
  <c r="G127" i="166"/>
  <c r="E127" i="166"/>
  <c r="G126" i="166"/>
  <c r="E126" i="166"/>
  <c r="G125" i="166"/>
  <c r="E125" i="166"/>
  <c r="G124" i="166"/>
  <c r="E124" i="166"/>
  <c r="G123" i="166"/>
  <c r="E123" i="166"/>
  <c r="G122" i="166"/>
  <c r="E122" i="166"/>
  <c r="G121" i="166"/>
  <c r="E121" i="166"/>
  <c r="G120" i="166"/>
  <c r="E120" i="166"/>
  <c r="G119" i="166"/>
  <c r="E119" i="166"/>
  <c r="G118" i="166"/>
  <c r="E118" i="166"/>
  <c r="G117" i="166"/>
  <c r="E117" i="166"/>
  <c r="G116" i="166"/>
  <c r="E116" i="166"/>
  <c r="G115" i="166"/>
  <c r="E115" i="166"/>
  <c r="G114" i="166"/>
  <c r="E114" i="166"/>
  <c r="G113" i="166"/>
  <c r="E113" i="166"/>
  <c r="G112" i="166"/>
  <c r="E112" i="166"/>
  <c r="G111" i="166"/>
  <c r="E111" i="166"/>
  <c r="G110" i="166"/>
  <c r="E110" i="166"/>
  <c r="G109" i="166"/>
  <c r="E109" i="166"/>
  <c r="G108" i="166"/>
  <c r="E108" i="166"/>
  <c r="G107" i="166"/>
  <c r="E107" i="166"/>
  <c r="G106" i="166"/>
  <c r="E106" i="166"/>
  <c r="G105" i="166"/>
  <c r="E105" i="166"/>
  <c r="G104" i="166"/>
  <c r="E104" i="166"/>
  <c r="G103" i="166"/>
  <c r="E103" i="166"/>
  <c r="G102" i="166"/>
  <c r="E102" i="166"/>
  <c r="G101" i="166"/>
  <c r="E101" i="166"/>
  <c r="G100" i="166"/>
  <c r="E100" i="166"/>
  <c r="G99" i="166"/>
  <c r="E99" i="166"/>
  <c r="G98" i="166"/>
  <c r="E98" i="166"/>
  <c r="G97" i="166"/>
  <c r="E97" i="166"/>
  <c r="G96" i="166"/>
  <c r="E96" i="166"/>
  <c r="E95" i="166"/>
  <c r="E94" i="166"/>
  <c r="E93" i="166"/>
  <c r="G92" i="166"/>
  <c r="E92" i="166"/>
  <c r="G91" i="166"/>
  <c r="E91" i="166"/>
  <c r="G90" i="166"/>
  <c r="E90" i="166"/>
  <c r="G89" i="166"/>
  <c r="E89" i="166"/>
  <c r="J83" i="166"/>
  <c r="K83" i="166" s="1"/>
  <c r="J82" i="166"/>
  <c r="K82" i="166" s="1"/>
  <c r="J81" i="166"/>
  <c r="K81" i="166" s="1"/>
  <c r="I80" i="166"/>
  <c r="J75" i="166"/>
  <c r="K75" i="166" s="1"/>
  <c r="J74" i="166"/>
  <c r="K74" i="166" s="1"/>
  <c r="J73" i="166"/>
  <c r="K73" i="166" s="1"/>
  <c r="E64" i="166"/>
  <c r="F64" i="166" s="1"/>
  <c r="E63" i="166"/>
  <c r="F63" i="166" s="1"/>
  <c r="E62" i="166"/>
  <c r="F62" i="166" s="1"/>
  <c r="E61" i="166"/>
  <c r="F61" i="166" s="1"/>
  <c r="E60" i="166"/>
  <c r="F60" i="166" s="1"/>
  <c r="E59" i="166"/>
  <c r="F59" i="166" s="1"/>
  <c r="K58" i="166"/>
  <c r="J58" i="166"/>
  <c r="I58" i="166"/>
  <c r="H58" i="166"/>
  <c r="E58" i="166"/>
  <c r="F58" i="166" s="1"/>
  <c r="K57" i="166"/>
  <c r="J57" i="166"/>
  <c r="I57" i="166"/>
  <c r="H57" i="166"/>
  <c r="E57" i="166"/>
  <c r="F57" i="166" s="1"/>
  <c r="K56" i="166"/>
  <c r="J56" i="166"/>
  <c r="I56" i="166"/>
  <c r="H56" i="166"/>
  <c r="E56" i="166"/>
  <c r="F56" i="166" s="1"/>
  <c r="K55" i="166"/>
  <c r="J55" i="166"/>
  <c r="I55" i="166"/>
  <c r="H55" i="166"/>
  <c r="E55" i="166"/>
  <c r="F55" i="166" s="1"/>
  <c r="K54" i="166"/>
  <c r="J54" i="166"/>
  <c r="I54" i="166"/>
  <c r="H54" i="166"/>
  <c r="E54" i="166"/>
  <c r="F54" i="166" s="1"/>
  <c r="K53" i="166"/>
  <c r="J53" i="166"/>
  <c r="I53" i="166"/>
  <c r="H53" i="166"/>
  <c r="E53" i="166"/>
  <c r="F53" i="166" s="1"/>
  <c r="K52" i="166"/>
  <c r="J52" i="166"/>
  <c r="I52" i="166"/>
  <c r="H52" i="166"/>
  <c r="E52" i="166"/>
  <c r="F52" i="166" s="1"/>
  <c r="K51" i="166"/>
  <c r="J51" i="166"/>
  <c r="I51" i="166"/>
  <c r="H51" i="166"/>
  <c r="E51" i="166"/>
  <c r="F51" i="166" s="1"/>
  <c r="K50" i="166"/>
  <c r="J50" i="166"/>
  <c r="I50" i="166"/>
  <c r="H50" i="166"/>
  <c r="E50" i="166"/>
  <c r="F50" i="166" s="1"/>
  <c r="K49" i="166"/>
  <c r="J49" i="166"/>
  <c r="I49" i="166"/>
  <c r="H49" i="166"/>
  <c r="E49" i="166"/>
  <c r="F49" i="166" s="1"/>
  <c r="K48" i="166"/>
  <c r="J48" i="166"/>
  <c r="I48" i="166"/>
  <c r="H48" i="166"/>
  <c r="E48" i="166"/>
  <c r="F48" i="166" s="1"/>
  <c r="K47" i="166"/>
  <c r="J47" i="166"/>
  <c r="I47" i="166"/>
  <c r="H47" i="166"/>
  <c r="E47" i="166"/>
  <c r="F47" i="166" s="1"/>
  <c r="D41" i="166"/>
  <c r="E41" i="166" s="1"/>
  <c r="F41" i="166" s="1"/>
  <c r="D40" i="166"/>
  <c r="E40" i="166" s="1"/>
  <c r="F40" i="166" s="1"/>
  <c r="D38" i="166"/>
  <c r="D39" i="166" s="1"/>
  <c r="E39" i="166" s="1"/>
  <c r="F39" i="166" s="1"/>
  <c r="D37" i="166"/>
  <c r="E37" i="166" s="1"/>
  <c r="F37" i="166" s="1"/>
  <c r="D36" i="166"/>
  <c r="E36" i="166" s="1"/>
  <c r="F36" i="166" s="1"/>
  <c r="K35" i="166"/>
  <c r="J35" i="166"/>
  <c r="I35" i="166"/>
  <c r="H35" i="166"/>
  <c r="E35" i="166"/>
  <c r="F35" i="166" s="1"/>
  <c r="K34" i="166"/>
  <c r="J34" i="166"/>
  <c r="I34" i="166"/>
  <c r="H34" i="166"/>
  <c r="E34" i="166"/>
  <c r="F34" i="166" s="1"/>
  <c r="K33" i="166"/>
  <c r="J33" i="166"/>
  <c r="I33" i="166"/>
  <c r="H33" i="166"/>
  <c r="F33" i="166"/>
  <c r="E33" i="166"/>
  <c r="K32" i="166"/>
  <c r="J32" i="166"/>
  <c r="I32" i="166"/>
  <c r="H32" i="166"/>
  <c r="E32" i="166"/>
  <c r="F32" i="166" s="1"/>
  <c r="K31" i="166"/>
  <c r="J31" i="166"/>
  <c r="I31" i="166"/>
  <c r="H31" i="166"/>
  <c r="E31" i="166"/>
  <c r="F31" i="166" s="1"/>
  <c r="K30" i="166"/>
  <c r="J30" i="166"/>
  <c r="I30" i="166"/>
  <c r="H30" i="166"/>
  <c r="E30" i="166"/>
  <c r="F30" i="166" s="1"/>
  <c r="K29" i="166"/>
  <c r="J29" i="166"/>
  <c r="I29" i="166"/>
  <c r="H29" i="166"/>
  <c r="L29" i="166" s="1"/>
  <c r="E29" i="166"/>
  <c r="F29" i="166" s="1"/>
  <c r="K28" i="166"/>
  <c r="J28" i="166"/>
  <c r="I28" i="166"/>
  <c r="H28" i="166"/>
  <c r="E28" i="166"/>
  <c r="F28" i="166" s="1"/>
  <c r="K27" i="166"/>
  <c r="J27" i="166"/>
  <c r="I27" i="166"/>
  <c r="H27" i="166"/>
  <c r="E27" i="166"/>
  <c r="F27" i="166" s="1"/>
  <c r="K26" i="166"/>
  <c r="J26" i="166"/>
  <c r="I26" i="166"/>
  <c r="H26" i="166"/>
  <c r="E26" i="166"/>
  <c r="F26" i="166" s="1"/>
  <c r="K25" i="166"/>
  <c r="J25" i="166"/>
  <c r="I25" i="166"/>
  <c r="M25" i="166" s="1"/>
  <c r="H25" i="166"/>
  <c r="L25" i="166" s="1"/>
  <c r="E25" i="166"/>
  <c r="F25" i="166" s="1"/>
  <c r="K24" i="166"/>
  <c r="J24" i="166"/>
  <c r="I24" i="166"/>
  <c r="H24" i="166"/>
  <c r="E24" i="166"/>
  <c r="F24" i="166" s="1"/>
  <c r="E18" i="166"/>
  <c r="F18" i="166" s="1"/>
  <c r="K17" i="166"/>
  <c r="J17" i="166"/>
  <c r="I17" i="166"/>
  <c r="H17" i="166"/>
  <c r="E17" i="166"/>
  <c r="F17" i="166" s="1"/>
  <c r="K16" i="166"/>
  <c r="J16" i="166"/>
  <c r="I16" i="166"/>
  <c r="H16" i="166"/>
  <c r="L16" i="166" s="1"/>
  <c r="E16" i="166"/>
  <c r="F16" i="166" s="1"/>
  <c r="K15" i="166"/>
  <c r="J15" i="166"/>
  <c r="I15" i="166"/>
  <c r="H15" i="166"/>
  <c r="E15" i="166"/>
  <c r="F15" i="166" s="1"/>
  <c r="K14" i="166"/>
  <c r="J14" i="166"/>
  <c r="I14" i="166"/>
  <c r="H14" i="166"/>
  <c r="E14" i="166"/>
  <c r="F14" i="166" s="1"/>
  <c r="K13" i="166"/>
  <c r="J13" i="166"/>
  <c r="I13" i="166"/>
  <c r="H13" i="166"/>
  <c r="E13" i="166"/>
  <c r="F13" i="166" s="1"/>
  <c r="E158" i="62"/>
  <c r="J82" i="55"/>
  <c r="C82" i="55"/>
  <c r="C83" i="55"/>
  <c r="J83" i="55" s="1"/>
  <c r="J86" i="55"/>
  <c r="N81" i="55"/>
  <c r="N82" i="55" s="1"/>
  <c r="H79" i="55"/>
  <c r="J79" i="55" s="1"/>
  <c r="E59" i="170" l="1"/>
  <c r="S126" i="170"/>
  <c r="N151" i="170" s="1"/>
  <c r="N152" i="170" s="1"/>
  <c r="L48" i="166"/>
  <c r="M51" i="166"/>
  <c r="M53" i="166"/>
  <c r="M55" i="166"/>
  <c r="L35" i="166"/>
  <c r="J37" i="166"/>
  <c r="L47" i="166"/>
  <c r="M56" i="166"/>
  <c r="M58" i="166"/>
  <c r="L33" i="166"/>
  <c r="M48" i="166"/>
  <c r="M52" i="166"/>
  <c r="M27" i="166"/>
  <c r="L31" i="166"/>
  <c r="M32" i="166"/>
  <c r="M33" i="166"/>
  <c r="M49" i="166"/>
  <c r="L58" i="166"/>
  <c r="L51" i="166"/>
  <c r="M57" i="166"/>
  <c r="L15" i="166"/>
  <c r="L27" i="166"/>
  <c r="M29" i="166"/>
  <c r="M34" i="166"/>
  <c r="M35" i="166"/>
  <c r="J60" i="166"/>
  <c r="L54" i="166"/>
  <c r="L57" i="166"/>
  <c r="D187" i="166"/>
  <c r="M47" i="166"/>
  <c r="F19" i="166"/>
  <c r="F65" i="166"/>
  <c r="K84" i="166"/>
  <c r="C74" i="166" s="1"/>
  <c r="H20" i="166"/>
  <c r="E38" i="166"/>
  <c r="F38" i="166" s="1"/>
  <c r="F42" i="166" s="1"/>
  <c r="K60" i="166"/>
  <c r="D213" i="166"/>
  <c r="E213" i="166" s="1"/>
  <c r="M13" i="166"/>
  <c r="L14" i="166"/>
  <c r="M16" i="166"/>
  <c r="L17" i="166"/>
  <c r="H37" i="166"/>
  <c r="L26" i="166"/>
  <c r="L28" i="166"/>
  <c r="L30" i="166"/>
  <c r="L32" i="166"/>
  <c r="L50" i="166"/>
  <c r="L53" i="166"/>
  <c r="M54" i="166"/>
  <c r="L56" i="166"/>
  <c r="K76" i="166"/>
  <c r="C73" i="166" s="1"/>
  <c r="D197" i="166"/>
  <c r="D215" i="166"/>
  <c r="E215" i="166" s="1"/>
  <c r="D209" i="166"/>
  <c r="D193" i="166"/>
  <c r="J20" i="166"/>
  <c r="M17" i="166"/>
  <c r="I20" i="166"/>
  <c r="I37" i="166"/>
  <c r="M26" i="166"/>
  <c r="M28" i="166"/>
  <c r="M30" i="166"/>
  <c r="M31" i="166"/>
  <c r="L34" i="166"/>
  <c r="L49" i="166"/>
  <c r="M50" i="166"/>
  <c r="L52" i="166"/>
  <c r="L55" i="166"/>
  <c r="M24" i="166"/>
  <c r="K20" i="166"/>
  <c r="M15" i="166"/>
  <c r="K37" i="166"/>
  <c r="L13" i="166"/>
  <c r="M14" i="166"/>
  <c r="L24" i="166"/>
  <c r="I60" i="166"/>
  <c r="D212" i="166"/>
  <c r="D208" i="166"/>
  <c r="D204" i="166"/>
  <c r="D200" i="166"/>
  <c r="D196" i="166"/>
  <c r="D192" i="166"/>
  <c r="D214" i="166"/>
  <c r="E214" i="166" s="1"/>
  <c r="D211" i="166"/>
  <c r="D207" i="166"/>
  <c r="D203" i="166"/>
  <c r="D199" i="166"/>
  <c r="D195" i="166"/>
  <c r="D191" i="166"/>
  <c r="D210" i="166"/>
  <c r="D206" i="166"/>
  <c r="D202" i="166"/>
  <c r="D198" i="166"/>
  <c r="D194" i="166"/>
  <c r="D190" i="166"/>
  <c r="D205" i="166"/>
  <c r="H60" i="166"/>
  <c r="J84" i="55"/>
  <c r="K84" i="55" s="1"/>
  <c r="G210" i="120"/>
  <c r="F203" i="120"/>
  <c r="F210" i="120" s="1"/>
  <c r="C210" i="120"/>
  <c r="I59" i="170" l="1"/>
  <c r="L20" i="166"/>
  <c r="M60" i="166"/>
  <c r="F43" i="166"/>
  <c r="F44" i="166" s="1"/>
  <c r="L60" i="166"/>
  <c r="F66" i="166"/>
  <c r="F67" i="166" s="1"/>
  <c r="M37" i="166"/>
  <c r="C70" i="166"/>
  <c r="F20" i="166"/>
  <c r="F21" i="166" s="1"/>
  <c r="D216" i="166"/>
  <c r="L37" i="166"/>
  <c r="M20" i="166"/>
  <c r="E313" i="21"/>
  <c r="E315" i="21"/>
  <c r="E314" i="21"/>
  <c r="E60" i="170" l="1"/>
  <c r="C71" i="166"/>
  <c r="C72" i="166" s="1"/>
  <c r="C75" i="166" s="1"/>
  <c r="C81" i="166" s="1"/>
  <c r="N73" i="166"/>
  <c r="O223" i="120"/>
  <c r="N223" i="120"/>
  <c r="E218" i="120"/>
  <c r="G218" i="120" s="1"/>
  <c r="G217" i="120"/>
  <c r="N273" i="120"/>
  <c r="E280" i="161"/>
  <c r="C281" i="161" s="1"/>
  <c r="H285" i="161"/>
  <c r="H284" i="161"/>
  <c r="F284" i="161"/>
  <c r="H283" i="161"/>
  <c r="F283" i="161"/>
  <c r="E259" i="161"/>
  <c r="C260" i="161" s="1"/>
  <c r="G271" i="161" s="1"/>
  <c r="I271" i="161" s="1"/>
  <c r="H264" i="161"/>
  <c r="H263" i="161"/>
  <c r="F263" i="161"/>
  <c r="H262" i="161"/>
  <c r="F262" i="161"/>
  <c r="E238" i="161"/>
  <c r="C239" i="161" s="1"/>
  <c r="G250" i="161" s="1"/>
  <c r="I250" i="161" s="1"/>
  <c r="H243" i="161"/>
  <c r="H242" i="161"/>
  <c r="F242" i="161"/>
  <c r="H241" i="161"/>
  <c r="F241" i="161"/>
  <c r="E217" i="161"/>
  <c r="C218" i="161" s="1"/>
  <c r="G229" i="161" s="1"/>
  <c r="I229" i="161" s="1"/>
  <c r="H222" i="161"/>
  <c r="H221" i="161"/>
  <c r="F221" i="161"/>
  <c r="H220" i="161"/>
  <c r="F220" i="161"/>
  <c r="E196" i="161"/>
  <c r="C197" i="161" s="1"/>
  <c r="G208" i="161" s="1"/>
  <c r="I208" i="161" s="1"/>
  <c r="H201" i="161"/>
  <c r="H200" i="161"/>
  <c r="F200" i="161"/>
  <c r="H199" i="161"/>
  <c r="F199" i="161"/>
  <c r="E175" i="161"/>
  <c r="C176" i="161" s="1"/>
  <c r="G187" i="161" s="1"/>
  <c r="I187" i="161" s="1"/>
  <c r="H180" i="161"/>
  <c r="H179" i="161"/>
  <c r="F179" i="161"/>
  <c r="H178" i="161"/>
  <c r="F178" i="161"/>
  <c r="H159" i="161"/>
  <c r="H158" i="161"/>
  <c r="E154" i="161"/>
  <c r="C155" i="161" s="1"/>
  <c r="G166" i="161" s="1"/>
  <c r="I166" i="161" s="1"/>
  <c r="F158" i="161"/>
  <c r="H157" i="161"/>
  <c r="F157" i="161"/>
  <c r="E133" i="161"/>
  <c r="C134" i="161" s="1"/>
  <c r="G145" i="161" s="1"/>
  <c r="I145" i="161" s="1"/>
  <c r="H137" i="161"/>
  <c r="F137" i="161"/>
  <c r="H136" i="161"/>
  <c r="F136" i="161"/>
  <c r="E113" i="161"/>
  <c r="G125" i="161" s="1"/>
  <c r="I125" i="161" s="1"/>
  <c r="H117" i="161"/>
  <c r="F117" i="161"/>
  <c r="H116" i="161"/>
  <c r="F116" i="161"/>
  <c r="E92" i="161"/>
  <c r="C93" i="161" s="1"/>
  <c r="H96" i="161"/>
  <c r="F96" i="161"/>
  <c r="H95" i="161"/>
  <c r="F95" i="161"/>
  <c r="E70" i="161"/>
  <c r="C71" i="161" s="1"/>
  <c r="H74" i="161"/>
  <c r="F74" i="161"/>
  <c r="H73" i="161"/>
  <c r="F73" i="161"/>
  <c r="E49" i="161"/>
  <c r="C50" i="161" s="1"/>
  <c r="H53" i="161"/>
  <c r="F53" i="161"/>
  <c r="H52" i="161"/>
  <c r="F52" i="161"/>
  <c r="E28" i="161"/>
  <c r="C29" i="161" s="1"/>
  <c r="G277" i="161" s="1"/>
  <c r="I277" i="161" s="1"/>
  <c r="H32" i="161"/>
  <c r="G19" i="160"/>
  <c r="H19" i="160"/>
  <c r="G20" i="159"/>
  <c r="H20" i="159"/>
  <c r="F20" i="159"/>
  <c r="C31" i="135"/>
  <c r="D31" i="135" s="1"/>
  <c r="E31" i="135"/>
  <c r="F31" i="135"/>
  <c r="E38" i="156"/>
  <c r="F38" i="156" s="1"/>
  <c r="H38" i="156"/>
  <c r="E201" i="138"/>
  <c r="F201" i="138" s="1"/>
  <c r="H201" i="138"/>
  <c r="E168" i="138"/>
  <c r="F168" i="138" s="1"/>
  <c r="H168" i="138"/>
  <c r="E169" i="138"/>
  <c r="F169" i="138" s="1"/>
  <c r="H169" i="138"/>
  <c r="E136" i="138"/>
  <c r="F136" i="138" s="1"/>
  <c r="H136" i="138"/>
  <c r="E137" i="138"/>
  <c r="F137" i="138" s="1"/>
  <c r="H137" i="138"/>
  <c r="E103" i="138"/>
  <c r="F103" i="138" s="1"/>
  <c r="H103" i="138"/>
  <c r="E104" i="138"/>
  <c r="F104" i="138" s="1"/>
  <c r="H104" i="138"/>
  <c r="E71" i="138"/>
  <c r="F71" i="138" s="1"/>
  <c r="H71" i="138"/>
  <c r="E72" i="138"/>
  <c r="F72" i="138" s="1"/>
  <c r="H72" i="138"/>
  <c r="E38" i="138"/>
  <c r="F38" i="138" s="1"/>
  <c r="H38" i="138"/>
  <c r="E39" i="138"/>
  <c r="F39" i="138" s="1"/>
  <c r="H39" i="138"/>
  <c r="E124" i="133"/>
  <c r="F124" i="133" s="1"/>
  <c r="G124" i="133"/>
  <c r="H124" i="133"/>
  <c r="E38" i="146"/>
  <c r="F38" i="146" s="1"/>
  <c r="G38" i="146"/>
  <c r="F58" i="144"/>
  <c r="G58" i="144" s="1"/>
  <c r="H58" i="144"/>
  <c r="E98" i="131"/>
  <c r="F98" i="131" s="1"/>
  <c r="E96" i="131"/>
  <c r="F96" i="131" s="1"/>
  <c r="E97" i="131"/>
  <c r="F97" i="131" s="1"/>
  <c r="E58" i="154"/>
  <c r="F58" i="154" s="1"/>
  <c r="G58" i="154"/>
  <c r="H58" i="154"/>
  <c r="E65" i="130"/>
  <c r="F65" i="130" s="1"/>
  <c r="H65" i="130"/>
  <c r="E73" i="141"/>
  <c r="F73" i="141" s="1"/>
  <c r="G73" i="141" s="1"/>
  <c r="I73" i="141"/>
  <c r="F92" i="140"/>
  <c r="G92" i="140" s="1"/>
  <c r="H92" i="140"/>
  <c r="H9" i="160"/>
  <c r="C133" i="105"/>
  <c r="C132" i="105"/>
  <c r="C131" i="105"/>
  <c r="H127" i="105"/>
  <c r="F75" i="105"/>
  <c r="C80" i="105" s="1"/>
  <c r="F64" i="105"/>
  <c r="F65" i="105"/>
  <c r="F66" i="105"/>
  <c r="F67" i="105"/>
  <c r="F68" i="105"/>
  <c r="F69" i="105"/>
  <c r="F70" i="105"/>
  <c r="F71" i="105"/>
  <c r="F72" i="105"/>
  <c r="F73" i="105"/>
  <c r="F74" i="105"/>
  <c r="F63" i="105"/>
  <c r="E64" i="105"/>
  <c r="E65" i="105"/>
  <c r="E66" i="105"/>
  <c r="E67" i="105"/>
  <c r="E68" i="105"/>
  <c r="E69" i="105"/>
  <c r="E70" i="105"/>
  <c r="E71" i="105"/>
  <c r="E72" i="105"/>
  <c r="E73" i="105"/>
  <c r="E74" i="105"/>
  <c r="E63" i="105"/>
  <c r="F60" i="105"/>
  <c r="F56" i="105"/>
  <c r="E57" i="105"/>
  <c r="E58" i="105"/>
  <c r="E59" i="105"/>
  <c r="E56" i="105"/>
  <c r="F24" i="105"/>
  <c r="F40" i="105"/>
  <c r="F35" i="105"/>
  <c r="F36" i="105"/>
  <c r="F37" i="105"/>
  <c r="F38" i="105"/>
  <c r="F39" i="105"/>
  <c r="F34" i="105"/>
  <c r="E35" i="105"/>
  <c r="E36" i="105"/>
  <c r="E37" i="105"/>
  <c r="E38" i="105"/>
  <c r="E39" i="105"/>
  <c r="E34" i="105"/>
  <c r="F19" i="105"/>
  <c r="F20" i="105"/>
  <c r="F21" i="105"/>
  <c r="F22" i="105"/>
  <c r="F23" i="105"/>
  <c r="F18" i="105"/>
  <c r="E19" i="105"/>
  <c r="E20" i="105"/>
  <c r="E21" i="105"/>
  <c r="E22" i="105"/>
  <c r="E23" i="105"/>
  <c r="F473" i="165"/>
  <c r="C479" i="165" s="1"/>
  <c r="E473" i="165"/>
  <c r="C478" i="165" s="1"/>
  <c r="D479" i="165" s="1"/>
  <c r="D473" i="165"/>
  <c r="C477" i="165" s="1"/>
  <c r="C473" i="165"/>
  <c r="C476" i="165" s="1"/>
  <c r="G472" i="165"/>
  <c r="G471" i="165"/>
  <c r="G470" i="165"/>
  <c r="G469" i="165"/>
  <c r="G468" i="165"/>
  <c r="G467" i="165"/>
  <c r="G466" i="165"/>
  <c r="G465" i="165"/>
  <c r="G464" i="165"/>
  <c r="G463" i="165"/>
  <c r="G462" i="165"/>
  <c r="G461" i="165"/>
  <c r="G460" i="165"/>
  <c r="G459" i="165"/>
  <c r="G458" i="165"/>
  <c r="G457" i="165"/>
  <c r="G456" i="165"/>
  <c r="G455" i="165"/>
  <c r="G454" i="165"/>
  <c r="G453" i="165"/>
  <c r="G452" i="165"/>
  <c r="G451" i="165"/>
  <c r="G450" i="165"/>
  <c r="G449" i="165"/>
  <c r="G448" i="165"/>
  <c r="G447" i="165"/>
  <c r="G446" i="165"/>
  <c r="G445" i="165"/>
  <c r="G444" i="165"/>
  <c r="G443" i="165"/>
  <c r="G442" i="165"/>
  <c r="G441" i="165"/>
  <c r="G440" i="165"/>
  <c r="G439" i="165"/>
  <c r="G438" i="165"/>
  <c r="G437" i="165"/>
  <c r="G436" i="165"/>
  <c r="G435" i="165"/>
  <c r="G434" i="165"/>
  <c r="G433" i="165"/>
  <c r="G432" i="165"/>
  <c r="G431" i="165"/>
  <c r="G430" i="165"/>
  <c r="G429" i="165"/>
  <c r="G428" i="165"/>
  <c r="G427" i="165"/>
  <c r="G426" i="165"/>
  <c r="G425" i="165"/>
  <c r="G424" i="165"/>
  <c r="G423" i="165"/>
  <c r="G422" i="165"/>
  <c r="G421" i="165"/>
  <c r="G420" i="165"/>
  <c r="G419" i="165"/>
  <c r="G418" i="165"/>
  <c r="G417" i="165"/>
  <c r="G416" i="165"/>
  <c r="G415" i="165"/>
  <c r="G414" i="165"/>
  <c r="G413" i="165"/>
  <c r="G412" i="165"/>
  <c r="G411" i="165"/>
  <c r="G410" i="165"/>
  <c r="G409" i="165"/>
  <c r="G408" i="165"/>
  <c r="G407" i="165"/>
  <c r="G406" i="165"/>
  <c r="G405" i="165"/>
  <c r="G404" i="165"/>
  <c r="G403" i="165"/>
  <c r="G402" i="165"/>
  <c r="G401" i="165"/>
  <c r="G400" i="165"/>
  <c r="G399" i="165"/>
  <c r="G398" i="165"/>
  <c r="G397" i="165"/>
  <c r="G396" i="165"/>
  <c r="G395" i="165"/>
  <c r="G394" i="165"/>
  <c r="G393" i="165"/>
  <c r="G392" i="165"/>
  <c r="G391" i="165"/>
  <c r="G390" i="165"/>
  <c r="G389" i="165"/>
  <c r="G388" i="165"/>
  <c r="G387" i="165"/>
  <c r="G386" i="165"/>
  <c r="G385" i="165"/>
  <c r="G384" i="165"/>
  <c r="G383" i="165"/>
  <c r="G382" i="165"/>
  <c r="G381" i="165"/>
  <c r="G380" i="165"/>
  <c r="G379" i="165"/>
  <c r="G378" i="165"/>
  <c r="G377" i="165"/>
  <c r="G376" i="165"/>
  <c r="G375" i="165"/>
  <c r="G374" i="165"/>
  <c r="G373" i="165"/>
  <c r="G372" i="165"/>
  <c r="G371" i="165"/>
  <c r="G370" i="165"/>
  <c r="G369" i="165"/>
  <c r="G368" i="165"/>
  <c r="G367" i="165"/>
  <c r="G366" i="165"/>
  <c r="G365" i="165"/>
  <c r="G364" i="165"/>
  <c r="G363" i="165"/>
  <c r="G362" i="165"/>
  <c r="G361" i="165"/>
  <c r="J354" i="165"/>
  <c r="J356" i="165"/>
  <c r="B349" i="165"/>
  <c r="G341" i="165"/>
  <c r="D341" i="165"/>
  <c r="E341" i="165" s="1"/>
  <c r="G340" i="165"/>
  <c r="D340" i="165"/>
  <c r="E340" i="165" s="1"/>
  <c r="G339" i="165"/>
  <c r="D339" i="165"/>
  <c r="E339" i="165" s="1"/>
  <c r="G338" i="165"/>
  <c r="E338" i="165"/>
  <c r="D338" i="165"/>
  <c r="G337" i="165"/>
  <c r="D337" i="165"/>
  <c r="E337" i="165" s="1"/>
  <c r="G336" i="165"/>
  <c r="D336" i="165"/>
  <c r="E336" i="165" s="1"/>
  <c r="G335" i="165"/>
  <c r="E335" i="165"/>
  <c r="G334" i="165"/>
  <c r="E334" i="165"/>
  <c r="G333" i="165"/>
  <c r="E333" i="165"/>
  <c r="G332" i="165"/>
  <c r="E332" i="165"/>
  <c r="G331" i="165"/>
  <c r="E331" i="165"/>
  <c r="G330" i="165"/>
  <c r="E330" i="165"/>
  <c r="G329" i="165"/>
  <c r="E329" i="165"/>
  <c r="G328" i="165"/>
  <c r="E328" i="165"/>
  <c r="G327" i="165"/>
  <c r="E327" i="165"/>
  <c r="G326" i="165"/>
  <c r="E326" i="165"/>
  <c r="G325" i="165"/>
  <c r="E325" i="165"/>
  <c r="G324" i="165"/>
  <c r="E324" i="165"/>
  <c r="G323" i="165"/>
  <c r="E323" i="165"/>
  <c r="G322" i="165"/>
  <c r="E322" i="165"/>
  <c r="G321" i="165"/>
  <c r="E321" i="165"/>
  <c r="G320" i="165"/>
  <c r="E320" i="165"/>
  <c r="G319" i="165"/>
  <c r="E319" i="165"/>
  <c r="G318" i="165"/>
  <c r="E318" i="165"/>
  <c r="G317" i="165"/>
  <c r="E317" i="165"/>
  <c r="G316" i="165"/>
  <c r="E316" i="165"/>
  <c r="G315" i="165"/>
  <c r="E315" i="165"/>
  <c r="G314" i="165"/>
  <c r="E314" i="165"/>
  <c r="G313" i="165"/>
  <c r="E313" i="165"/>
  <c r="G312" i="165"/>
  <c r="E312" i="165"/>
  <c r="G311" i="165"/>
  <c r="E311" i="165"/>
  <c r="G310" i="165"/>
  <c r="E310" i="165"/>
  <c r="G309" i="165"/>
  <c r="E309" i="165"/>
  <c r="G308" i="165"/>
  <c r="E308" i="165"/>
  <c r="G305" i="165"/>
  <c r="E305" i="165"/>
  <c r="G304" i="165"/>
  <c r="E304" i="165"/>
  <c r="G303" i="165"/>
  <c r="E303" i="165"/>
  <c r="G302" i="165"/>
  <c r="E302" i="165"/>
  <c r="B299" i="165"/>
  <c r="E295" i="165"/>
  <c r="C295" i="165"/>
  <c r="E294" i="165"/>
  <c r="C294" i="165"/>
  <c r="E293" i="165"/>
  <c r="E292" i="165"/>
  <c r="F292" i="165" s="1"/>
  <c r="C292" i="165"/>
  <c r="C293" i="165" s="1"/>
  <c r="E285" i="165"/>
  <c r="F285" i="165" s="1"/>
  <c r="C285" i="165"/>
  <c r="E284" i="165"/>
  <c r="C284" i="165"/>
  <c r="E283" i="165"/>
  <c r="E282" i="165"/>
  <c r="F282" i="165" s="1"/>
  <c r="C282" i="165"/>
  <c r="C283" i="165" s="1"/>
  <c r="F283" i="165" s="1"/>
  <c r="E275" i="165"/>
  <c r="C275" i="165"/>
  <c r="F275" i="165" s="1"/>
  <c r="E274" i="165"/>
  <c r="C274" i="165"/>
  <c r="E273" i="165"/>
  <c r="E272" i="165"/>
  <c r="C272" i="165"/>
  <c r="E265" i="165"/>
  <c r="C265" i="165"/>
  <c r="E264" i="165"/>
  <c r="F264" i="165" s="1"/>
  <c r="C264" i="165"/>
  <c r="E263" i="165"/>
  <c r="E262" i="165"/>
  <c r="C262" i="165"/>
  <c r="C263" i="165" s="1"/>
  <c r="E255" i="165"/>
  <c r="C255" i="165"/>
  <c r="E254" i="165"/>
  <c r="C254" i="165"/>
  <c r="E253" i="165"/>
  <c r="C253" i="165"/>
  <c r="C252" i="165"/>
  <c r="F252" i="165" s="1"/>
  <c r="F245" i="165"/>
  <c r="E245" i="165"/>
  <c r="C245" i="165"/>
  <c r="E244" i="165"/>
  <c r="C244" i="165"/>
  <c r="F244" i="165" s="1"/>
  <c r="E243" i="165"/>
  <c r="E242" i="165"/>
  <c r="C242" i="165"/>
  <c r="C243" i="165" s="1"/>
  <c r="E235" i="165"/>
  <c r="C235" i="165"/>
  <c r="E234" i="165"/>
  <c r="C234" i="165"/>
  <c r="E233" i="165"/>
  <c r="E232" i="165"/>
  <c r="C232" i="165"/>
  <c r="E225" i="165"/>
  <c r="C225" i="165"/>
  <c r="E224" i="165"/>
  <c r="F224" i="165" s="1"/>
  <c r="C224" i="165"/>
  <c r="E223" i="165"/>
  <c r="E222" i="165"/>
  <c r="C222" i="165"/>
  <c r="C223" i="165" s="1"/>
  <c r="E215" i="165"/>
  <c r="E214" i="165"/>
  <c r="E213" i="165"/>
  <c r="E212" i="165"/>
  <c r="E205" i="165"/>
  <c r="E204" i="165"/>
  <c r="E203" i="165"/>
  <c r="E202" i="165"/>
  <c r="D201" i="165"/>
  <c r="G187" i="165"/>
  <c r="H187" i="165" s="1"/>
  <c r="E187" i="165"/>
  <c r="G186" i="165"/>
  <c r="E186" i="165"/>
  <c r="B185" i="165"/>
  <c r="G183" i="165"/>
  <c r="H183" i="165" s="1"/>
  <c r="E183" i="165"/>
  <c r="G182" i="165"/>
  <c r="E182" i="165"/>
  <c r="E184" i="165" s="1"/>
  <c r="I177" i="165"/>
  <c r="G177" i="165"/>
  <c r="H177" i="165" s="1"/>
  <c r="J177" i="165" s="1"/>
  <c r="E177" i="165"/>
  <c r="G176" i="165"/>
  <c r="H176" i="165" s="1"/>
  <c r="E176" i="165"/>
  <c r="B175" i="165"/>
  <c r="H173" i="165"/>
  <c r="G173" i="165"/>
  <c r="I173" i="165" s="1"/>
  <c r="E173" i="165"/>
  <c r="G172" i="165"/>
  <c r="H172" i="165" s="1"/>
  <c r="E172" i="165"/>
  <c r="I169" i="165"/>
  <c r="H169" i="165"/>
  <c r="G169" i="165"/>
  <c r="E169" i="165"/>
  <c r="I168" i="165"/>
  <c r="H168" i="165"/>
  <c r="G168" i="165"/>
  <c r="E168" i="165"/>
  <c r="J167" i="165"/>
  <c r="I167" i="165"/>
  <c r="H167" i="165"/>
  <c r="G167" i="165"/>
  <c r="E167" i="165"/>
  <c r="I166" i="165"/>
  <c r="H166" i="165"/>
  <c r="J166" i="165" s="1"/>
  <c r="G166" i="165"/>
  <c r="E166" i="165"/>
  <c r="I165" i="165"/>
  <c r="H165" i="165"/>
  <c r="G165" i="165"/>
  <c r="E165" i="165"/>
  <c r="I164" i="165"/>
  <c r="H164" i="165"/>
  <c r="G164" i="165"/>
  <c r="E164" i="165"/>
  <c r="I163" i="165"/>
  <c r="H163" i="165"/>
  <c r="J163" i="165" s="1"/>
  <c r="G163" i="165"/>
  <c r="E163" i="165"/>
  <c r="I162" i="165"/>
  <c r="J162" i="165" s="1"/>
  <c r="H162" i="165"/>
  <c r="G162" i="165"/>
  <c r="E162" i="165"/>
  <c r="I161" i="165"/>
  <c r="H161" i="165"/>
  <c r="G161" i="165"/>
  <c r="E161" i="165"/>
  <c r="I160" i="165"/>
  <c r="H160" i="165"/>
  <c r="G160" i="165"/>
  <c r="E160" i="165"/>
  <c r="B159" i="165"/>
  <c r="G157" i="165"/>
  <c r="I157" i="165" s="1"/>
  <c r="E157" i="165"/>
  <c r="I156" i="165"/>
  <c r="G156" i="165"/>
  <c r="H156" i="165" s="1"/>
  <c r="E156" i="165"/>
  <c r="I155" i="165"/>
  <c r="G155" i="165"/>
  <c r="H155" i="165" s="1"/>
  <c r="E155" i="165"/>
  <c r="G154" i="165"/>
  <c r="E154" i="165"/>
  <c r="G153" i="165"/>
  <c r="I153" i="165" s="1"/>
  <c r="E153" i="165"/>
  <c r="I152" i="165"/>
  <c r="G152" i="165"/>
  <c r="H152" i="165" s="1"/>
  <c r="J152" i="165" s="1"/>
  <c r="E152" i="165"/>
  <c r="I151" i="165"/>
  <c r="G151" i="165"/>
  <c r="H151" i="165" s="1"/>
  <c r="E151" i="165"/>
  <c r="G150" i="165"/>
  <c r="E150" i="165"/>
  <c r="G149" i="165"/>
  <c r="I149" i="165" s="1"/>
  <c r="E149" i="165"/>
  <c r="I148" i="165"/>
  <c r="G148" i="165"/>
  <c r="H148" i="165" s="1"/>
  <c r="E148" i="165"/>
  <c r="N145" i="165"/>
  <c r="I145" i="165"/>
  <c r="H145" i="165"/>
  <c r="J145" i="165" s="1"/>
  <c r="G145" i="165"/>
  <c r="E145" i="165"/>
  <c r="N144" i="165"/>
  <c r="I144" i="165"/>
  <c r="H144" i="165"/>
  <c r="J144" i="165" s="1"/>
  <c r="G144" i="165"/>
  <c r="E144" i="165"/>
  <c r="N143" i="165"/>
  <c r="I143" i="165"/>
  <c r="H143" i="165"/>
  <c r="G143" i="165"/>
  <c r="E143" i="165"/>
  <c r="N142" i="165"/>
  <c r="I142" i="165"/>
  <c r="H142" i="165"/>
  <c r="J142" i="165" s="1"/>
  <c r="G142" i="165"/>
  <c r="E142" i="165"/>
  <c r="N141" i="165"/>
  <c r="I141" i="165"/>
  <c r="H141" i="165"/>
  <c r="J141" i="165" s="1"/>
  <c r="G141" i="165"/>
  <c r="E141" i="165"/>
  <c r="N140" i="165"/>
  <c r="I140" i="165"/>
  <c r="J140" i="165" s="1"/>
  <c r="H140" i="165"/>
  <c r="G140" i="165"/>
  <c r="E140" i="165"/>
  <c r="N139" i="165"/>
  <c r="I139" i="165"/>
  <c r="H139" i="165"/>
  <c r="J139" i="165" s="1"/>
  <c r="G139" i="165"/>
  <c r="E139" i="165"/>
  <c r="N138" i="165"/>
  <c r="I138" i="165"/>
  <c r="H138" i="165"/>
  <c r="J138" i="165" s="1"/>
  <c r="G138" i="165"/>
  <c r="E138" i="165"/>
  <c r="N137" i="165"/>
  <c r="I137" i="165"/>
  <c r="H137" i="165"/>
  <c r="G137" i="165"/>
  <c r="E137" i="165"/>
  <c r="N136" i="165"/>
  <c r="I136" i="165"/>
  <c r="H136" i="165"/>
  <c r="G136" i="165"/>
  <c r="E136" i="165"/>
  <c r="N135" i="165"/>
  <c r="I135" i="165"/>
  <c r="H135" i="165"/>
  <c r="G135" i="165"/>
  <c r="E135" i="165"/>
  <c r="N134" i="165"/>
  <c r="I134" i="165"/>
  <c r="H134" i="165"/>
  <c r="J134" i="165" s="1"/>
  <c r="G134" i="165"/>
  <c r="E134" i="165"/>
  <c r="B133" i="165"/>
  <c r="G131" i="165"/>
  <c r="I131" i="165" s="1"/>
  <c r="E131" i="165"/>
  <c r="G130" i="165"/>
  <c r="E130" i="165"/>
  <c r="H129" i="165"/>
  <c r="G129" i="165"/>
  <c r="I129" i="165" s="1"/>
  <c r="E129" i="165"/>
  <c r="N128" i="165"/>
  <c r="H128" i="165"/>
  <c r="G128" i="165"/>
  <c r="I128" i="165" s="1"/>
  <c r="J128" i="165" s="1"/>
  <c r="E128" i="165"/>
  <c r="N127" i="165"/>
  <c r="H127" i="165"/>
  <c r="J127" i="165" s="1"/>
  <c r="G127" i="165"/>
  <c r="I127" i="165" s="1"/>
  <c r="E127" i="165"/>
  <c r="N126" i="165"/>
  <c r="H126" i="165"/>
  <c r="J126" i="165" s="1"/>
  <c r="G126" i="165"/>
  <c r="I126" i="165" s="1"/>
  <c r="E126" i="165"/>
  <c r="N125" i="165"/>
  <c r="H125" i="165"/>
  <c r="G125" i="165"/>
  <c r="I125" i="165" s="1"/>
  <c r="E125" i="165"/>
  <c r="N124" i="165"/>
  <c r="H124" i="165"/>
  <c r="G124" i="165"/>
  <c r="I124" i="165" s="1"/>
  <c r="J124" i="165" s="1"/>
  <c r="E124" i="165"/>
  <c r="N123" i="165"/>
  <c r="H123" i="165"/>
  <c r="J123" i="165" s="1"/>
  <c r="G123" i="165"/>
  <c r="I123" i="165" s="1"/>
  <c r="E123" i="165"/>
  <c r="N122" i="165"/>
  <c r="H122" i="165"/>
  <c r="J122" i="165" s="1"/>
  <c r="G122" i="165"/>
  <c r="I122" i="165" s="1"/>
  <c r="E122" i="165"/>
  <c r="N121" i="165"/>
  <c r="H121" i="165"/>
  <c r="G121" i="165"/>
  <c r="I121" i="165" s="1"/>
  <c r="E121" i="165"/>
  <c r="N120" i="165"/>
  <c r="I120" i="165"/>
  <c r="G120" i="165"/>
  <c r="H120" i="165" s="1"/>
  <c r="J120" i="165" s="1"/>
  <c r="E120" i="165"/>
  <c r="N119" i="165"/>
  <c r="N118" i="165"/>
  <c r="N117" i="165"/>
  <c r="F117" i="165"/>
  <c r="G117" i="165" s="1"/>
  <c r="H117" i="165" s="1"/>
  <c r="E117" i="165"/>
  <c r="B116" i="165"/>
  <c r="F115" i="165"/>
  <c r="G115" i="165" s="1"/>
  <c r="I115" i="165" s="1"/>
  <c r="E115" i="165"/>
  <c r="I112" i="165"/>
  <c r="G112" i="165"/>
  <c r="H112" i="165" s="1"/>
  <c r="E112" i="165"/>
  <c r="G111" i="165"/>
  <c r="I111" i="165" s="1"/>
  <c r="E111" i="165"/>
  <c r="I110" i="165"/>
  <c r="G110" i="165"/>
  <c r="H110" i="165" s="1"/>
  <c r="E110" i="165"/>
  <c r="G109" i="165"/>
  <c r="I109" i="165" s="1"/>
  <c r="E109" i="165"/>
  <c r="G108" i="165"/>
  <c r="E108" i="165"/>
  <c r="G107" i="165"/>
  <c r="I107" i="165" s="1"/>
  <c r="E107" i="165"/>
  <c r="G106" i="165"/>
  <c r="E106" i="165"/>
  <c r="H105" i="165"/>
  <c r="G105" i="165"/>
  <c r="I105" i="165" s="1"/>
  <c r="E105" i="165"/>
  <c r="G104" i="165"/>
  <c r="H104" i="165" s="1"/>
  <c r="E104" i="165"/>
  <c r="H103" i="165"/>
  <c r="G103" i="165"/>
  <c r="I103" i="165" s="1"/>
  <c r="E103" i="165"/>
  <c r="G102" i="165"/>
  <c r="H102" i="165" s="1"/>
  <c r="E102" i="165"/>
  <c r="G101" i="165"/>
  <c r="I101" i="165" s="1"/>
  <c r="E101" i="165"/>
  <c r="B100" i="165"/>
  <c r="F99" i="165"/>
  <c r="G98" i="165"/>
  <c r="E98" i="165"/>
  <c r="G96" i="165"/>
  <c r="E96" i="165"/>
  <c r="E95" i="165"/>
  <c r="G95" i="165" s="1"/>
  <c r="E94" i="165"/>
  <c r="G94" i="165" s="1"/>
  <c r="H94" i="165" s="1"/>
  <c r="E93" i="165"/>
  <c r="G93" i="165" s="1"/>
  <c r="I93" i="165" s="1"/>
  <c r="G92" i="165"/>
  <c r="E92" i="165"/>
  <c r="E91" i="165"/>
  <c r="E90" i="165"/>
  <c r="G90" i="165" s="1"/>
  <c r="H90" i="165" s="1"/>
  <c r="E88" i="165"/>
  <c r="G88" i="165" s="1"/>
  <c r="I88" i="165" s="1"/>
  <c r="E87" i="165"/>
  <c r="G87" i="165" s="1"/>
  <c r="E86" i="165"/>
  <c r="G86" i="165" s="1"/>
  <c r="E85" i="165"/>
  <c r="G85" i="165" s="1"/>
  <c r="I82" i="165"/>
  <c r="H82" i="165"/>
  <c r="G82" i="165"/>
  <c r="E82" i="165"/>
  <c r="I81" i="165"/>
  <c r="J81" i="165" s="1"/>
  <c r="H81" i="165"/>
  <c r="G81" i="165"/>
  <c r="E81" i="165"/>
  <c r="I80" i="165"/>
  <c r="H80" i="165"/>
  <c r="J80" i="165" s="1"/>
  <c r="G80" i="165"/>
  <c r="E80" i="165"/>
  <c r="I79" i="165"/>
  <c r="H79" i="165"/>
  <c r="G79" i="165"/>
  <c r="E79" i="165"/>
  <c r="I78" i="165"/>
  <c r="J78" i="165" s="1"/>
  <c r="H78" i="165"/>
  <c r="G78" i="165"/>
  <c r="E78" i="165"/>
  <c r="I77" i="165"/>
  <c r="J77" i="165" s="1"/>
  <c r="H77" i="165"/>
  <c r="G77" i="165"/>
  <c r="E77" i="165"/>
  <c r="I76" i="165"/>
  <c r="H76" i="165"/>
  <c r="G76" i="165"/>
  <c r="E76" i="165"/>
  <c r="I75" i="165"/>
  <c r="H75" i="165"/>
  <c r="G75" i="165"/>
  <c r="E75" i="165"/>
  <c r="J74" i="165"/>
  <c r="I74" i="165"/>
  <c r="H74" i="165"/>
  <c r="G74" i="165"/>
  <c r="E74" i="165"/>
  <c r="I73" i="165"/>
  <c r="H73" i="165"/>
  <c r="J73" i="165" s="1"/>
  <c r="G73" i="165"/>
  <c r="E73" i="165"/>
  <c r="I72" i="165"/>
  <c r="H72" i="165"/>
  <c r="G72" i="165"/>
  <c r="E72" i="165"/>
  <c r="I71" i="165"/>
  <c r="H71" i="165"/>
  <c r="G71" i="165"/>
  <c r="E71" i="165"/>
  <c r="B70" i="165"/>
  <c r="F69" i="165"/>
  <c r="G68" i="165"/>
  <c r="E68" i="165"/>
  <c r="E67" i="165"/>
  <c r="G67" i="165" s="1"/>
  <c r="I67" i="165" s="1"/>
  <c r="E66" i="165"/>
  <c r="G66" i="165" s="1"/>
  <c r="E65" i="165"/>
  <c r="G65" i="165" s="1"/>
  <c r="G64" i="165"/>
  <c r="E64" i="165"/>
  <c r="E62" i="165"/>
  <c r="G62" i="165" s="1"/>
  <c r="I62" i="165" s="1"/>
  <c r="G60" i="165"/>
  <c r="I60" i="165" s="1"/>
  <c r="E60" i="165"/>
  <c r="E59" i="165"/>
  <c r="G59" i="165" s="1"/>
  <c r="I58" i="165"/>
  <c r="H58" i="165"/>
  <c r="J58" i="165" s="1"/>
  <c r="E58" i="165"/>
  <c r="G58" i="165" s="1"/>
  <c r="E56" i="165"/>
  <c r="G56" i="165" s="1"/>
  <c r="I56" i="165" s="1"/>
  <c r="E55" i="165"/>
  <c r="G55" i="165" s="1"/>
  <c r="E54" i="165"/>
  <c r="G54" i="165" s="1"/>
  <c r="H54" i="165" s="1"/>
  <c r="G49" i="165"/>
  <c r="E49" i="165"/>
  <c r="I48" i="165"/>
  <c r="G48" i="165"/>
  <c r="H48" i="165" s="1"/>
  <c r="J48" i="165" s="1"/>
  <c r="E48" i="165"/>
  <c r="I47" i="165"/>
  <c r="G47" i="165"/>
  <c r="H47" i="165" s="1"/>
  <c r="E47" i="165"/>
  <c r="G46" i="165"/>
  <c r="I46" i="165" s="1"/>
  <c r="E46" i="165"/>
  <c r="G45" i="165"/>
  <c r="I45" i="165" s="1"/>
  <c r="E45" i="165"/>
  <c r="I44" i="165"/>
  <c r="H44" i="165"/>
  <c r="G44" i="165"/>
  <c r="E44" i="165"/>
  <c r="I43" i="165"/>
  <c r="J43" i="165" s="1"/>
  <c r="H43" i="165"/>
  <c r="F43" i="165"/>
  <c r="E43" i="165"/>
  <c r="N42" i="165"/>
  <c r="N41" i="165"/>
  <c r="N40" i="165"/>
  <c r="G40" i="165"/>
  <c r="E40" i="165"/>
  <c r="N39" i="165"/>
  <c r="G39" i="165"/>
  <c r="H39" i="165" s="1"/>
  <c r="E39" i="165"/>
  <c r="N38" i="165"/>
  <c r="E38" i="165"/>
  <c r="G38" i="165" s="1"/>
  <c r="N37" i="165"/>
  <c r="E37" i="165"/>
  <c r="G37" i="165" s="1"/>
  <c r="E36" i="165"/>
  <c r="G36" i="165" s="1"/>
  <c r="E34" i="165"/>
  <c r="G34" i="165" s="1"/>
  <c r="F32" i="165"/>
  <c r="F41" i="165" s="1"/>
  <c r="E32" i="165"/>
  <c r="G32" i="165" s="1"/>
  <c r="G30" i="165"/>
  <c r="F50" i="165" s="1"/>
  <c r="J29" i="165"/>
  <c r="I29" i="165"/>
  <c r="H29" i="165"/>
  <c r="F29" i="165"/>
  <c r="E29" i="165"/>
  <c r="I28" i="165"/>
  <c r="H28" i="165"/>
  <c r="J28" i="165" s="1"/>
  <c r="F28" i="165"/>
  <c r="E28" i="165"/>
  <c r="G27" i="165"/>
  <c r="F27" i="165"/>
  <c r="E27" i="165"/>
  <c r="I26" i="165"/>
  <c r="H26" i="165"/>
  <c r="J26" i="165" s="1"/>
  <c r="E26" i="165"/>
  <c r="G22" i="165"/>
  <c r="I22" i="165" s="1"/>
  <c r="F22" i="165"/>
  <c r="E22" i="165"/>
  <c r="E23" i="165" s="1"/>
  <c r="G21" i="165"/>
  <c r="I21" i="165" s="1"/>
  <c r="F21" i="165"/>
  <c r="E21" i="165"/>
  <c r="I20" i="165"/>
  <c r="G20" i="165"/>
  <c r="H20" i="165" s="1"/>
  <c r="F20" i="165"/>
  <c r="E20" i="165"/>
  <c r="G18" i="165"/>
  <c r="I18" i="165" s="1"/>
  <c r="E18" i="165"/>
  <c r="T17" i="165"/>
  <c r="S17" i="165"/>
  <c r="R17" i="165"/>
  <c r="Q17" i="165"/>
  <c r="P17" i="165"/>
  <c r="O12" i="165"/>
  <c r="O17" i="165" s="1"/>
  <c r="F12" i="165"/>
  <c r="E12" i="165"/>
  <c r="G12" i="165" s="1"/>
  <c r="H12" i="165" s="1"/>
  <c r="I46" i="24"/>
  <c r="I264" i="161" l="1"/>
  <c r="G235" i="161"/>
  <c r="I235" i="161" s="1"/>
  <c r="G256" i="161"/>
  <c r="I256" i="161" s="1"/>
  <c r="G193" i="161"/>
  <c r="I193" i="161" s="1"/>
  <c r="G214" i="161"/>
  <c r="I214" i="161" s="1"/>
  <c r="G151" i="161"/>
  <c r="I151" i="161" s="1"/>
  <c r="G172" i="161"/>
  <c r="I172" i="161" s="1"/>
  <c r="G110" i="161"/>
  <c r="I110" i="161" s="1"/>
  <c r="G131" i="161"/>
  <c r="I131" i="161" s="1"/>
  <c r="G67" i="161"/>
  <c r="I67" i="161" s="1"/>
  <c r="G88" i="161"/>
  <c r="I88" i="161" s="1"/>
  <c r="G299" i="161"/>
  <c r="G46" i="161"/>
  <c r="I46" i="161" s="1"/>
  <c r="G255" i="161"/>
  <c r="I255" i="161" s="1"/>
  <c r="G276" i="161"/>
  <c r="I276" i="161" s="1"/>
  <c r="G213" i="161"/>
  <c r="I213" i="161" s="1"/>
  <c r="G234" i="161"/>
  <c r="I234" i="161" s="1"/>
  <c r="G171" i="161"/>
  <c r="I171" i="161" s="1"/>
  <c r="G192" i="161"/>
  <c r="I192" i="161" s="1"/>
  <c r="G130" i="161"/>
  <c r="I130" i="161" s="1"/>
  <c r="G150" i="161"/>
  <c r="I150" i="161" s="1"/>
  <c r="G87" i="161"/>
  <c r="I87" i="161" s="1"/>
  <c r="G109" i="161"/>
  <c r="I109" i="161" s="1"/>
  <c r="G45" i="161"/>
  <c r="I45" i="161" s="1"/>
  <c r="G66" i="161"/>
  <c r="I66" i="161" s="1"/>
  <c r="G275" i="161"/>
  <c r="I275" i="161" s="1"/>
  <c r="G297" i="161"/>
  <c r="G298" i="161"/>
  <c r="G254" i="161"/>
  <c r="I254" i="161" s="1"/>
  <c r="G233" i="161"/>
  <c r="I233" i="161" s="1"/>
  <c r="G212" i="161"/>
  <c r="I212" i="161" s="1"/>
  <c r="G191" i="161"/>
  <c r="I191" i="161" s="1"/>
  <c r="G170" i="161"/>
  <c r="I170" i="161" s="1"/>
  <c r="G149" i="161"/>
  <c r="I149" i="161" s="1"/>
  <c r="G108" i="161"/>
  <c r="I108" i="161" s="1"/>
  <c r="G129" i="161"/>
  <c r="I129" i="161" s="1"/>
  <c r="G65" i="161"/>
  <c r="I65" i="161" s="1"/>
  <c r="G86" i="161"/>
  <c r="I86" i="161" s="1"/>
  <c r="G296" i="161"/>
  <c r="G44" i="161"/>
  <c r="I44" i="161" s="1"/>
  <c r="G295" i="161"/>
  <c r="G294" i="161"/>
  <c r="G293" i="161"/>
  <c r="G272" i="161"/>
  <c r="I272" i="161" s="1"/>
  <c r="G274" i="161"/>
  <c r="I274" i="161" s="1"/>
  <c r="G273" i="161"/>
  <c r="I273" i="161" s="1"/>
  <c r="G251" i="161"/>
  <c r="I251" i="161" s="1"/>
  <c r="G253" i="161"/>
  <c r="I253" i="161" s="1"/>
  <c r="G252" i="161"/>
  <c r="I252" i="161" s="1"/>
  <c r="G232" i="161"/>
  <c r="I232" i="161" s="1"/>
  <c r="G231" i="161"/>
  <c r="I231" i="161" s="1"/>
  <c r="G230" i="161"/>
  <c r="I230" i="161" s="1"/>
  <c r="G209" i="161"/>
  <c r="I209" i="161" s="1"/>
  <c r="G211" i="161"/>
  <c r="I211" i="161" s="1"/>
  <c r="G210" i="161"/>
  <c r="I210" i="161" s="1"/>
  <c r="G188" i="161"/>
  <c r="I188" i="161" s="1"/>
  <c r="G190" i="161"/>
  <c r="I190" i="161" s="1"/>
  <c r="G189" i="161"/>
  <c r="I189" i="161" s="1"/>
  <c r="G167" i="161"/>
  <c r="I167" i="161" s="1"/>
  <c r="G169" i="161"/>
  <c r="I169" i="161" s="1"/>
  <c r="G168" i="161"/>
  <c r="I168" i="161" s="1"/>
  <c r="G146" i="161"/>
  <c r="I146" i="161" s="1"/>
  <c r="G148" i="161"/>
  <c r="I148" i="161" s="1"/>
  <c r="G147" i="161"/>
  <c r="I147" i="161" s="1"/>
  <c r="G126" i="161"/>
  <c r="I126" i="161" s="1"/>
  <c r="G128" i="161"/>
  <c r="I128" i="161" s="1"/>
  <c r="G127" i="161"/>
  <c r="I127" i="161" s="1"/>
  <c r="G105" i="161"/>
  <c r="I105" i="161" s="1"/>
  <c r="G107" i="161"/>
  <c r="I107" i="161" s="1"/>
  <c r="G106" i="161"/>
  <c r="I106" i="161" s="1"/>
  <c r="G84" i="161"/>
  <c r="I84" i="161" s="1"/>
  <c r="G83" i="161"/>
  <c r="I83" i="161" s="1"/>
  <c r="G85" i="161"/>
  <c r="I85" i="161" s="1"/>
  <c r="G62" i="161"/>
  <c r="I62" i="161" s="1"/>
  <c r="G64" i="161"/>
  <c r="I64" i="161" s="1"/>
  <c r="G63" i="161"/>
  <c r="I63" i="161" s="1"/>
  <c r="G43" i="161"/>
  <c r="I43" i="161" s="1"/>
  <c r="G42" i="161"/>
  <c r="I42" i="161" s="1"/>
  <c r="G41" i="161"/>
  <c r="I41" i="161" s="1"/>
  <c r="G291" i="161"/>
  <c r="G292" i="161"/>
  <c r="G103" i="161"/>
  <c r="I103" i="161" s="1"/>
  <c r="G104" i="161"/>
  <c r="I104" i="161" s="1"/>
  <c r="G61" i="161"/>
  <c r="I61" i="161" s="1"/>
  <c r="G82" i="161"/>
  <c r="I82" i="161" s="1"/>
  <c r="G39" i="161"/>
  <c r="I39" i="161" s="1"/>
  <c r="G40" i="161"/>
  <c r="I40" i="161" s="1"/>
  <c r="G269" i="161"/>
  <c r="I269" i="161" s="1"/>
  <c r="G270" i="161"/>
  <c r="I270" i="161" s="1"/>
  <c r="G248" i="161"/>
  <c r="I248" i="161" s="1"/>
  <c r="G249" i="161"/>
  <c r="I249" i="161" s="1"/>
  <c r="G227" i="161"/>
  <c r="I227" i="161" s="1"/>
  <c r="G228" i="161"/>
  <c r="I228" i="161" s="1"/>
  <c r="G206" i="161"/>
  <c r="I206" i="161" s="1"/>
  <c r="G207" i="161"/>
  <c r="I207" i="161" s="1"/>
  <c r="G185" i="161"/>
  <c r="I185" i="161" s="1"/>
  <c r="G186" i="161"/>
  <c r="I186" i="161" s="1"/>
  <c r="G164" i="161"/>
  <c r="I164" i="161" s="1"/>
  <c r="G165" i="161"/>
  <c r="I165" i="161" s="1"/>
  <c r="G143" i="161"/>
  <c r="I143" i="161" s="1"/>
  <c r="G144" i="161"/>
  <c r="I144" i="161" s="1"/>
  <c r="G123" i="161"/>
  <c r="I123" i="161" s="1"/>
  <c r="G124" i="161"/>
  <c r="I124" i="161" s="1"/>
  <c r="G79" i="161"/>
  <c r="I79" i="161" s="1"/>
  <c r="G81" i="161"/>
  <c r="I81" i="161" s="1"/>
  <c r="G58" i="161"/>
  <c r="I58" i="161" s="1"/>
  <c r="G60" i="161"/>
  <c r="I60" i="161" s="1"/>
  <c r="G80" i="161"/>
  <c r="I80" i="161" s="1"/>
  <c r="G289" i="161"/>
  <c r="G290" i="161"/>
  <c r="G101" i="161"/>
  <c r="I101" i="161" s="1"/>
  <c r="G102" i="161"/>
  <c r="I102" i="161" s="1"/>
  <c r="G38" i="161"/>
  <c r="I38" i="161" s="1"/>
  <c r="G59" i="161"/>
  <c r="I59" i="161" s="1"/>
  <c r="I20" i="159"/>
  <c r="G31" i="135"/>
  <c r="G267" i="161"/>
  <c r="I267" i="161" s="1"/>
  <c r="G268" i="161"/>
  <c r="I268" i="161" s="1"/>
  <c r="G245" i="161"/>
  <c r="I245" i="161" s="1"/>
  <c r="G247" i="161"/>
  <c r="I247" i="161" s="1"/>
  <c r="G246" i="161"/>
  <c r="I246" i="161" s="1"/>
  <c r="G226" i="161"/>
  <c r="I226" i="161" s="1"/>
  <c r="G225" i="161"/>
  <c r="I225" i="161" s="1"/>
  <c r="G205" i="161"/>
  <c r="I205" i="161" s="1"/>
  <c r="G204" i="161"/>
  <c r="I204" i="161" s="1"/>
  <c r="G183" i="161"/>
  <c r="I183" i="161" s="1"/>
  <c r="G184" i="161"/>
  <c r="I184" i="161" s="1"/>
  <c r="G162" i="161"/>
  <c r="I162" i="161" s="1"/>
  <c r="G163" i="161"/>
  <c r="I163" i="161" s="1"/>
  <c r="G141" i="161"/>
  <c r="I141" i="161" s="1"/>
  <c r="G142" i="161"/>
  <c r="I142" i="161" s="1"/>
  <c r="G122" i="161"/>
  <c r="I122" i="161" s="1"/>
  <c r="G121" i="161"/>
  <c r="I121" i="161" s="1"/>
  <c r="G99" i="161"/>
  <c r="I99" i="161" s="1"/>
  <c r="G100" i="161"/>
  <c r="I100" i="161" s="1"/>
  <c r="G77" i="161"/>
  <c r="I77" i="161" s="1"/>
  <c r="G78" i="161"/>
  <c r="I78" i="161" s="1"/>
  <c r="G56" i="161"/>
  <c r="I56" i="161" s="1"/>
  <c r="G57" i="161"/>
  <c r="I57" i="161" s="1"/>
  <c r="G37" i="161"/>
  <c r="I37" i="161" s="1"/>
  <c r="G36" i="161"/>
  <c r="I36" i="161" s="1"/>
  <c r="G223" i="161"/>
  <c r="I223" i="161" s="1"/>
  <c r="G224" i="161"/>
  <c r="I224" i="161" s="1"/>
  <c r="G222" i="161"/>
  <c r="I222" i="161" s="1"/>
  <c r="G119" i="161"/>
  <c r="I119" i="161" s="1"/>
  <c r="G120" i="161"/>
  <c r="I120" i="161" s="1"/>
  <c r="G202" i="161"/>
  <c r="I202" i="161" s="1"/>
  <c r="G203" i="161"/>
  <c r="I203" i="161" s="1"/>
  <c r="G263" i="161"/>
  <c r="I263" i="161" s="1"/>
  <c r="G266" i="161"/>
  <c r="I266" i="161" s="1"/>
  <c r="G139" i="161"/>
  <c r="I139" i="161" s="1"/>
  <c r="G140" i="161"/>
  <c r="I140" i="161" s="1"/>
  <c r="G160" i="161"/>
  <c r="I160" i="161" s="1"/>
  <c r="G161" i="161"/>
  <c r="I161" i="161" s="1"/>
  <c r="G181" i="161"/>
  <c r="I181" i="161" s="1"/>
  <c r="G182" i="161"/>
  <c r="I182" i="161" s="1"/>
  <c r="G286" i="161"/>
  <c r="G288" i="161"/>
  <c r="G287" i="161"/>
  <c r="H55" i="165"/>
  <c r="J55" i="165" s="1"/>
  <c r="I55" i="165"/>
  <c r="H34" i="165"/>
  <c r="I34" i="165"/>
  <c r="H38" i="165"/>
  <c r="J38" i="165" s="1"/>
  <c r="I38" i="165"/>
  <c r="I59" i="165"/>
  <c r="H59" i="165"/>
  <c r="J59" i="165" s="1"/>
  <c r="J20" i="165"/>
  <c r="I39" i="165"/>
  <c r="I54" i="165"/>
  <c r="J54" i="165" s="1"/>
  <c r="J71" i="165"/>
  <c r="J72" i="165"/>
  <c r="J82" i="165"/>
  <c r="H101" i="165"/>
  <c r="J101" i="165" s="1"/>
  <c r="H107" i="165"/>
  <c r="J107" i="165" s="1"/>
  <c r="H111" i="165"/>
  <c r="J111" i="165" s="1"/>
  <c r="H115" i="165"/>
  <c r="J115" i="165" s="1"/>
  <c r="H131" i="165"/>
  <c r="J131" i="165" s="1"/>
  <c r="J135" i="165"/>
  <c r="J165" i="165"/>
  <c r="E174" i="165"/>
  <c r="I183" i="165"/>
  <c r="F232" i="165"/>
  <c r="F234" i="165"/>
  <c r="F242" i="165"/>
  <c r="F256" i="165"/>
  <c r="E41" i="165"/>
  <c r="J103" i="165"/>
  <c r="F263" i="165"/>
  <c r="F293" i="165"/>
  <c r="G473" i="165"/>
  <c r="J183" i="165"/>
  <c r="J357" i="165"/>
  <c r="J358" i="165"/>
  <c r="F23" i="165"/>
  <c r="C209" i="165" s="1"/>
  <c r="H60" i="165"/>
  <c r="J60" i="165" s="1"/>
  <c r="J76" i="165"/>
  <c r="H109" i="165"/>
  <c r="J109" i="165" s="1"/>
  <c r="J136" i="165"/>
  <c r="J137" i="165"/>
  <c r="J143" i="165"/>
  <c r="H149" i="165"/>
  <c r="J151" i="165"/>
  <c r="H153" i="165"/>
  <c r="J153" i="165" s="1"/>
  <c r="J155" i="165"/>
  <c r="H157" i="165"/>
  <c r="J161" i="165"/>
  <c r="J169" i="165"/>
  <c r="I172" i="165"/>
  <c r="J172" i="165" s="1"/>
  <c r="I176" i="165"/>
  <c r="J176" i="165" s="1"/>
  <c r="I187" i="165"/>
  <c r="J187" i="165" s="1"/>
  <c r="F225" i="165"/>
  <c r="F235" i="165"/>
  <c r="F253" i="165"/>
  <c r="F274" i="165"/>
  <c r="G244" i="161"/>
  <c r="I244" i="161" s="1"/>
  <c r="G241" i="161"/>
  <c r="I241" i="161" s="1"/>
  <c r="C114" i="161"/>
  <c r="D305" i="161" s="1"/>
  <c r="G117" i="161"/>
  <c r="I117" i="161" s="1"/>
  <c r="G285" i="161"/>
  <c r="G201" i="161"/>
  <c r="I201" i="161" s="1"/>
  <c r="G55" i="161"/>
  <c r="I55" i="161" s="1"/>
  <c r="G54" i="161"/>
  <c r="I54" i="161" s="1"/>
  <c r="G53" i="161"/>
  <c r="I53" i="161" s="1"/>
  <c r="G52" i="161"/>
  <c r="I52" i="161" s="1"/>
  <c r="G34" i="161"/>
  <c r="I34" i="161" s="1"/>
  <c r="G35" i="161"/>
  <c r="I35" i="161" s="1"/>
  <c r="G32" i="161"/>
  <c r="G31" i="161"/>
  <c r="G33" i="161"/>
  <c r="I33" i="161" s="1"/>
  <c r="G76" i="161"/>
  <c r="I76" i="161" s="1"/>
  <c r="G75" i="161"/>
  <c r="I75" i="161" s="1"/>
  <c r="G73" i="161"/>
  <c r="I73" i="161" s="1"/>
  <c r="G74" i="161"/>
  <c r="I74" i="161" s="1"/>
  <c r="G98" i="161"/>
  <c r="I98" i="161" s="1"/>
  <c r="G97" i="161"/>
  <c r="I97" i="161" s="1"/>
  <c r="G96" i="161"/>
  <c r="I96" i="161" s="1"/>
  <c r="G95" i="161"/>
  <c r="I95" i="161" s="1"/>
  <c r="G138" i="161"/>
  <c r="I138" i="161" s="1"/>
  <c r="G116" i="161"/>
  <c r="I116" i="161" s="1"/>
  <c r="G137" i="161"/>
  <c r="I137" i="161" s="1"/>
  <c r="G159" i="161"/>
  <c r="I159" i="161" s="1"/>
  <c r="G178" i="161"/>
  <c r="I178" i="161" s="1"/>
  <c r="G200" i="161"/>
  <c r="I200" i="161" s="1"/>
  <c r="G284" i="161"/>
  <c r="G179" i="161"/>
  <c r="I179" i="161" s="1"/>
  <c r="G265" i="161"/>
  <c r="I265" i="161" s="1"/>
  <c r="G264" i="161"/>
  <c r="G136" i="161"/>
  <c r="I136" i="161" s="1"/>
  <c r="G158" i="161"/>
  <c r="I158" i="161" s="1"/>
  <c r="G199" i="161"/>
  <c r="I199" i="161" s="1"/>
  <c r="G221" i="161"/>
  <c r="I221" i="161" s="1"/>
  <c r="G243" i="161"/>
  <c r="I243" i="161" s="1"/>
  <c r="G283" i="161"/>
  <c r="G118" i="161"/>
  <c r="I118" i="161" s="1"/>
  <c r="G157" i="161"/>
  <c r="I157" i="161" s="1"/>
  <c r="G180" i="161"/>
  <c r="I180" i="161" s="1"/>
  <c r="G220" i="161"/>
  <c r="I220" i="161" s="1"/>
  <c r="G242" i="161"/>
  <c r="I242" i="161" s="1"/>
  <c r="G262" i="161"/>
  <c r="I262" i="161" s="1"/>
  <c r="I58" i="154"/>
  <c r="D87" i="166"/>
  <c r="D146" i="166"/>
  <c r="I60" i="170"/>
  <c r="F138" i="166"/>
  <c r="H138" i="166" s="1"/>
  <c r="F134" i="166"/>
  <c r="H134" i="166" s="1"/>
  <c r="F133" i="166"/>
  <c r="H133" i="166" s="1"/>
  <c r="F131" i="166"/>
  <c r="H131" i="166" s="1"/>
  <c r="F130" i="166"/>
  <c r="H130" i="166" s="1"/>
  <c r="F129" i="166"/>
  <c r="H129" i="166" s="1"/>
  <c r="F127" i="166"/>
  <c r="H127" i="166" s="1"/>
  <c r="F126" i="166"/>
  <c r="H126" i="166" s="1"/>
  <c r="F125" i="166"/>
  <c r="H125" i="166" s="1"/>
  <c r="F123" i="166"/>
  <c r="H123" i="166" s="1"/>
  <c r="F122" i="166"/>
  <c r="H122" i="166" s="1"/>
  <c r="F121" i="166"/>
  <c r="H121" i="166" s="1"/>
  <c r="F119" i="166"/>
  <c r="H119" i="166" s="1"/>
  <c r="F118" i="166"/>
  <c r="H118" i="166" s="1"/>
  <c r="F117" i="166"/>
  <c r="H117" i="166" s="1"/>
  <c r="F115" i="166"/>
  <c r="H115" i="166" s="1"/>
  <c r="F114" i="166"/>
  <c r="H114" i="166" s="1"/>
  <c r="F113" i="166"/>
  <c r="H113" i="166" s="1"/>
  <c r="F111" i="166"/>
  <c r="H111" i="166" s="1"/>
  <c r="F110" i="166"/>
  <c r="H110" i="166" s="1"/>
  <c r="F109" i="166"/>
  <c r="H109" i="166" s="1"/>
  <c r="F108" i="166"/>
  <c r="H108" i="166" s="1"/>
  <c r="F107" i="166"/>
  <c r="H107" i="166" s="1"/>
  <c r="F106" i="166"/>
  <c r="H106" i="166" s="1"/>
  <c r="F105" i="166"/>
  <c r="H105" i="166" s="1"/>
  <c r="F104" i="166"/>
  <c r="H104" i="166" s="1"/>
  <c r="F103" i="166"/>
  <c r="H103" i="166" s="1"/>
  <c r="F102" i="166"/>
  <c r="H102" i="166" s="1"/>
  <c r="F101" i="166"/>
  <c r="H101" i="166" s="1"/>
  <c r="F100" i="166"/>
  <c r="H100" i="166" s="1"/>
  <c r="F99" i="166"/>
  <c r="H99" i="166" s="1"/>
  <c r="F98" i="166"/>
  <c r="H98" i="166" s="1"/>
  <c r="F97" i="166"/>
  <c r="H97" i="166" s="1"/>
  <c r="F96" i="166"/>
  <c r="H96" i="166" s="1"/>
  <c r="F137" i="166"/>
  <c r="H137" i="166" s="1"/>
  <c r="F93" i="166"/>
  <c r="H93" i="166" s="1"/>
  <c r="F92" i="166"/>
  <c r="H92" i="166" s="1"/>
  <c r="F91" i="166"/>
  <c r="H91" i="166" s="1"/>
  <c r="F90" i="166"/>
  <c r="H90" i="166" s="1"/>
  <c r="F89" i="166"/>
  <c r="H89" i="166" s="1"/>
  <c r="F140" i="166"/>
  <c r="H140" i="166" s="1"/>
  <c r="F136" i="166"/>
  <c r="H136" i="166" s="1"/>
  <c r="F94" i="166"/>
  <c r="H94" i="166" s="1"/>
  <c r="F139" i="166"/>
  <c r="H139" i="166" s="1"/>
  <c r="F135" i="166"/>
  <c r="H135" i="166" s="1"/>
  <c r="F95" i="166"/>
  <c r="H95" i="166" s="1"/>
  <c r="C165" i="166"/>
  <c r="E219" i="120"/>
  <c r="G219" i="120"/>
  <c r="F294" i="165"/>
  <c r="F296" i="165" s="1"/>
  <c r="F295" i="165"/>
  <c r="F265" i="165"/>
  <c r="F254" i="165"/>
  <c r="F243" i="165"/>
  <c r="F223" i="165"/>
  <c r="I65" i="165"/>
  <c r="H65" i="165"/>
  <c r="C215" i="165"/>
  <c r="F215" i="165" s="1"/>
  <c r="C212" i="165"/>
  <c r="C214" i="165"/>
  <c r="F214" i="165" s="1"/>
  <c r="E89" i="165"/>
  <c r="I27" i="165"/>
  <c r="H27" i="165"/>
  <c r="H37" i="165"/>
  <c r="I37" i="165"/>
  <c r="H46" i="165"/>
  <c r="J46" i="165" s="1"/>
  <c r="H56" i="165"/>
  <c r="J56" i="165" s="1"/>
  <c r="I87" i="165"/>
  <c r="H87" i="165"/>
  <c r="C199" i="165"/>
  <c r="F14" i="165"/>
  <c r="G14" i="165" s="1"/>
  <c r="H21" i="165"/>
  <c r="J21" i="165" s="1"/>
  <c r="J39" i="165"/>
  <c r="I40" i="165"/>
  <c r="H40" i="165"/>
  <c r="J40" i="165" s="1"/>
  <c r="J44" i="165"/>
  <c r="H45" i="165"/>
  <c r="J45" i="165" s="1"/>
  <c r="I49" i="165"/>
  <c r="H49" i="165"/>
  <c r="J49" i="165" s="1"/>
  <c r="I95" i="165"/>
  <c r="H95" i="165"/>
  <c r="H98" i="165"/>
  <c r="I98" i="165"/>
  <c r="J105" i="165"/>
  <c r="H108" i="165"/>
  <c r="I108" i="165"/>
  <c r="E69" i="165"/>
  <c r="H86" i="165"/>
  <c r="I86" i="165"/>
  <c r="H96" i="165"/>
  <c r="I96" i="165"/>
  <c r="H106" i="165"/>
  <c r="I106" i="165"/>
  <c r="I130" i="165"/>
  <c r="H130" i="165"/>
  <c r="H18" i="165"/>
  <c r="J18" i="165" s="1"/>
  <c r="I32" i="165"/>
  <c r="H32" i="165"/>
  <c r="J32" i="165" s="1"/>
  <c r="H62" i="165"/>
  <c r="J62" i="165" s="1"/>
  <c r="H67" i="165"/>
  <c r="J67" i="165" s="1"/>
  <c r="H92" i="165"/>
  <c r="I92" i="165"/>
  <c r="I12" i="165"/>
  <c r="J12" i="165" s="1"/>
  <c r="I36" i="165"/>
  <c r="H36" i="165"/>
  <c r="J47" i="165"/>
  <c r="I64" i="165"/>
  <c r="H64" i="165"/>
  <c r="H66" i="165"/>
  <c r="I66" i="165"/>
  <c r="I68" i="165"/>
  <c r="H68" i="165"/>
  <c r="J75" i="165"/>
  <c r="I85" i="165"/>
  <c r="H85" i="165"/>
  <c r="G91" i="165"/>
  <c r="E97" i="165"/>
  <c r="E57" i="165"/>
  <c r="H88" i="165"/>
  <c r="J88" i="165" s="1"/>
  <c r="J129" i="165"/>
  <c r="I102" i="165"/>
  <c r="J102" i="165" s="1"/>
  <c r="I104" i="165"/>
  <c r="J104" i="165" s="1"/>
  <c r="I117" i="165"/>
  <c r="J117" i="165" s="1"/>
  <c r="J118" i="165" s="1"/>
  <c r="E132" i="165"/>
  <c r="J121" i="165"/>
  <c r="J125" i="165"/>
  <c r="H22" i="165"/>
  <c r="J22" i="165" s="1"/>
  <c r="E61" i="165"/>
  <c r="J79" i="165"/>
  <c r="I90" i="165"/>
  <c r="J90" i="165" s="1"/>
  <c r="H93" i="165"/>
  <c r="J93" i="165" s="1"/>
  <c r="I94" i="165"/>
  <c r="J94" i="165" s="1"/>
  <c r="J110" i="165"/>
  <c r="J112" i="165"/>
  <c r="I186" i="165"/>
  <c r="H186" i="165"/>
  <c r="C273" i="165"/>
  <c r="F273" i="165" s="1"/>
  <c r="F272" i="165"/>
  <c r="E158" i="165"/>
  <c r="I150" i="165"/>
  <c r="H150" i="165"/>
  <c r="J150" i="165" s="1"/>
  <c r="J156" i="165"/>
  <c r="J157" i="165"/>
  <c r="J160" i="165"/>
  <c r="J168" i="165"/>
  <c r="J173" i="165"/>
  <c r="I182" i="165"/>
  <c r="H182" i="165"/>
  <c r="C233" i="165"/>
  <c r="F233" i="165" s="1"/>
  <c r="F255" i="165"/>
  <c r="I154" i="165"/>
  <c r="H154" i="165"/>
  <c r="C480" i="165"/>
  <c r="D477" i="165"/>
  <c r="J148" i="165"/>
  <c r="J149" i="165"/>
  <c r="J164" i="165"/>
  <c r="F284" i="165"/>
  <c r="F286" i="165" s="1"/>
  <c r="F222" i="165"/>
  <c r="F226" i="165" s="1"/>
  <c r="F262" i="165"/>
  <c r="F266" i="165" s="1"/>
  <c r="K51" i="24"/>
  <c r="C50" i="24"/>
  <c r="I278" i="161" l="1"/>
  <c r="I257" i="161"/>
  <c r="I236" i="161"/>
  <c r="I215" i="161"/>
  <c r="I194" i="161"/>
  <c r="I173" i="161"/>
  <c r="I152" i="161"/>
  <c r="I132" i="161"/>
  <c r="I111" i="161"/>
  <c r="I89" i="161"/>
  <c r="I68" i="161"/>
  <c r="J359" i="165"/>
  <c r="J146" i="165"/>
  <c r="J178" i="165"/>
  <c r="F276" i="165"/>
  <c r="J130" i="165"/>
  <c r="J87" i="165"/>
  <c r="J65" i="165"/>
  <c r="F246" i="165"/>
  <c r="J34" i="165"/>
  <c r="J154" i="165"/>
  <c r="J36" i="165"/>
  <c r="J95" i="165"/>
  <c r="F236" i="165"/>
  <c r="E61" i="170"/>
  <c r="F112" i="166"/>
  <c r="H112" i="166" s="1"/>
  <c r="F116" i="166"/>
  <c r="H116" i="166" s="1"/>
  <c r="F120" i="166"/>
  <c r="H120" i="166" s="1"/>
  <c r="F124" i="166"/>
  <c r="H124" i="166" s="1"/>
  <c r="F128" i="166"/>
  <c r="H128" i="166" s="1"/>
  <c r="F132" i="166"/>
  <c r="H132" i="166" s="1"/>
  <c r="J50" i="165"/>
  <c r="J66" i="165"/>
  <c r="J92" i="165"/>
  <c r="I91" i="165"/>
  <c r="H91" i="165"/>
  <c r="J91" i="165" s="1"/>
  <c r="J68" i="165"/>
  <c r="J64" i="165"/>
  <c r="J108" i="165"/>
  <c r="I14" i="165"/>
  <c r="H14" i="165"/>
  <c r="J37" i="165"/>
  <c r="C213" i="165"/>
  <c r="F213" i="165" s="1"/>
  <c r="F212" i="165"/>
  <c r="F216" i="165" s="1"/>
  <c r="J96" i="165"/>
  <c r="J98" i="165"/>
  <c r="J182" i="165"/>
  <c r="J170" i="165"/>
  <c r="J186" i="165"/>
  <c r="J85" i="165"/>
  <c r="J106" i="165"/>
  <c r="J86" i="165"/>
  <c r="C204" i="165"/>
  <c r="F204" i="165" s="1"/>
  <c r="C205" i="165"/>
  <c r="F205" i="165" s="1"/>
  <c r="C202" i="165"/>
  <c r="J27" i="165"/>
  <c r="J30" i="165" s="1"/>
  <c r="D37" i="164"/>
  <c r="D36" i="164"/>
  <c r="D35" i="164"/>
  <c r="I33" i="164"/>
  <c r="I12" i="164"/>
  <c r="H32" i="164"/>
  <c r="G32" i="164"/>
  <c r="F32" i="164"/>
  <c r="I32" i="164" s="1"/>
  <c r="E32" i="164"/>
  <c r="H31" i="164"/>
  <c r="G31" i="164"/>
  <c r="E31" i="164"/>
  <c r="F31" i="164" s="1"/>
  <c r="I31" i="164" s="1"/>
  <c r="H30" i="164"/>
  <c r="G30" i="164"/>
  <c r="E30" i="164"/>
  <c r="F30" i="164" s="1"/>
  <c r="I30" i="164" s="1"/>
  <c r="H29" i="164"/>
  <c r="G29" i="164"/>
  <c r="E29" i="164"/>
  <c r="F29" i="164" s="1"/>
  <c r="I29" i="164" s="1"/>
  <c r="H28" i="164"/>
  <c r="G28" i="164"/>
  <c r="F28" i="164"/>
  <c r="I28" i="164" s="1"/>
  <c r="E28" i="164"/>
  <c r="H27" i="164"/>
  <c r="G27" i="164"/>
  <c r="E27" i="164"/>
  <c r="F27" i="164" s="1"/>
  <c r="I27" i="164" s="1"/>
  <c r="H26" i="164"/>
  <c r="G26" i="164"/>
  <c r="E26" i="164"/>
  <c r="F26" i="164" s="1"/>
  <c r="I26" i="164" s="1"/>
  <c r="H25" i="164"/>
  <c r="G25" i="164"/>
  <c r="E25" i="164"/>
  <c r="F25" i="164" s="1"/>
  <c r="I25" i="164" s="1"/>
  <c r="H24" i="164"/>
  <c r="G24" i="164"/>
  <c r="F24" i="164"/>
  <c r="I24" i="164" s="1"/>
  <c r="E24" i="164"/>
  <c r="H23" i="164"/>
  <c r="G23" i="164"/>
  <c r="E23" i="164"/>
  <c r="F23" i="164" s="1"/>
  <c r="I23" i="164" s="1"/>
  <c r="H22" i="164"/>
  <c r="G22" i="164"/>
  <c r="F22" i="164"/>
  <c r="I22" i="164" s="1"/>
  <c r="H21" i="164"/>
  <c r="G21" i="164"/>
  <c r="F21" i="164"/>
  <c r="I21" i="164" s="1"/>
  <c r="H20" i="164"/>
  <c r="G20" i="164"/>
  <c r="F20" i="164"/>
  <c r="I20" i="164" s="1"/>
  <c r="H19" i="164"/>
  <c r="G19" i="164"/>
  <c r="F19" i="164"/>
  <c r="I19" i="164" s="1"/>
  <c r="H18" i="164"/>
  <c r="G18" i="164"/>
  <c r="F18" i="164"/>
  <c r="I18" i="164" s="1"/>
  <c r="H17" i="164"/>
  <c r="G17" i="164"/>
  <c r="F17" i="164"/>
  <c r="I17" i="164" s="1"/>
  <c r="H16" i="164"/>
  <c r="G16" i="164"/>
  <c r="F16" i="164"/>
  <c r="I16" i="164" s="1"/>
  <c r="H15" i="164"/>
  <c r="G15" i="164"/>
  <c r="F15" i="164"/>
  <c r="I15" i="164" s="1"/>
  <c r="H14" i="164"/>
  <c r="G14" i="164"/>
  <c r="F14" i="164"/>
  <c r="I14" i="164" s="1"/>
  <c r="H13" i="164"/>
  <c r="G13" i="164"/>
  <c r="F13" i="164"/>
  <c r="I13" i="164" s="1"/>
  <c r="H12" i="164"/>
  <c r="G12" i="164"/>
  <c r="F12" i="164"/>
  <c r="J113" i="165" l="1"/>
  <c r="J83" i="165"/>
  <c r="J188" i="165"/>
  <c r="J14" i="165"/>
  <c r="J15" i="165" s="1"/>
  <c r="J192" i="165"/>
  <c r="D147" i="166"/>
  <c r="I61" i="170"/>
  <c r="E62" i="170" s="1"/>
  <c r="J191" i="165"/>
  <c r="J193" i="165" s="1"/>
  <c r="J195" i="165" s="1"/>
  <c r="C203" i="165"/>
  <c r="F203" i="165" s="1"/>
  <c r="F202" i="165"/>
  <c r="F206" i="165" s="1"/>
  <c r="F297" i="165" s="1"/>
  <c r="D108" i="162"/>
  <c r="C108" i="163"/>
  <c r="H104" i="163"/>
  <c r="B72" i="163"/>
  <c r="E69" i="163"/>
  <c r="E67" i="163"/>
  <c r="E57" i="163"/>
  <c r="E37" i="163"/>
  <c r="D62" i="163"/>
  <c r="E62" i="163" s="1"/>
  <c r="D63" i="163"/>
  <c r="E63" i="163" s="1"/>
  <c r="D64" i="163"/>
  <c r="E64" i="163" s="1"/>
  <c r="D65" i="163"/>
  <c r="E65" i="163" s="1"/>
  <c r="D66" i="163"/>
  <c r="E66" i="163" s="1"/>
  <c r="D52" i="163"/>
  <c r="E52" i="163" s="1"/>
  <c r="D53" i="163"/>
  <c r="E53" i="163" s="1"/>
  <c r="D54" i="163"/>
  <c r="E54" i="163" s="1"/>
  <c r="D55" i="163"/>
  <c r="E55" i="163" s="1"/>
  <c r="D56" i="163"/>
  <c r="E56" i="163" s="1"/>
  <c r="F103" i="163"/>
  <c r="G103" i="163" s="1"/>
  <c r="F102" i="163"/>
  <c r="G102" i="163" s="1"/>
  <c r="F101" i="163"/>
  <c r="G101" i="163" s="1"/>
  <c r="F100" i="163"/>
  <c r="G100" i="163" s="1"/>
  <c r="F99" i="163"/>
  <c r="G99" i="163" s="1"/>
  <c r="F98" i="163"/>
  <c r="G98" i="163" s="1"/>
  <c r="F97" i="163"/>
  <c r="G97" i="163" s="1"/>
  <c r="F96" i="163"/>
  <c r="G96" i="163" s="1"/>
  <c r="F95" i="163"/>
  <c r="G95" i="163" s="1"/>
  <c r="F94" i="163"/>
  <c r="G94" i="163" s="1"/>
  <c r="F93" i="163"/>
  <c r="G93" i="163" s="1"/>
  <c r="F92" i="163"/>
  <c r="G92" i="163" s="1"/>
  <c r="F91" i="163"/>
  <c r="G91" i="163" s="1"/>
  <c r="F90" i="163"/>
  <c r="G90" i="163" s="1"/>
  <c r="F89" i="163"/>
  <c r="G89" i="163" s="1"/>
  <c r="F88" i="163"/>
  <c r="G88" i="163" s="1"/>
  <c r="F87" i="163"/>
  <c r="G87" i="163" s="1"/>
  <c r="F86" i="163"/>
  <c r="G86" i="163" s="1"/>
  <c r="F85" i="163"/>
  <c r="G85" i="163" s="1"/>
  <c r="F84" i="163"/>
  <c r="G84" i="163" s="1"/>
  <c r="F83" i="163"/>
  <c r="G83" i="163" s="1"/>
  <c r="F82" i="163"/>
  <c r="G82" i="163" s="1"/>
  <c r="F81" i="163"/>
  <c r="G81" i="163" s="1"/>
  <c r="F80" i="163"/>
  <c r="G80" i="163" s="1"/>
  <c r="C80" i="163"/>
  <c r="F79" i="163"/>
  <c r="G79" i="163" s="1"/>
  <c r="C79" i="163"/>
  <c r="F78" i="163"/>
  <c r="G78" i="163" s="1"/>
  <c r="C78" i="163"/>
  <c r="F77" i="163"/>
  <c r="G77" i="163" s="1"/>
  <c r="C77" i="163"/>
  <c r="F76" i="163"/>
  <c r="G76" i="163" s="1"/>
  <c r="C76" i="163"/>
  <c r="F75" i="163"/>
  <c r="G75" i="163" s="1"/>
  <c r="C75" i="163"/>
  <c r="F74" i="163"/>
  <c r="G74" i="163" s="1"/>
  <c r="C74" i="163"/>
  <c r="B71" i="163"/>
  <c r="D61" i="163"/>
  <c r="D51" i="163"/>
  <c r="B51" i="163"/>
  <c r="D50" i="163"/>
  <c r="B50" i="163"/>
  <c r="D49" i="163"/>
  <c r="B49" i="163"/>
  <c r="D48" i="163"/>
  <c r="B48" i="163"/>
  <c r="D47" i="163"/>
  <c r="B47" i="163"/>
  <c r="D46" i="163"/>
  <c r="B46" i="163"/>
  <c r="D45" i="163"/>
  <c r="B45" i="163"/>
  <c r="D44" i="163"/>
  <c r="B44" i="163"/>
  <c r="D43" i="163"/>
  <c r="B43" i="163"/>
  <c r="D42" i="163"/>
  <c r="B42" i="163"/>
  <c r="D41" i="163"/>
  <c r="B41" i="163"/>
  <c r="D40" i="163"/>
  <c r="B40" i="163"/>
  <c r="D36" i="163"/>
  <c r="B32" i="163"/>
  <c r="B25" i="163"/>
  <c r="B23" i="163"/>
  <c r="B17" i="163"/>
  <c r="C10" i="163"/>
  <c r="B16" i="163" s="1"/>
  <c r="B10" i="163"/>
  <c r="B61" i="163" s="1"/>
  <c r="F57" i="43"/>
  <c r="H105" i="162"/>
  <c r="F54" i="162"/>
  <c r="E63" i="162"/>
  <c r="F63" i="162" s="1"/>
  <c r="E64" i="162"/>
  <c r="F64" i="162" s="1"/>
  <c r="E65" i="162"/>
  <c r="F65" i="162" s="1"/>
  <c r="E66" i="162"/>
  <c r="F66" i="162"/>
  <c r="E67" i="162"/>
  <c r="F67" i="162" s="1"/>
  <c r="E68" i="162"/>
  <c r="F68" i="162"/>
  <c r="C71" i="162"/>
  <c r="E53" i="162"/>
  <c r="F53" i="162" s="1"/>
  <c r="E54" i="162"/>
  <c r="E55" i="162"/>
  <c r="F55" i="162" s="1"/>
  <c r="E56" i="162"/>
  <c r="F56" i="162" s="1"/>
  <c r="E57" i="162"/>
  <c r="F57" i="162" s="1"/>
  <c r="E58" i="162"/>
  <c r="F58" i="162" s="1"/>
  <c r="C57" i="119"/>
  <c r="C49" i="119"/>
  <c r="C48" i="119"/>
  <c r="C47" i="119"/>
  <c r="C46" i="119"/>
  <c r="C35" i="119"/>
  <c r="C26" i="119"/>
  <c r="J150" i="166" l="1"/>
  <c r="C166" i="166"/>
  <c r="C167" i="166" s="1"/>
  <c r="P156" i="166"/>
  <c r="Q156" i="166" s="1"/>
  <c r="I62" i="170"/>
  <c r="E63" i="170" s="1"/>
  <c r="I164" i="166"/>
  <c r="C168" i="166"/>
  <c r="C169" i="166"/>
  <c r="Q157" i="166"/>
  <c r="F340" i="165"/>
  <c r="H340" i="165" s="1"/>
  <c r="F336" i="165"/>
  <c r="H336" i="165" s="1"/>
  <c r="F339" i="165"/>
  <c r="H339" i="165" s="1"/>
  <c r="F335" i="165"/>
  <c r="H335" i="165" s="1"/>
  <c r="F334" i="165"/>
  <c r="H334" i="165" s="1"/>
  <c r="F333" i="165"/>
  <c r="H333" i="165" s="1"/>
  <c r="F332" i="165"/>
  <c r="H332" i="165" s="1"/>
  <c r="F331" i="165"/>
  <c r="H331" i="165" s="1"/>
  <c r="F330" i="165"/>
  <c r="H330" i="165" s="1"/>
  <c r="F329" i="165"/>
  <c r="H329" i="165" s="1"/>
  <c r="F328" i="165"/>
  <c r="H328" i="165" s="1"/>
  <c r="F327" i="165"/>
  <c r="H327" i="165" s="1"/>
  <c r="F326" i="165"/>
  <c r="H326" i="165" s="1"/>
  <c r="F325" i="165"/>
  <c r="H325" i="165" s="1"/>
  <c r="F324" i="165"/>
  <c r="H324" i="165" s="1"/>
  <c r="F323" i="165"/>
  <c r="H323" i="165" s="1"/>
  <c r="F322" i="165"/>
  <c r="H322" i="165" s="1"/>
  <c r="F321" i="165"/>
  <c r="H321" i="165" s="1"/>
  <c r="F320" i="165"/>
  <c r="H320" i="165" s="1"/>
  <c r="F319" i="165"/>
  <c r="H319" i="165" s="1"/>
  <c r="F318" i="165"/>
  <c r="H318" i="165" s="1"/>
  <c r="F317" i="165"/>
  <c r="H317" i="165" s="1"/>
  <c r="F316" i="165"/>
  <c r="H316" i="165" s="1"/>
  <c r="F315" i="165"/>
  <c r="H315" i="165" s="1"/>
  <c r="F314" i="165"/>
  <c r="H314" i="165" s="1"/>
  <c r="F313" i="165"/>
  <c r="H313" i="165" s="1"/>
  <c r="F312" i="165"/>
  <c r="H312" i="165" s="1"/>
  <c r="F311" i="165"/>
  <c r="H311" i="165" s="1"/>
  <c r="F310" i="165"/>
  <c r="H310" i="165" s="1"/>
  <c r="F309" i="165"/>
  <c r="H309" i="165" s="1"/>
  <c r="F308" i="165"/>
  <c r="H308" i="165" s="1"/>
  <c r="F305" i="165"/>
  <c r="H305" i="165" s="1"/>
  <c r="F304" i="165"/>
  <c r="H304" i="165" s="1"/>
  <c r="F303" i="165"/>
  <c r="H303" i="165" s="1"/>
  <c r="F302" i="165"/>
  <c r="H302" i="165" s="1"/>
  <c r="C347" i="165"/>
  <c r="F338" i="165"/>
  <c r="H338" i="165" s="1"/>
  <c r="F341" i="165"/>
  <c r="H341" i="165" s="1"/>
  <c r="F337" i="165"/>
  <c r="H337" i="165" s="1"/>
  <c r="E61" i="163"/>
  <c r="E45" i="163"/>
  <c r="E40" i="163"/>
  <c r="E44" i="163"/>
  <c r="E46" i="163"/>
  <c r="E48" i="163"/>
  <c r="E41" i="163"/>
  <c r="E43" i="163"/>
  <c r="B22" i="163"/>
  <c r="E50" i="163"/>
  <c r="E47" i="163"/>
  <c r="E42" i="163"/>
  <c r="E49" i="163"/>
  <c r="E51" i="163"/>
  <c r="B24" i="163"/>
  <c r="B21" i="163"/>
  <c r="E37" i="162"/>
  <c r="D10" i="162"/>
  <c r="E12" i="162" s="1"/>
  <c r="F12" i="162" s="1"/>
  <c r="C10" i="162"/>
  <c r="C24" i="162" s="1"/>
  <c r="G104" i="162"/>
  <c r="D104" i="162"/>
  <c r="E104" i="162" s="1"/>
  <c r="G103" i="162"/>
  <c r="D103" i="162"/>
  <c r="E103" i="162" s="1"/>
  <c r="G102" i="162"/>
  <c r="D102" i="162"/>
  <c r="E102" i="162" s="1"/>
  <c r="G101" i="162"/>
  <c r="D101" i="162"/>
  <c r="E101" i="162" s="1"/>
  <c r="G100" i="162"/>
  <c r="D100" i="162"/>
  <c r="E100" i="162" s="1"/>
  <c r="G99" i="162"/>
  <c r="D99" i="162"/>
  <c r="E99" i="162" s="1"/>
  <c r="G98" i="162"/>
  <c r="E98" i="162"/>
  <c r="G97" i="162"/>
  <c r="E97" i="162"/>
  <c r="G96" i="162"/>
  <c r="E96" i="162"/>
  <c r="G95" i="162"/>
  <c r="E95" i="162"/>
  <c r="G94" i="162"/>
  <c r="E94" i="162"/>
  <c r="G93" i="162"/>
  <c r="E93" i="162"/>
  <c r="G92" i="162"/>
  <c r="E92" i="162"/>
  <c r="G91" i="162"/>
  <c r="E91" i="162"/>
  <c r="G90" i="162"/>
  <c r="E90" i="162"/>
  <c r="G89" i="162"/>
  <c r="E89" i="162"/>
  <c r="G88" i="162"/>
  <c r="E88" i="162"/>
  <c r="G87" i="162"/>
  <c r="E87" i="162"/>
  <c r="G86" i="162"/>
  <c r="E86" i="162"/>
  <c r="G85" i="162"/>
  <c r="E85" i="162"/>
  <c r="G84" i="162"/>
  <c r="E84" i="162"/>
  <c r="G83" i="162"/>
  <c r="E83" i="162"/>
  <c r="G82" i="162"/>
  <c r="E82" i="162"/>
  <c r="G81" i="162"/>
  <c r="E81" i="162"/>
  <c r="G80" i="162"/>
  <c r="E80" i="162"/>
  <c r="G79" i="162"/>
  <c r="E79" i="162"/>
  <c r="G78" i="162"/>
  <c r="E78" i="162"/>
  <c r="G77" i="162"/>
  <c r="E77" i="162"/>
  <c r="G76" i="162"/>
  <c r="E76" i="162"/>
  <c r="G75" i="162"/>
  <c r="E62" i="162"/>
  <c r="E52" i="162"/>
  <c r="E51" i="162"/>
  <c r="E50" i="162"/>
  <c r="E49" i="162"/>
  <c r="E48" i="162"/>
  <c r="E47" i="162"/>
  <c r="E46" i="162"/>
  <c r="E45" i="162"/>
  <c r="E44" i="162"/>
  <c r="E43" i="162"/>
  <c r="E42" i="162"/>
  <c r="E41" i="162"/>
  <c r="C41" i="162"/>
  <c r="F41" i="162" s="1"/>
  <c r="C33" i="162"/>
  <c r="M3" i="162"/>
  <c r="N3" i="162" s="1"/>
  <c r="G127" i="125"/>
  <c r="I63" i="170" l="1"/>
  <c r="E64" i="170" s="1"/>
  <c r="Q158" i="166"/>
  <c r="H342" i="165"/>
  <c r="H343" i="165" s="1"/>
  <c r="E36" i="163"/>
  <c r="B26" i="163"/>
  <c r="B18" i="163"/>
  <c r="C45" i="162"/>
  <c r="F45" i="162" s="1"/>
  <c r="C37" i="162"/>
  <c r="F37" i="162"/>
  <c r="F38" i="162" s="1"/>
  <c r="C13" i="162"/>
  <c r="C14" i="162" s="1"/>
  <c r="E14" i="162"/>
  <c r="E15" i="162"/>
  <c r="E22" i="162"/>
  <c r="C26" i="162"/>
  <c r="E25" i="162"/>
  <c r="C49" i="162"/>
  <c r="F49" i="162" s="1"/>
  <c r="C50" i="162"/>
  <c r="F50" i="162" s="1"/>
  <c r="E13" i="162"/>
  <c r="C22" i="162"/>
  <c r="C15" i="162"/>
  <c r="C44" i="162"/>
  <c r="F44" i="162" s="1"/>
  <c r="C48" i="162"/>
  <c r="F48" i="162" s="1"/>
  <c r="E24" i="162"/>
  <c r="C52" i="162"/>
  <c r="F52" i="162" s="1"/>
  <c r="C62" i="162"/>
  <c r="F62" i="162" s="1"/>
  <c r="F69" i="162" s="1"/>
  <c r="C17" i="162"/>
  <c r="E23" i="162"/>
  <c r="C27" i="162" s="1"/>
  <c r="C43" i="162"/>
  <c r="F43" i="162" s="1"/>
  <c r="C47" i="162"/>
  <c r="F47" i="162" s="1"/>
  <c r="C51" i="162"/>
  <c r="F51" i="162" s="1"/>
  <c r="C42" i="162"/>
  <c r="F42" i="162" s="1"/>
  <c r="F59" i="162" s="1"/>
  <c r="C46" i="162"/>
  <c r="F46" i="162" s="1"/>
  <c r="F53" i="43"/>
  <c r="C28" i="43"/>
  <c r="F38" i="43"/>
  <c r="E22" i="43"/>
  <c r="C163" i="125"/>
  <c r="C160" i="125"/>
  <c r="C18" i="43"/>
  <c r="C23" i="43"/>
  <c r="C24" i="43"/>
  <c r="C25" i="43"/>
  <c r="C26" i="43"/>
  <c r="C27" i="43"/>
  <c r="C161" i="125"/>
  <c r="C30" i="135"/>
  <c r="D30" i="135" s="1"/>
  <c r="E30" i="135"/>
  <c r="F30" i="135"/>
  <c r="E85" i="134"/>
  <c r="F85" i="134" s="1"/>
  <c r="H85" i="134"/>
  <c r="E123" i="133"/>
  <c r="F123" i="133" s="1"/>
  <c r="G123" i="133"/>
  <c r="H123" i="133"/>
  <c r="E37" i="146"/>
  <c r="F37" i="146" s="1"/>
  <c r="F57" i="144"/>
  <c r="G57" i="144" s="1"/>
  <c r="H57" i="144"/>
  <c r="E64" i="130"/>
  <c r="F64" i="130" s="1"/>
  <c r="H64" i="130"/>
  <c r="E72" i="141"/>
  <c r="F72" i="141" s="1"/>
  <c r="G72" i="141" s="1"/>
  <c r="I72" i="141"/>
  <c r="F91" i="140"/>
  <c r="G91" i="140" s="1"/>
  <c r="H91" i="140"/>
  <c r="E200" i="138"/>
  <c r="F200" i="138" s="1"/>
  <c r="H200" i="138"/>
  <c r="E57" i="154"/>
  <c r="F57" i="154" s="1"/>
  <c r="G57" i="154"/>
  <c r="H57" i="154"/>
  <c r="E37" i="156"/>
  <c r="F37" i="156" s="1"/>
  <c r="H37" i="156"/>
  <c r="F32" i="161"/>
  <c r="I32" i="161" s="1"/>
  <c r="H31" i="161"/>
  <c r="F31" i="161"/>
  <c r="E14" i="161"/>
  <c r="E15" i="161"/>
  <c r="E16" i="161"/>
  <c r="E17" i="161"/>
  <c r="E18" i="161"/>
  <c r="E19" i="161"/>
  <c r="E20" i="161"/>
  <c r="E21" i="161"/>
  <c r="E22" i="161"/>
  <c r="E23" i="161"/>
  <c r="E24" i="161"/>
  <c r="E25" i="161"/>
  <c r="E13" i="161"/>
  <c r="A14" i="161"/>
  <c r="A15" i="161" s="1"/>
  <c r="A16" i="161" s="1"/>
  <c r="A17" i="161" s="1"/>
  <c r="A18" i="161" s="1"/>
  <c r="A19" i="161" s="1"/>
  <c r="A20" i="161" s="1"/>
  <c r="A21" i="161" s="1"/>
  <c r="A22" i="161" s="1"/>
  <c r="A23" i="161" s="1"/>
  <c r="A24" i="161" s="1"/>
  <c r="A25" i="161" s="1"/>
  <c r="I31" i="161" l="1"/>
  <c r="G30" i="135"/>
  <c r="D62" i="144"/>
  <c r="I62" i="144" s="1"/>
  <c r="D59" i="144"/>
  <c r="I59" i="144" s="1"/>
  <c r="D61" i="144"/>
  <c r="I61" i="144" s="1"/>
  <c r="D60" i="144"/>
  <c r="I60" i="144" s="1"/>
  <c r="E26" i="161"/>
  <c r="D58" i="144"/>
  <c r="I58" i="144" s="1"/>
  <c r="I64" i="170"/>
  <c r="E65" i="170" s="1"/>
  <c r="D57" i="144"/>
  <c r="I57" i="144" s="1"/>
  <c r="I57" i="154"/>
  <c r="C348" i="165"/>
  <c r="C349" i="165"/>
  <c r="K348" i="165" s="1"/>
  <c r="D75" i="163"/>
  <c r="H75" i="163" s="1"/>
  <c r="D97" i="163"/>
  <c r="H97" i="163" s="1"/>
  <c r="D80" i="163"/>
  <c r="H80" i="163" s="1"/>
  <c r="D82" i="163"/>
  <c r="H82" i="163" s="1"/>
  <c r="D101" i="163"/>
  <c r="H101" i="163" s="1"/>
  <c r="D94" i="163"/>
  <c r="H94" i="163" s="1"/>
  <c r="D86" i="163"/>
  <c r="H86" i="163" s="1"/>
  <c r="C72" i="162"/>
  <c r="C23" i="162"/>
  <c r="F23" i="162"/>
  <c r="P74" i="37"/>
  <c r="Q63" i="37"/>
  <c r="Q43" i="37"/>
  <c r="I47" i="161" l="1"/>
  <c r="O88" i="37"/>
  <c r="P35" i="209"/>
  <c r="I65" i="170"/>
  <c r="E66" i="170" s="1"/>
  <c r="K352" i="165"/>
  <c r="K350" i="165"/>
  <c r="D96" i="163"/>
  <c r="H96" i="163" s="1"/>
  <c r="D102" i="163"/>
  <c r="H102" i="163" s="1"/>
  <c r="D99" i="163"/>
  <c r="H99" i="163" s="1"/>
  <c r="D88" i="163"/>
  <c r="H88" i="163" s="1"/>
  <c r="D77" i="163"/>
  <c r="H77" i="163" s="1"/>
  <c r="D83" i="163"/>
  <c r="H83" i="163" s="1"/>
  <c r="D89" i="163"/>
  <c r="H89" i="163" s="1"/>
  <c r="D91" i="163"/>
  <c r="H91" i="163" s="1"/>
  <c r="D79" i="163"/>
  <c r="H79" i="163" s="1"/>
  <c r="D81" i="163"/>
  <c r="H81" i="163" s="1"/>
  <c r="D90" i="163"/>
  <c r="H90" i="163" s="1"/>
  <c r="D98" i="163"/>
  <c r="H98" i="163" s="1"/>
  <c r="D74" i="163"/>
  <c r="H74" i="163" s="1"/>
  <c r="D85" i="163"/>
  <c r="H85" i="163" s="1"/>
  <c r="D93" i="163"/>
  <c r="H93" i="163" s="1"/>
  <c r="D103" i="163"/>
  <c r="H103" i="163" s="1"/>
  <c r="D84" i="163"/>
  <c r="H84" i="163" s="1"/>
  <c r="D92" i="163"/>
  <c r="H92" i="163" s="1"/>
  <c r="D100" i="163"/>
  <c r="H100" i="163" s="1"/>
  <c r="D76" i="163"/>
  <c r="H76" i="163" s="1"/>
  <c r="D78" i="163"/>
  <c r="H78" i="163" s="1"/>
  <c r="D87" i="163"/>
  <c r="H87" i="163" s="1"/>
  <c r="D95" i="163"/>
  <c r="H95" i="163" s="1"/>
  <c r="E26" i="162"/>
  <c r="C25" i="162" s="1"/>
  <c r="C28" i="162" s="1"/>
  <c r="C18" i="162"/>
  <c r="F13" i="162"/>
  <c r="E84" i="134"/>
  <c r="F84" i="134" s="1"/>
  <c r="H84" i="134"/>
  <c r="H14" i="160"/>
  <c r="H15" i="160"/>
  <c r="H16" i="160"/>
  <c r="H17" i="160"/>
  <c r="H18" i="160"/>
  <c r="H13" i="160"/>
  <c r="G14" i="160"/>
  <c r="G15" i="160"/>
  <c r="G16" i="160"/>
  <c r="G17" i="160"/>
  <c r="G18" i="160"/>
  <c r="G13" i="160"/>
  <c r="F20" i="160"/>
  <c r="F19" i="160"/>
  <c r="F18" i="160"/>
  <c r="F17" i="160"/>
  <c r="F16" i="160"/>
  <c r="F15" i="160"/>
  <c r="F14" i="160"/>
  <c r="F19" i="159"/>
  <c r="F18" i="159"/>
  <c r="G16" i="159"/>
  <c r="H16" i="159"/>
  <c r="G17" i="159"/>
  <c r="H17" i="159"/>
  <c r="G18" i="159"/>
  <c r="H18" i="159"/>
  <c r="G19" i="159"/>
  <c r="H19" i="159"/>
  <c r="F17" i="159"/>
  <c r="F16" i="159"/>
  <c r="G13" i="159"/>
  <c r="G14" i="159"/>
  <c r="G15" i="159"/>
  <c r="G12" i="159"/>
  <c r="H15" i="159"/>
  <c r="F15" i="159"/>
  <c r="H14" i="159"/>
  <c r="F14" i="159"/>
  <c r="H13" i="159"/>
  <c r="F13" i="159"/>
  <c r="I13" i="159" s="1"/>
  <c r="H12" i="159"/>
  <c r="F12" i="159"/>
  <c r="O38" i="37"/>
  <c r="R38" i="37" s="1"/>
  <c r="O93" i="143"/>
  <c r="N93" i="143"/>
  <c r="N90" i="143"/>
  <c r="C29" i="135"/>
  <c r="D29" i="135" s="1"/>
  <c r="E29" i="135"/>
  <c r="F29" i="135"/>
  <c r="E36" i="156"/>
  <c r="F36" i="156" s="1"/>
  <c r="H36" i="156"/>
  <c r="H35" i="156"/>
  <c r="E35" i="156"/>
  <c r="F35" i="156" s="1"/>
  <c r="H34" i="156"/>
  <c r="E34" i="156"/>
  <c r="F34" i="156" s="1"/>
  <c r="H33" i="156"/>
  <c r="E33" i="156"/>
  <c r="F33" i="156" s="1"/>
  <c r="H32" i="156"/>
  <c r="E32" i="156"/>
  <c r="F32" i="156" s="1"/>
  <c r="H31" i="156"/>
  <c r="E31" i="156"/>
  <c r="F31" i="156" s="1"/>
  <c r="H30" i="156"/>
  <c r="E30" i="156"/>
  <c r="F30" i="156" s="1"/>
  <c r="H29" i="156"/>
  <c r="E29" i="156"/>
  <c r="F29" i="156" s="1"/>
  <c r="H28" i="156"/>
  <c r="E28" i="156"/>
  <c r="F28" i="156" s="1"/>
  <c r="H27" i="156"/>
  <c r="F27" i="156"/>
  <c r="H26" i="156"/>
  <c r="F26" i="156"/>
  <c r="H25" i="156"/>
  <c r="F25" i="156"/>
  <c r="H24" i="156"/>
  <c r="F24" i="156"/>
  <c r="H23" i="156"/>
  <c r="F23" i="156"/>
  <c r="H22" i="156"/>
  <c r="F22" i="156"/>
  <c r="H21" i="156"/>
  <c r="F21" i="156"/>
  <c r="H20" i="156"/>
  <c r="F20" i="156"/>
  <c r="H19" i="156"/>
  <c r="F19" i="156"/>
  <c r="H18" i="156"/>
  <c r="F18" i="156"/>
  <c r="C15" i="156"/>
  <c r="B15" i="156"/>
  <c r="D10" i="156"/>
  <c r="C7" i="156"/>
  <c r="E23" i="155"/>
  <c r="E18" i="155"/>
  <c r="E17" i="155"/>
  <c r="E16" i="155"/>
  <c r="C150" i="155" s="1"/>
  <c r="H187" i="155" s="1"/>
  <c r="E15" i="155"/>
  <c r="C110" i="155" s="1"/>
  <c r="E14" i="155"/>
  <c r="C70" i="155" s="1"/>
  <c r="E13" i="155"/>
  <c r="C30" i="155" s="1"/>
  <c r="H67" i="155" s="1"/>
  <c r="R35" i="209" l="1"/>
  <c r="S35" i="209" s="1"/>
  <c r="H146" i="155"/>
  <c r="H147" i="155"/>
  <c r="H106" i="155"/>
  <c r="H107" i="155"/>
  <c r="H153" i="155"/>
  <c r="H186" i="155"/>
  <c r="H33" i="155"/>
  <c r="H66" i="155"/>
  <c r="H154" i="155"/>
  <c r="H170" i="155"/>
  <c r="H156" i="155"/>
  <c r="H172" i="155"/>
  <c r="H161" i="155"/>
  <c r="H177" i="155"/>
  <c r="H160" i="155"/>
  <c r="H176" i="155"/>
  <c r="H157" i="155"/>
  <c r="H173" i="155"/>
  <c r="H159" i="155"/>
  <c r="H175" i="155"/>
  <c r="H166" i="155"/>
  <c r="H182" i="155"/>
  <c r="H163" i="155"/>
  <c r="H179" i="155"/>
  <c r="H162" i="155"/>
  <c r="H178" i="155"/>
  <c r="H164" i="155"/>
  <c r="H180" i="155"/>
  <c r="H169" i="155"/>
  <c r="H185" i="155"/>
  <c r="H168" i="155"/>
  <c r="H184" i="155"/>
  <c r="H165" i="155"/>
  <c r="H181" i="155"/>
  <c r="H167" i="155"/>
  <c r="H183" i="155"/>
  <c r="H158" i="155"/>
  <c r="H174" i="155"/>
  <c r="H155" i="155"/>
  <c r="H171" i="155"/>
  <c r="H117" i="155"/>
  <c r="H116" i="155"/>
  <c r="H130" i="155"/>
  <c r="H113" i="155"/>
  <c r="H127" i="155"/>
  <c r="H143" i="155"/>
  <c r="H131" i="155"/>
  <c r="H114" i="155"/>
  <c r="H133" i="155"/>
  <c r="H121" i="155"/>
  <c r="H137" i="155"/>
  <c r="H115" i="155"/>
  <c r="H132" i="155"/>
  <c r="H120" i="155"/>
  <c r="H136" i="155"/>
  <c r="H119" i="155"/>
  <c r="H135" i="155"/>
  <c r="H123" i="155"/>
  <c r="H139" i="155"/>
  <c r="H118" i="155"/>
  <c r="H134" i="155"/>
  <c r="H122" i="155"/>
  <c r="H138" i="155"/>
  <c r="H124" i="155"/>
  <c r="H140" i="155"/>
  <c r="H128" i="155"/>
  <c r="H144" i="155"/>
  <c r="H125" i="155"/>
  <c r="H141" i="155"/>
  <c r="H129" i="155"/>
  <c r="H145" i="155"/>
  <c r="H126" i="155"/>
  <c r="H142" i="155"/>
  <c r="H105" i="155"/>
  <c r="H104" i="155"/>
  <c r="H103" i="155"/>
  <c r="H102" i="155"/>
  <c r="H101" i="155"/>
  <c r="H100" i="155"/>
  <c r="H99" i="155"/>
  <c r="H75" i="155"/>
  <c r="H92" i="155"/>
  <c r="H89" i="155"/>
  <c r="H83" i="155"/>
  <c r="H80" i="155"/>
  <c r="H78" i="155"/>
  <c r="H94" i="155"/>
  <c r="H93" i="155"/>
  <c r="H88" i="155"/>
  <c r="H98" i="155"/>
  <c r="H95" i="155"/>
  <c r="H81" i="155"/>
  <c r="H97" i="155"/>
  <c r="H96" i="155"/>
  <c r="H86" i="155"/>
  <c r="H84" i="155"/>
  <c r="H79" i="155"/>
  <c r="H76" i="155"/>
  <c r="H74" i="155"/>
  <c r="H87" i="155"/>
  <c r="H77" i="155"/>
  <c r="H91" i="155"/>
  <c r="H82" i="155"/>
  <c r="H73" i="155"/>
  <c r="H85" i="155"/>
  <c r="H90" i="155"/>
  <c r="H65" i="155"/>
  <c r="H64" i="155"/>
  <c r="H41" i="155"/>
  <c r="H45" i="155"/>
  <c r="H53" i="155"/>
  <c r="H61" i="155"/>
  <c r="H37" i="155"/>
  <c r="H49" i="155"/>
  <c r="H57" i="155"/>
  <c r="H36" i="155"/>
  <c r="H48" i="155"/>
  <c r="H35" i="155"/>
  <c r="H63" i="155"/>
  <c r="H50" i="155"/>
  <c r="H39" i="155"/>
  <c r="H42" i="155"/>
  <c r="H47" i="155"/>
  <c r="H58" i="155"/>
  <c r="H60" i="155"/>
  <c r="H44" i="155"/>
  <c r="H38" i="155"/>
  <c r="H52" i="155"/>
  <c r="H43" i="155"/>
  <c r="H34" i="155"/>
  <c r="H54" i="155"/>
  <c r="H51" i="155"/>
  <c r="H56" i="155"/>
  <c r="H40" i="155"/>
  <c r="H59" i="155"/>
  <c r="H46" i="155"/>
  <c r="H55" i="155"/>
  <c r="H62" i="155"/>
  <c r="E10" i="156"/>
  <c r="E11" i="156"/>
  <c r="E12" i="156" s="1"/>
  <c r="I15" i="159"/>
  <c r="I12" i="159"/>
  <c r="I14" i="159"/>
  <c r="I16" i="159"/>
  <c r="I17" i="159"/>
  <c r="I18" i="159"/>
  <c r="I19" i="159"/>
  <c r="G29" i="135"/>
  <c r="E19" i="155"/>
  <c r="E27" i="155" s="1"/>
  <c r="I66" i="170"/>
  <c r="E67" i="170" s="1"/>
  <c r="C109" i="163"/>
  <c r="C111" i="163" s="1"/>
  <c r="E16" i="162"/>
  <c r="F26" i="162"/>
  <c r="E27" i="162" s="1"/>
  <c r="E28" i="162" s="1"/>
  <c r="R5" i="209" l="1"/>
  <c r="S5" i="209" s="1"/>
  <c r="H188" i="155"/>
  <c r="H148" i="155"/>
  <c r="H108" i="155"/>
  <c r="H68" i="155"/>
  <c r="P31" i="209"/>
  <c r="C354" i="155"/>
  <c r="R6" i="209"/>
  <c r="S6" i="209" s="1"/>
  <c r="E28" i="155"/>
  <c r="Q88" i="37"/>
  <c r="R88" i="37" s="1"/>
  <c r="I67" i="170"/>
  <c r="E68" i="170" s="1"/>
  <c r="C16" i="162"/>
  <c r="C19" i="162" s="1"/>
  <c r="F16" i="162"/>
  <c r="E17" i="162" s="1"/>
  <c r="E18" i="162" s="1"/>
  <c r="D36" i="160" l="1"/>
  <c r="D37" i="160" s="1"/>
  <c r="C355" i="155"/>
  <c r="R31" i="209" s="1"/>
  <c r="S31" i="209" s="1"/>
  <c r="Q78" i="37"/>
  <c r="R78" i="37" s="1"/>
  <c r="O66" i="37"/>
  <c r="G45" i="156"/>
  <c r="I45" i="156" s="1"/>
  <c r="G46" i="156"/>
  <c r="I46" i="156" s="1"/>
  <c r="G18" i="156"/>
  <c r="I18" i="156" s="1"/>
  <c r="G30" i="156"/>
  <c r="I30" i="156" s="1"/>
  <c r="G44" i="156"/>
  <c r="I44" i="156" s="1"/>
  <c r="Q80" i="37"/>
  <c r="R80" i="37" s="1"/>
  <c r="D52" i="156"/>
  <c r="G26" i="156"/>
  <c r="I26" i="156" s="1"/>
  <c r="G43" i="156"/>
  <c r="I43" i="156" s="1"/>
  <c r="G31" i="156"/>
  <c r="I31" i="156" s="1"/>
  <c r="G38" i="156"/>
  <c r="I38" i="156" s="1"/>
  <c r="G42" i="156"/>
  <c r="I42" i="156" s="1"/>
  <c r="G35" i="156"/>
  <c r="I35" i="156" s="1"/>
  <c r="G24" i="156"/>
  <c r="I24" i="156" s="1"/>
  <c r="G19" i="156"/>
  <c r="I19" i="156" s="1"/>
  <c r="G25" i="156"/>
  <c r="I25" i="156" s="1"/>
  <c r="G32" i="156"/>
  <c r="I32" i="156" s="1"/>
  <c r="G29" i="156"/>
  <c r="I29" i="156" s="1"/>
  <c r="G27" i="156"/>
  <c r="I27" i="156" s="1"/>
  <c r="G21" i="156"/>
  <c r="I21" i="156" s="1"/>
  <c r="G34" i="156"/>
  <c r="I34" i="156" s="1"/>
  <c r="G37" i="156"/>
  <c r="I37" i="156" s="1"/>
  <c r="G28" i="156"/>
  <c r="I28" i="156" s="1"/>
  <c r="G23" i="156"/>
  <c r="I23" i="156" s="1"/>
  <c r="G20" i="156"/>
  <c r="I20" i="156" s="1"/>
  <c r="G22" i="156"/>
  <c r="I22" i="156" s="1"/>
  <c r="G33" i="156"/>
  <c r="I33" i="156" s="1"/>
  <c r="G36" i="156"/>
  <c r="I36" i="156" s="1"/>
  <c r="G39" i="156"/>
  <c r="I39" i="156" s="1"/>
  <c r="G40" i="156"/>
  <c r="I40" i="156" s="1"/>
  <c r="O69" i="37"/>
  <c r="G41" i="156"/>
  <c r="I41" i="156" s="1"/>
  <c r="I68" i="170"/>
  <c r="E69" i="170" s="1"/>
  <c r="E122" i="133"/>
  <c r="F122" i="133" s="1"/>
  <c r="G122" i="133"/>
  <c r="H122" i="133"/>
  <c r="E36" i="146"/>
  <c r="F36" i="146" s="1"/>
  <c r="G36" i="146"/>
  <c r="F56" i="144"/>
  <c r="G56" i="144" s="1"/>
  <c r="H56" i="144"/>
  <c r="E71" i="141"/>
  <c r="F71" i="141" s="1"/>
  <c r="G71" i="141" s="1"/>
  <c r="I71" i="141"/>
  <c r="F90" i="140"/>
  <c r="G90" i="140" s="1"/>
  <c r="H90" i="140"/>
  <c r="C359" i="155" l="1"/>
  <c r="C361" i="155" s="1"/>
  <c r="Q66" i="37"/>
  <c r="R66" i="37" s="1"/>
  <c r="I47" i="156"/>
  <c r="D50" i="156"/>
  <c r="D51" i="156"/>
  <c r="D53" i="156" s="1"/>
  <c r="Q69" i="37"/>
  <c r="R69" i="37" s="1"/>
  <c r="I69" i="170"/>
  <c r="E70" i="170" s="1"/>
  <c r="F94" i="162"/>
  <c r="H94" i="162" s="1"/>
  <c r="F83" i="162"/>
  <c r="H83" i="162" s="1"/>
  <c r="F104" i="162"/>
  <c r="H104" i="162" s="1"/>
  <c r="F95" i="162"/>
  <c r="H95" i="162" s="1"/>
  <c r="F82" i="162"/>
  <c r="H82" i="162" s="1"/>
  <c r="F103" i="162"/>
  <c r="H103" i="162" s="1"/>
  <c r="F90" i="162"/>
  <c r="H90" i="162" s="1"/>
  <c r="F78" i="162"/>
  <c r="H78" i="162" s="1"/>
  <c r="F87" i="162"/>
  <c r="H87" i="162" s="1"/>
  <c r="F102" i="162"/>
  <c r="H102" i="162" s="1"/>
  <c r="F81" i="162"/>
  <c r="H81" i="162" s="1"/>
  <c r="F91" i="162"/>
  <c r="H91" i="162" s="1"/>
  <c r="F80" i="162"/>
  <c r="H80" i="162" s="1"/>
  <c r="F100" i="162"/>
  <c r="H100" i="162" s="1"/>
  <c r="F92" i="162"/>
  <c r="H92" i="162" s="1"/>
  <c r="F79" i="162"/>
  <c r="H79" i="162" s="1"/>
  <c r="F99" i="162"/>
  <c r="H99" i="162" s="1"/>
  <c r="F85" i="162"/>
  <c r="H85" i="162" s="1"/>
  <c r="F93" i="162"/>
  <c r="H93" i="162" s="1"/>
  <c r="F101" i="162"/>
  <c r="H101" i="162" s="1"/>
  <c r="F88" i="162"/>
  <c r="H88" i="162" s="1"/>
  <c r="F76" i="162"/>
  <c r="H76" i="162" s="1"/>
  <c r="F98" i="162"/>
  <c r="H98" i="162" s="1"/>
  <c r="F89" i="162"/>
  <c r="H89" i="162" s="1"/>
  <c r="F77" i="162"/>
  <c r="H77" i="162" s="1"/>
  <c r="F97" i="162"/>
  <c r="H97" i="162" s="1"/>
  <c r="F84" i="162"/>
  <c r="H84" i="162" s="1"/>
  <c r="F86" i="162"/>
  <c r="H86" i="162" s="1"/>
  <c r="F96" i="162"/>
  <c r="H96" i="162" s="1"/>
  <c r="F75" i="162"/>
  <c r="H75" i="162" s="1"/>
  <c r="E56" i="154"/>
  <c r="F56" i="154" s="1"/>
  <c r="G56" i="154"/>
  <c r="H56" i="154"/>
  <c r="O46" i="37"/>
  <c r="H55" i="154"/>
  <c r="G55" i="154"/>
  <c r="E55" i="154"/>
  <c r="F55" i="154" s="1"/>
  <c r="H54" i="154"/>
  <c r="G54" i="154"/>
  <c r="E54" i="154"/>
  <c r="F54" i="154" s="1"/>
  <c r="H53" i="154"/>
  <c r="G53" i="154"/>
  <c r="E53" i="154"/>
  <c r="F53" i="154" s="1"/>
  <c r="H52" i="154"/>
  <c r="G52" i="154"/>
  <c r="E52" i="154"/>
  <c r="F52" i="154" s="1"/>
  <c r="H51" i="154"/>
  <c r="G51" i="154"/>
  <c r="E51" i="154"/>
  <c r="F51" i="154" s="1"/>
  <c r="H50" i="154"/>
  <c r="G50" i="154"/>
  <c r="E50" i="154"/>
  <c r="F50" i="154" s="1"/>
  <c r="H49" i="154"/>
  <c r="G49" i="154"/>
  <c r="E49" i="154"/>
  <c r="F49" i="154" s="1"/>
  <c r="H48" i="154"/>
  <c r="G48" i="154"/>
  <c r="E48" i="154"/>
  <c r="F48" i="154" s="1"/>
  <c r="H47" i="154"/>
  <c r="G47" i="154"/>
  <c r="E47" i="154"/>
  <c r="F47" i="154" s="1"/>
  <c r="H46" i="154"/>
  <c r="G46" i="154"/>
  <c r="E46" i="154"/>
  <c r="F46" i="154" s="1"/>
  <c r="H45" i="154"/>
  <c r="G45" i="154"/>
  <c r="E45" i="154"/>
  <c r="F45" i="154" s="1"/>
  <c r="H44" i="154"/>
  <c r="G44" i="154"/>
  <c r="E44" i="154"/>
  <c r="F44" i="154" s="1"/>
  <c r="H43" i="154"/>
  <c r="G43" i="154"/>
  <c r="E43" i="154"/>
  <c r="F43" i="154" s="1"/>
  <c r="H42" i="154"/>
  <c r="G42" i="154"/>
  <c r="E42" i="154"/>
  <c r="F42" i="154" s="1"/>
  <c r="H41" i="154"/>
  <c r="G41" i="154"/>
  <c r="E41" i="154"/>
  <c r="F41" i="154" s="1"/>
  <c r="H40" i="154"/>
  <c r="G40" i="154"/>
  <c r="E40" i="154"/>
  <c r="F40" i="154" s="1"/>
  <c r="H39" i="154"/>
  <c r="G39" i="154"/>
  <c r="E39" i="154"/>
  <c r="F39" i="154" s="1"/>
  <c r="H38" i="154"/>
  <c r="G38" i="154"/>
  <c r="E38" i="154"/>
  <c r="F38" i="154" s="1"/>
  <c r="H37" i="154"/>
  <c r="G37" i="154"/>
  <c r="E37" i="154"/>
  <c r="F37" i="154" s="1"/>
  <c r="H36" i="154"/>
  <c r="G36" i="154"/>
  <c r="E36" i="154"/>
  <c r="F36" i="154" s="1"/>
  <c r="H35" i="154"/>
  <c r="G35" i="154"/>
  <c r="E35" i="154"/>
  <c r="F35" i="154" s="1"/>
  <c r="H34" i="154"/>
  <c r="G34" i="154"/>
  <c r="E34" i="154"/>
  <c r="F34" i="154" s="1"/>
  <c r="H33" i="154"/>
  <c r="G33" i="154"/>
  <c r="E33" i="154"/>
  <c r="F33" i="154" s="1"/>
  <c r="H32" i="154"/>
  <c r="G32" i="154"/>
  <c r="E32" i="154"/>
  <c r="F32" i="154" s="1"/>
  <c r="H31" i="154"/>
  <c r="G31" i="154"/>
  <c r="E31" i="154"/>
  <c r="F31" i="154" s="1"/>
  <c r="H30" i="154"/>
  <c r="G30" i="154"/>
  <c r="E30" i="154"/>
  <c r="F30" i="154" s="1"/>
  <c r="H29" i="154"/>
  <c r="G29" i="154"/>
  <c r="E29" i="154"/>
  <c r="F29" i="154" s="1"/>
  <c r="H28" i="154"/>
  <c r="G28" i="154"/>
  <c r="E28" i="154"/>
  <c r="F28" i="154" s="1"/>
  <c r="H27" i="154"/>
  <c r="G27" i="154"/>
  <c r="E27" i="154"/>
  <c r="F27" i="154" s="1"/>
  <c r="H26" i="154"/>
  <c r="G26" i="154"/>
  <c r="E26" i="154"/>
  <c r="F26" i="154" s="1"/>
  <c r="H25" i="154"/>
  <c r="G25" i="154"/>
  <c r="E25" i="154"/>
  <c r="F25" i="154" s="1"/>
  <c r="H24" i="154"/>
  <c r="G24" i="154"/>
  <c r="E24" i="154"/>
  <c r="F24" i="154" s="1"/>
  <c r="H23" i="154"/>
  <c r="G23" i="154"/>
  <c r="E23" i="154"/>
  <c r="F23" i="154" s="1"/>
  <c r="H22" i="154"/>
  <c r="G22" i="154"/>
  <c r="E22" i="154"/>
  <c r="F22" i="154" s="1"/>
  <c r="H21" i="154"/>
  <c r="G21" i="154"/>
  <c r="E21" i="154"/>
  <c r="F21" i="154" s="1"/>
  <c r="H20" i="154"/>
  <c r="G20" i="154"/>
  <c r="E20" i="154"/>
  <c r="F20" i="154" s="1"/>
  <c r="H19" i="154"/>
  <c r="G19" i="154"/>
  <c r="E19" i="154"/>
  <c r="F19" i="154" s="1"/>
  <c r="H18" i="154"/>
  <c r="G18" i="154"/>
  <c r="E18" i="154"/>
  <c r="F18" i="154" s="1"/>
  <c r="H17" i="154"/>
  <c r="G17" i="154"/>
  <c r="E17" i="154"/>
  <c r="F17" i="154" s="1"/>
  <c r="H16" i="154"/>
  <c r="G16" i="154"/>
  <c r="E16" i="154"/>
  <c r="F16" i="154" s="1"/>
  <c r="H15" i="154"/>
  <c r="G15" i="154"/>
  <c r="E15" i="154"/>
  <c r="F15" i="154" s="1"/>
  <c r="H14" i="154"/>
  <c r="G14" i="154"/>
  <c r="E14" i="154"/>
  <c r="F14" i="154" s="1"/>
  <c r="H13" i="154"/>
  <c r="G13" i="154"/>
  <c r="E13" i="154"/>
  <c r="F13" i="154" s="1"/>
  <c r="I70" i="170" l="1"/>
  <c r="E71" i="170" s="1"/>
  <c r="I18" i="154"/>
  <c r="I26" i="154"/>
  <c r="I34" i="154"/>
  <c r="I42" i="154"/>
  <c r="I50" i="154"/>
  <c r="D109" i="162"/>
  <c r="I52" i="154"/>
  <c r="I56" i="154"/>
  <c r="I13" i="154"/>
  <c r="I20" i="154"/>
  <c r="I36" i="154"/>
  <c r="I44" i="154"/>
  <c r="I53" i="154"/>
  <c r="I15" i="154"/>
  <c r="I23" i="154"/>
  <c r="I31" i="154"/>
  <c r="I39" i="154"/>
  <c r="I47" i="154"/>
  <c r="I55" i="154"/>
  <c r="I21" i="154"/>
  <c r="I29" i="154"/>
  <c r="I37" i="154"/>
  <c r="I14" i="154"/>
  <c r="I16" i="154"/>
  <c r="I17" i="154"/>
  <c r="I22" i="154"/>
  <c r="I24" i="154"/>
  <c r="I25" i="154"/>
  <c r="I30" i="154"/>
  <c r="I32" i="154"/>
  <c r="I33" i="154"/>
  <c r="I38" i="154"/>
  <c r="I40" i="154"/>
  <c r="I41" i="154"/>
  <c r="I46" i="154"/>
  <c r="I48" i="154"/>
  <c r="I49" i="154"/>
  <c r="I54" i="154"/>
  <c r="I28" i="154"/>
  <c r="I45" i="154"/>
  <c r="I19" i="154"/>
  <c r="I27" i="154"/>
  <c r="I35" i="154"/>
  <c r="I43" i="154"/>
  <c r="I51" i="154"/>
  <c r="R36" i="209" l="1"/>
  <c r="S36" i="209" s="1"/>
  <c r="J71" i="154"/>
  <c r="I71" i="170"/>
  <c r="E72" i="170" s="1"/>
  <c r="Q46" i="37" l="1"/>
  <c r="R46" i="37" s="1"/>
  <c r="I72" i="170"/>
  <c r="E73" i="170" s="1"/>
  <c r="I72" i="154"/>
  <c r="E63" i="130"/>
  <c r="F63" i="130" s="1"/>
  <c r="H63" i="130"/>
  <c r="I73" i="170" l="1"/>
  <c r="E74" i="170" s="1"/>
  <c r="I74" i="170" l="1"/>
  <c r="E75" i="170" s="1"/>
  <c r="I75" i="170" l="1"/>
  <c r="E76" i="170" s="1"/>
  <c r="I21" i="152"/>
  <c r="E246" i="152" s="1"/>
  <c r="I23" i="152"/>
  <c r="I22" i="152"/>
  <c r="E273" i="152" s="1"/>
  <c r="I20" i="152"/>
  <c r="E218" i="152" s="1"/>
  <c r="I17" i="152"/>
  <c r="E136" i="152" s="1"/>
  <c r="I15" i="152"/>
  <c r="E82" i="152" s="1"/>
  <c r="I16" i="152"/>
  <c r="E109" i="152" s="1"/>
  <c r="I14" i="152"/>
  <c r="E54" i="152" s="1"/>
  <c r="H280" i="152" l="1"/>
  <c r="H284" i="152"/>
  <c r="H288" i="152"/>
  <c r="H276" i="152"/>
  <c r="H277" i="152"/>
  <c r="H281" i="152"/>
  <c r="H285" i="152"/>
  <c r="H289" i="152"/>
  <c r="H278" i="152"/>
  <c r="H282" i="152"/>
  <c r="H286" i="152"/>
  <c r="H290" i="152"/>
  <c r="H279" i="152"/>
  <c r="H283" i="152"/>
  <c r="H287" i="152"/>
  <c r="H291" i="152"/>
  <c r="H250" i="152"/>
  <c r="H254" i="152"/>
  <c r="H258" i="152"/>
  <c r="H262" i="152"/>
  <c r="H251" i="152"/>
  <c r="H255" i="152"/>
  <c r="H259" i="152"/>
  <c r="H263" i="152"/>
  <c r="H252" i="152"/>
  <c r="H256" i="152"/>
  <c r="H260" i="152"/>
  <c r="H264" i="152"/>
  <c r="H253" i="152"/>
  <c r="H257" i="152"/>
  <c r="H261" i="152"/>
  <c r="H249" i="152"/>
  <c r="H224" i="152"/>
  <c r="H228" i="152"/>
  <c r="H232" i="152"/>
  <c r="H236" i="152"/>
  <c r="H231" i="152"/>
  <c r="H235" i="152"/>
  <c r="H225" i="152"/>
  <c r="H229" i="152"/>
  <c r="H233" i="152"/>
  <c r="H221" i="152"/>
  <c r="H227" i="152"/>
  <c r="H222" i="152"/>
  <c r="H226" i="152"/>
  <c r="H230" i="152"/>
  <c r="H234" i="152"/>
  <c r="H223" i="152"/>
  <c r="H140" i="152"/>
  <c r="H144" i="152"/>
  <c r="H148" i="152"/>
  <c r="H152" i="152"/>
  <c r="H151" i="152"/>
  <c r="H141" i="152"/>
  <c r="H145" i="152"/>
  <c r="H149" i="152"/>
  <c r="H153" i="152"/>
  <c r="H147" i="152"/>
  <c r="H139" i="152"/>
  <c r="H142" i="152"/>
  <c r="H146" i="152"/>
  <c r="H150" i="152"/>
  <c r="H154" i="152"/>
  <c r="H143" i="152"/>
  <c r="H86" i="152"/>
  <c r="H90" i="152"/>
  <c r="H94" i="152"/>
  <c r="H98" i="152"/>
  <c r="H87" i="152"/>
  <c r="H91" i="152"/>
  <c r="H95" i="152"/>
  <c r="H99" i="152"/>
  <c r="H88" i="152"/>
  <c r="H92" i="152"/>
  <c r="H96" i="152"/>
  <c r="H100" i="152"/>
  <c r="H89" i="152"/>
  <c r="H93" i="152"/>
  <c r="H97" i="152"/>
  <c r="H85" i="152"/>
  <c r="H113" i="152"/>
  <c r="H117" i="152"/>
  <c r="H121" i="152"/>
  <c r="H125" i="152"/>
  <c r="H114" i="152"/>
  <c r="H118" i="152"/>
  <c r="H122" i="152"/>
  <c r="H126" i="152"/>
  <c r="H115" i="152"/>
  <c r="H119" i="152"/>
  <c r="H123" i="152"/>
  <c r="H127" i="152"/>
  <c r="H116" i="152"/>
  <c r="H120" i="152"/>
  <c r="H124" i="152"/>
  <c r="H112" i="152"/>
  <c r="H58" i="152"/>
  <c r="H62" i="152"/>
  <c r="H66" i="152"/>
  <c r="H70" i="152"/>
  <c r="H64" i="152"/>
  <c r="H72" i="152"/>
  <c r="H65" i="152"/>
  <c r="H57" i="152"/>
  <c r="H59" i="152"/>
  <c r="H63" i="152"/>
  <c r="H67" i="152"/>
  <c r="H71" i="152"/>
  <c r="H60" i="152"/>
  <c r="H68" i="152"/>
  <c r="H61" i="152"/>
  <c r="H69" i="152"/>
  <c r="C130" i="152"/>
  <c r="C294" i="152"/>
  <c r="C267" i="152"/>
  <c r="C239" i="152"/>
  <c r="C157" i="152"/>
  <c r="C103" i="152"/>
  <c r="E300" i="152"/>
  <c r="I19" i="152"/>
  <c r="I76" i="170"/>
  <c r="E77" i="170" s="1"/>
  <c r="D35" i="149"/>
  <c r="C401" i="149" s="1"/>
  <c r="D11" i="149"/>
  <c r="G150" i="149" l="1"/>
  <c r="I150" i="149" s="1"/>
  <c r="G149" i="149"/>
  <c r="I149" i="149" s="1"/>
  <c r="G103" i="149"/>
  <c r="I103" i="149" s="1"/>
  <c r="G102" i="149"/>
  <c r="I102" i="149" s="1"/>
  <c r="G80" i="149"/>
  <c r="I80" i="149" s="1"/>
  <c r="G79" i="149"/>
  <c r="I79" i="149" s="1"/>
  <c r="G54" i="149"/>
  <c r="I54" i="149" s="1"/>
  <c r="G55" i="149"/>
  <c r="I55" i="149" s="1"/>
  <c r="G56" i="149"/>
  <c r="I56" i="149" s="1"/>
  <c r="G148" i="149"/>
  <c r="I148" i="149" s="1"/>
  <c r="G32" i="149"/>
  <c r="I32" i="149" s="1"/>
  <c r="G31" i="149"/>
  <c r="I31" i="149" s="1"/>
  <c r="H265" i="152"/>
  <c r="C321" i="152"/>
  <c r="H304" i="152"/>
  <c r="H308" i="152"/>
  <c r="H312" i="152"/>
  <c r="H316" i="152"/>
  <c r="H315" i="152"/>
  <c r="H305" i="152"/>
  <c r="H309" i="152"/>
  <c r="H313" i="152"/>
  <c r="H317" i="152"/>
  <c r="H311" i="152"/>
  <c r="H306" i="152"/>
  <c r="H310" i="152"/>
  <c r="H314" i="152"/>
  <c r="H303" i="152"/>
  <c r="H307" i="152"/>
  <c r="H318" i="152"/>
  <c r="H292" i="152"/>
  <c r="C295" i="152" s="1"/>
  <c r="C298" i="152" s="1"/>
  <c r="H237" i="152"/>
  <c r="C240" i="152" s="1"/>
  <c r="C243" i="152" s="1"/>
  <c r="H155" i="152"/>
  <c r="C158" i="152" s="1"/>
  <c r="C161" i="152" s="1"/>
  <c r="H128" i="152"/>
  <c r="C131" i="152" s="1"/>
  <c r="C134" i="152" s="1"/>
  <c r="C104" i="152"/>
  <c r="C107" i="152" s="1"/>
  <c r="H73" i="152"/>
  <c r="C268" i="152"/>
  <c r="C271" i="152" s="1"/>
  <c r="C75" i="152"/>
  <c r="C49" i="152"/>
  <c r="C52" i="152" s="1"/>
  <c r="G78" i="149"/>
  <c r="I78" i="149" s="1"/>
  <c r="G101" i="149"/>
  <c r="I101" i="149" s="1"/>
  <c r="G30" i="149"/>
  <c r="I30" i="149" s="1"/>
  <c r="E191" i="152"/>
  <c r="G100" i="149"/>
  <c r="I100" i="149" s="1"/>
  <c r="J100" i="149" s="1"/>
  <c r="G147" i="149"/>
  <c r="I147" i="149" s="1"/>
  <c r="G53" i="149"/>
  <c r="I53" i="149" s="1"/>
  <c r="J53" i="149" s="1"/>
  <c r="G77" i="149"/>
  <c r="I77" i="149" s="1"/>
  <c r="J77" i="149" s="1"/>
  <c r="C399" i="149"/>
  <c r="G29" i="149"/>
  <c r="I29" i="149" s="1"/>
  <c r="J29" i="149" s="1"/>
  <c r="G98" i="149"/>
  <c r="I98" i="149" s="1"/>
  <c r="G89" i="149"/>
  <c r="I89" i="149" s="1"/>
  <c r="G99" i="149"/>
  <c r="I99" i="149" s="1"/>
  <c r="G97" i="149"/>
  <c r="I97" i="149" s="1"/>
  <c r="G95" i="149"/>
  <c r="I95" i="149" s="1"/>
  <c r="G93" i="149"/>
  <c r="I93" i="149" s="1"/>
  <c r="G88" i="149"/>
  <c r="I88" i="149" s="1"/>
  <c r="G94" i="149"/>
  <c r="I94" i="149" s="1"/>
  <c r="G90" i="149"/>
  <c r="I90" i="149" s="1"/>
  <c r="G87" i="149"/>
  <c r="I87" i="149" s="1"/>
  <c r="G96" i="149"/>
  <c r="I96" i="149" s="1"/>
  <c r="G91" i="149"/>
  <c r="I91" i="149" s="1"/>
  <c r="G85" i="149"/>
  <c r="I85" i="149" s="1"/>
  <c r="G92" i="149"/>
  <c r="I92" i="149" s="1"/>
  <c r="G86" i="149"/>
  <c r="I86" i="149" s="1"/>
  <c r="G72" i="149"/>
  <c r="I72" i="149" s="1"/>
  <c r="G70" i="149"/>
  <c r="I70" i="149" s="1"/>
  <c r="G67" i="149"/>
  <c r="I67" i="149" s="1"/>
  <c r="G64" i="149"/>
  <c r="I64" i="149" s="1"/>
  <c r="G73" i="149"/>
  <c r="I73" i="149" s="1"/>
  <c r="G65" i="149"/>
  <c r="I65" i="149" s="1"/>
  <c r="G69" i="149"/>
  <c r="I69" i="149" s="1"/>
  <c r="G71" i="149"/>
  <c r="I71" i="149" s="1"/>
  <c r="G68" i="149"/>
  <c r="I68" i="149" s="1"/>
  <c r="G62" i="149"/>
  <c r="I62" i="149" s="1"/>
  <c r="G63" i="149"/>
  <c r="I63" i="149" s="1"/>
  <c r="G75" i="149"/>
  <c r="I75" i="149" s="1"/>
  <c r="G76" i="149"/>
  <c r="I76" i="149" s="1"/>
  <c r="G74" i="149"/>
  <c r="I74" i="149" s="1"/>
  <c r="G66" i="149"/>
  <c r="I66" i="149" s="1"/>
  <c r="G145" i="149"/>
  <c r="I145" i="149" s="1"/>
  <c r="G142" i="149"/>
  <c r="I142" i="149" s="1"/>
  <c r="G140" i="149"/>
  <c r="I140" i="149" s="1"/>
  <c r="G137" i="149"/>
  <c r="I137" i="149" s="1"/>
  <c r="G146" i="149"/>
  <c r="I146" i="149" s="1"/>
  <c r="G143" i="149"/>
  <c r="I143" i="149" s="1"/>
  <c r="G139" i="149"/>
  <c r="I139" i="149" s="1"/>
  <c r="G144" i="149"/>
  <c r="I144" i="149" s="1"/>
  <c r="G141" i="149"/>
  <c r="I141" i="149" s="1"/>
  <c r="G138" i="149"/>
  <c r="I138" i="149" s="1"/>
  <c r="G136" i="149"/>
  <c r="G135" i="149"/>
  <c r="I135" i="149" s="1"/>
  <c r="G134" i="149"/>
  <c r="I134" i="149" s="1"/>
  <c r="G133" i="149"/>
  <c r="I133" i="149" s="1"/>
  <c r="G132" i="149"/>
  <c r="I132" i="149" s="1"/>
  <c r="I120" i="149"/>
  <c r="I122" i="149"/>
  <c r="I121" i="149"/>
  <c r="G27" i="149"/>
  <c r="I27" i="149" s="1"/>
  <c r="G51" i="149"/>
  <c r="I51" i="149" s="1"/>
  <c r="G52" i="149"/>
  <c r="I52" i="149" s="1"/>
  <c r="G50" i="149"/>
  <c r="I50" i="149" s="1"/>
  <c r="G42" i="149"/>
  <c r="I42" i="149" s="1"/>
  <c r="G49" i="149"/>
  <c r="I49" i="149" s="1"/>
  <c r="G28" i="149"/>
  <c r="I28" i="149" s="1"/>
  <c r="G26" i="149"/>
  <c r="I26" i="149" s="1"/>
  <c r="G18" i="149"/>
  <c r="I18" i="149" s="1"/>
  <c r="I119" i="149"/>
  <c r="G25" i="149"/>
  <c r="I25" i="149" s="1"/>
  <c r="I24" i="152"/>
  <c r="L25" i="152" s="1"/>
  <c r="I118" i="149"/>
  <c r="G24" i="149"/>
  <c r="I24" i="149" s="1"/>
  <c r="I114" i="149"/>
  <c r="I117" i="149"/>
  <c r="I115" i="149"/>
  <c r="I116" i="149"/>
  <c r="I113" i="149"/>
  <c r="G48" i="149"/>
  <c r="I48" i="149" s="1"/>
  <c r="G44" i="149"/>
  <c r="I44" i="149" s="1"/>
  <c r="G39" i="149"/>
  <c r="I39" i="149" s="1"/>
  <c r="G38" i="149"/>
  <c r="I38" i="149" s="1"/>
  <c r="G41" i="149"/>
  <c r="I41" i="149" s="1"/>
  <c r="G47" i="149"/>
  <c r="I47" i="149" s="1"/>
  <c r="G45" i="149"/>
  <c r="I45" i="149" s="1"/>
  <c r="G40" i="149"/>
  <c r="I40" i="149" s="1"/>
  <c r="G46" i="149"/>
  <c r="I46" i="149" s="1"/>
  <c r="G43" i="149"/>
  <c r="I43" i="149" s="1"/>
  <c r="G16" i="149"/>
  <c r="I16" i="149" s="1"/>
  <c r="G19" i="149"/>
  <c r="I19" i="149" s="1"/>
  <c r="G21" i="149"/>
  <c r="I21" i="149" s="1"/>
  <c r="G23" i="149"/>
  <c r="I23" i="149" s="1"/>
  <c r="G15" i="149"/>
  <c r="I15" i="149" s="1"/>
  <c r="G17" i="149"/>
  <c r="I17" i="149" s="1"/>
  <c r="G20" i="149"/>
  <c r="I20" i="149" s="1"/>
  <c r="G22" i="149"/>
  <c r="I22" i="149" s="1"/>
  <c r="G14" i="149"/>
  <c r="I14" i="149" s="1"/>
  <c r="I77" i="170"/>
  <c r="E78" i="170" s="1"/>
  <c r="I104" i="149" l="1"/>
  <c r="I151" i="149"/>
  <c r="D405" i="149" s="1"/>
  <c r="E405" i="149" s="1"/>
  <c r="I127" i="149"/>
  <c r="I81" i="149"/>
  <c r="I57" i="149"/>
  <c r="I33" i="149"/>
  <c r="D399" i="149" s="1"/>
  <c r="P33" i="209"/>
  <c r="H319" i="152"/>
  <c r="C322" i="152" s="1"/>
  <c r="C325" i="152" s="1"/>
  <c r="H201" i="152"/>
  <c r="H205" i="152"/>
  <c r="H209" i="152"/>
  <c r="H198" i="152"/>
  <c r="H202" i="152"/>
  <c r="H206" i="152"/>
  <c r="H194" i="152"/>
  <c r="H195" i="152"/>
  <c r="H199" i="152"/>
  <c r="H203" i="152"/>
  <c r="H207" i="152"/>
  <c r="H196" i="152"/>
  <c r="H200" i="152"/>
  <c r="H204" i="152"/>
  <c r="H208" i="152"/>
  <c r="H197" i="152"/>
  <c r="C329" i="152"/>
  <c r="C212" i="152"/>
  <c r="D404" i="149"/>
  <c r="I78" i="170"/>
  <c r="E79" i="170" s="1"/>
  <c r="L26" i="152"/>
  <c r="H82" i="148"/>
  <c r="E82" i="148"/>
  <c r="F82" i="148" s="1"/>
  <c r="H81" i="148"/>
  <c r="E81" i="148"/>
  <c r="F81" i="148" s="1"/>
  <c r="H80" i="148"/>
  <c r="F80" i="148"/>
  <c r="E80" i="148"/>
  <c r="H79" i="148"/>
  <c r="F79" i="148"/>
  <c r="E79" i="148"/>
  <c r="F68" i="148"/>
  <c r="H68" i="148" s="1"/>
  <c r="E68" i="148"/>
  <c r="D68" i="148"/>
  <c r="C68" i="148"/>
  <c r="G68" i="148" s="1"/>
  <c r="F67" i="148"/>
  <c r="E67" i="148"/>
  <c r="D67" i="148"/>
  <c r="H67" i="148" s="1"/>
  <c r="C67" i="148"/>
  <c r="G67" i="148" s="1"/>
  <c r="F66" i="148"/>
  <c r="H66" i="148" s="1"/>
  <c r="E66" i="148"/>
  <c r="D66" i="148"/>
  <c r="C66" i="148"/>
  <c r="G66" i="148" s="1"/>
  <c r="F65" i="148"/>
  <c r="E65" i="148"/>
  <c r="D65" i="148"/>
  <c r="H65" i="148" s="1"/>
  <c r="C65" i="148"/>
  <c r="G65" i="148" s="1"/>
  <c r="F64" i="148"/>
  <c r="H64" i="148" s="1"/>
  <c r="E64" i="148"/>
  <c r="D64" i="148"/>
  <c r="C64" i="148"/>
  <c r="G64" i="148" s="1"/>
  <c r="F63" i="148"/>
  <c r="E63" i="148"/>
  <c r="D63" i="148"/>
  <c r="H63" i="148" s="1"/>
  <c r="C63" i="148"/>
  <c r="G63" i="148" s="1"/>
  <c r="F62" i="148"/>
  <c r="H62" i="148" s="1"/>
  <c r="E62" i="148"/>
  <c r="D62" i="148"/>
  <c r="C62" i="148"/>
  <c r="G62" i="148" s="1"/>
  <c r="F61" i="148"/>
  <c r="E61" i="148"/>
  <c r="D61" i="148"/>
  <c r="H61" i="148" s="1"/>
  <c r="C61" i="148"/>
  <c r="G61" i="148" s="1"/>
  <c r="F60" i="148"/>
  <c r="H60" i="148" s="1"/>
  <c r="E60" i="148"/>
  <c r="D60" i="148"/>
  <c r="C60" i="148"/>
  <c r="G60" i="148" s="1"/>
  <c r="F59" i="148"/>
  <c r="E59" i="148"/>
  <c r="D59" i="148"/>
  <c r="H59" i="148" s="1"/>
  <c r="C59" i="148"/>
  <c r="G59" i="148" s="1"/>
  <c r="F58" i="148"/>
  <c r="H58" i="148" s="1"/>
  <c r="E58" i="148"/>
  <c r="D58" i="148"/>
  <c r="C58" i="148"/>
  <c r="G58" i="148" s="1"/>
  <c r="F57" i="148"/>
  <c r="F69" i="148" s="1"/>
  <c r="E57" i="148"/>
  <c r="E69" i="148" s="1"/>
  <c r="D57" i="148"/>
  <c r="D69" i="148" s="1"/>
  <c r="C57" i="148"/>
  <c r="C69" i="148" s="1"/>
  <c r="F51" i="148"/>
  <c r="E51" i="148"/>
  <c r="D51" i="148"/>
  <c r="H51" i="148" s="1"/>
  <c r="C51" i="148"/>
  <c r="G51" i="148" s="1"/>
  <c r="F50" i="148"/>
  <c r="H50" i="148" s="1"/>
  <c r="E50" i="148"/>
  <c r="D50" i="148"/>
  <c r="C50" i="148"/>
  <c r="G50" i="148" s="1"/>
  <c r="F49" i="148"/>
  <c r="E49" i="148"/>
  <c r="D49" i="148"/>
  <c r="H49" i="148" s="1"/>
  <c r="C49" i="148"/>
  <c r="G49" i="148" s="1"/>
  <c r="F48" i="148"/>
  <c r="H48" i="148" s="1"/>
  <c r="E48" i="148"/>
  <c r="D48" i="148"/>
  <c r="C48" i="148"/>
  <c r="G48" i="148" s="1"/>
  <c r="F47" i="148"/>
  <c r="E47" i="148"/>
  <c r="D47" i="148"/>
  <c r="H47" i="148" s="1"/>
  <c r="C47" i="148"/>
  <c r="G47" i="148" s="1"/>
  <c r="F46" i="148"/>
  <c r="H46" i="148" s="1"/>
  <c r="E46" i="148"/>
  <c r="D46" i="148"/>
  <c r="C46" i="148"/>
  <c r="G46" i="148" s="1"/>
  <c r="F45" i="148"/>
  <c r="E45" i="148"/>
  <c r="D45" i="148"/>
  <c r="H45" i="148" s="1"/>
  <c r="C45" i="148"/>
  <c r="G45" i="148" s="1"/>
  <c r="F44" i="148"/>
  <c r="H44" i="148" s="1"/>
  <c r="E44" i="148"/>
  <c r="D44" i="148"/>
  <c r="C44" i="148"/>
  <c r="G44" i="148" s="1"/>
  <c r="F43" i="148"/>
  <c r="E43" i="148"/>
  <c r="D43" i="148"/>
  <c r="H43" i="148" s="1"/>
  <c r="C43" i="148"/>
  <c r="G43" i="148" s="1"/>
  <c r="F42" i="148"/>
  <c r="H42" i="148" s="1"/>
  <c r="E42" i="148"/>
  <c r="D42" i="148"/>
  <c r="C42" i="148"/>
  <c r="G42" i="148" s="1"/>
  <c r="F41" i="148"/>
  <c r="E41" i="148"/>
  <c r="D41" i="148"/>
  <c r="H41" i="148" s="1"/>
  <c r="C41" i="148"/>
  <c r="G41" i="148" s="1"/>
  <c r="F40" i="148"/>
  <c r="F52" i="148" s="1"/>
  <c r="E40" i="148"/>
  <c r="E52" i="148" s="1"/>
  <c r="D40" i="148"/>
  <c r="D52" i="148" s="1"/>
  <c r="C40" i="148"/>
  <c r="G40" i="148" s="1"/>
  <c r="G52" i="148" s="1"/>
  <c r="E30" i="148"/>
  <c r="E22" i="148"/>
  <c r="E14" i="148"/>
  <c r="C19" i="148" s="1"/>
  <c r="E13" i="148"/>
  <c r="C29" i="148" s="1"/>
  <c r="G37" i="146"/>
  <c r="G35" i="146"/>
  <c r="E35" i="146"/>
  <c r="F35" i="146" s="1"/>
  <c r="G34" i="146"/>
  <c r="E34" i="146"/>
  <c r="F34" i="146" s="1"/>
  <c r="G33" i="146"/>
  <c r="E33" i="146"/>
  <c r="F33" i="146" s="1"/>
  <c r="G32" i="146"/>
  <c r="E32" i="146"/>
  <c r="F32" i="146" s="1"/>
  <c r="G31" i="146"/>
  <c r="E31" i="146"/>
  <c r="F31" i="146" s="1"/>
  <c r="G30" i="146"/>
  <c r="E30" i="146"/>
  <c r="F30" i="146" s="1"/>
  <c r="G29" i="146"/>
  <c r="E29" i="146"/>
  <c r="F29" i="146" s="1"/>
  <c r="G28" i="146"/>
  <c r="E28" i="146"/>
  <c r="F28" i="146" s="1"/>
  <c r="G27" i="146"/>
  <c r="E27" i="146"/>
  <c r="F27" i="146" s="1"/>
  <c r="G26" i="146"/>
  <c r="E26" i="146"/>
  <c r="F26" i="146" s="1"/>
  <c r="G25" i="146"/>
  <c r="E25" i="146"/>
  <c r="F25" i="146" s="1"/>
  <c r="G24" i="146"/>
  <c r="E24" i="146"/>
  <c r="F24" i="146" s="1"/>
  <c r="G23" i="146"/>
  <c r="E23" i="146"/>
  <c r="F23" i="146" s="1"/>
  <c r="G22" i="146"/>
  <c r="F22" i="146"/>
  <c r="G21" i="146"/>
  <c r="F21" i="146"/>
  <c r="G20" i="146"/>
  <c r="F20" i="146"/>
  <c r="G19" i="146"/>
  <c r="F19" i="146"/>
  <c r="G18" i="146"/>
  <c r="F18" i="146"/>
  <c r="G17" i="146"/>
  <c r="F17" i="146"/>
  <c r="G16" i="146"/>
  <c r="F16" i="146"/>
  <c r="G15" i="146"/>
  <c r="F15" i="146"/>
  <c r="G14" i="146"/>
  <c r="F14" i="146"/>
  <c r="H13" i="146"/>
  <c r="H55" i="144"/>
  <c r="F55" i="144"/>
  <c r="G55" i="144" s="1"/>
  <c r="H54" i="144"/>
  <c r="F54" i="144"/>
  <c r="G54" i="144" s="1"/>
  <c r="H53" i="144"/>
  <c r="F53" i="144"/>
  <c r="G53" i="144" s="1"/>
  <c r="H52" i="144"/>
  <c r="F52" i="144"/>
  <c r="G52" i="144" s="1"/>
  <c r="H51" i="144"/>
  <c r="F51" i="144"/>
  <c r="G51" i="144" s="1"/>
  <c r="H50" i="144"/>
  <c r="F50" i="144"/>
  <c r="G50" i="144" s="1"/>
  <c r="H49" i="144"/>
  <c r="F49" i="144"/>
  <c r="G49" i="144" s="1"/>
  <c r="H48" i="144"/>
  <c r="F48" i="144"/>
  <c r="G48" i="144" s="1"/>
  <c r="H47" i="144"/>
  <c r="F47" i="144"/>
  <c r="G47" i="144" s="1"/>
  <c r="H46" i="144"/>
  <c r="F46" i="144"/>
  <c r="G46" i="144" s="1"/>
  <c r="H45" i="144"/>
  <c r="F45" i="144"/>
  <c r="G45" i="144" s="1"/>
  <c r="H44" i="144"/>
  <c r="F44" i="144"/>
  <c r="G44" i="144" s="1"/>
  <c r="H43" i="144"/>
  <c r="F43" i="144"/>
  <c r="G43" i="144" s="1"/>
  <c r="H42" i="144"/>
  <c r="F42" i="144"/>
  <c r="G42" i="144" s="1"/>
  <c r="H41" i="144"/>
  <c r="F41" i="144"/>
  <c r="G41" i="144" s="1"/>
  <c r="H40" i="144"/>
  <c r="F40" i="144"/>
  <c r="G40" i="144" s="1"/>
  <c r="H39" i="144"/>
  <c r="F39" i="144"/>
  <c r="G39" i="144" s="1"/>
  <c r="H38" i="144"/>
  <c r="F38" i="144"/>
  <c r="G38" i="144" s="1"/>
  <c r="H37" i="144"/>
  <c r="F37" i="144"/>
  <c r="G37" i="144" s="1"/>
  <c r="H36" i="144"/>
  <c r="F36" i="144"/>
  <c r="G36" i="144" s="1"/>
  <c r="H35" i="144"/>
  <c r="F35" i="144"/>
  <c r="G35" i="144" s="1"/>
  <c r="H34" i="144"/>
  <c r="F34" i="144"/>
  <c r="G34" i="144" s="1"/>
  <c r="H33" i="144"/>
  <c r="F33" i="144"/>
  <c r="G33" i="144" s="1"/>
  <c r="H32" i="144"/>
  <c r="F32" i="144"/>
  <c r="G32" i="144" s="1"/>
  <c r="H31" i="144"/>
  <c r="F31" i="144"/>
  <c r="G31" i="144" s="1"/>
  <c r="H30" i="144"/>
  <c r="F30" i="144"/>
  <c r="G30" i="144" s="1"/>
  <c r="H29" i="144"/>
  <c r="F29" i="144"/>
  <c r="G29" i="144" s="1"/>
  <c r="H28" i="144"/>
  <c r="F28" i="144"/>
  <c r="G28" i="144" s="1"/>
  <c r="H26" i="144"/>
  <c r="G26" i="144"/>
  <c r="H25" i="144"/>
  <c r="G25" i="144"/>
  <c r="H24" i="144"/>
  <c r="G24" i="144"/>
  <c r="H23" i="144"/>
  <c r="G23" i="144"/>
  <c r="H22" i="144"/>
  <c r="G22" i="144"/>
  <c r="H21" i="144"/>
  <c r="G21" i="144"/>
  <c r="G20" i="144"/>
  <c r="G19" i="144"/>
  <c r="I18" i="144"/>
  <c r="J88" i="143"/>
  <c r="I88" i="143"/>
  <c r="K88" i="143" s="1"/>
  <c r="H88" i="143"/>
  <c r="G88" i="143"/>
  <c r="F88" i="143"/>
  <c r="I87" i="143"/>
  <c r="K87" i="143" s="1"/>
  <c r="H87" i="143"/>
  <c r="G87" i="143"/>
  <c r="F87" i="143"/>
  <c r="J87" i="143" s="1"/>
  <c r="I86" i="143"/>
  <c r="K86" i="143" s="1"/>
  <c r="H86" i="143"/>
  <c r="G86" i="143"/>
  <c r="F86" i="143"/>
  <c r="J86" i="143" s="1"/>
  <c r="I85" i="143"/>
  <c r="K85" i="143" s="1"/>
  <c r="H85" i="143"/>
  <c r="G85" i="143"/>
  <c r="F85" i="143"/>
  <c r="J85" i="143" s="1"/>
  <c r="I84" i="143"/>
  <c r="K84" i="143" s="1"/>
  <c r="H84" i="143"/>
  <c r="G84" i="143"/>
  <c r="F84" i="143"/>
  <c r="J84" i="143" s="1"/>
  <c r="I83" i="143"/>
  <c r="K83" i="143" s="1"/>
  <c r="H83" i="143"/>
  <c r="G83" i="143"/>
  <c r="F83" i="143"/>
  <c r="I82" i="143"/>
  <c r="K82" i="143" s="1"/>
  <c r="H82" i="143"/>
  <c r="G82" i="143"/>
  <c r="F82" i="143"/>
  <c r="J82" i="143" s="1"/>
  <c r="M81" i="143"/>
  <c r="G81" i="143"/>
  <c r="B81" i="143"/>
  <c r="F81" i="143" s="1"/>
  <c r="M80" i="143"/>
  <c r="B80" i="143"/>
  <c r="M79" i="143"/>
  <c r="G79" i="143"/>
  <c r="B79" i="143"/>
  <c r="F79" i="143" s="1"/>
  <c r="M78" i="143"/>
  <c r="B78" i="143"/>
  <c r="M77" i="143"/>
  <c r="G77" i="143"/>
  <c r="B77" i="143"/>
  <c r="F77" i="143" s="1"/>
  <c r="M70" i="143"/>
  <c r="B70" i="143"/>
  <c r="M69" i="143"/>
  <c r="G69" i="143"/>
  <c r="B69" i="143"/>
  <c r="F69" i="143" s="1"/>
  <c r="M68" i="143"/>
  <c r="B68" i="143"/>
  <c r="M67" i="143"/>
  <c r="G67" i="143"/>
  <c r="B67" i="143"/>
  <c r="F67" i="143" s="1"/>
  <c r="M66" i="143"/>
  <c r="B66" i="143"/>
  <c r="M65" i="143"/>
  <c r="G65" i="143"/>
  <c r="B65" i="143"/>
  <c r="F65" i="143" s="1"/>
  <c r="M64" i="143"/>
  <c r="B64" i="143"/>
  <c r="M63" i="143"/>
  <c r="G63" i="143"/>
  <c r="B63" i="143"/>
  <c r="F63" i="143" s="1"/>
  <c r="M62" i="143"/>
  <c r="B62" i="143"/>
  <c r="M61" i="143"/>
  <c r="G61" i="143"/>
  <c r="B61" i="143"/>
  <c r="F61" i="143" s="1"/>
  <c r="M60" i="143"/>
  <c r="B60" i="143"/>
  <c r="M59" i="143"/>
  <c r="G59" i="143"/>
  <c r="B59" i="143"/>
  <c r="F59" i="143" s="1"/>
  <c r="I52" i="143"/>
  <c r="K52" i="143" s="1"/>
  <c r="O52" i="143" s="1"/>
  <c r="H52" i="143"/>
  <c r="G52" i="143"/>
  <c r="F52" i="143"/>
  <c r="J52" i="143" s="1"/>
  <c r="N52" i="143" s="1"/>
  <c r="I51" i="143"/>
  <c r="K51" i="143" s="1"/>
  <c r="O51" i="143" s="1"/>
  <c r="H51" i="143"/>
  <c r="G51" i="143"/>
  <c r="F51" i="143"/>
  <c r="J51" i="143" s="1"/>
  <c r="N51" i="143" s="1"/>
  <c r="I50" i="143"/>
  <c r="K50" i="143" s="1"/>
  <c r="O50" i="143" s="1"/>
  <c r="H50" i="143"/>
  <c r="G50" i="143"/>
  <c r="F50" i="143"/>
  <c r="I49" i="143"/>
  <c r="K49" i="143" s="1"/>
  <c r="O49" i="143" s="1"/>
  <c r="H49" i="143"/>
  <c r="G49" i="143"/>
  <c r="F49" i="143"/>
  <c r="I48" i="143"/>
  <c r="K48" i="143" s="1"/>
  <c r="O48" i="143" s="1"/>
  <c r="H48" i="143"/>
  <c r="G48" i="143"/>
  <c r="F48" i="143"/>
  <c r="J48" i="143" s="1"/>
  <c r="N48" i="143" s="1"/>
  <c r="I47" i="143"/>
  <c r="K47" i="143" s="1"/>
  <c r="O47" i="143" s="1"/>
  <c r="H47" i="143"/>
  <c r="G47" i="143"/>
  <c r="F47" i="143"/>
  <c r="J47" i="143" s="1"/>
  <c r="N47" i="143" s="1"/>
  <c r="I46" i="143"/>
  <c r="K46" i="143" s="1"/>
  <c r="O46" i="143" s="1"/>
  <c r="H46" i="143"/>
  <c r="G46" i="143"/>
  <c r="F46" i="143"/>
  <c r="I45" i="143"/>
  <c r="K45" i="143" s="1"/>
  <c r="O45" i="143" s="1"/>
  <c r="H45" i="143"/>
  <c r="G45" i="143"/>
  <c r="F45" i="143"/>
  <c r="I44" i="143"/>
  <c r="K44" i="143" s="1"/>
  <c r="O44" i="143" s="1"/>
  <c r="H44" i="143"/>
  <c r="G44" i="143"/>
  <c r="F44" i="143"/>
  <c r="J44" i="143" s="1"/>
  <c r="N44" i="143" s="1"/>
  <c r="I43" i="143"/>
  <c r="K43" i="143" s="1"/>
  <c r="O43" i="143" s="1"/>
  <c r="H43" i="143"/>
  <c r="G43" i="143"/>
  <c r="F43" i="143"/>
  <c r="J43" i="143" s="1"/>
  <c r="N43" i="143" s="1"/>
  <c r="I42" i="143"/>
  <c r="K42" i="143" s="1"/>
  <c r="O42" i="143" s="1"/>
  <c r="H42" i="143"/>
  <c r="G42" i="143"/>
  <c r="F42" i="143"/>
  <c r="I41" i="143"/>
  <c r="K41" i="143" s="1"/>
  <c r="H41" i="143"/>
  <c r="H54" i="143" s="1"/>
  <c r="G41" i="143"/>
  <c r="G54" i="143" s="1"/>
  <c r="F41" i="143"/>
  <c r="F54" i="143" s="1"/>
  <c r="H35" i="143"/>
  <c r="F35" i="143"/>
  <c r="J35" i="143" s="1"/>
  <c r="N35" i="143" s="1"/>
  <c r="B35" i="143"/>
  <c r="G35" i="143" s="1"/>
  <c r="B34" i="143"/>
  <c r="J33" i="143"/>
  <c r="N33" i="143" s="1"/>
  <c r="H33" i="143"/>
  <c r="F33" i="143"/>
  <c r="B33" i="143"/>
  <c r="I33" i="143" s="1"/>
  <c r="G32" i="143"/>
  <c r="B32" i="143"/>
  <c r="F32" i="143" s="1"/>
  <c r="H31" i="143"/>
  <c r="F31" i="143"/>
  <c r="B31" i="143"/>
  <c r="G31" i="143" s="1"/>
  <c r="I30" i="143"/>
  <c r="B30" i="143"/>
  <c r="H29" i="143"/>
  <c r="F29" i="143"/>
  <c r="J29" i="143" s="1"/>
  <c r="N29" i="143" s="1"/>
  <c r="B29" i="143"/>
  <c r="I29" i="143" s="1"/>
  <c r="G28" i="143"/>
  <c r="B28" i="143"/>
  <c r="F28" i="143" s="1"/>
  <c r="H27" i="143"/>
  <c r="F27" i="143"/>
  <c r="J27" i="143" s="1"/>
  <c r="N27" i="143" s="1"/>
  <c r="B27" i="143"/>
  <c r="G27" i="143" s="1"/>
  <c r="B26" i="143"/>
  <c r="J25" i="143"/>
  <c r="N25" i="143" s="1"/>
  <c r="H25" i="143"/>
  <c r="F25" i="143"/>
  <c r="B25" i="143"/>
  <c r="I25" i="143" s="1"/>
  <c r="G24" i="143"/>
  <c r="B24" i="143"/>
  <c r="F24" i="143" s="1"/>
  <c r="H20" i="143"/>
  <c r="I70" i="141"/>
  <c r="E70" i="141"/>
  <c r="F70" i="141" s="1"/>
  <c r="G70" i="141" s="1"/>
  <c r="I69" i="141"/>
  <c r="E69" i="141"/>
  <c r="F69" i="141" s="1"/>
  <c r="G69" i="141" s="1"/>
  <c r="I68" i="141"/>
  <c r="E68" i="141"/>
  <c r="F68" i="141" s="1"/>
  <c r="G68" i="141" s="1"/>
  <c r="I67" i="141"/>
  <c r="E67" i="141"/>
  <c r="F67" i="141" s="1"/>
  <c r="G67" i="141" s="1"/>
  <c r="I66" i="141"/>
  <c r="E66" i="141"/>
  <c r="F66" i="141" s="1"/>
  <c r="G66" i="141" s="1"/>
  <c r="I65" i="141"/>
  <c r="E65" i="141"/>
  <c r="F65" i="141" s="1"/>
  <c r="G65" i="141" s="1"/>
  <c r="I64" i="141"/>
  <c r="E64" i="141"/>
  <c r="F64" i="141" s="1"/>
  <c r="G64" i="141" s="1"/>
  <c r="I63" i="141"/>
  <c r="E63" i="141"/>
  <c r="F63" i="141" s="1"/>
  <c r="G63" i="141" s="1"/>
  <c r="I62" i="141"/>
  <c r="E62" i="141"/>
  <c r="F62" i="141" s="1"/>
  <c r="G62" i="141" s="1"/>
  <c r="I61" i="141"/>
  <c r="E61" i="141"/>
  <c r="F61" i="141" s="1"/>
  <c r="G61" i="141" s="1"/>
  <c r="I60" i="141"/>
  <c r="E60" i="141"/>
  <c r="F60" i="141" s="1"/>
  <c r="G60" i="141" s="1"/>
  <c r="I59" i="141"/>
  <c r="E59" i="141"/>
  <c r="F59" i="141" s="1"/>
  <c r="G59" i="141" s="1"/>
  <c r="I58" i="141"/>
  <c r="E58" i="141"/>
  <c r="F58" i="141" s="1"/>
  <c r="G58" i="141" s="1"/>
  <c r="I57" i="141"/>
  <c r="E57" i="141"/>
  <c r="F57" i="141" s="1"/>
  <c r="G57" i="141" s="1"/>
  <c r="I56" i="141"/>
  <c r="E56" i="141"/>
  <c r="F56" i="141" s="1"/>
  <c r="G56" i="141" s="1"/>
  <c r="I55" i="141"/>
  <c r="E55" i="141"/>
  <c r="F55" i="141" s="1"/>
  <c r="G55" i="141" s="1"/>
  <c r="I54" i="141"/>
  <c r="E54" i="141"/>
  <c r="F54" i="141" s="1"/>
  <c r="G54" i="141" s="1"/>
  <c r="I53" i="141"/>
  <c r="E53" i="141"/>
  <c r="F53" i="141" s="1"/>
  <c r="G53" i="141" s="1"/>
  <c r="I52" i="141"/>
  <c r="E52" i="141"/>
  <c r="F52" i="141" s="1"/>
  <c r="G52" i="141" s="1"/>
  <c r="I51" i="141"/>
  <c r="E51" i="141"/>
  <c r="F51" i="141" s="1"/>
  <c r="G51" i="141" s="1"/>
  <c r="I50" i="141"/>
  <c r="E50" i="141"/>
  <c r="F50" i="141" s="1"/>
  <c r="G50" i="141" s="1"/>
  <c r="I49" i="141"/>
  <c r="E49" i="141"/>
  <c r="F49" i="141" s="1"/>
  <c r="G49" i="141" s="1"/>
  <c r="I48" i="141"/>
  <c r="E48" i="141"/>
  <c r="F48" i="141" s="1"/>
  <c r="G48" i="141" s="1"/>
  <c r="I47" i="141"/>
  <c r="E47" i="141"/>
  <c r="F47" i="141" s="1"/>
  <c r="G47" i="141" s="1"/>
  <c r="I46" i="141"/>
  <c r="E46" i="141"/>
  <c r="F46" i="141" s="1"/>
  <c r="G46" i="141" s="1"/>
  <c r="I45" i="141"/>
  <c r="E45" i="141"/>
  <c r="F45" i="141" s="1"/>
  <c r="G45" i="141" s="1"/>
  <c r="I44" i="141"/>
  <c r="E44" i="141"/>
  <c r="F44" i="141" s="1"/>
  <c r="G44" i="141" s="1"/>
  <c r="I43" i="141"/>
  <c r="E43" i="141"/>
  <c r="F43" i="141" s="1"/>
  <c r="G43" i="141" s="1"/>
  <c r="I42" i="141"/>
  <c r="E42" i="141"/>
  <c r="F42" i="141" s="1"/>
  <c r="G42" i="141" s="1"/>
  <c r="I41" i="141"/>
  <c r="E41" i="141"/>
  <c r="F41" i="141" s="1"/>
  <c r="G41" i="141" s="1"/>
  <c r="I40" i="141"/>
  <c r="E40" i="141"/>
  <c r="F40" i="141" s="1"/>
  <c r="G40" i="141" s="1"/>
  <c r="I39" i="141"/>
  <c r="E39" i="141"/>
  <c r="F39" i="141" s="1"/>
  <c r="G39" i="141" s="1"/>
  <c r="I38" i="141"/>
  <c r="E38" i="141"/>
  <c r="F38" i="141" s="1"/>
  <c r="G38" i="141" s="1"/>
  <c r="I37" i="141"/>
  <c r="E37" i="141"/>
  <c r="F37" i="141" s="1"/>
  <c r="G37" i="141" s="1"/>
  <c r="I36" i="141"/>
  <c r="E36" i="141"/>
  <c r="F36" i="141" s="1"/>
  <c r="G36" i="141" s="1"/>
  <c r="I35" i="141"/>
  <c r="E35" i="141"/>
  <c r="F35" i="141" s="1"/>
  <c r="G35" i="141" s="1"/>
  <c r="I34" i="141"/>
  <c r="E34" i="141"/>
  <c r="F34" i="141" s="1"/>
  <c r="G34" i="141" s="1"/>
  <c r="I33" i="141"/>
  <c r="E33" i="141"/>
  <c r="F33" i="141" s="1"/>
  <c r="G33" i="141" s="1"/>
  <c r="I32" i="141"/>
  <c r="E32" i="141"/>
  <c r="F32" i="141" s="1"/>
  <c r="G32" i="141" s="1"/>
  <c r="I31" i="141"/>
  <c r="E31" i="141"/>
  <c r="F31" i="141" s="1"/>
  <c r="G31" i="141" s="1"/>
  <c r="I30" i="141"/>
  <c r="E30" i="141"/>
  <c r="F30" i="141" s="1"/>
  <c r="G30" i="141" s="1"/>
  <c r="I29" i="141"/>
  <c r="E29" i="141"/>
  <c r="F29" i="141" s="1"/>
  <c r="G29" i="141" s="1"/>
  <c r="I28" i="141"/>
  <c r="E28" i="141"/>
  <c r="F28" i="141" s="1"/>
  <c r="G28" i="141" s="1"/>
  <c r="I27" i="141"/>
  <c r="E27" i="141"/>
  <c r="F27" i="141" s="1"/>
  <c r="G27" i="141" s="1"/>
  <c r="I26" i="141"/>
  <c r="E26" i="141"/>
  <c r="F26" i="141" s="1"/>
  <c r="G26" i="141" s="1"/>
  <c r="I25" i="141"/>
  <c r="E25" i="141"/>
  <c r="F25" i="141" s="1"/>
  <c r="G25" i="141" s="1"/>
  <c r="I24" i="141"/>
  <c r="E24" i="141"/>
  <c r="F24" i="141" s="1"/>
  <c r="G24" i="141" s="1"/>
  <c r="I23" i="141"/>
  <c r="E23" i="141"/>
  <c r="F23" i="141" s="1"/>
  <c r="G23" i="141" s="1"/>
  <c r="I22" i="141"/>
  <c r="E22" i="141"/>
  <c r="F22" i="141" s="1"/>
  <c r="G22" i="141" s="1"/>
  <c r="I21" i="141"/>
  <c r="E21" i="141"/>
  <c r="F21" i="141" s="1"/>
  <c r="G21" i="141" s="1"/>
  <c r="I20" i="141"/>
  <c r="E20" i="141"/>
  <c r="F20" i="141" s="1"/>
  <c r="G20" i="141" s="1"/>
  <c r="I19" i="141"/>
  <c r="E19" i="141"/>
  <c r="F19" i="141" s="1"/>
  <c r="G19" i="141" s="1"/>
  <c r="I18" i="141"/>
  <c r="E18" i="141"/>
  <c r="F18" i="141" s="1"/>
  <c r="G18" i="141" s="1"/>
  <c r="I14" i="141"/>
  <c r="E14" i="141"/>
  <c r="F14" i="141" s="1"/>
  <c r="G14" i="141" s="1"/>
  <c r="I13" i="141"/>
  <c r="E13" i="141"/>
  <c r="F13" i="141" s="1"/>
  <c r="G13" i="141" s="1"/>
  <c r="I12" i="141"/>
  <c r="E12" i="141"/>
  <c r="F12" i="141" s="1"/>
  <c r="G12" i="141" s="1"/>
  <c r="I11" i="141"/>
  <c r="E11" i="141"/>
  <c r="F11" i="141" s="1"/>
  <c r="G11" i="141" s="1"/>
  <c r="J11" i="141" s="1"/>
  <c r="I10" i="141"/>
  <c r="E10" i="141"/>
  <c r="F10" i="141" s="1"/>
  <c r="G10" i="141" s="1"/>
  <c r="J10" i="141" s="1"/>
  <c r="I9" i="141"/>
  <c r="E9" i="141"/>
  <c r="F9" i="141" s="1"/>
  <c r="G9" i="141" s="1"/>
  <c r="J9" i="141" s="1"/>
  <c r="H89" i="140"/>
  <c r="F89" i="140"/>
  <c r="G89" i="140" s="1"/>
  <c r="H88" i="140"/>
  <c r="F88" i="140"/>
  <c r="G88" i="140" s="1"/>
  <c r="H87" i="140"/>
  <c r="F87" i="140"/>
  <c r="G87" i="140" s="1"/>
  <c r="H86" i="140"/>
  <c r="F86" i="140"/>
  <c r="G86" i="140" s="1"/>
  <c r="H85" i="140"/>
  <c r="F85" i="140"/>
  <c r="G85" i="140" s="1"/>
  <c r="H84" i="140"/>
  <c r="F84" i="140"/>
  <c r="G84" i="140" s="1"/>
  <c r="H83" i="140"/>
  <c r="F83" i="140"/>
  <c r="G83" i="140" s="1"/>
  <c r="H82" i="140"/>
  <c r="F82" i="140"/>
  <c r="G82" i="140" s="1"/>
  <c r="H81" i="140"/>
  <c r="F81" i="140"/>
  <c r="G81" i="140" s="1"/>
  <c r="H80" i="140"/>
  <c r="F80" i="140"/>
  <c r="G80" i="140" s="1"/>
  <c r="H79" i="140"/>
  <c r="F79" i="140"/>
  <c r="G79" i="140" s="1"/>
  <c r="H78" i="140"/>
  <c r="F78" i="140"/>
  <c r="G78" i="140" s="1"/>
  <c r="H77" i="140"/>
  <c r="F77" i="140"/>
  <c r="G77" i="140" s="1"/>
  <c r="H76" i="140"/>
  <c r="F76" i="140"/>
  <c r="G76" i="140" s="1"/>
  <c r="H75" i="140"/>
  <c r="F75" i="140"/>
  <c r="G75" i="140" s="1"/>
  <c r="H74" i="140"/>
  <c r="F74" i="140"/>
  <c r="G74" i="140" s="1"/>
  <c r="H73" i="140"/>
  <c r="F73" i="140"/>
  <c r="G73" i="140" s="1"/>
  <c r="H72" i="140"/>
  <c r="F72" i="140"/>
  <c r="G72" i="140" s="1"/>
  <c r="H71" i="140"/>
  <c r="F71" i="140"/>
  <c r="G71" i="140" s="1"/>
  <c r="H70" i="140"/>
  <c r="F70" i="140"/>
  <c r="G70" i="140" s="1"/>
  <c r="H69" i="140"/>
  <c r="F69" i="140"/>
  <c r="G69" i="140" s="1"/>
  <c r="H68" i="140"/>
  <c r="F68" i="140"/>
  <c r="G68" i="140" s="1"/>
  <c r="H67" i="140"/>
  <c r="F67" i="140"/>
  <c r="G67" i="140" s="1"/>
  <c r="H66" i="140"/>
  <c r="F66" i="140"/>
  <c r="G66" i="140" s="1"/>
  <c r="H65" i="140"/>
  <c r="F65" i="140"/>
  <c r="G65" i="140" s="1"/>
  <c r="H64" i="140"/>
  <c r="F64" i="140"/>
  <c r="G64" i="140" s="1"/>
  <c r="H63" i="140"/>
  <c r="F63" i="140"/>
  <c r="G63" i="140" s="1"/>
  <c r="H62" i="140"/>
  <c r="F62" i="140"/>
  <c r="G62" i="140" s="1"/>
  <c r="H61" i="140"/>
  <c r="F61" i="140"/>
  <c r="G61" i="140" s="1"/>
  <c r="H60" i="140"/>
  <c r="F60" i="140"/>
  <c r="G60" i="140" s="1"/>
  <c r="H59" i="140"/>
  <c r="F59" i="140"/>
  <c r="G59" i="140" s="1"/>
  <c r="H58" i="140"/>
  <c r="F58" i="140"/>
  <c r="G58" i="140" s="1"/>
  <c r="H57" i="140"/>
  <c r="F57" i="140"/>
  <c r="G57" i="140" s="1"/>
  <c r="H56" i="140"/>
  <c r="F56" i="140"/>
  <c r="G56" i="140" s="1"/>
  <c r="H55" i="140"/>
  <c r="F55" i="140"/>
  <c r="G55" i="140" s="1"/>
  <c r="H54" i="140"/>
  <c r="F54" i="140"/>
  <c r="G54" i="140" s="1"/>
  <c r="H53" i="140"/>
  <c r="F53" i="140"/>
  <c r="G53" i="140" s="1"/>
  <c r="H52" i="140"/>
  <c r="F52" i="140"/>
  <c r="G52" i="140" s="1"/>
  <c r="H51" i="140"/>
  <c r="F51" i="140"/>
  <c r="G51" i="140" s="1"/>
  <c r="H50" i="140"/>
  <c r="F50" i="140"/>
  <c r="G50" i="140" s="1"/>
  <c r="H49" i="140"/>
  <c r="F49" i="140"/>
  <c r="G49" i="140" s="1"/>
  <c r="H48" i="140"/>
  <c r="F48" i="140"/>
  <c r="G48" i="140" s="1"/>
  <c r="H47" i="140"/>
  <c r="F47" i="140"/>
  <c r="G47" i="140" s="1"/>
  <c r="H46" i="140"/>
  <c r="F46" i="140"/>
  <c r="G46" i="140" s="1"/>
  <c r="H45" i="140"/>
  <c r="F45" i="140"/>
  <c r="G45" i="140" s="1"/>
  <c r="H44" i="140"/>
  <c r="F44" i="140"/>
  <c r="G44" i="140" s="1"/>
  <c r="H43" i="140"/>
  <c r="F43" i="140"/>
  <c r="G43" i="140" s="1"/>
  <c r="H42" i="140"/>
  <c r="F42" i="140"/>
  <c r="G42" i="140" s="1"/>
  <c r="H41" i="140"/>
  <c r="F41" i="140"/>
  <c r="G41" i="140" s="1"/>
  <c r="H40" i="140"/>
  <c r="F40" i="140"/>
  <c r="G40" i="140" s="1"/>
  <c r="H39" i="140"/>
  <c r="F39" i="140"/>
  <c r="G39" i="140" s="1"/>
  <c r="H38" i="140"/>
  <c r="F38" i="140"/>
  <c r="G38" i="140" s="1"/>
  <c r="H37" i="140"/>
  <c r="F37" i="140"/>
  <c r="G37" i="140" s="1"/>
  <c r="H36" i="140"/>
  <c r="F36" i="140"/>
  <c r="G36" i="140" s="1"/>
  <c r="H35" i="140"/>
  <c r="F35" i="140"/>
  <c r="G35" i="140" s="1"/>
  <c r="H34" i="140"/>
  <c r="F34" i="140"/>
  <c r="G34" i="140" s="1"/>
  <c r="H33" i="140"/>
  <c r="F33" i="140"/>
  <c r="G33" i="140" s="1"/>
  <c r="H32" i="140"/>
  <c r="F32" i="140"/>
  <c r="H31" i="140"/>
  <c r="G31" i="140"/>
  <c r="H30" i="140"/>
  <c r="G30" i="140"/>
  <c r="H29" i="140"/>
  <c r="G29" i="140"/>
  <c r="H28" i="140"/>
  <c r="G28" i="140"/>
  <c r="H27" i="140"/>
  <c r="G27" i="140"/>
  <c r="H26" i="140"/>
  <c r="G26" i="140"/>
  <c r="H25" i="140"/>
  <c r="G25" i="140"/>
  <c r="H24" i="140"/>
  <c r="G24" i="140"/>
  <c r="H23" i="140"/>
  <c r="G23" i="140"/>
  <c r="H22" i="140"/>
  <c r="G22" i="140"/>
  <c r="D95" i="140"/>
  <c r="I95" i="140" s="1"/>
  <c r="H133" i="139"/>
  <c r="E133" i="139"/>
  <c r="F133" i="139" s="1"/>
  <c r="H132" i="139"/>
  <c r="E132" i="139"/>
  <c r="F132" i="139" s="1"/>
  <c r="H131" i="139"/>
  <c r="E131" i="139"/>
  <c r="F131" i="139" s="1"/>
  <c r="H130" i="139"/>
  <c r="E130" i="139"/>
  <c r="F130" i="139" s="1"/>
  <c r="H129" i="139"/>
  <c r="E129" i="139"/>
  <c r="F129" i="139" s="1"/>
  <c r="H128" i="139"/>
  <c r="E128" i="139"/>
  <c r="F128" i="139" s="1"/>
  <c r="H127" i="139"/>
  <c r="E127" i="139"/>
  <c r="F127" i="139" s="1"/>
  <c r="H126" i="139"/>
  <c r="E126" i="139"/>
  <c r="F126" i="139" s="1"/>
  <c r="H125" i="139"/>
  <c r="E125" i="139"/>
  <c r="F125" i="139" s="1"/>
  <c r="H124" i="139"/>
  <c r="E124" i="139"/>
  <c r="F124" i="139" s="1"/>
  <c r="H123" i="139"/>
  <c r="E123" i="139"/>
  <c r="F123" i="139" s="1"/>
  <c r="H122" i="139"/>
  <c r="E122" i="139"/>
  <c r="F122" i="139" s="1"/>
  <c r="H121" i="139"/>
  <c r="E121" i="139"/>
  <c r="F121" i="139" s="1"/>
  <c r="H120" i="139"/>
  <c r="E120" i="139"/>
  <c r="F120" i="139" s="1"/>
  <c r="H119" i="139"/>
  <c r="E119" i="139"/>
  <c r="F119" i="139" s="1"/>
  <c r="H118" i="139"/>
  <c r="E118" i="139"/>
  <c r="F118" i="139" s="1"/>
  <c r="H117" i="139"/>
  <c r="E117" i="139"/>
  <c r="F117" i="139" s="1"/>
  <c r="H116" i="139"/>
  <c r="E116" i="139"/>
  <c r="F116" i="139" s="1"/>
  <c r="H115" i="139"/>
  <c r="E115" i="139"/>
  <c r="F115" i="139" s="1"/>
  <c r="H114" i="139"/>
  <c r="E114" i="139"/>
  <c r="F114" i="139" s="1"/>
  <c r="H113" i="139"/>
  <c r="E113" i="139"/>
  <c r="G113" i="139" s="1"/>
  <c r="H112" i="139"/>
  <c r="E112" i="139"/>
  <c r="G112" i="139" s="1"/>
  <c r="H111" i="139"/>
  <c r="E111" i="139"/>
  <c r="G111" i="139" s="1"/>
  <c r="H110" i="139"/>
  <c r="E110" i="139"/>
  <c r="F110" i="139" s="1"/>
  <c r="H109" i="139"/>
  <c r="E109" i="139"/>
  <c r="G109" i="139" s="1"/>
  <c r="H108" i="139"/>
  <c r="E108" i="139"/>
  <c r="G108" i="139" s="1"/>
  <c r="H107" i="139"/>
  <c r="E107" i="139"/>
  <c r="G107" i="139" s="1"/>
  <c r="H106" i="139"/>
  <c r="E106" i="139"/>
  <c r="G106" i="139" s="1"/>
  <c r="H105" i="139"/>
  <c r="E105" i="139"/>
  <c r="G105" i="139" s="1"/>
  <c r="H104" i="139"/>
  <c r="E104" i="139"/>
  <c r="G104" i="139" s="1"/>
  <c r="H103" i="139"/>
  <c r="E103" i="139"/>
  <c r="G103" i="139" s="1"/>
  <c r="H102" i="139"/>
  <c r="E102" i="139"/>
  <c r="F102" i="139" s="1"/>
  <c r="H101" i="139"/>
  <c r="E101" i="139"/>
  <c r="G101" i="139" s="1"/>
  <c r="H100" i="139"/>
  <c r="E100" i="139"/>
  <c r="G100" i="139" s="1"/>
  <c r="H99" i="139"/>
  <c r="E99" i="139"/>
  <c r="G99" i="139" s="1"/>
  <c r="H98" i="139"/>
  <c r="E98" i="139"/>
  <c r="G98" i="139" s="1"/>
  <c r="H97" i="139"/>
  <c r="E97" i="139"/>
  <c r="G97" i="139" s="1"/>
  <c r="H96" i="139"/>
  <c r="E96" i="139"/>
  <c r="G96" i="139" s="1"/>
  <c r="H95" i="139"/>
  <c r="E95" i="139"/>
  <c r="G95" i="139" s="1"/>
  <c r="H94" i="139"/>
  <c r="E94" i="139"/>
  <c r="F94" i="139" s="1"/>
  <c r="H93" i="139"/>
  <c r="E93" i="139"/>
  <c r="G93" i="139" s="1"/>
  <c r="H92" i="139"/>
  <c r="E92" i="139"/>
  <c r="F92" i="139" s="1"/>
  <c r="H91" i="139"/>
  <c r="E91" i="139"/>
  <c r="G91" i="139" s="1"/>
  <c r="H90" i="139"/>
  <c r="E90" i="139"/>
  <c r="G90" i="139" s="1"/>
  <c r="H89" i="139"/>
  <c r="E89" i="139"/>
  <c r="G89" i="139" s="1"/>
  <c r="H88" i="139"/>
  <c r="E88" i="139"/>
  <c r="G88" i="139" s="1"/>
  <c r="H87" i="139"/>
  <c r="E87" i="139"/>
  <c r="G87" i="139" s="1"/>
  <c r="H86" i="139"/>
  <c r="E86" i="139"/>
  <c r="F86" i="139" s="1"/>
  <c r="H85" i="139"/>
  <c r="E85" i="139"/>
  <c r="G85" i="139" s="1"/>
  <c r="H84" i="139"/>
  <c r="E84" i="139"/>
  <c r="G84" i="139" s="1"/>
  <c r="H83" i="139"/>
  <c r="E83" i="139"/>
  <c r="G83" i="139" s="1"/>
  <c r="H82" i="139"/>
  <c r="E82" i="139"/>
  <c r="G82" i="139" s="1"/>
  <c r="H81" i="139"/>
  <c r="E81" i="139"/>
  <c r="G81" i="139" s="1"/>
  <c r="H80" i="139"/>
  <c r="E80" i="139"/>
  <c r="G80" i="139" s="1"/>
  <c r="H79" i="139"/>
  <c r="E79" i="139"/>
  <c r="G79" i="139" s="1"/>
  <c r="H78" i="139"/>
  <c r="E78" i="139"/>
  <c r="F78" i="139" s="1"/>
  <c r="H77" i="139"/>
  <c r="E77" i="139"/>
  <c r="G77" i="139" s="1"/>
  <c r="H76" i="139"/>
  <c r="E76" i="139"/>
  <c r="G76" i="139" s="1"/>
  <c r="H75" i="139"/>
  <c r="E75" i="139"/>
  <c r="G75" i="139" s="1"/>
  <c r="H74" i="139"/>
  <c r="E74" i="139"/>
  <c r="G74" i="139" s="1"/>
  <c r="H73" i="139"/>
  <c r="E73" i="139"/>
  <c r="G73" i="139" s="1"/>
  <c r="H72" i="139"/>
  <c r="E72" i="139"/>
  <c r="G72" i="139" s="1"/>
  <c r="H71" i="139"/>
  <c r="E71" i="139"/>
  <c r="G71" i="139" s="1"/>
  <c r="H70" i="139"/>
  <c r="E70" i="139"/>
  <c r="F70" i="139" s="1"/>
  <c r="H69" i="139"/>
  <c r="E69" i="139"/>
  <c r="G69" i="139" s="1"/>
  <c r="H68" i="139"/>
  <c r="E68" i="139"/>
  <c r="G68" i="139" s="1"/>
  <c r="H67" i="139"/>
  <c r="E67" i="139"/>
  <c r="G67" i="139" s="1"/>
  <c r="H66" i="139"/>
  <c r="E66" i="139"/>
  <c r="G66" i="139" s="1"/>
  <c r="H65" i="139"/>
  <c r="E65" i="139"/>
  <c r="G65" i="139" s="1"/>
  <c r="H64" i="139"/>
  <c r="E64" i="139"/>
  <c r="G64" i="139" s="1"/>
  <c r="H63" i="139"/>
  <c r="E63" i="139"/>
  <c r="G63" i="139" s="1"/>
  <c r="H62" i="139"/>
  <c r="E62" i="139"/>
  <c r="F62" i="139" s="1"/>
  <c r="H61" i="139"/>
  <c r="E61" i="139"/>
  <c r="G61" i="139" s="1"/>
  <c r="H60" i="139"/>
  <c r="E60" i="139"/>
  <c r="F60" i="139" s="1"/>
  <c r="H59" i="139"/>
  <c r="E59" i="139"/>
  <c r="G59" i="139" s="1"/>
  <c r="H58" i="139"/>
  <c r="E58" i="139"/>
  <c r="G58" i="139" s="1"/>
  <c r="H57" i="139"/>
  <c r="E57" i="139"/>
  <c r="G57" i="139" s="1"/>
  <c r="H56" i="139"/>
  <c r="E56" i="139"/>
  <c r="G56" i="139" s="1"/>
  <c r="H55" i="139"/>
  <c r="E55" i="139"/>
  <c r="G55" i="139" s="1"/>
  <c r="H54" i="139"/>
  <c r="E54" i="139"/>
  <c r="F54" i="139" s="1"/>
  <c r="H53" i="139"/>
  <c r="E53" i="139"/>
  <c r="G53" i="139" s="1"/>
  <c r="H52" i="139"/>
  <c r="E52" i="139"/>
  <c r="G52" i="139" s="1"/>
  <c r="H51" i="139"/>
  <c r="E51" i="139"/>
  <c r="G51" i="139" s="1"/>
  <c r="H50" i="139"/>
  <c r="E50" i="139"/>
  <c r="G50" i="139" s="1"/>
  <c r="H29" i="139"/>
  <c r="F28" i="139"/>
  <c r="H28" i="139"/>
  <c r="F27" i="139"/>
  <c r="H27" i="139"/>
  <c r="F26" i="139"/>
  <c r="H26" i="139"/>
  <c r="F25" i="139"/>
  <c r="H25" i="139"/>
  <c r="F24" i="139"/>
  <c r="H24" i="139"/>
  <c r="F23" i="139"/>
  <c r="H23" i="139"/>
  <c r="F22" i="139"/>
  <c r="H22" i="139"/>
  <c r="F21" i="139"/>
  <c r="H21" i="139"/>
  <c r="F20" i="139"/>
  <c r="H20" i="139"/>
  <c r="F19" i="139"/>
  <c r="H19" i="139"/>
  <c r="F18" i="139"/>
  <c r="H18" i="139"/>
  <c r="F17" i="139"/>
  <c r="H17" i="139"/>
  <c r="F16" i="139"/>
  <c r="H16" i="139"/>
  <c r="D12" i="139"/>
  <c r="B9" i="139"/>
  <c r="O83" i="37" l="1"/>
  <c r="O87" i="37"/>
  <c r="H210" i="152"/>
  <c r="C213" i="152" s="1"/>
  <c r="C216" i="152" s="1"/>
  <c r="E404" i="149"/>
  <c r="D402" i="149"/>
  <c r="E402" i="149" s="1"/>
  <c r="D401" i="149"/>
  <c r="D403" i="149"/>
  <c r="E403" i="149" s="1"/>
  <c r="H45" i="146"/>
  <c r="H46" i="146"/>
  <c r="H47" i="146"/>
  <c r="E399" i="149"/>
  <c r="H44" i="146"/>
  <c r="H16" i="146"/>
  <c r="H20" i="146"/>
  <c r="H24" i="146"/>
  <c r="H28" i="146"/>
  <c r="H32" i="146"/>
  <c r="H36" i="146"/>
  <c r="H40" i="146"/>
  <c r="H15" i="146"/>
  <c r="H17" i="146"/>
  <c r="H21" i="146"/>
  <c r="H25" i="146"/>
  <c r="H29" i="146"/>
  <c r="H33" i="146"/>
  <c r="H37" i="146"/>
  <c r="H41" i="146"/>
  <c r="H14" i="146"/>
  <c r="H18" i="146"/>
  <c r="H26" i="146"/>
  <c r="H30" i="146"/>
  <c r="H34" i="146"/>
  <c r="H38" i="146"/>
  <c r="H42" i="146"/>
  <c r="H39" i="146"/>
  <c r="H22" i="146"/>
  <c r="H19" i="146"/>
  <c r="H23" i="146"/>
  <c r="H27" i="146"/>
  <c r="H31" i="146"/>
  <c r="H35" i="146"/>
  <c r="H43" i="146"/>
  <c r="G78" i="139"/>
  <c r="G92" i="139"/>
  <c r="G60" i="139"/>
  <c r="F81" i="139"/>
  <c r="J95" i="140"/>
  <c r="D93" i="140"/>
  <c r="I93" i="140" s="1"/>
  <c r="D94" i="140"/>
  <c r="I94" i="140" s="1"/>
  <c r="D91" i="140"/>
  <c r="I91" i="140" s="1"/>
  <c r="D92" i="140"/>
  <c r="I92" i="140" s="1"/>
  <c r="I79" i="170"/>
  <c r="E80" i="170" s="1"/>
  <c r="L28" i="152"/>
  <c r="C55" i="146"/>
  <c r="F76" i="139"/>
  <c r="F77" i="139"/>
  <c r="F80" i="139"/>
  <c r="F108" i="139"/>
  <c r="F50" i="139"/>
  <c r="G62" i="139"/>
  <c r="F65" i="139"/>
  <c r="F96" i="139"/>
  <c r="F105" i="139"/>
  <c r="F61" i="139"/>
  <c r="F64" i="139"/>
  <c r="F93" i="139"/>
  <c r="G102" i="139"/>
  <c r="D29" i="140"/>
  <c r="I29" i="140" s="1"/>
  <c r="D90" i="140"/>
  <c r="I90" i="140" s="1"/>
  <c r="D27" i="140"/>
  <c r="I27" i="140" s="1"/>
  <c r="D31" i="140"/>
  <c r="I31" i="140" s="1"/>
  <c r="G70" i="139"/>
  <c r="F89" i="139"/>
  <c r="F104" i="139"/>
  <c r="F113" i="139"/>
  <c r="F51" i="139"/>
  <c r="F56" i="139"/>
  <c r="F68" i="139"/>
  <c r="F69" i="139"/>
  <c r="F72" i="139"/>
  <c r="F84" i="139"/>
  <c r="F85" i="139"/>
  <c r="F88" i="139"/>
  <c r="F100" i="139"/>
  <c r="F109" i="139"/>
  <c r="F112" i="139"/>
  <c r="G54" i="139"/>
  <c r="F57" i="139"/>
  <c r="F73" i="139"/>
  <c r="G86" i="139"/>
  <c r="F101" i="139"/>
  <c r="G110" i="139"/>
  <c r="G94" i="139"/>
  <c r="F97" i="139"/>
  <c r="B11" i="139"/>
  <c r="C129" i="139" s="1"/>
  <c r="I129" i="139" s="1"/>
  <c r="F52" i="139"/>
  <c r="F58" i="139"/>
  <c r="F59" i="139"/>
  <c r="F66" i="139"/>
  <c r="F67" i="139"/>
  <c r="F74" i="139"/>
  <c r="F75" i="139"/>
  <c r="F82" i="139"/>
  <c r="F83" i="139"/>
  <c r="F90" i="139"/>
  <c r="F91" i="139"/>
  <c r="F98" i="139"/>
  <c r="F99" i="139"/>
  <c r="F106" i="139"/>
  <c r="F107" i="139"/>
  <c r="F55" i="139"/>
  <c r="F63" i="139"/>
  <c r="F71" i="139"/>
  <c r="F79" i="139"/>
  <c r="F87" i="139"/>
  <c r="F95" i="139"/>
  <c r="F103" i="139"/>
  <c r="F111" i="139"/>
  <c r="D23" i="140"/>
  <c r="I23" i="140" s="1"/>
  <c r="C20" i="148"/>
  <c r="C21" i="148"/>
  <c r="C23" i="148" s="1"/>
  <c r="F22" i="148" s="1"/>
  <c r="C30" i="148"/>
  <c r="C52" i="148"/>
  <c r="C22" i="148"/>
  <c r="C27" i="148"/>
  <c r="H40" i="148"/>
  <c r="H52" i="148" s="1"/>
  <c r="G57" i="148"/>
  <c r="G69" i="148" s="1"/>
  <c r="H57" i="148"/>
  <c r="H69" i="148" s="1"/>
  <c r="H62" i="143"/>
  <c r="N62" i="143" s="1"/>
  <c r="G62" i="143"/>
  <c r="G72" i="143" s="1"/>
  <c r="F62" i="143"/>
  <c r="J62" i="143" s="1"/>
  <c r="H64" i="143"/>
  <c r="N64" i="143" s="1"/>
  <c r="G64" i="143"/>
  <c r="F64" i="143"/>
  <c r="J64" i="143" s="1"/>
  <c r="J67" i="143"/>
  <c r="H68" i="143"/>
  <c r="N68" i="143" s="1"/>
  <c r="G68" i="143"/>
  <c r="F68" i="143"/>
  <c r="J68" i="143" s="1"/>
  <c r="J28" i="143"/>
  <c r="N28" i="143" s="1"/>
  <c r="H60" i="143"/>
  <c r="N60" i="143" s="1"/>
  <c r="G60" i="143"/>
  <c r="F60" i="143"/>
  <c r="H66" i="143"/>
  <c r="N66" i="143" s="1"/>
  <c r="G66" i="143"/>
  <c r="F66" i="143"/>
  <c r="J66" i="143" s="1"/>
  <c r="J69" i="143"/>
  <c r="H70" i="143"/>
  <c r="N70" i="143" s="1"/>
  <c r="G70" i="143"/>
  <c r="F70" i="143"/>
  <c r="J70" i="143" s="1"/>
  <c r="H26" i="143"/>
  <c r="G26" i="143"/>
  <c r="F26" i="143"/>
  <c r="J26" i="143" s="1"/>
  <c r="N26" i="143" s="1"/>
  <c r="K33" i="143"/>
  <c r="O33" i="143" s="1"/>
  <c r="H34" i="143"/>
  <c r="G34" i="143"/>
  <c r="F34" i="143"/>
  <c r="J34" i="143" s="1"/>
  <c r="N34" i="143" s="1"/>
  <c r="K54" i="143"/>
  <c r="O41" i="143"/>
  <c r="O54" i="143" s="1"/>
  <c r="I60" i="143"/>
  <c r="I62" i="143"/>
  <c r="I64" i="143"/>
  <c r="I66" i="143"/>
  <c r="I68" i="143"/>
  <c r="I70" i="143"/>
  <c r="I26" i="143"/>
  <c r="K26" i="143" s="1"/>
  <c r="O26" i="143" s="1"/>
  <c r="J32" i="143"/>
  <c r="N32" i="143" s="1"/>
  <c r="I34" i="143"/>
  <c r="K34" i="143" s="1"/>
  <c r="O34" i="143" s="1"/>
  <c r="J45" i="143"/>
  <c r="N45" i="143" s="1"/>
  <c r="J49" i="143"/>
  <c r="N49" i="143" s="1"/>
  <c r="J77" i="143"/>
  <c r="H78" i="143"/>
  <c r="N78" i="143" s="1"/>
  <c r="G78" i="143"/>
  <c r="F78" i="143"/>
  <c r="J78" i="143" s="1"/>
  <c r="H80" i="143"/>
  <c r="N80" i="143" s="1"/>
  <c r="G80" i="143"/>
  <c r="F80" i="143"/>
  <c r="J80" i="143" s="1"/>
  <c r="H30" i="143"/>
  <c r="G30" i="143"/>
  <c r="K30" i="143" s="1"/>
  <c r="O30" i="143" s="1"/>
  <c r="F30" i="143"/>
  <c r="J31" i="143"/>
  <c r="N31" i="143" s="1"/>
  <c r="J42" i="143"/>
  <c r="N42" i="143" s="1"/>
  <c r="J46" i="143"/>
  <c r="N46" i="143" s="1"/>
  <c r="J50" i="143"/>
  <c r="N50" i="143" s="1"/>
  <c r="G90" i="143"/>
  <c r="I78" i="143"/>
  <c r="I80" i="143"/>
  <c r="J83" i="143"/>
  <c r="H24" i="143"/>
  <c r="G25" i="143"/>
  <c r="K25" i="143" s="1"/>
  <c r="O25" i="143" s="1"/>
  <c r="I27" i="143"/>
  <c r="K27" i="143" s="1"/>
  <c r="O27" i="143" s="1"/>
  <c r="H28" i="143"/>
  <c r="G29" i="143"/>
  <c r="K29" i="143" s="1"/>
  <c r="O29" i="143" s="1"/>
  <c r="I31" i="143"/>
  <c r="K31" i="143" s="1"/>
  <c r="O31" i="143" s="1"/>
  <c r="H32" i="143"/>
  <c r="G33" i="143"/>
  <c r="I35" i="143"/>
  <c r="K35" i="143" s="1"/>
  <c r="O35" i="143" s="1"/>
  <c r="I54" i="143"/>
  <c r="H59" i="143"/>
  <c r="J59" i="143" s="1"/>
  <c r="H61" i="143"/>
  <c r="N61" i="143" s="1"/>
  <c r="H63" i="143"/>
  <c r="N63" i="143" s="1"/>
  <c r="H65" i="143"/>
  <c r="N65" i="143" s="1"/>
  <c r="H67" i="143"/>
  <c r="N67" i="143" s="1"/>
  <c r="H69" i="143"/>
  <c r="N69" i="143" s="1"/>
  <c r="H77" i="143"/>
  <c r="H79" i="143"/>
  <c r="N79" i="143" s="1"/>
  <c r="H81" i="143"/>
  <c r="N81" i="143" s="1"/>
  <c r="I24" i="143"/>
  <c r="I28" i="143"/>
  <c r="K28" i="143" s="1"/>
  <c r="O28" i="143" s="1"/>
  <c r="I32" i="143"/>
  <c r="K32" i="143" s="1"/>
  <c r="O32" i="143" s="1"/>
  <c r="J41" i="143"/>
  <c r="I59" i="143"/>
  <c r="I61" i="143"/>
  <c r="I63" i="143"/>
  <c r="I65" i="143"/>
  <c r="I67" i="143"/>
  <c r="I69" i="143"/>
  <c r="I77" i="143"/>
  <c r="I79" i="143"/>
  <c r="I81" i="143"/>
  <c r="J29" i="140"/>
  <c r="D24" i="140"/>
  <c r="I24" i="140" s="1"/>
  <c r="D32" i="140"/>
  <c r="I32" i="140" s="1"/>
  <c r="D34" i="140"/>
  <c r="I34" i="140" s="1"/>
  <c r="D25" i="140"/>
  <c r="I25" i="140" s="1"/>
  <c r="D88" i="140"/>
  <c r="I88" i="140" s="1"/>
  <c r="D86" i="140"/>
  <c r="I86" i="140" s="1"/>
  <c r="D84" i="140"/>
  <c r="I84" i="140" s="1"/>
  <c r="D82" i="140"/>
  <c r="I82" i="140" s="1"/>
  <c r="D80" i="140"/>
  <c r="I80" i="140" s="1"/>
  <c r="D78" i="140"/>
  <c r="I78" i="140" s="1"/>
  <c r="D76" i="140"/>
  <c r="I76" i="140" s="1"/>
  <c r="D74" i="140"/>
  <c r="I74" i="140" s="1"/>
  <c r="D72" i="140"/>
  <c r="I72" i="140" s="1"/>
  <c r="D70" i="140"/>
  <c r="I70" i="140" s="1"/>
  <c r="D68" i="140"/>
  <c r="I68" i="140" s="1"/>
  <c r="D66" i="140"/>
  <c r="I66" i="140" s="1"/>
  <c r="D64" i="140"/>
  <c r="I64" i="140" s="1"/>
  <c r="D62" i="140"/>
  <c r="I62" i="140" s="1"/>
  <c r="D60" i="140"/>
  <c r="I60" i="140" s="1"/>
  <c r="D58" i="140"/>
  <c r="I58" i="140" s="1"/>
  <c r="D56" i="140"/>
  <c r="I56" i="140" s="1"/>
  <c r="D54" i="140"/>
  <c r="I54" i="140" s="1"/>
  <c r="D52" i="140"/>
  <c r="I52" i="140" s="1"/>
  <c r="D50" i="140"/>
  <c r="I50" i="140" s="1"/>
  <c r="D48" i="140"/>
  <c r="I48" i="140" s="1"/>
  <c r="D46" i="140"/>
  <c r="I46" i="140" s="1"/>
  <c r="D44" i="140"/>
  <c r="I44" i="140" s="1"/>
  <c r="D42" i="140"/>
  <c r="I42" i="140" s="1"/>
  <c r="D40" i="140"/>
  <c r="I40" i="140" s="1"/>
  <c r="D38" i="140"/>
  <c r="I38" i="140" s="1"/>
  <c r="D36" i="140"/>
  <c r="I36" i="140" s="1"/>
  <c r="D89" i="140"/>
  <c r="I89" i="140" s="1"/>
  <c r="D87" i="140"/>
  <c r="I87" i="140" s="1"/>
  <c r="D85" i="140"/>
  <c r="I85" i="140" s="1"/>
  <c r="D83" i="140"/>
  <c r="I83" i="140" s="1"/>
  <c r="D81" i="140"/>
  <c r="I81" i="140" s="1"/>
  <c r="D79" i="140"/>
  <c r="I79" i="140" s="1"/>
  <c r="D77" i="140"/>
  <c r="I77" i="140" s="1"/>
  <c r="D75" i="140"/>
  <c r="I75" i="140" s="1"/>
  <c r="D73" i="140"/>
  <c r="I73" i="140" s="1"/>
  <c r="D71" i="140"/>
  <c r="I71" i="140" s="1"/>
  <c r="D69" i="140"/>
  <c r="I69" i="140" s="1"/>
  <c r="D67" i="140"/>
  <c r="I67" i="140" s="1"/>
  <c r="D65" i="140"/>
  <c r="I65" i="140" s="1"/>
  <c r="D63" i="140"/>
  <c r="I63" i="140" s="1"/>
  <c r="D61" i="140"/>
  <c r="I61" i="140" s="1"/>
  <c r="D59" i="140"/>
  <c r="I59" i="140" s="1"/>
  <c r="D57" i="140"/>
  <c r="I57" i="140" s="1"/>
  <c r="D55" i="140"/>
  <c r="I55" i="140" s="1"/>
  <c r="D53" i="140"/>
  <c r="I53" i="140" s="1"/>
  <c r="D51" i="140"/>
  <c r="I51" i="140" s="1"/>
  <c r="D49" i="140"/>
  <c r="I49" i="140" s="1"/>
  <c r="D47" i="140"/>
  <c r="I47" i="140" s="1"/>
  <c r="D45" i="140"/>
  <c r="I45" i="140" s="1"/>
  <c r="D43" i="140"/>
  <c r="I43" i="140" s="1"/>
  <c r="D41" i="140"/>
  <c r="I41" i="140" s="1"/>
  <c r="D39" i="140"/>
  <c r="I39" i="140" s="1"/>
  <c r="D37" i="140"/>
  <c r="I37" i="140" s="1"/>
  <c r="D35" i="140"/>
  <c r="I35" i="140" s="1"/>
  <c r="D28" i="140"/>
  <c r="I28" i="140" s="1"/>
  <c r="D26" i="140"/>
  <c r="I26" i="140" s="1"/>
  <c r="D30" i="140"/>
  <c r="I30" i="140" s="1"/>
  <c r="D33" i="140"/>
  <c r="I33" i="140" s="1"/>
  <c r="F53" i="139"/>
  <c r="R33" i="209" l="1"/>
  <c r="S33" i="209" s="1"/>
  <c r="O52" i="37"/>
  <c r="P11" i="209"/>
  <c r="C330" i="152"/>
  <c r="C56" i="146"/>
  <c r="R11" i="209" s="1"/>
  <c r="E401" i="149"/>
  <c r="C108" i="139"/>
  <c r="I108" i="139" s="1"/>
  <c r="C101" i="140"/>
  <c r="I22" i="140"/>
  <c r="I97" i="140" s="1"/>
  <c r="C102" i="140" s="1"/>
  <c r="C105" i="140" s="1"/>
  <c r="C75" i="139"/>
  <c r="C120" i="139"/>
  <c r="I120" i="139" s="1"/>
  <c r="C85" i="139"/>
  <c r="I85" i="139" s="1"/>
  <c r="C73" i="139"/>
  <c r="I73" i="139" s="1"/>
  <c r="C118" i="139"/>
  <c r="I118" i="139" s="1"/>
  <c r="C76" i="139"/>
  <c r="I76" i="139" s="1"/>
  <c r="C84" i="139"/>
  <c r="I84" i="139" s="1"/>
  <c r="C117" i="139"/>
  <c r="I117" i="139" s="1"/>
  <c r="C61" i="139"/>
  <c r="I61" i="139" s="1"/>
  <c r="C80" i="139"/>
  <c r="I80" i="139" s="1"/>
  <c r="C92" i="139"/>
  <c r="I92" i="139" s="1"/>
  <c r="B34" i="139"/>
  <c r="O36" i="37" s="1"/>
  <c r="C101" i="139"/>
  <c r="I101" i="139" s="1"/>
  <c r="C133" i="139"/>
  <c r="I133" i="139" s="1"/>
  <c r="C64" i="139"/>
  <c r="I64" i="139" s="1"/>
  <c r="C93" i="139"/>
  <c r="I93" i="139" s="1"/>
  <c r="C77" i="139"/>
  <c r="I77" i="139" s="1"/>
  <c r="C57" i="139"/>
  <c r="I57" i="139" s="1"/>
  <c r="C100" i="139"/>
  <c r="I100" i="139" s="1"/>
  <c r="C127" i="139"/>
  <c r="I127" i="139" s="1"/>
  <c r="C109" i="139"/>
  <c r="I109" i="139" s="1"/>
  <c r="J93" i="140"/>
  <c r="J91" i="140"/>
  <c r="J94" i="140"/>
  <c r="C57" i="146"/>
  <c r="J92" i="140"/>
  <c r="J27" i="140"/>
  <c r="I80" i="170"/>
  <c r="E81" i="170" s="1"/>
  <c r="J31" i="140"/>
  <c r="J23" i="140"/>
  <c r="J90" i="140"/>
  <c r="C62" i="139"/>
  <c r="I62" i="139" s="1"/>
  <c r="C52" i="139"/>
  <c r="I52" i="139" s="1"/>
  <c r="C50" i="139"/>
  <c r="I50" i="139" s="1"/>
  <c r="C74" i="139"/>
  <c r="I74" i="139" s="1"/>
  <c r="C94" i="139"/>
  <c r="I94" i="139" s="1"/>
  <c r="C110" i="139"/>
  <c r="I110" i="139" s="1"/>
  <c r="C115" i="139"/>
  <c r="I115" i="139" s="1"/>
  <c r="C87" i="139"/>
  <c r="I87" i="139" s="1"/>
  <c r="C103" i="139"/>
  <c r="I103" i="139" s="1"/>
  <c r="C124" i="139"/>
  <c r="I124" i="139" s="1"/>
  <c r="C54" i="139"/>
  <c r="I54" i="139" s="1"/>
  <c r="C51" i="139"/>
  <c r="I51" i="139" s="1"/>
  <c r="C69" i="139"/>
  <c r="I69" i="139" s="1"/>
  <c r="C67" i="139"/>
  <c r="I67" i="139" s="1"/>
  <c r="C56" i="139"/>
  <c r="I56" i="139" s="1"/>
  <c r="C72" i="139"/>
  <c r="I72" i="139" s="1"/>
  <c r="C59" i="139"/>
  <c r="I59" i="139" s="1"/>
  <c r="C65" i="139"/>
  <c r="I65" i="139" s="1"/>
  <c r="C81" i="139"/>
  <c r="I81" i="139" s="1"/>
  <c r="C88" i="139"/>
  <c r="I88" i="139" s="1"/>
  <c r="C96" i="139"/>
  <c r="I96" i="139" s="1"/>
  <c r="C104" i="139"/>
  <c r="I104" i="139" s="1"/>
  <c r="C112" i="139"/>
  <c r="I112" i="139" s="1"/>
  <c r="C126" i="139"/>
  <c r="I126" i="139" s="1"/>
  <c r="C119" i="139"/>
  <c r="I119" i="139" s="1"/>
  <c r="B136" i="139"/>
  <c r="C89" i="139"/>
  <c r="I89" i="139" s="1"/>
  <c r="C97" i="139"/>
  <c r="I97" i="139" s="1"/>
  <c r="C105" i="139"/>
  <c r="I105" i="139" s="1"/>
  <c r="C113" i="139"/>
  <c r="I113" i="139" s="1"/>
  <c r="C128" i="139"/>
  <c r="I128" i="139" s="1"/>
  <c r="C125" i="139"/>
  <c r="I125" i="139" s="1"/>
  <c r="C16" i="139"/>
  <c r="G16" i="139" s="1"/>
  <c r="C78" i="139"/>
  <c r="I78" i="139" s="1"/>
  <c r="C71" i="139"/>
  <c r="I71" i="139" s="1"/>
  <c r="C58" i="139"/>
  <c r="I58" i="139" s="1"/>
  <c r="C86" i="139"/>
  <c r="I86" i="139" s="1"/>
  <c r="C102" i="139"/>
  <c r="I102" i="139" s="1"/>
  <c r="C122" i="139"/>
  <c r="I122" i="139" s="1"/>
  <c r="C131" i="139"/>
  <c r="I131" i="139" s="1"/>
  <c r="C95" i="139"/>
  <c r="I95" i="139" s="1"/>
  <c r="C111" i="139"/>
  <c r="I111" i="139" s="1"/>
  <c r="C121" i="139"/>
  <c r="I121" i="139" s="1"/>
  <c r="C60" i="139"/>
  <c r="I60" i="139" s="1"/>
  <c r="C55" i="139"/>
  <c r="I55" i="139" s="1"/>
  <c r="C70" i="139"/>
  <c r="I70" i="139" s="1"/>
  <c r="C68" i="139"/>
  <c r="I68" i="139" s="1"/>
  <c r="C63" i="139"/>
  <c r="I63" i="139" s="1"/>
  <c r="C79" i="139"/>
  <c r="C53" i="139"/>
  <c r="C66" i="139"/>
  <c r="I66" i="139" s="1"/>
  <c r="C82" i="139"/>
  <c r="I82" i="139" s="1"/>
  <c r="C90" i="139"/>
  <c r="I90" i="139" s="1"/>
  <c r="C98" i="139"/>
  <c r="I98" i="139" s="1"/>
  <c r="C106" i="139"/>
  <c r="I106" i="139" s="1"/>
  <c r="C114" i="139"/>
  <c r="I114" i="139" s="1"/>
  <c r="C130" i="139"/>
  <c r="I130" i="139" s="1"/>
  <c r="C123" i="139"/>
  <c r="I123" i="139" s="1"/>
  <c r="C83" i="139"/>
  <c r="I83" i="139" s="1"/>
  <c r="C91" i="139"/>
  <c r="I91" i="139" s="1"/>
  <c r="C99" i="139"/>
  <c r="I99" i="139" s="1"/>
  <c r="C107" i="139"/>
  <c r="I107" i="139" s="1"/>
  <c r="C116" i="139"/>
  <c r="I116" i="139" s="1"/>
  <c r="C132" i="139"/>
  <c r="I132" i="139" s="1"/>
  <c r="I79" i="139"/>
  <c r="I75" i="139"/>
  <c r="C28" i="148"/>
  <c r="C31" i="148" s="1"/>
  <c r="F30" i="148" s="1"/>
  <c r="K78" i="143"/>
  <c r="O78" i="143"/>
  <c r="J90" i="143"/>
  <c r="K70" i="143"/>
  <c r="O70" i="143"/>
  <c r="O69" i="143"/>
  <c r="K69" i="143"/>
  <c r="O61" i="143"/>
  <c r="K61" i="143"/>
  <c r="H90" i="143"/>
  <c r="N77" i="143"/>
  <c r="H37" i="143"/>
  <c r="K68" i="143"/>
  <c r="O68" i="143"/>
  <c r="J63" i="143"/>
  <c r="O81" i="143"/>
  <c r="K81" i="143"/>
  <c r="O67" i="143"/>
  <c r="K67" i="143"/>
  <c r="O59" i="143"/>
  <c r="I72" i="143"/>
  <c r="K59" i="143"/>
  <c r="I37" i="143"/>
  <c r="K24" i="143"/>
  <c r="J30" i="143"/>
  <c r="N30" i="143" s="1"/>
  <c r="G37" i="143"/>
  <c r="F37" i="143"/>
  <c r="K66" i="143"/>
  <c r="O66" i="143"/>
  <c r="J60" i="143"/>
  <c r="J72" i="143" s="1"/>
  <c r="O77" i="143"/>
  <c r="I90" i="143"/>
  <c r="K77" i="143"/>
  <c r="O63" i="143"/>
  <c r="K63" i="143"/>
  <c r="K62" i="143"/>
  <c r="O62" i="143"/>
  <c r="J65" i="143"/>
  <c r="K60" i="143"/>
  <c r="O60" i="143"/>
  <c r="F72" i="143"/>
  <c r="O79" i="143"/>
  <c r="K79" i="143"/>
  <c r="O65" i="143"/>
  <c r="K65" i="143"/>
  <c r="J54" i="143"/>
  <c r="N41" i="143"/>
  <c r="N54" i="143" s="1"/>
  <c r="N59" i="143"/>
  <c r="N72" i="143" s="1"/>
  <c r="H72" i="143"/>
  <c r="K80" i="143"/>
  <c r="O80" i="143"/>
  <c r="J81" i="143"/>
  <c r="J79" i="143"/>
  <c r="F90" i="143"/>
  <c r="J24" i="143"/>
  <c r="K64" i="143"/>
  <c r="O64" i="143"/>
  <c r="J61" i="143"/>
  <c r="J61" i="140"/>
  <c r="J70" i="140"/>
  <c r="J30" i="140"/>
  <c r="J35" i="140"/>
  <c r="J43" i="140"/>
  <c r="J51" i="140"/>
  <c r="J59" i="140"/>
  <c r="J67" i="140"/>
  <c r="J75" i="140"/>
  <c r="J83" i="140"/>
  <c r="J36" i="140"/>
  <c r="J44" i="140"/>
  <c r="J52" i="140"/>
  <c r="J60" i="140"/>
  <c r="J68" i="140"/>
  <c r="J76" i="140"/>
  <c r="J84" i="140"/>
  <c r="J32" i="140"/>
  <c r="J24" i="140"/>
  <c r="J37" i="140"/>
  <c r="J53" i="140"/>
  <c r="J77" i="140"/>
  <c r="J38" i="140"/>
  <c r="J54" i="140"/>
  <c r="J86" i="140"/>
  <c r="J22" i="140"/>
  <c r="J39" i="140"/>
  <c r="J47" i="140"/>
  <c r="J55" i="140"/>
  <c r="J63" i="140"/>
  <c r="J71" i="140"/>
  <c r="J79" i="140"/>
  <c r="J87" i="140"/>
  <c r="J40" i="140"/>
  <c r="J48" i="140"/>
  <c r="J56" i="140"/>
  <c r="J64" i="140"/>
  <c r="J72" i="140"/>
  <c r="J80" i="140"/>
  <c r="J88" i="140"/>
  <c r="J25" i="140"/>
  <c r="J26" i="140"/>
  <c r="J45" i="140"/>
  <c r="J69" i="140"/>
  <c r="J85" i="140"/>
  <c r="J46" i="140"/>
  <c r="J62" i="140"/>
  <c r="J78" i="140"/>
  <c r="J33" i="140"/>
  <c r="J28" i="140"/>
  <c r="J41" i="140"/>
  <c r="J49" i="140"/>
  <c r="J57" i="140"/>
  <c r="J65" i="140"/>
  <c r="J73" i="140"/>
  <c r="J81" i="140"/>
  <c r="J89" i="140"/>
  <c r="J42" i="140"/>
  <c r="J50" i="140"/>
  <c r="J58" i="140"/>
  <c r="J66" i="140"/>
  <c r="J74" i="140"/>
  <c r="J82" i="140"/>
  <c r="J34" i="140"/>
  <c r="I53" i="139"/>
  <c r="Q83" i="37" l="1"/>
  <c r="R83" i="37" s="1"/>
  <c r="P52" i="37"/>
  <c r="Q11" i="209"/>
  <c r="Q74" i="209" s="1"/>
  <c r="C333" i="152"/>
  <c r="R34" i="209"/>
  <c r="Q87" i="37"/>
  <c r="R87" i="37" s="1"/>
  <c r="C17" i="139"/>
  <c r="G17" i="139" s="1"/>
  <c r="I17" i="139" s="1"/>
  <c r="I16" i="139"/>
  <c r="C58" i="146"/>
  <c r="J97" i="140"/>
  <c r="J12" i="141"/>
  <c r="Q52" i="37"/>
  <c r="R52" i="37" s="1"/>
  <c r="I81" i="170"/>
  <c r="E82" i="170" s="1"/>
  <c r="I134" i="139"/>
  <c r="B137" i="139" s="1"/>
  <c r="B138" i="139" s="1"/>
  <c r="G82" i="148"/>
  <c r="G81" i="148"/>
  <c r="G80" i="148"/>
  <c r="G79" i="148"/>
  <c r="K90" i="143"/>
  <c r="J37" i="143"/>
  <c r="N24" i="143"/>
  <c r="N37" i="143" s="1"/>
  <c r="O90" i="143"/>
  <c r="K72" i="143"/>
  <c r="K37" i="143"/>
  <c r="O24" i="143"/>
  <c r="O37" i="143" s="1"/>
  <c r="O72" i="143"/>
  <c r="C18" i="139"/>
  <c r="G18" i="139" s="1"/>
  <c r="I18" i="139" s="1"/>
  <c r="S11" i="209" l="1"/>
  <c r="S34" i="209"/>
  <c r="I82" i="170"/>
  <c r="E83" i="170" s="1"/>
  <c r="J13" i="141"/>
  <c r="C19" i="139"/>
  <c r="G19" i="139" s="1"/>
  <c r="I19" i="139" s="1"/>
  <c r="I84" i="148" l="1"/>
  <c r="Q54" i="37"/>
  <c r="R54" i="37" s="1"/>
  <c r="I83" i="170"/>
  <c r="E84" i="170" s="1"/>
  <c r="C20" i="139"/>
  <c r="G20" i="139" s="1"/>
  <c r="I20" i="139" s="1"/>
  <c r="I84" i="170" l="1"/>
  <c r="E85" i="170" s="1"/>
  <c r="C21" i="139"/>
  <c r="G21" i="139" s="1"/>
  <c r="I21" i="139" s="1"/>
  <c r="J14" i="141" l="1"/>
  <c r="I85" i="170"/>
  <c r="E86" i="170" s="1"/>
  <c r="C22" i="139"/>
  <c r="G22" i="139" s="1"/>
  <c r="I22" i="139" s="1"/>
  <c r="J18" i="141" l="1"/>
  <c r="I86" i="170"/>
  <c r="E87" i="170" s="1"/>
  <c r="C23" i="139"/>
  <c r="G23" i="139" s="1"/>
  <c r="I23" i="139" s="1"/>
  <c r="J19" i="141" l="1"/>
  <c r="I87" i="170"/>
  <c r="E88" i="170" s="1"/>
  <c r="C24" i="139"/>
  <c r="G24" i="139" s="1"/>
  <c r="I24" i="139" s="1"/>
  <c r="J20" i="141" l="1"/>
  <c r="I88" i="170"/>
  <c r="E89" i="170" s="1"/>
  <c r="C25" i="139"/>
  <c r="G25" i="139" s="1"/>
  <c r="I25" i="139" s="1"/>
  <c r="J21" i="141" l="1"/>
  <c r="I89" i="170"/>
  <c r="E90" i="170" s="1"/>
  <c r="C26" i="139"/>
  <c r="G26" i="139" s="1"/>
  <c r="I26" i="139" s="1"/>
  <c r="J22" i="141" l="1"/>
  <c r="J23" i="141"/>
  <c r="I90" i="170"/>
  <c r="E91" i="170" s="1"/>
  <c r="C27" i="139"/>
  <c r="G27" i="139" s="1"/>
  <c r="I27" i="139" s="1"/>
  <c r="J24" i="141" l="1"/>
  <c r="I91" i="170"/>
  <c r="E92" i="170" s="1"/>
  <c r="C28" i="139"/>
  <c r="G28" i="139" s="1"/>
  <c r="I28" i="139" s="1"/>
  <c r="J25" i="141" l="1"/>
  <c r="I92" i="170"/>
  <c r="E93" i="170" s="1"/>
  <c r="C29" i="139"/>
  <c r="G29" i="139" s="1"/>
  <c r="I29" i="139" l="1"/>
  <c r="C30" i="139"/>
  <c r="G30" i="139" s="1"/>
  <c r="J26" i="141"/>
  <c r="I93" i="170"/>
  <c r="E94" i="170" s="1"/>
  <c r="I30" i="139" l="1"/>
  <c r="C31" i="139"/>
  <c r="G31" i="139" s="1"/>
  <c r="I31" i="139" s="1"/>
  <c r="I32" i="139" s="1"/>
  <c r="J27" i="141"/>
  <c r="I94" i="170"/>
  <c r="E95" i="170" s="1"/>
  <c r="J28" i="141"/>
  <c r="B35" i="139" l="1"/>
  <c r="R9" i="209" s="1"/>
  <c r="I95" i="170"/>
  <c r="E96" i="170" s="1"/>
  <c r="J29" i="141"/>
  <c r="S9" i="209" l="1"/>
  <c r="B36" i="139"/>
  <c r="Q36" i="37"/>
  <c r="R36" i="37" s="1"/>
  <c r="I96" i="170"/>
  <c r="E97" i="170" s="1"/>
  <c r="J30" i="141"/>
  <c r="X9" i="209" l="1"/>
  <c r="I97" i="170"/>
  <c r="E98" i="170" s="1"/>
  <c r="J31" i="141"/>
  <c r="I98" i="170" l="1"/>
  <c r="E99" i="170" s="1"/>
  <c r="J32" i="141"/>
  <c r="I99" i="170" l="1"/>
  <c r="E100" i="170" s="1"/>
  <c r="J33" i="141"/>
  <c r="I100" i="170" l="1"/>
  <c r="E101" i="170" s="1"/>
  <c r="J34" i="141"/>
  <c r="I101" i="170" l="1"/>
  <c r="E102" i="170" s="1"/>
  <c r="J35" i="141"/>
  <c r="E103" i="170" l="1"/>
  <c r="I102" i="170"/>
  <c r="J36" i="141"/>
  <c r="I103" i="170" l="1"/>
  <c r="E104" i="170" s="1"/>
  <c r="J37" i="141"/>
  <c r="I104" i="170" l="1"/>
  <c r="E105" i="170" s="1"/>
  <c r="J38" i="141"/>
  <c r="I105" i="170" l="1"/>
  <c r="E106" i="170" s="1"/>
  <c r="J39" i="141"/>
  <c r="I106" i="170" l="1"/>
  <c r="E107" i="170" s="1"/>
  <c r="J40" i="141"/>
  <c r="I107" i="170" l="1"/>
  <c r="E108" i="170" s="1"/>
  <c r="J41" i="141"/>
  <c r="I108" i="170" l="1"/>
  <c r="E109" i="170" s="1"/>
  <c r="J42" i="141"/>
  <c r="E110" i="170" l="1"/>
  <c r="I109" i="170"/>
  <c r="J43" i="141"/>
  <c r="I110" i="170" l="1"/>
  <c r="E111" i="170" s="1"/>
  <c r="J44" i="141"/>
  <c r="I111" i="170" l="1"/>
  <c r="E112" i="170" s="1"/>
  <c r="J45" i="141"/>
  <c r="I112" i="170" l="1"/>
  <c r="E113" i="170" s="1"/>
  <c r="J46" i="141"/>
  <c r="I113" i="170" l="1"/>
  <c r="E114" i="170" s="1"/>
  <c r="J47" i="141"/>
  <c r="I114" i="170" l="1"/>
  <c r="E115" i="170" s="1"/>
  <c r="J48" i="141"/>
  <c r="I115" i="170" l="1"/>
  <c r="E116" i="170" s="1"/>
  <c r="J49" i="141"/>
  <c r="I116" i="170" l="1"/>
  <c r="E117" i="170" s="1"/>
  <c r="J50" i="141"/>
  <c r="I117" i="170" l="1"/>
  <c r="E118" i="170" s="1"/>
  <c r="J51" i="141"/>
  <c r="I118" i="170" l="1"/>
  <c r="E119" i="170" s="1"/>
  <c r="J52" i="141"/>
  <c r="I119" i="170" l="1"/>
  <c r="E120" i="170" s="1"/>
  <c r="J53" i="141"/>
  <c r="I120" i="170" l="1"/>
  <c r="E121" i="170" s="1"/>
  <c r="J54" i="141"/>
  <c r="I121" i="170" l="1"/>
  <c r="E122" i="170" s="1"/>
  <c r="I122" i="170" s="1"/>
  <c r="I124" i="170" s="1"/>
  <c r="C152" i="170" s="1"/>
  <c r="C155" i="170" s="1"/>
  <c r="J55" i="141"/>
  <c r="J56" i="141" l="1"/>
  <c r="J57" i="141" l="1"/>
  <c r="J58" i="141" l="1"/>
  <c r="J59" i="141" l="1"/>
  <c r="J60" i="141" l="1"/>
  <c r="J61" i="141" l="1"/>
  <c r="J62" i="141" l="1"/>
  <c r="J63" i="141" l="1"/>
  <c r="J64" i="141" l="1"/>
  <c r="J65" i="141" l="1"/>
  <c r="J66" i="141" l="1"/>
  <c r="J67" i="141" l="1"/>
  <c r="J68" i="141" l="1"/>
  <c r="J69" i="141" l="1"/>
  <c r="J70" i="141" l="1"/>
  <c r="J71" i="141" l="1"/>
  <c r="C184" i="138"/>
  <c r="H199" i="138"/>
  <c r="E199" i="138"/>
  <c r="F199" i="138" s="1"/>
  <c r="H198" i="138"/>
  <c r="E198" i="138"/>
  <c r="F198" i="138" s="1"/>
  <c r="H197" i="138"/>
  <c r="E197" i="138"/>
  <c r="F197" i="138" s="1"/>
  <c r="H196" i="138"/>
  <c r="E196" i="138"/>
  <c r="F196" i="138" s="1"/>
  <c r="H195" i="138"/>
  <c r="E195" i="138"/>
  <c r="F195" i="138" s="1"/>
  <c r="H194" i="138"/>
  <c r="E194" i="138"/>
  <c r="F194" i="138" s="1"/>
  <c r="H193" i="138"/>
  <c r="E193" i="138"/>
  <c r="F193" i="138" s="1"/>
  <c r="H192" i="138"/>
  <c r="E192" i="138"/>
  <c r="F192" i="138" s="1"/>
  <c r="H191" i="138"/>
  <c r="E191" i="138"/>
  <c r="F191" i="138" s="1"/>
  <c r="H190" i="138"/>
  <c r="E190" i="138"/>
  <c r="F190" i="138" s="1"/>
  <c r="H189" i="138"/>
  <c r="E189" i="138"/>
  <c r="F189" i="138" s="1"/>
  <c r="H188" i="138"/>
  <c r="E188" i="138"/>
  <c r="F188" i="138" s="1"/>
  <c r="H187" i="138"/>
  <c r="E187" i="138"/>
  <c r="F187" i="138" s="1"/>
  <c r="H167" i="138"/>
  <c r="E167" i="138"/>
  <c r="F167" i="138" s="1"/>
  <c r="H166" i="138"/>
  <c r="E166" i="138"/>
  <c r="F166" i="138" s="1"/>
  <c r="H165" i="138"/>
  <c r="E165" i="138"/>
  <c r="F165" i="138" s="1"/>
  <c r="H164" i="138"/>
  <c r="E164" i="138"/>
  <c r="F164" i="138" s="1"/>
  <c r="H163" i="138"/>
  <c r="E163" i="138"/>
  <c r="F163" i="138" s="1"/>
  <c r="H162" i="138"/>
  <c r="E162" i="138"/>
  <c r="F162" i="138" s="1"/>
  <c r="H161" i="138"/>
  <c r="E161" i="138"/>
  <c r="F161" i="138" s="1"/>
  <c r="H160" i="138"/>
  <c r="E160" i="138"/>
  <c r="F160" i="138" s="1"/>
  <c r="H159" i="138"/>
  <c r="E159" i="138"/>
  <c r="F159" i="138" s="1"/>
  <c r="H158" i="138"/>
  <c r="E158" i="138"/>
  <c r="F158" i="138" s="1"/>
  <c r="H157" i="138"/>
  <c r="E157" i="138"/>
  <c r="F157" i="138" s="1"/>
  <c r="H156" i="138"/>
  <c r="E156" i="138"/>
  <c r="F156" i="138" s="1"/>
  <c r="H155" i="138"/>
  <c r="E155" i="138"/>
  <c r="F155" i="138" s="1"/>
  <c r="H135" i="138"/>
  <c r="E135" i="138"/>
  <c r="F135" i="138" s="1"/>
  <c r="H134" i="138"/>
  <c r="E134" i="138"/>
  <c r="F134" i="138" s="1"/>
  <c r="H133" i="138"/>
  <c r="E133" i="138"/>
  <c r="F133" i="138" s="1"/>
  <c r="H132" i="138"/>
  <c r="E132" i="138"/>
  <c r="F132" i="138" s="1"/>
  <c r="H131" i="138"/>
  <c r="E131" i="138"/>
  <c r="F131" i="138" s="1"/>
  <c r="H130" i="138"/>
  <c r="E130" i="138"/>
  <c r="F130" i="138" s="1"/>
  <c r="H129" i="138"/>
  <c r="E129" i="138"/>
  <c r="F129" i="138" s="1"/>
  <c r="H128" i="138"/>
  <c r="E128" i="138"/>
  <c r="F128" i="138" s="1"/>
  <c r="H127" i="138"/>
  <c r="E127" i="138"/>
  <c r="F127" i="138" s="1"/>
  <c r="H126" i="138"/>
  <c r="E126" i="138"/>
  <c r="F126" i="138" s="1"/>
  <c r="H125" i="138"/>
  <c r="E125" i="138"/>
  <c r="F125" i="138" s="1"/>
  <c r="H124" i="138"/>
  <c r="E124" i="138"/>
  <c r="F124" i="138" s="1"/>
  <c r="H123" i="138"/>
  <c r="E123" i="138"/>
  <c r="F123" i="138" s="1"/>
  <c r="H102" i="138"/>
  <c r="E102" i="138"/>
  <c r="F102" i="138" s="1"/>
  <c r="H101" i="138"/>
  <c r="E101" i="138"/>
  <c r="F101" i="138" s="1"/>
  <c r="H100" i="138"/>
  <c r="E100" i="138"/>
  <c r="F100" i="138" s="1"/>
  <c r="H99" i="138"/>
  <c r="E99" i="138"/>
  <c r="F99" i="138" s="1"/>
  <c r="H98" i="138"/>
  <c r="E98" i="138"/>
  <c r="F98" i="138" s="1"/>
  <c r="H97" i="138"/>
  <c r="E97" i="138"/>
  <c r="F97" i="138" s="1"/>
  <c r="H96" i="138"/>
  <c r="E96" i="138"/>
  <c r="F96" i="138" s="1"/>
  <c r="H95" i="138"/>
  <c r="E95" i="138"/>
  <c r="F95" i="138" s="1"/>
  <c r="H94" i="138"/>
  <c r="E94" i="138"/>
  <c r="F94" i="138" s="1"/>
  <c r="H93" i="138"/>
  <c r="E93" i="138"/>
  <c r="F93" i="138" s="1"/>
  <c r="H92" i="138"/>
  <c r="E92" i="138"/>
  <c r="F92" i="138" s="1"/>
  <c r="H91" i="138"/>
  <c r="E91" i="138"/>
  <c r="F91" i="138" s="1"/>
  <c r="H90" i="138"/>
  <c r="E90" i="138"/>
  <c r="F90" i="138" s="1"/>
  <c r="H70" i="138"/>
  <c r="E70" i="138"/>
  <c r="F70" i="138" s="1"/>
  <c r="H69" i="138"/>
  <c r="E69" i="138"/>
  <c r="F69" i="138" s="1"/>
  <c r="H68" i="138"/>
  <c r="E68" i="138"/>
  <c r="F68" i="138" s="1"/>
  <c r="H67" i="138"/>
  <c r="E67" i="138"/>
  <c r="F67" i="138" s="1"/>
  <c r="H66" i="138"/>
  <c r="E66" i="138"/>
  <c r="F66" i="138" s="1"/>
  <c r="H65" i="138"/>
  <c r="E65" i="138"/>
  <c r="F65" i="138" s="1"/>
  <c r="H64" i="138"/>
  <c r="E64" i="138"/>
  <c r="F64" i="138" s="1"/>
  <c r="H63" i="138"/>
  <c r="E63" i="138"/>
  <c r="F63" i="138" s="1"/>
  <c r="H62" i="138"/>
  <c r="E62" i="138"/>
  <c r="F62" i="138" s="1"/>
  <c r="H61" i="138"/>
  <c r="E61" i="138"/>
  <c r="F61" i="138" s="1"/>
  <c r="H60" i="138"/>
  <c r="E60" i="138"/>
  <c r="F60" i="138" s="1"/>
  <c r="H59" i="138"/>
  <c r="E59" i="138"/>
  <c r="F59" i="138" s="1"/>
  <c r="H58" i="138"/>
  <c r="E58" i="138"/>
  <c r="F58" i="138" s="1"/>
  <c r="H37" i="138"/>
  <c r="E37" i="138"/>
  <c r="F37" i="138" s="1"/>
  <c r="E26" i="138"/>
  <c r="F26" i="138" s="1"/>
  <c r="E27" i="138"/>
  <c r="F27" i="138" s="1"/>
  <c r="E28" i="138"/>
  <c r="F28" i="138" s="1"/>
  <c r="E29" i="138"/>
  <c r="F29" i="138" s="1"/>
  <c r="E30" i="138"/>
  <c r="F30" i="138" s="1"/>
  <c r="E31" i="138"/>
  <c r="F31" i="138" s="1"/>
  <c r="E32" i="138"/>
  <c r="F32" i="138" s="1"/>
  <c r="E33" i="138"/>
  <c r="F33" i="138" s="1"/>
  <c r="E34" i="138"/>
  <c r="F34" i="138" s="1"/>
  <c r="E35" i="138"/>
  <c r="F35" i="138" s="1"/>
  <c r="E36" i="138"/>
  <c r="F36" i="138" s="1"/>
  <c r="E25" i="138"/>
  <c r="F25" i="138" s="1"/>
  <c r="H26" i="138"/>
  <c r="H27" i="138"/>
  <c r="H28" i="138"/>
  <c r="H29" i="138"/>
  <c r="H30" i="138"/>
  <c r="H31" i="138"/>
  <c r="H32" i="138"/>
  <c r="H33" i="138"/>
  <c r="H34" i="138"/>
  <c r="H35" i="138"/>
  <c r="H36" i="138"/>
  <c r="H25" i="138"/>
  <c r="D17" i="138"/>
  <c r="E17" i="138" s="1"/>
  <c r="D18" i="138"/>
  <c r="E18" i="138" s="1"/>
  <c r="D19" i="138"/>
  <c r="E19" i="138" s="1"/>
  <c r="G187" i="138" s="1"/>
  <c r="D16" i="138"/>
  <c r="E16" i="138" s="1"/>
  <c r="E13" i="138"/>
  <c r="E12" i="138"/>
  <c r="G51" i="138" s="1"/>
  <c r="I51" i="138" s="1"/>
  <c r="O71" i="37"/>
  <c r="F28" i="135"/>
  <c r="E28" i="135"/>
  <c r="C28" i="135"/>
  <c r="D28" i="135" s="1"/>
  <c r="F27" i="135"/>
  <c r="E27" i="135"/>
  <c r="C27" i="135"/>
  <c r="D27" i="135" s="1"/>
  <c r="F26" i="135"/>
  <c r="E26" i="135"/>
  <c r="C26" i="135"/>
  <c r="D26" i="135" s="1"/>
  <c r="F25" i="135"/>
  <c r="E25" i="135"/>
  <c r="C25" i="135"/>
  <c r="D25" i="135" s="1"/>
  <c r="F24" i="135"/>
  <c r="E24" i="135"/>
  <c r="C24" i="135"/>
  <c r="D24" i="135" s="1"/>
  <c r="F23" i="135"/>
  <c r="E23" i="135"/>
  <c r="C23" i="135"/>
  <c r="D23" i="135" s="1"/>
  <c r="F22" i="135"/>
  <c r="E22" i="135"/>
  <c r="C22" i="135"/>
  <c r="D22" i="135" s="1"/>
  <c r="F21" i="135"/>
  <c r="E21" i="135"/>
  <c r="D21" i="135"/>
  <c r="F20" i="135"/>
  <c r="E20" i="135"/>
  <c r="D20" i="135"/>
  <c r="F19" i="135"/>
  <c r="E19" i="135"/>
  <c r="D19" i="135"/>
  <c r="F18" i="135"/>
  <c r="E18" i="135"/>
  <c r="D18" i="135"/>
  <c r="F17" i="135"/>
  <c r="E17" i="135"/>
  <c r="D17" i="135"/>
  <c r="H83" i="134"/>
  <c r="E83" i="134"/>
  <c r="F83" i="134" s="1"/>
  <c r="H82" i="134"/>
  <c r="E82" i="134"/>
  <c r="F82" i="134" s="1"/>
  <c r="H81" i="134"/>
  <c r="E81" i="134"/>
  <c r="F81" i="134" s="1"/>
  <c r="H80" i="134"/>
  <c r="E80" i="134"/>
  <c r="F80" i="134" s="1"/>
  <c r="H79" i="134"/>
  <c r="E79" i="134"/>
  <c r="F79" i="134" s="1"/>
  <c r="H78" i="134"/>
  <c r="E78" i="134"/>
  <c r="F78" i="134" s="1"/>
  <c r="H77" i="134"/>
  <c r="E77" i="134"/>
  <c r="F77" i="134" s="1"/>
  <c r="H76" i="134"/>
  <c r="E76" i="134"/>
  <c r="F76" i="134" s="1"/>
  <c r="H75" i="134"/>
  <c r="E75" i="134"/>
  <c r="F75" i="134" s="1"/>
  <c r="H74" i="134"/>
  <c r="E74" i="134"/>
  <c r="F74" i="134" s="1"/>
  <c r="H73" i="134"/>
  <c r="E73" i="134"/>
  <c r="F73" i="134" s="1"/>
  <c r="H72" i="134"/>
  <c r="E72" i="134"/>
  <c r="F72" i="134" s="1"/>
  <c r="H71" i="134"/>
  <c r="E71" i="134"/>
  <c r="F71" i="134" s="1"/>
  <c r="H70" i="134"/>
  <c r="E70" i="134"/>
  <c r="F70" i="134" s="1"/>
  <c r="H69" i="134"/>
  <c r="E69" i="134"/>
  <c r="F69" i="134" s="1"/>
  <c r="H68" i="134"/>
  <c r="E68" i="134"/>
  <c r="F68" i="134" s="1"/>
  <c r="H67" i="134"/>
  <c r="E67" i="134"/>
  <c r="F67" i="134" s="1"/>
  <c r="H66" i="134"/>
  <c r="E66" i="134"/>
  <c r="F66" i="134" s="1"/>
  <c r="H65" i="134"/>
  <c r="E65" i="134"/>
  <c r="F65" i="134" s="1"/>
  <c r="H64" i="134"/>
  <c r="E64" i="134"/>
  <c r="F64" i="134" s="1"/>
  <c r="H63" i="134"/>
  <c r="E63" i="134"/>
  <c r="F63" i="134" s="1"/>
  <c r="H62" i="134"/>
  <c r="E62" i="134"/>
  <c r="F62" i="134" s="1"/>
  <c r="H61" i="134"/>
  <c r="E61" i="134"/>
  <c r="F61" i="134" s="1"/>
  <c r="C58" i="134"/>
  <c r="B58" i="134"/>
  <c r="D23" i="134"/>
  <c r="F38" i="134" s="1"/>
  <c r="D22" i="134"/>
  <c r="F29" i="134" s="1"/>
  <c r="D21" i="134"/>
  <c r="C54" i="134" s="1"/>
  <c r="D20" i="134"/>
  <c r="C45" i="134" s="1"/>
  <c r="D19" i="134"/>
  <c r="C38" i="134" s="1"/>
  <c r="D18" i="134"/>
  <c r="C29" i="134" s="1"/>
  <c r="D134" i="133"/>
  <c r="O61" i="37" s="1"/>
  <c r="H121" i="133"/>
  <c r="G121" i="133"/>
  <c r="E121" i="133"/>
  <c r="F121" i="133" s="1"/>
  <c r="H120" i="133"/>
  <c r="G120" i="133"/>
  <c r="E120" i="133"/>
  <c r="F120" i="133" s="1"/>
  <c r="H119" i="133"/>
  <c r="G119" i="133"/>
  <c r="E119" i="133"/>
  <c r="F119" i="133" s="1"/>
  <c r="H118" i="133"/>
  <c r="G118" i="133"/>
  <c r="E118" i="133"/>
  <c r="F118" i="133" s="1"/>
  <c r="H117" i="133"/>
  <c r="G117" i="133"/>
  <c r="E117" i="133"/>
  <c r="F117" i="133" s="1"/>
  <c r="H116" i="133"/>
  <c r="G116" i="133"/>
  <c r="E116" i="133"/>
  <c r="F116" i="133" s="1"/>
  <c r="H115" i="133"/>
  <c r="G115" i="133"/>
  <c r="E115" i="133"/>
  <c r="F115" i="133" s="1"/>
  <c r="H114" i="133"/>
  <c r="G114" i="133"/>
  <c r="E114" i="133"/>
  <c r="F114" i="133" s="1"/>
  <c r="H113" i="133"/>
  <c r="G113" i="133"/>
  <c r="E113" i="133"/>
  <c r="F113" i="133" s="1"/>
  <c r="H112" i="133"/>
  <c r="G112" i="133"/>
  <c r="E112" i="133"/>
  <c r="F112" i="133" s="1"/>
  <c r="H111" i="133"/>
  <c r="G111" i="133"/>
  <c r="E111" i="133"/>
  <c r="F111" i="133" s="1"/>
  <c r="H110" i="133"/>
  <c r="G110" i="133"/>
  <c r="E110" i="133"/>
  <c r="F110" i="133" s="1"/>
  <c r="H109" i="133"/>
  <c r="G109" i="133"/>
  <c r="E109" i="133"/>
  <c r="F109" i="133" s="1"/>
  <c r="H108" i="133"/>
  <c r="G108" i="133"/>
  <c r="E108" i="133"/>
  <c r="F108" i="133" s="1"/>
  <c r="H107" i="133"/>
  <c r="G107" i="133"/>
  <c r="E107" i="133"/>
  <c r="F107" i="133" s="1"/>
  <c r="H106" i="133"/>
  <c r="G106" i="133"/>
  <c r="E106" i="133"/>
  <c r="F106" i="133" s="1"/>
  <c r="H105" i="133"/>
  <c r="G105" i="133"/>
  <c r="E105" i="133"/>
  <c r="F105" i="133" s="1"/>
  <c r="H104" i="133"/>
  <c r="G104" i="133"/>
  <c r="E104" i="133"/>
  <c r="F104" i="133" s="1"/>
  <c r="H103" i="133"/>
  <c r="G103" i="133"/>
  <c r="E103" i="133"/>
  <c r="F103" i="133" s="1"/>
  <c r="H102" i="133"/>
  <c r="G102" i="133"/>
  <c r="E102" i="133"/>
  <c r="F102" i="133" s="1"/>
  <c r="H101" i="133"/>
  <c r="G101" i="133"/>
  <c r="E101" i="133"/>
  <c r="F101" i="133" s="1"/>
  <c r="H100" i="133"/>
  <c r="G100" i="133"/>
  <c r="E100" i="133"/>
  <c r="F100" i="133" s="1"/>
  <c r="H99" i="133"/>
  <c r="G99" i="133"/>
  <c r="E99" i="133"/>
  <c r="F99" i="133" s="1"/>
  <c r="H98" i="133"/>
  <c r="G98" i="133"/>
  <c r="E98" i="133"/>
  <c r="F98" i="133" s="1"/>
  <c r="H97" i="133"/>
  <c r="G97" i="133"/>
  <c r="E97" i="133"/>
  <c r="F97" i="133" s="1"/>
  <c r="H96" i="133"/>
  <c r="G96" i="133"/>
  <c r="F96" i="133"/>
  <c r="H95" i="133"/>
  <c r="G95" i="133"/>
  <c r="F95" i="133"/>
  <c r="H94" i="133"/>
  <c r="G94" i="133"/>
  <c r="F94" i="133"/>
  <c r="H93" i="133"/>
  <c r="G93" i="133"/>
  <c r="F93" i="133"/>
  <c r="H92" i="133"/>
  <c r="G92" i="133"/>
  <c r="F92" i="133"/>
  <c r="H91" i="133"/>
  <c r="G91" i="133"/>
  <c r="F91" i="133"/>
  <c r="H90" i="133"/>
  <c r="G90" i="133"/>
  <c r="F90" i="133"/>
  <c r="H89" i="133"/>
  <c r="G89" i="133"/>
  <c r="F89" i="133"/>
  <c r="H88" i="133"/>
  <c r="G88" i="133"/>
  <c r="F88" i="133"/>
  <c r="H87" i="133"/>
  <c r="G87" i="133"/>
  <c r="F87" i="133"/>
  <c r="H86" i="133"/>
  <c r="G86" i="133"/>
  <c r="F86" i="133"/>
  <c r="H85" i="133"/>
  <c r="G85" i="133"/>
  <c r="F85" i="133"/>
  <c r="H84" i="133"/>
  <c r="G84" i="133"/>
  <c r="F84" i="133"/>
  <c r="H83" i="133"/>
  <c r="G83" i="133"/>
  <c r="F83" i="133"/>
  <c r="H82" i="133"/>
  <c r="G82" i="133"/>
  <c r="F82" i="133"/>
  <c r="H81" i="133"/>
  <c r="G81" i="133"/>
  <c r="F81" i="133"/>
  <c r="H80" i="133"/>
  <c r="G80" i="133"/>
  <c r="F80" i="133"/>
  <c r="H79" i="133"/>
  <c r="G79" i="133"/>
  <c r="F79" i="133"/>
  <c r="H78" i="133"/>
  <c r="G78" i="133"/>
  <c r="F78" i="133"/>
  <c r="H77" i="133"/>
  <c r="G77" i="133"/>
  <c r="F77" i="133"/>
  <c r="H76" i="133"/>
  <c r="G76" i="133"/>
  <c r="F76" i="133"/>
  <c r="H75" i="133"/>
  <c r="G75" i="133"/>
  <c r="F75" i="133"/>
  <c r="H74" i="133"/>
  <c r="G74" i="133"/>
  <c r="F74" i="133"/>
  <c r="H73" i="133"/>
  <c r="G73" i="133"/>
  <c r="F73" i="133"/>
  <c r="H72" i="133"/>
  <c r="G72" i="133"/>
  <c r="F72" i="133"/>
  <c r="H71" i="133"/>
  <c r="G71" i="133"/>
  <c r="F71" i="133"/>
  <c r="H70" i="133"/>
  <c r="G70" i="133"/>
  <c r="F70" i="133"/>
  <c r="H69" i="133"/>
  <c r="G69" i="133"/>
  <c r="F69" i="133"/>
  <c r="H68" i="133"/>
  <c r="G68" i="133"/>
  <c r="F68" i="133"/>
  <c r="H67" i="133"/>
  <c r="G67" i="133"/>
  <c r="F67" i="133"/>
  <c r="H66" i="133"/>
  <c r="G66" i="133"/>
  <c r="F66" i="133"/>
  <c r="H65" i="133"/>
  <c r="G65" i="133"/>
  <c r="F65" i="133"/>
  <c r="H64" i="133"/>
  <c r="G64" i="133"/>
  <c r="F64" i="133"/>
  <c r="H63" i="133"/>
  <c r="G63" i="133"/>
  <c r="F63" i="133"/>
  <c r="H62" i="133"/>
  <c r="G62" i="133"/>
  <c r="F62" i="133"/>
  <c r="H61" i="133"/>
  <c r="G61" i="133"/>
  <c r="F61" i="133"/>
  <c r="H60" i="133"/>
  <c r="G60" i="133"/>
  <c r="F60" i="133"/>
  <c r="H59" i="133"/>
  <c r="G59" i="133"/>
  <c r="F59" i="133"/>
  <c r="H58" i="133"/>
  <c r="G58" i="133"/>
  <c r="F58" i="133"/>
  <c r="H57" i="133"/>
  <c r="G57" i="133"/>
  <c r="F57" i="133"/>
  <c r="H56" i="133"/>
  <c r="G56" i="133"/>
  <c r="F56" i="133"/>
  <c r="H55" i="133"/>
  <c r="G55" i="133"/>
  <c r="F55" i="133"/>
  <c r="H54" i="133"/>
  <c r="G54" i="133"/>
  <c r="F54" i="133"/>
  <c r="H53" i="133"/>
  <c r="G53" i="133"/>
  <c r="F53" i="133"/>
  <c r="H52" i="133"/>
  <c r="G52" i="133"/>
  <c r="F52" i="133"/>
  <c r="H51" i="133"/>
  <c r="G51" i="133"/>
  <c r="F51" i="133"/>
  <c r="H50" i="133"/>
  <c r="G50" i="133"/>
  <c r="F50" i="133"/>
  <c r="H49" i="133"/>
  <c r="G49" i="133"/>
  <c r="F49" i="133"/>
  <c r="H48" i="133"/>
  <c r="G48" i="133"/>
  <c r="F48" i="133"/>
  <c r="H47" i="133"/>
  <c r="G47" i="133"/>
  <c r="F47" i="133"/>
  <c r="H46" i="133"/>
  <c r="G46" i="133"/>
  <c r="F46" i="133"/>
  <c r="H45" i="133"/>
  <c r="G45" i="133"/>
  <c r="F45" i="133"/>
  <c r="H44" i="133"/>
  <c r="G44" i="133"/>
  <c r="F44" i="133"/>
  <c r="H43" i="133"/>
  <c r="G43" i="133"/>
  <c r="F43" i="133"/>
  <c r="H42" i="133"/>
  <c r="G42" i="133"/>
  <c r="F42" i="133"/>
  <c r="H41" i="133"/>
  <c r="G41" i="133"/>
  <c r="F41" i="133"/>
  <c r="H40" i="133"/>
  <c r="G40" i="133"/>
  <c r="F40" i="133"/>
  <c r="H39" i="133"/>
  <c r="G39" i="133"/>
  <c r="F39" i="133"/>
  <c r="H38" i="133"/>
  <c r="G38" i="133"/>
  <c r="F38" i="133"/>
  <c r="H37" i="133"/>
  <c r="G37" i="133"/>
  <c r="F37" i="133"/>
  <c r="H36" i="133"/>
  <c r="G36" i="133"/>
  <c r="F36" i="133"/>
  <c r="H35" i="133"/>
  <c r="G35" i="133"/>
  <c r="F35" i="133"/>
  <c r="H34" i="133"/>
  <c r="G34" i="133"/>
  <c r="F34" i="133"/>
  <c r="H33" i="133"/>
  <c r="G33" i="133"/>
  <c r="F33" i="133"/>
  <c r="H32" i="133"/>
  <c r="G32" i="133"/>
  <c r="F32" i="133"/>
  <c r="H31" i="133"/>
  <c r="G31" i="133"/>
  <c r="F31" i="133"/>
  <c r="H30" i="133"/>
  <c r="G30" i="133"/>
  <c r="F30" i="133"/>
  <c r="H29" i="133"/>
  <c r="G29" i="133"/>
  <c r="F29" i="133"/>
  <c r="H28" i="133"/>
  <c r="G28" i="133"/>
  <c r="F28" i="133"/>
  <c r="H27" i="133"/>
  <c r="G27" i="133"/>
  <c r="F27" i="133"/>
  <c r="H26" i="133"/>
  <c r="G26" i="133"/>
  <c r="F26" i="133"/>
  <c r="H25" i="133"/>
  <c r="G25" i="133"/>
  <c r="F25" i="133"/>
  <c r="H24" i="133"/>
  <c r="G24" i="133"/>
  <c r="F24" i="133"/>
  <c r="H23" i="133"/>
  <c r="G23" i="133"/>
  <c r="F23" i="133"/>
  <c r="H22" i="133"/>
  <c r="G22" i="133"/>
  <c r="F22" i="133"/>
  <c r="H21" i="133"/>
  <c r="G21" i="133"/>
  <c r="F21" i="133"/>
  <c r="H20" i="133"/>
  <c r="G20" i="133"/>
  <c r="F20" i="133"/>
  <c r="H19" i="133"/>
  <c r="G19" i="133"/>
  <c r="F19" i="133"/>
  <c r="H18" i="133"/>
  <c r="G18" i="133"/>
  <c r="F18" i="133"/>
  <c r="H17" i="133"/>
  <c r="G17" i="133"/>
  <c r="F17" i="133"/>
  <c r="H16" i="133"/>
  <c r="G16" i="133"/>
  <c r="F16" i="133"/>
  <c r="H15" i="133"/>
  <c r="G15" i="133"/>
  <c r="F15" i="133"/>
  <c r="H14" i="133"/>
  <c r="G14" i="133"/>
  <c r="F14" i="133"/>
  <c r="H13" i="133"/>
  <c r="G13" i="133"/>
  <c r="F13" i="133"/>
  <c r="H12" i="133"/>
  <c r="G12" i="133"/>
  <c r="E95" i="131"/>
  <c r="F95" i="131" s="1"/>
  <c r="E94" i="131"/>
  <c r="F94" i="131" s="1"/>
  <c r="E93" i="131"/>
  <c r="F93" i="131" s="1"/>
  <c r="E92" i="131"/>
  <c r="F92" i="131" s="1"/>
  <c r="E91" i="131"/>
  <c r="F91" i="131" s="1"/>
  <c r="E90" i="131"/>
  <c r="F90" i="131" s="1"/>
  <c r="E89" i="131"/>
  <c r="F89" i="131" s="1"/>
  <c r="E88" i="131"/>
  <c r="F88" i="131" s="1"/>
  <c r="E87" i="131"/>
  <c r="F87" i="131" s="1"/>
  <c r="E86" i="131"/>
  <c r="F86" i="131" s="1"/>
  <c r="E85" i="131"/>
  <c r="F85" i="131" s="1"/>
  <c r="E84" i="131"/>
  <c r="F84" i="131" s="1"/>
  <c r="E83" i="131"/>
  <c r="F83" i="131" s="1"/>
  <c r="E82" i="131"/>
  <c r="F82" i="131" s="1"/>
  <c r="E81" i="131"/>
  <c r="F81" i="131" s="1"/>
  <c r="E80" i="131"/>
  <c r="F80" i="131" s="1"/>
  <c r="E79" i="131"/>
  <c r="F79" i="131" s="1"/>
  <c r="E78" i="131"/>
  <c r="F78" i="131" s="1"/>
  <c r="E77" i="131"/>
  <c r="F77" i="131" s="1"/>
  <c r="E76" i="131"/>
  <c r="F76" i="131" s="1"/>
  <c r="E75" i="131"/>
  <c r="F75" i="131" s="1"/>
  <c r="E74" i="131"/>
  <c r="F74" i="131" s="1"/>
  <c r="E73" i="131"/>
  <c r="F73" i="131" s="1"/>
  <c r="E72" i="131"/>
  <c r="F72" i="131" s="1"/>
  <c r="E71" i="131"/>
  <c r="F71" i="131" s="1"/>
  <c r="E70" i="131"/>
  <c r="F70" i="131" s="1"/>
  <c r="E69" i="131"/>
  <c r="F69" i="131" s="1"/>
  <c r="E68" i="131"/>
  <c r="F68" i="131" s="1"/>
  <c r="E67" i="131"/>
  <c r="F67" i="131" s="1"/>
  <c r="E66" i="131"/>
  <c r="F66" i="131" s="1"/>
  <c r="E65" i="131"/>
  <c r="F65" i="131" s="1"/>
  <c r="E64" i="131"/>
  <c r="F64" i="131" s="1"/>
  <c r="E63" i="131"/>
  <c r="F63" i="131" s="1"/>
  <c r="E62" i="131"/>
  <c r="F62" i="131" s="1"/>
  <c r="E61" i="131"/>
  <c r="F61" i="131" s="1"/>
  <c r="H60" i="131"/>
  <c r="E60" i="131"/>
  <c r="F60" i="131" s="1"/>
  <c r="H59" i="131"/>
  <c r="E59" i="131"/>
  <c r="F59" i="131" s="1"/>
  <c r="H58" i="131"/>
  <c r="E58" i="131"/>
  <c r="F58" i="131" s="1"/>
  <c r="H57" i="131"/>
  <c r="E57" i="131"/>
  <c r="F57" i="131" s="1"/>
  <c r="H56" i="131"/>
  <c r="E56" i="131"/>
  <c r="F56" i="131" s="1"/>
  <c r="H55" i="131"/>
  <c r="E55" i="131"/>
  <c r="F55" i="131" s="1"/>
  <c r="H54" i="131"/>
  <c r="E54" i="131"/>
  <c r="F54" i="131" s="1"/>
  <c r="E47" i="131"/>
  <c r="E39" i="131"/>
  <c r="E31" i="131"/>
  <c r="E23" i="131"/>
  <c r="E16" i="131"/>
  <c r="C47" i="131" s="1"/>
  <c r="E15" i="131"/>
  <c r="C39" i="131" s="1"/>
  <c r="E14" i="131"/>
  <c r="C30" i="131" s="1"/>
  <c r="E13" i="131"/>
  <c r="C23" i="131" s="1"/>
  <c r="H62" i="130"/>
  <c r="E62" i="130"/>
  <c r="F62" i="130" s="1"/>
  <c r="H61" i="130"/>
  <c r="E61" i="130"/>
  <c r="F61" i="130" s="1"/>
  <c r="H60" i="130"/>
  <c r="E60" i="130"/>
  <c r="F60" i="130" s="1"/>
  <c r="H59" i="130"/>
  <c r="E59" i="130"/>
  <c r="F59" i="130" s="1"/>
  <c r="H58" i="130"/>
  <c r="E58" i="130"/>
  <c r="F58" i="130" s="1"/>
  <c r="H57" i="130"/>
  <c r="E57" i="130"/>
  <c r="F57" i="130" s="1"/>
  <c r="H56" i="130"/>
  <c r="E56" i="130"/>
  <c r="F56" i="130" s="1"/>
  <c r="H55" i="130"/>
  <c r="E55" i="130"/>
  <c r="F55" i="130" s="1"/>
  <c r="H54" i="130"/>
  <c r="E54" i="130"/>
  <c r="F54" i="130" s="1"/>
  <c r="H53" i="130"/>
  <c r="E53" i="130"/>
  <c r="F53" i="130" s="1"/>
  <c r="H52" i="130"/>
  <c r="E52" i="130"/>
  <c r="F52" i="130" s="1"/>
  <c r="H51" i="130"/>
  <c r="E51" i="130"/>
  <c r="F51" i="130" s="1"/>
  <c r="H50" i="130"/>
  <c r="E50" i="130"/>
  <c r="F50" i="130" s="1"/>
  <c r="H49" i="130"/>
  <c r="E49" i="130"/>
  <c r="F49" i="130" s="1"/>
  <c r="H48" i="130"/>
  <c r="E48" i="130"/>
  <c r="F48" i="130" s="1"/>
  <c r="H47" i="130"/>
  <c r="E47" i="130"/>
  <c r="F47" i="130" s="1"/>
  <c r="H46" i="130"/>
  <c r="E46" i="130"/>
  <c r="F46" i="130" s="1"/>
  <c r="H45" i="130"/>
  <c r="E45" i="130"/>
  <c r="F45" i="130" s="1"/>
  <c r="H44" i="130"/>
  <c r="E44" i="130"/>
  <c r="F44" i="130" s="1"/>
  <c r="H43" i="130"/>
  <c r="E43" i="130"/>
  <c r="F43" i="130" s="1"/>
  <c r="H42" i="130"/>
  <c r="E42" i="130"/>
  <c r="F42" i="130" s="1"/>
  <c r="H41" i="130"/>
  <c r="E41" i="130"/>
  <c r="F41" i="130" s="1"/>
  <c r="H40" i="130"/>
  <c r="E40" i="130"/>
  <c r="F40" i="130" s="1"/>
  <c r="H39" i="130"/>
  <c r="E39" i="130"/>
  <c r="F39" i="130" s="1"/>
  <c r="H38" i="130"/>
  <c r="E38" i="130"/>
  <c r="F38" i="130" s="1"/>
  <c r="H37" i="130"/>
  <c r="E37" i="130"/>
  <c r="F37" i="130" s="1"/>
  <c r="H36" i="130"/>
  <c r="E36" i="130"/>
  <c r="F36" i="130" s="1"/>
  <c r="H35" i="130"/>
  <c r="E35" i="130"/>
  <c r="F35" i="130" s="1"/>
  <c r="H34" i="130"/>
  <c r="E34" i="130"/>
  <c r="F34" i="130" s="1"/>
  <c r="H33" i="130"/>
  <c r="E33" i="130"/>
  <c r="F33" i="130" s="1"/>
  <c r="H32" i="130"/>
  <c r="E32" i="130"/>
  <c r="F32" i="130" s="1"/>
  <c r="H31" i="130"/>
  <c r="E31" i="130"/>
  <c r="F31" i="130" s="1"/>
  <c r="H30" i="130"/>
  <c r="E30" i="130"/>
  <c r="F30" i="130" s="1"/>
  <c r="H29" i="130"/>
  <c r="E29" i="130"/>
  <c r="F29" i="130" s="1"/>
  <c r="H28" i="130"/>
  <c r="E28" i="130"/>
  <c r="F28" i="130" s="1"/>
  <c r="H27" i="130"/>
  <c r="E27" i="130"/>
  <c r="F27" i="130" s="1"/>
  <c r="H26" i="130"/>
  <c r="E26" i="130"/>
  <c r="F26" i="130" s="1"/>
  <c r="H25" i="130"/>
  <c r="E25" i="130"/>
  <c r="F25" i="130" s="1"/>
  <c r="M24" i="130"/>
  <c r="L24" i="130"/>
  <c r="H24" i="130"/>
  <c r="E24" i="130"/>
  <c r="F24" i="130" s="1"/>
  <c r="H23" i="130"/>
  <c r="E23" i="130"/>
  <c r="F23" i="130" s="1"/>
  <c r="N22" i="130"/>
  <c r="H22" i="130"/>
  <c r="E22" i="130"/>
  <c r="F22" i="130" s="1"/>
  <c r="N21" i="130"/>
  <c r="H21" i="130"/>
  <c r="E21" i="130"/>
  <c r="F21" i="130" s="1"/>
  <c r="N20" i="130"/>
  <c r="H20" i="130"/>
  <c r="E20" i="130"/>
  <c r="F20" i="130" s="1"/>
  <c r="H19" i="130"/>
  <c r="E19" i="130"/>
  <c r="F19" i="130" s="1"/>
  <c r="H18" i="130"/>
  <c r="E18" i="130"/>
  <c r="F18" i="130" s="1"/>
  <c r="E14" i="130"/>
  <c r="C12" i="130" s="1"/>
  <c r="P21" i="130" s="1"/>
  <c r="C191" i="129"/>
  <c r="C193" i="129" s="1"/>
  <c r="C173" i="129"/>
  <c r="F173" i="129" s="1"/>
  <c r="I173" i="129" s="1"/>
  <c r="H147" i="129"/>
  <c r="E147" i="129"/>
  <c r="F147" i="129" s="1"/>
  <c r="H146" i="129"/>
  <c r="E146" i="129"/>
  <c r="F146" i="129" s="1"/>
  <c r="H145" i="129"/>
  <c r="E145" i="129"/>
  <c r="F145" i="129" s="1"/>
  <c r="H144" i="129"/>
  <c r="E144" i="129"/>
  <c r="F144" i="129" s="1"/>
  <c r="H143" i="129"/>
  <c r="E143" i="129"/>
  <c r="F143" i="129" s="1"/>
  <c r="H142" i="129"/>
  <c r="E142" i="129"/>
  <c r="F142" i="129" s="1"/>
  <c r="H141" i="129"/>
  <c r="E141" i="129"/>
  <c r="F141" i="129" s="1"/>
  <c r="H140" i="129"/>
  <c r="E140" i="129"/>
  <c r="F140" i="129" s="1"/>
  <c r="H139" i="129"/>
  <c r="E139" i="129"/>
  <c r="F139" i="129" s="1"/>
  <c r="H138" i="129"/>
  <c r="E138" i="129"/>
  <c r="F138" i="129" s="1"/>
  <c r="H137" i="129"/>
  <c r="E137" i="129"/>
  <c r="F137" i="129" s="1"/>
  <c r="H136" i="129"/>
  <c r="E136" i="129"/>
  <c r="F136" i="129" s="1"/>
  <c r="H135" i="129"/>
  <c r="E135" i="129"/>
  <c r="F135" i="129" s="1"/>
  <c r="H134" i="129"/>
  <c r="F134" i="129"/>
  <c r="H133" i="129"/>
  <c r="F133" i="129"/>
  <c r="H132" i="129"/>
  <c r="F132" i="129"/>
  <c r="H131" i="129"/>
  <c r="F131" i="129"/>
  <c r="H130" i="129"/>
  <c r="F130" i="129"/>
  <c r="H129" i="129"/>
  <c r="F129" i="129"/>
  <c r="H128" i="129"/>
  <c r="F128" i="129"/>
  <c r="H127" i="129"/>
  <c r="F127" i="129"/>
  <c r="H126" i="129"/>
  <c r="F126" i="129"/>
  <c r="H125" i="129"/>
  <c r="F125" i="129"/>
  <c r="H124" i="129"/>
  <c r="F124" i="129"/>
  <c r="H123" i="129"/>
  <c r="F123" i="129"/>
  <c r="H122" i="129"/>
  <c r="F122" i="129"/>
  <c r="H121" i="129"/>
  <c r="F121" i="129"/>
  <c r="H120" i="129"/>
  <c r="F120" i="129"/>
  <c r="H119" i="129"/>
  <c r="F119" i="129"/>
  <c r="H118" i="129"/>
  <c r="E118" i="129"/>
  <c r="F118" i="129" s="1"/>
  <c r="H111" i="129"/>
  <c r="F111" i="129"/>
  <c r="D111" i="129"/>
  <c r="H110" i="129"/>
  <c r="F110" i="129"/>
  <c r="D110" i="129"/>
  <c r="H109" i="129"/>
  <c r="F109" i="129"/>
  <c r="D109" i="129"/>
  <c r="H108" i="129"/>
  <c r="F108" i="129"/>
  <c r="D108" i="129"/>
  <c r="H107" i="129"/>
  <c r="F107" i="129"/>
  <c r="D107" i="129"/>
  <c r="H106" i="129"/>
  <c r="F106" i="129"/>
  <c r="D106" i="129"/>
  <c r="C99" i="129"/>
  <c r="H37" i="129"/>
  <c r="G37" i="129"/>
  <c r="L37" i="129" s="1"/>
  <c r="J37" i="129"/>
  <c r="H36" i="129"/>
  <c r="G36" i="129"/>
  <c r="L36" i="129" s="1"/>
  <c r="F36" i="129"/>
  <c r="J36" i="129" s="1"/>
  <c r="H35" i="129"/>
  <c r="G35" i="129"/>
  <c r="L35" i="129" s="1"/>
  <c r="F35" i="129"/>
  <c r="J35" i="129" s="1"/>
  <c r="H34" i="129"/>
  <c r="G34" i="129"/>
  <c r="L34" i="129" s="1"/>
  <c r="F34" i="129"/>
  <c r="J34" i="129" s="1"/>
  <c r="H32" i="129"/>
  <c r="G32" i="129"/>
  <c r="L32" i="129" s="1"/>
  <c r="F32" i="129"/>
  <c r="J32" i="129" s="1"/>
  <c r="H31" i="129"/>
  <c r="G31" i="129"/>
  <c r="L31" i="129" s="1"/>
  <c r="F31" i="129"/>
  <c r="J31" i="129" s="1"/>
  <c r="G30" i="129"/>
  <c r="L30" i="129" s="1"/>
  <c r="F30" i="129"/>
  <c r="J30" i="129" s="1"/>
  <c r="G27" i="129"/>
  <c r="L27" i="129" s="1"/>
  <c r="G26" i="129"/>
  <c r="L26" i="129" s="1"/>
  <c r="G25" i="129"/>
  <c r="L25" i="129" s="1"/>
  <c r="G24" i="129"/>
  <c r="L24" i="129" s="1"/>
  <c r="G23" i="129"/>
  <c r="L23" i="129" s="1"/>
  <c r="G22" i="129"/>
  <c r="L22" i="129" s="1"/>
  <c r="I21" i="129"/>
  <c r="D22" i="129" s="1"/>
  <c r="I22" i="129" s="1"/>
  <c r="G21" i="129"/>
  <c r="L21" i="129" s="1"/>
  <c r="D13" i="129"/>
  <c r="D14" i="129" s="1"/>
  <c r="C10" i="129"/>
  <c r="K5" i="129"/>
  <c r="H42" i="28"/>
  <c r="E10" i="126"/>
  <c r="C9" i="47"/>
  <c r="C25" i="119"/>
  <c r="C15" i="119"/>
  <c r="I20" i="119"/>
  <c r="I19" i="119"/>
  <c r="I10" i="119"/>
  <c r="G9" i="119"/>
  <c r="F9" i="119"/>
  <c r="G148" i="138" l="1"/>
  <c r="I148" i="138" s="1"/>
  <c r="G149" i="138"/>
  <c r="I149" i="138" s="1"/>
  <c r="G147" i="138"/>
  <c r="I147" i="138" s="1"/>
  <c r="G113" i="138"/>
  <c r="I113" i="138" s="1"/>
  <c r="G114" i="138"/>
  <c r="I114" i="138" s="1"/>
  <c r="G115" i="138"/>
  <c r="I115" i="138" s="1"/>
  <c r="G116" i="138"/>
  <c r="I116" i="138" s="1"/>
  <c r="G81" i="138"/>
  <c r="I81" i="138" s="1"/>
  <c r="G82" i="138"/>
  <c r="I82" i="138" s="1"/>
  <c r="G83" i="138"/>
  <c r="I83" i="138" s="1"/>
  <c r="G84" i="138"/>
  <c r="I84" i="138" s="1"/>
  <c r="G48" i="138"/>
  <c r="I48" i="138" s="1"/>
  <c r="G50" i="138"/>
  <c r="I50" i="138" s="1"/>
  <c r="G49" i="138"/>
  <c r="I49" i="138" s="1"/>
  <c r="G212" i="138"/>
  <c r="I212" i="138" s="1"/>
  <c r="G213" i="138"/>
  <c r="I213" i="138" s="1"/>
  <c r="G209" i="138"/>
  <c r="I209" i="138" s="1"/>
  <c r="G211" i="138"/>
  <c r="I211" i="138" s="1"/>
  <c r="G210" i="138"/>
  <c r="I210" i="138" s="1"/>
  <c r="G175" i="138"/>
  <c r="I175" i="138" s="1"/>
  <c r="G177" i="138"/>
  <c r="I177" i="138" s="1"/>
  <c r="G178" i="138"/>
  <c r="I178" i="138" s="1"/>
  <c r="G176" i="138"/>
  <c r="I176" i="138" s="1"/>
  <c r="G144" i="138"/>
  <c r="I144" i="138" s="1"/>
  <c r="G145" i="138"/>
  <c r="I145" i="138" s="1"/>
  <c r="G146" i="138"/>
  <c r="I146" i="138" s="1"/>
  <c r="G110" i="138"/>
  <c r="I110" i="138" s="1"/>
  <c r="G111" i="138"/>
  <c r="I111" i="138" s="1"/>
  <c r="G112" i="138"/>
  <c r="I112" i="138" s="1"/>
  <c r="G78" i="138"/>
  <c r="I78" i="138" s="1"/>
  <c r="G79" i="138"/>
  <c r="I79" i="138" s="1"/>
  <c r="G80" i="138"/>
  <c r="I80" i="138" s="1"/>
  <c r="G46" i="138"/>
  <c r="I46" i="138" s="1"/>
  <c r="G47" i="138"/>
  <c r="I47" i="138" s="1"/>
  <c r="G207" i="138"/>
  <c r="I207" i="138" s="1"/>
  <c r="G208" i="138"/>
  <c r="I208" i="138" s="1"/>
  <c r="G18" i="135"/>
  <c r="G22" i="135"/>
  <c r="G26" i="135"/>
  <c r="G17" i="135"/>
  <c r="G21" i="135"/>
  <c r="G25" i="135"/>
  <c r="G20" i="135"/>
  <c r="G24" i="135"/>
  <c r="G28" i="135"/>
  <c r="G19" i="135"/>
  <c r="G23" i="135"/>
  <c r="G27" i="135"/>
  <c r="G206" i="138"/>
  <c r="I206" i="138" s="1"/>
  <c r="G143" i="138"/>
  <c r="I143" i="138" s="1"/>
  <c r="G25" i="138"/>
  <c r="I25" i="138" s="1"/>
  <c r="G45" i="138"/>
  <c r="I45" i="138" s="1"/>
  <c r="I187" i="138"/>
  <c r="G173" i="138"/>
  <c r="I173" i="138" s="1"/>
  <c r="G170" i="138"/>
  <c r="I170" i="138" s="1"/>
  <c r="G171" i="138"/>
  <c r="I171" i="138" s="1"/>
  <c r="G172" i="138"/>
  <c r="I172" i="138" s="1"/>
  <c r="G174" i="138"/>
  <c r="I174" i="138" s="1"/>
  <c r="G205" i="138"/>
  <c r="I205" i="138" s="1"/>
  <c r="G139" i="138"/>
  <c r="I139" i="138" s="1"/>
  <c r="G141" i="138"/>
  <c r="I141" i="138" s="1"/>
  <c r="G142" i="138"/>
  <c r="I142" i="138" s="1"/>
  <c r="G138" i="138"/>
  <c r="I138" i="138" s="1"/>
  <c r="G140" i="138"/>
  <c r="I140" i="138" s="1"/>
  <c r="G108" i="138"/>
  <c r="I108" i="138" s="1"/>
  <c r="G109" i="138"/>
  <c r="I109" i="138" s="1"/>
  <c r="G106" i="138"/>
  <c r="I106" i="138" s="1"/>
  <c r="G107" i="138"/>
  <c r="I107" i="138" s="1"/>
  <c r="G105" i="138"/>
  <c r="I105" i="138" s="1"/>
  <c r="G76" i="138"/>
  <c r="I76" i="138" s="1"/>
  <c r="G74" i="138"/>
  <c r="I74" i="138" s="1"/>
  <c r="G75" i="138"/>
  <c r="I75" i="138" s="1"/>
  <c r="G73" i="138"/>
  <c r="I73" i="138" s="1"/>
  <c r="G77" i="138"/>
  <c r="I77" i="138" s="1"/>
  <c r="G44" i="138"/>
  <c r="I44" i="138" s="1"/>
  <c r="G43" i="138"/>
  <c r="I43" i="138" s="1"/>
  <c r="G35" i="138"/>
  <c r="I35" i="138" s="1"/>
  <c r="G41" i="138"/>
  <c r="I41" i="138" s="1"/>
  <c r="G40" i="138"/>
  <c r="I40" i="138" s="1"/>
  <c r="G42" i="138"/>
  <c r="I42" i="138" s="1"/>
  <c r="G204" i="138"/>
  <c r="I204" i="138" s="1"/>
  <c r="G203" i="138"/>
  <c r="I203" i="138" s="1"/>
  <c r="G201" i="138"/>
  <c r="I201" i="138" s="1"/>
  <c r="G202" i="138"/>
  <c r="I202" i="138" s="1"/>
  <c r="I106" i="129"/>
  <c r="I110" i="129"/>
  <c r="I109" i="129"/>
  <c r="G31" i="138"/>
  <c r="I31" i="138" s="1"/>
  <c r="G158" i="138"/>
  <c r="I158" i="138" s="1"/>
  <c r="G168" i="138"/>
  <c r="I168" i="138" s="1"/>
  <c r="G169" i="138"/>
  <c r="I169" i="138" s="1"/>
  <c r="I108" i="129"/>
  <c r="M21" i="129"/>
  <c r="I107" i="129"/>
  <c r="I111" i="129"/>
  <c r="K21" i="129"/>
  <c r="C174" i="129"/>
  <c r="F174" i="129" s="1"/>
  <c r="G131" i="138"/>
  <c r="I131" i="138" s="1"/>
  <c r="G137" i="138"/>
  <c r="I137" i="138" s="1"/>
  <c r="G136" i="138"/>
  <c r="I136" i="138" s="1"/>
  <c r="G92" i="138"/>
  <c r="I92" i="138" s="1"/>
  <c r="G104" i="138"/>
  <c r="I104" i="138" s="1"/>
  <c r="G103" i="138"/>
  <c r="I103" i="138" s="1"/>
  <c r="G61" i="138"/>
  <c r="I61" i="138" s="1"/>
  <c r="G72" i="138"/>
  <c r="I72" i="138" s="1"/>
  <c r="G71" i="138"/>
  <c r="I71" i="138" s="1"/>
  <c r="G161" i="138"/>
  <c r="I161" i="138" s="1"/>
  <c r="G29" i="138"/>
  <c r="I29" i="138" s="1"/>
  <c r="G38" i="138"/>
  <c r="I38" i="138" s="1"/>
  <c r="G39" i="138"/>
  <c r="I39" i="138" s="1"/>
  <c r="G27" i="138"/>
  <c r="I27" i="138" s="1"/>
  <c r="G36" i="138"/>
  <c r="I36" i="138" s="1"/>
  <c r="G28" i="138"/>
  <c r="I28" i="138" s="1"/>
  <c r="G37" i="138"/>
  <c r="I37" i="138" s="1"/>
  <c r="G127" i="138"/>
  <c r="I127" i="138" s="1"/>
  <c r="G157" i="138"/>
  <c r="I157" i="138" s="1"/>
  <c r="G60" i="138"/>
  <c r="I60" i="138" s="1"/>
  <c r="G68" i="138"/>
  <c r="I68" i="138" s="1"/>
  <c r="G199" i="138"/>
  <c r="I199" i="138" s="1"/>
  <c r="G200" i="138"/>
  <c r="I200" i="138" s="1"/>
  <c r="G32" i="138"/>
  <c r="I32" i="138" s="1"/>
  <c r="G64" i="138"/>
  <c r="I64" i="138" s="1"/>
  <c r="G135" i="138"/>
  <c r="I135" i="138" s="1"/>
  <c r="G191" i="138"/>
  <c r="I191" i="138" s="1"/>
  <c r="G192" i="138"/>
  <c r="I192" i="138" s="1"/>
  <c r="G165" i="138"/>
  <c r="I165" i="138" s="1"/>
  <c r="C31" i="131"/>
  <c r="C28" i="131"/>
  <c r="C29" i="131" s="1"/>
  <c r="J72" i="141"/>
  <c r="G99" i="138"/>
  <c r="I99" i="138" s="1"/>
  <c r="G91" i="138"/>
  <c r="I91" i="138" s="1"/>
  <c r="G198" i="138"/>
  <c r="I198" i="138" s="1"/>
  <c r="G34" i="138"/>
  <c r="I34" i="138" s="1"/>
  <c r="G30" i="138"/>
  <c r="I30" i="138" s="1"/>
  <c r="G26" i="138"/>
  <c r="I26" i="138" s="1"/>
  <c r="G58" i="138"/>
  <c r="I58" i="138" s="1"/>
  <c r="G67" i="138"/>
  <c r="I67" i="138" s="1"/>
  <c r="G63" i="138"/>
  <c r="I63" i="138" s="1"/>
  <c r="G59" i="138"/>
  <c r="I59" i="138" s="1"/>
  <c r="G102" i="138"/>
  <c r="I102" i="138" s="1"/>
  <c r="G98" i="138"/>
  <c r="I98" i="138" s="1"/>
  <c r="G94" i="138"/>
  <c r="I94" i="138" s="1"/>
  <c r="G134" i="138"/>
  <c r="I134" i="138" s="1"/>
  <c r="G130" i="138"/>
  <c r="I130" i="138" s="1"/>
  <c r="G126" i="138"/>
  <c r="I126" i="138" s="1"/>
  <c r="G189" i="138"/>
  <c r="I189" i="138" s="1"/>
  <c r="G190" i="138"/>
  <c r="I190" i="138" s="1"/>
  <c r="G197" i="138"/>
  <c r="I197" i="138" s="1"/>
  <c r="G155" i="138"/>
  <c r="I155" i="138" s="1"/>
  <c r="G164" i="138"/>
  <c r="I164" i="138" s="1"/>
  <c r="G160" i="138"/>
  <c r="I160" i="138" s="1"/>
  <c r="G156" i="138"/>
  <c r="I156" i="138" s="1"/>
  <c r="G90" i="138"/>
  <c r="I90" i="138" s="1"/>
  <c r="G95" i="138"/>
  <c r="I95" i="138" s="1"/>
  <c r="G33" i="138"/>
  <c r="I33" i="138" s="1"/>
  <c r="G70" i="138"/>
  <c r="I70" i="138" s="1"/>
  <c r="G66" i="138"/>
  <c r="I66" i="138" s="1"/>
  <c r="G62" i="138"/>
  <c r="I62" i="138" s="1"/>
  <c r="G101" i="138"/>
  <c r="I101" i="138" s="1"/>
  <c r="G97" i="138"/>
  <c r="I97" i="138" s="1"/>
  <c r="G93" i="138"/>
  <c r="I93" i="138" s="1"/>
  <c r="G133" i="138"/>
  <c r="I133" i="138" s="1"/>
  <c r="G129" i="138"/>
  <c r="I129" i="138" s="1"/>
  <c r="G125" i="138"/>
  <c r="I125" i="138" s="1"/>
  <c r="G188" i="138"/>
  <c r="I188" i="138" s="1"/>
  <c r="G195" i="138"/>
  <c r="I195" i="138" s="1"/>
  <c r="G196" i="138"/>
  <c r="I196" i="138" s="1"/>
  <c r="G167" i="138"/>
  <c r="I167" i="138" s="1"/>
  <c r="G163" i="138"/>
  <c r="I163" i="138" s="1"/>
  <c r="G159" i="138"/>
  <c r="I159" i="138" s="1"/>
  <c r="G69" i="138"/>
  <c r="I69" i="138" s="1"/>
  <c r="G65" i="138"/>
  <c r="I65" i="138" s="1"/>
  <c r="G100" i="138"/>
  <c r="I100" i="138" s="1"/>
  <c r="G96" i="138"/>
  <c r="I96" i="138" s="1"/>
  <c r="G123" i="138"/>
  <c r="I123" i="138" s="1"/>
  <c r="G132" i="138"/>
  <c r="I132" i="138" s="1"/>
  <c r="G128" i="138"/>
  <c r="I128" i="138" s="1"/>
  <c r="G124" i="138"/>
  <c r="I124" i="138" s="1"/>
  <c r="G193" i="138"/>
  <c r="I193" i="138" s="1"/>
  <c r="G194" i="138"/>
  <c r="I194" i="138" s="1"/>
  <c r="G166" i="138"/>
  <c r="I166" i="138" s="1"/>
  <c r="G162" i="138"/>
  <c r="I162" i="138" s="1"/>
  <c r="C46" i="134"/>
  <c r="F30" i="134"/>
  <c r="F27" i="134"/>
  <c r="F28" i="134" s="1"/>
  <c r="E20" i="138"/>
  <c r="C218" i="138" s="1"/>
  <c r="P32" i="209" s="1"/>
  <c r="C30" i="134"/>
  <c r="C43" i="134"/>
  <c r="C35" i="134"/>
  <c r="F35" i="134"/>
  <c r="C27" i="134"/>
  <c r="C51" i="134"/>
  <c r="C37" i="134"/>
  <c r="F37" i="134"/>
  <c r="C53" i="134"/>
  <c r="C44" i="131"/>
  <c r="C46" i="131"/>
  <c r="C20" i="131"/>
  <c r="C22" i="131"/>
  <c r="C36" i="131"/>
  <c r="C38" i="131"/>
  <c r="M26" i="130"/>
  <c r="M27" i="130" s="1"/>
  <c r="I81" i="130" s="1"/>
  <c r="D23" i="129"/>
  <c r="I23" i="129" s="1"/>
  <c r="M23" i="129" s="1"/>
  <c r="K22" i="129"/>
  <c r="I112" i="129"/>
  <c r="I114" i="129" s="1"/>
  <c r="I115" i="129" s="1"/>
  <c r="C175" i="129"/>
  <c r="F175" i="129" s="1"/>
  <c r="I174" i="129"/>
  <c r="M22" i="129"/>
  <c r="F135" i="126"/>
  <c r="C151" i="126"/>
  <c r="B165" i="126"/>
  <c r="B166" i="126" s="1"/>
  <c r="B167" i="126" s="1"/>
  <c r="C167" i="126" s="1"/>
  <c r="E145" i="126"/>
  <c r="F145" i="126" s="1"/>
  <c r="E144" i="126"/>
  <c r="F144" i="126" s="1"/>
  <c r="E143" i="126"/>
  <c r="F143" i="126" s="1"/>
  <c r="F142" i="126"/>
  <c r="F141" i="126"/>
  <c r="F140" i="126"/>
  <c r="F139" i="126"/>
  <c r="F138" i="126"/>
  <c r="F137" i="126"/>
  <c r="F136" i="126"/>
  <c r="G134" i="126"/>
  <c r="F134" i="126"/>
  <c r="G133" i="126"/>
  <c r="F133" i="126"/>
  <c r="G132" i="126"/>
  <c r="F132" i="126"/>
  <c r="G131" i="126"/>
  <c r="F131" i="126"/>
  <c r="D114" i="126"/>
  <c r="E116" i="126" s="1"/>
  <c r="F116" i="126" s="1"/>
  <c r="D106" i="126"/>
  <c r="E108" i="126" s="1"/>
  <c r="F108" i="126" s="1"/>
  <c r="G102" i="126"/>
  <c r="F102" i="126"/>
  <c r="E102" i="126"/>
  <c r="D102" i="126"/>
  <c r="C102" i="126"/>
  <c r="I101" i="126"/>
  <c r="H101" i="126"/>
  <c r="I100" i="126"/>
  <c r="H100" i="126"/>
  <c r="I99" i="126"/>
  <c r="H99" i="126"/>
  <c r="I98" i="126"/>
  <c r="H98" i="126"/>
  <c r="I97" i="126"/>
  <c r="H97" i="126"/>
  <c r="I96" i="126"/>
  <c r="H96" i="126"/>
  <c r="I95" i="126"/>
  <c r="H95" i="126"/>
  <c r="E88" i="126"/>
  <c r="F88" i="126" s="1"/>
  <c r="E87" i="126"/>
  <c r="F87" i="126" s="1"/>
  <c r="E86" i="126"/>
  <c r="F86" i="126" s="1"/>
  <c r="E85" i="126"/>
  <c r="F85" i="126" s="1"/>
  <c r="E84" i="126"/>
  <c r="F84" i="126" s="1"/>
  <c r="E83" i="126"/>
  <c r="F83" i="126" s="1"/>
  <c r="E82" i="126"/>
  <c r="F82" i="126" s="1"/>
  <c r="E81" i="126"/>
  <c r="F81" i="126" s="1"/>
  <c r="E80" i="126"/>
  <c r="F80" i="126" s="1"/>
  <c r="E79" i="126"/>
  <c r="F79" i="126" s="1"/>
  <c r="E78" i="126"/>
  <c r="F78" i="126" s="1"/>
  <c r="E77" i="126"/>
  <c r="F77" i="126" s="1"/>
  <c r="E76" i="126"/>
  <c r="F76" i="126" s="1"/>
  <c r="G73" i="126"/>
  <c r="F73" i="126"/>
  <c r="E73" i="126"/>
  <c r="D73" i="126"/>
  <c r="C73" i="126"/>
  <c r="I72" i="126"/>
  <c r="H72" i="126"/>
  <c r="I71" i="126"/>
  <c r="H71" i="126"/>
  <c r="I70" i="126"/>
  <c r="H70" i="126"/>
  <c r="I69" i="126"/>
  <c r="H69" i="126"/>
  <c r="I68" i="126"/>
  <c r="H68" i="126"/>
  <c r="I67" i="126"/>
  <c r="H67" i="126"/>
  <c r="I66" i="126"/>
  <c r="H66" i="126"/>
  <c r="I65" i="126"/>
  <c r="H65" i="126"/>
  <c r="I64" i="126"/>
  <c r="H64" i="126"/>
  <c r="I63" i="126"/>
  <c r="H63" i="126"/>
  <c r="I62" i="126"/>
  <c r="H62" i="126"/>
  <c r="I61" i="126"/>
  <c r="E50" i="126"/>
  <c r="F50" i="126" s="1"/>
  <c r="E49" i="126"/>
  <c r="F49" i="126" s="1"/>
  <c r="E48" i="126"/>
  <c r="F48" i="126" s="1"/>
  <c r="E47" i="126"/>
  <c r="F47" i="126" s="1"/>
  <c r="E46" i="126"/>
  <c r="F46" i="126" s="1"/>
  <c r="E45" i="126"/>
  <c r="F45" i="126" s="1"/>
  <c r="E44" i="126"/>
  <c r="F44" i="126" s="1"/>
  <c r="E43" i="126"/>
  <c r="F43" i="126" s="1"/>
  <c r="E42" i="126"/>
  <c r="F42" i="126" s="1"/>
  <c r="E41" i="126"/>
  <c r="F41" i="126" s="1"/>
  <c r="E40" i="126"/>
  <c r="F40" i="126" s="1"/>
  <c r="E39" i="126"/>
  <c r="F39" i="126" s="1"/>
  <c r="E38" i="126"/>
  <c r="F38" i="126" s="1"/>
  <c r="E37" i="126"/>
  <c r="F37" i="126" s="1"/>
  <c r="E36" i="126"/>
  <c r="F36" i="126" s="1"/>
  <c r="E35" i="126"/>
  <c r="F35" i="126" s="1"/>
  <c r="E34" i="126"/>
  <c r="F34" i="126" s="1"/>
  <c r="G31" i="126"/>
  <c r="F31" i="126"/>
  <c r="N105" i="126" s="1"/>
  <c r="E31" i="126"/>
  <c r="D31" i="126"/>
  <c r="C31" i="126"/>
  <c r="I30" i="126"/>
  <c r="H30" i="126"/>
  <c r="I29" i="126"/>
  <c r="H29" i="126"/>
  <c r="I28" i="126"/>
  <c r="H28" i="126"/>
  <c r="I27" i="126"/>
  <c r="H27" i="126"/>
  <c r="I26" i="126"/>
  <c r="H26" i="126"/>
  <c r="E19" i="126"/>
  <c r="F19" i="126" s="1"/>
  <c r="E18" i="126"/>
  <c r="F18" i="126" s="1"/>
  <c r="E17" i="126"/>
  <c r="F17" i="126" s="1"/>
  <c r="E16" i="126"/>
  <c r="F16" i="126" s="1"/>
  <c r="E15" i="126"/>
  <c r="F15" i="126" s="1"/>
  <c r="E14" i="126"/>
  <c r="F14" i="126" s="1"/>
  <c r="E13" i="126"/>
  <c r="F13" i="126" s="1"/>
  <c r="E12" i="126"/>
  <c r="F12" i="126" s="1"/>
  <c r="E11" i="126"/>
  <c r="F11" i="126" s="1"/>
  <c r="F10" i="126"/>
  <c r="O72" i="37"/>
  <c r="G94" i="68"/>
  <c r="F94" i="68"/>
  <c r="H94" i="68" s="1"/>
  <c r="G93" i="68"/>
  <c r="F93" i="68"/>
  <c r="G92" i="68"/>
  <c r="F92" i="68"/>
  <c r="H92" i="68" s="1"/>
  <c r="G91" i="68"/>
  <c r="F91" i="68"/>
  <c r="G90" i="68"/>
  <c r="F90" i="68"/>
  <c r="H90" i="68" s="1"/>
  <c r="G89" i="68"/>
  <c r="F89" i="68"/>
  <c r="G88" i="68"/>
  <c r="F88" i="68"/>
  <c r="H88" i="68" s="1"/>
  <c r="G87" i="68"/>
  <c r="F87" i="68"/>
  <c r="G86" i="68"/>
  <c r="F86" i="68"/>
  <c r="H86" i="68" s="1"/>
  <c r="G85" i="68"/>
  <c r="F85" i="68"/>
  <c r="G84" i="68"/>
  <c r="F84" i="68"/>
  <c r="G83" i="68"/>
  <c r="F83" i="68"/>
  <c r="G82" i="68"/>
  <c r="F82" i="68"/>
  <c r="G81" i="68"/>
  <c r="F81" i="68"/>
  <c r="G80" i="68"/>
  <c r="F80" i="68"/>
  <c r="G79" i="68"/>
  <c r="F79" i="68"/>
  <c r="G78" i="68"/>
  <c r="F78" i="68"/>
  <c r="G77" i="68"/>
  <c r="F77" i="68"/>
  <c r="G65" i="68"/>
  <c r="F65" i="68"/>
  <c r="G64" i="68"/>
  <c r="F64" i="68"/>
  <c r="G63" i="68"/>
  <c r="F63" i="68"/>
  <c r="G62" i="68"/>
  <c r="F62" i="68"/>
  <c r="G61" i="68"/>
  <c r="F61" i="68"/>
  <c r="G60" i="68"/>
  <c r="F60" i="68"/>
  <c r="G59" i="68"/>
  <c r="F59" i="68"/>
  <c r="G58" i="68"/>
  <c r="F58" i="68"/>
  <c r="G57" i="68"/>
  <c r="F57" i="68"/>
  <c r="G56" i="68"/>
  <c r="F56" i="68"/>
  <c r="G55" i="68"/>
  <c r="F55" i="68"/>
  <c r="G54" i="68"/>
  <c r="F54" i="68"/>
  <c r="G53" i="68"/>
  <c r="F53" i="68"/>
  <c r="G52" i="68"/>
  <c r="F52" i="68"/>
  <c r="G51" i="68"/>
  <c r="F51" i="68"/>
  <c r="G50" i="68"/>
  <c r="F50" i="68"/>
  <c r="G49" i="68"/>
  <c r="F49" i="68"/>
  <c r="G48" i="68"/>
  <c r="F48" i="68"/>
  <c r="C249" i="56"/>
  <c r="C243" i="56"/>
  <c r="C220" i="56"/>
  <c r="C197" i="56"/>
  <c r="C174" i="56"/>
  <c r="C151" i="56"/>
  <c r="C128" i="56"/>
  <c r="I124" i="56"/>
  <c r="I135" i="56"/>
  <c r="I112" i="56"/>
  <c r="I89" i="56"/>
  <c r="I150" i="138" l="1"/>
  <c r="I117" i="138"/>
  <c r="I85" i="138"/>
  <c r="I52" i="138"/>
  <c r="I214" i="138"/>
  <c r="D219" i="138"/>
  <c r="R4" i="209"/>
  <c r="S4" i="209" s="1"/>
  <c r="G76" i="130"/>
  <c r="I76" i="130" s="1"/>
  <c r="G77" i="130"/>
  <c r="I77" i="130" s="1"/>
  <c r="G74" i="130"/>
  <c r="I74" i="130" s="1"/>
  <c r="G75" i="130"/>
  <c r="I75" i="130" s="1"/>
  <c r="G45" i="135"/>
  <c r="C32" i="131"/>
  <c r="F31" i="131" s="1"/>
  <c r="G73" i="130"/>
  <c r="I73" i="130" s="1"/>
  <c r="G71" i="130"/>
  <c r="I71" i="130" s="1"/>
  <c r="G72" i="130"/>
  <c r="I72" i="130" s="1"/>
  <c r="D135" i="133"/>
  <c r="D136" i="133" s="1"/>
  <c r="G68" i="130"/>
  <c r="I68" i="130" s="1"/>
  <c r="G70" i="130"/>
  <c r="I70" i="130" s="1"/>
  <c r="G69" i="130"/>
  <c r="I69" i="130" s="1"/>
  <c r="G66" i="130"/>
  <c r="I66" i="130" s="1"/>
  <c r="G67" i="130"/>
  <c r="I67" i="130" s="1"/>
  <c r="G64" i="130"/>
  <c r="I64" i="130" s="1"/>
  <c r="G65" i="130"/>
  <c r="I65" i="130" s="1"/>
  <c r="J73" i="141"/>
  <c r="I31" i="126"/>
  <c r="O77" i="37"/>
  <c r="H60" i="68"/>
  <c r="H85" i="68"/>
  <c r="H84" i="68"/>
  <c r="F31" i="134"/>
  <c r="G63" i="130"/>
  <c r="I63" i="130" s="1"/>
  <c r="C36" i="134"/>
  <c r="C39" i="134" s="1"/>
  <c r="C44" i="134"/>
  <c r="C47" i="134" s="1"/>
  <c r="F36" i="134"/>
  <c r="F39" i="134" s="1"/>
  <c r="C52" i="134"/>
  <c r="C55" i="134" s="1"/>
  <c r="C28" i="134"/>
  <c r="C31" i="134" s="1"/>
  <c r="C37" i="131"/>
  <c r="C40" i="131" s="1"/>
  <c r="F39" i="131" s="1"/>
  <c r="C21" i="131"/>
  <c r="C24" i="131" s="1"/>
  <c r="F23" i="131" s="1"/>
  <c r="C45" i="131"/>
  <c r="C48" i="131" s="1"/>
  <c r="F47" i="131" s="1"/>
  <c r="G51" i="130"/>
  <c r="I51" i="130" s="1"/>
  <c r="G39" i="130"/>
  <c r="I39" i="130" s="1"/>
  <c r="G25" i="130"/>
  <c r="I25" i="130" s="1"/>
  <c r="G23" i="130"/>
  <c r="I23" i="130" s="1"/>
  <c r="G19" i="130"/>
  <c r="I19" i="130" s="1"/>
  <c r="G58" i="130"/>
  <c r="I58" i="130" s="1"/>
  <c r="G46" i="130"/>
  <c r="I46" i="130" s="1"/>
  <c r="G34" i="130"/>
  <c r="I34" i="130" s="1"/>
  <c r="G27" i="130"/>
  <c r="I27" i="130" s="1"/>
  <c r="G21" i="130"/>
  <c r="I21" i="130" s="1"/>
  <c r="G53" i="130"/>
  <c r="I53" i="130" s="1"/>
  <c r="G41" i="130"/>
  <c r="I41" i="130" s="1"/>
  <c r="G29" i="130"/>
  <c r="I29" i="130" s="1"/>
  <c r="G30" i="130"/>
  <c r="I30" i="130" s="1"/>
  <c r="G49" i="130"/>
  <c r="I49" i="130" s="1"/>
  <c r="G60" i="130"/>
  <c r="I60" i="130" s="1"/>
  <c r="G48" i="130"/>
  <c r="I48" i="130" s="1"/>
  <c r="G36" i="130"/>
  <c r="I36" i="130" s="1"/>
  <c r="G55" i="130"/>
  <c r="I55" i="130" s="1"/>
  <c r="G43" i="130"/>
  <c r="I43" i="130" s="1"/>
  <c r="G31" i="130"/>
  <c r="I31" i="130" s="1"/>
  <c r="G61" i="130"/>
  <c r="I61" i="130" s="1"/>
  <c r="G62" i="130"/>
  <c r="I62" i="130" s="1"/>
  <c r="G50" i="130"/>
  <c r="I50" i="130" s="1"/>
  <c r="G38" i="130"/>
  <c r="I38" i="130" s="1"/>
  <c r="G18" i="130"/>
  <c r="I18" i="130" s="1"/>
  <c r="G22" i="130"/>
  <c r="I22" i="130" s="1"/>
  <c r="G57" i="130"/>
  <c r="I57" i="130" s="1"/>
  <c r="G45" i="130"/>
  <c r="I45" i="130" s="1"/>
  <c r="G33" i="130"/>
  <c r="I33" i="130" s="1"/>
  <c r="G52" i="130"/>
  <c r="I52" i="130" s="1"/>
  <c r="G40" i="130"/>
  <c r="I40" i="130" s="1"/>
  <c r="G28" i="130"/>
  <c r="I28" i="130" s="1"/>
  <c r="G26" i="130"/>
  <c r="I26" i="130" s="1"/>
  <c r="G24" i="130"/>
  <c r="I24" i="130" s="1"/>
  <c r="G20" i="130"/>
  <c r="I20" i="130" s="1"/>
  <c r="G59" i="130"/>
  <c r="I59" i="130" s="1"/>
  <c r="G47" i="130"/>
  <c r="I47" i="130" s="1"/>
  <c r="G35" i="130"/>
  <c r="I35" i="130" s="1"/>
  <c r="G54" i="130"/>
  <c r="I54" i="130" s="1"/>
  <c r="G42" i="130"/>
  <c r="I42" i="130" s="1"/>
  <c r="G37" i="130"/>
  <c r="I37" i="130" s="1"/>
  <c r="G56" i="130"/>
  <c r="I56" i="130" s="1"/>
  <c r="G44" i="130"/>
  <c r="I44" i="130" s="1"/>
  <c r="G32" i="130"/>
  <c r="I32" i="130" s="1"/>
  <c r="C176" i="129"/>
  <c r="F176" i="129" s="1"/>
  <c r="I175" i="129"/>
  <c r="D24" i="129"/>
  <c r="I24" i="129" s="1"/>
  <c r="K23" i="129"/>
  <c r="D142" i="129"/>
  <c r="I142" i="129" s="1"/>
  <c r="D137" i="129"/>
  <c r="I137" i="129" s="1"/>
  <c r="D144" i="129"/>
  <c r="I144" i="129" s="1"/>
  <c r="D139" i="129"/>
  <c r="I139" i="129" s="1"/>
  <c r="D134" i="129"/>
  <c r="I134" i="129" s="1"/>
  <c r="D131" i="129"/>
  <c r="I131" i="129" s="1"/>
  <c r="D128" i="129"/>
  <c r="I128" i="129" s="1"/>
  <c r="D125" i="129"/>
  <c r="I125" i="129" s="1"/>
  <c r="D122" i="129"/>
  <c r="I122" i="129" s="1"/>
  <c r="D119" i="129"/>
  <c r="I119" i="129" s="1"/>
  <c r="D146" i="129"/>
  <c r="I146" i="129" s="1"/>
  <c r="C152" i="129"/>
  <c r="D141" i="129"/>
  <c r="I141" i="129" s="1"/>
  <c r="D136" i="129"/>
  <c r="I136" i="129" s="1"/>
  <c r="D143" i="129"/>
  <c r="I143" i="129" s="1"/>
  <c r="D133" i="129"/>
  <c r="I133" i="129" s="1"/>
  <c r="D130" i="129"/>
  <c r="I130" i="129" s="1"/>
  <c r="D127" i="129"/>
  <c r="I127" i="129" s="1"/>
  <c r="D124" i="129"/>
  <c r="I124" i="129" s="1"/>
  <c r="D121" i="129"/>
  <c r="I121" i="129" s="1"/>
  <c r="D138" i="129"/>
  <c r="I138" i="129" s="1"/>
  <c r="D118" i="129"/>
  <c r="I118" i="129" s="1"/>
  <c r="D145" i="129"/>
  <c r="I145" i="129" s="1"/>
  <c r="D140" i="129"/>
  <c r="I140" i="129" s="1"/>
  <c r="D147" i="129"/>
  <c r="I147" i="129" s="1"/>
  <c r="D135" i="129"/>
  <c r="I135" i="129" s="1"/>
  <c r="D132" i="129"/>
  <c r="I132" i="129" s="1"/>
  <c r="D129" i="129"/>
  <c r="I129" i="129" s="1"/>
  <c r="D126" i="129"/>
  <c r="I126" i="129" s="1"/>
  <c r="D123" i="129"/>
  <c r="I123" i="129" s="1"/>
  <c r="D120" i="129"/>
  <c r="I120" i="129" s="1"/>
  <c r="H31" i="126"/>
  <c r="M105" i="126"/>
  <c r="I73" i="126"/>
  <c r="H73" i="126"/>
  <c r="H102" i="126"/>
  <c r="F90" i="126"/>
  <c r="I102" i="126"/>
  <c r="F52" i="126"/>
  <c r="K105" i="126"/>
  <c r="O105" i="126"/>
  <c r="F21" i="126"/>
  <c r="L105" i="126"/>
  <c r="F89" i="126"/>
  <c r="F51" i="126"/>
  <c r="F20" i="126"/>
  <c r="E107" i="126"/>
  <c r="F107" i="126" s="1"/>
  <c r="E109" i="126"/>
  <c r="F109" i="126" s="1"/>
  <c r="E115" i="126"/>
  <c r="F115" i="126" s="1"/>
  <c r="E117" i="126"/>
  <c r="F117" i="126" s="1"/>
  <c r="H87" i="68"/>
  <c r="H89" i="68"/>
  <c r="H91" i="68"/>
  <c r="H93" i="68"/>
  <c r="H55" i="68"/>
  <c r="H63" i="68"/>
  <c r="H57" i="68"/>
  <c r="H56" i="68"/>
  <c r="H58" i="68"/>
  <c r="H59" i="68"/>
  <c r="H61" i="68"/>
  <c r="H65" i="68"/>
  <c r="H62" i="68"/>
  <c r="H64" i="68"/>
  <c r="I82" i="130" l="1"/>
  <c r="I84" i="130" s="1"/>
  <c r="J79" i="130"/>
  <c r="C219" i="138"/>
  <c r="O44" i="37"/>
  <c r="P17" i="209"/>
  <c r="Q71" i="37"/>
  <c r="R71" i="37" s="1"/>
  <c r="B49" i="135"/>
  <c r="B50" i="135" s="1"/>
  <c r="J74" i="141"/>
  <c r="F121" i="126"/>
  <c r="F120" i="126"/>
  <c r="Q105" i="126"/>
  <c r="C50" i="131"/>
  <c r="Q61" i="37"/>
  <c r="R61" i="37" s="1"/>
  <c r="C57" i="134"/>
  <c r="D25" i="129"/>
  <c r="I25" i="129" s="1"/>
  <c r="K24" i="129"/>
  <c r="M24" i="129"/>
  <c r="I148" i="129"/>
  <c r="C153" i="129" s="1"/>
  <c r="C155" i="129" s="1"/>
  <c r="C177" i="129"/>
  <c r="F177" i="129" s="1"/>
  <c r="I176" i="129"/>
  <c r="F91" i="126"/>
  <c r="K106" i="126"/>
  <c r="P105" i="126"/>
  <c r="F118" i="126"/>
  <c r="F124" i="126" s="1"/>
  <c r="F53" i="126"/>
  <c r="F110" i="126"/>
  <c r="F123" i="126" s="1"/>
  <c r="F22" i="126"/>
  <c r="C220" i="138" l="1"/>
  <c r="R32" i="209"/>
  <c r="S32" i="209" s="1"/>
  <c r="G96" i="134"/>
  <c r="I96" i="134" s="1"/>
  <c r="P23" i="209"/>
  <c r="G97" i="134"/>
  <c r="I97" i="134" s="1"/>
  <c r="R17" i="209"/>
  <c r="S17" i="209" s="1"/>
  <c r="P74" i="209"/>
  <c r="G94" i="134"/>
  <c r="I94" i="134" s="1"/>
  <c r="G95" i="134"/>
  <c r="I95" i="134" s="1"/>
  <c r="G92" i="134"/>
  <c r="I92" i="134" s="1"/>
  <c r="G93" i="134"/>
  <c r="I93" i="134" s="1"/>
  <c r="C111" i="131"/>
  <c r="O47" i="37" s="1"/>
  <c r="G57" i="131"/>
  <c r="I57" i="131" s="1"/>
  <c r="G59" i="131"/>
  <c r="I59" i="131" s="1"/>
  <c r="G5" i="131"/>
  <c r="G56" i="131"/>
  <c r="I56" i="131" s="1"/>
  <c r="G60" i="131"/>
  <c r="I60" i="131" s="1"/>
  <c r="G58" i="131"/>
  <c r="I58" i="131" s="1"/>
  <c r="G90" i="134"/>
  <c r="I90" i="134" s="1"/>
  <c r="G91" i="134"/>
  <c r="I91" i="134" s="1"/>
  <c r="J75" i="141"/>
  <c r="G89" i="134"/>
  <c r="I89" i="134" s="1"/>
  <c r="G88" i="134"/>
  <c r="I88" i="134" s="1"/>
  <c r="G55" i="131"/>
  <c r="I55" i="131" s="1"/>
  <c r="G54" i="131"/>
  <c r="I54" i="131" s="1"/>
  <c r="I109" i="131" s="1"/>
  <c r="G85" i="134"/>
  <c r="I85" i="134" s="1"/>
  <c r="G86" i="134"/>
  <c r="I86" i="134" s="1"/>
  <c r="G87" i="134"/>
  <c r="I87" i="134" s="1"/>
  <c r="F122" i="126"/>
  <c r="F125" i="126" s="1"/>
  <c r="C128" i="126" s="1"/>
  <c r="O65" i="37"/>
  <c r="G84" i="134"/>
  <c r="I84" i="134" s="1"/>
  <c r="Q77" i="37"/>
  <c r="R77" i="37" s="1"/>
  <c r="Q44" i="37"/>
  <c r="R44" i="37" s="1"/>
  <c r="G79" i="134"/>
  <c r="I79" i="134" s="1"/>
  <c r="G67" i="134"/>
  <c r="I67" i="134" s="1"/>
  <c r="C6" i="134"/>
  <c r="G74" i="134"/>
  <c r="I74" i="134" s="1"/>
  <c r="G62" i="134"/>
  <c r="I62" i="134" s="1"/>
  <c r="G81" i="134"/>
  <c r="I81" i="134" s="1"/>
  <c r="G69" i="134"/>
  <c r="I69" i="134" s="1"/>
  <c r="G76" i="134"/>
  <c r="I76" i="134" s="1"/>
  <c r="G64" i="134"/>
  <c r="I64" i="134" s="1"/>
  <c r="G83" i="134"/>
  <c r="I83" i="134" s="1"/>
  <c r="G71" i="134"/>
  <c r="I71" i="134" s="1"/>
  <c r="G78" i="134"/>
  <c r="I78" i="134" s="1"/>
  <c r="G66" i="134"/>
  <c r="I66" i="134" s="1"/>
  <c r="G73" i="134"/>
  <c r="I73" i="134" s="1"/>
  <c r="G61" i="134"/>
  <c r="I61" i="134" s="1"/>
  <c r="G80" i="134"/>
  <c r="I80" i="134" s="1"/>
  <c r="G68" i="134"/>
  <c r="I68" i="134" s="1"/>
  <c r="G75" i="134"/>
  <c r="I75" i="134" s="1"/>
  <c r="G63" i="134"/>
  <c r="I63" i="134" s="1"/>
  <c r="G72" i="134"/>
  <c r="I72" i="134" s="1"/>
  <c r="G82" i="134"/>
  <c r="I82" i="134" s="1"/>
  <c r="G70" i="134"/>
  <c r="I70" i="134" s="1"/>
  <c r="G77" i="134"/>
  <c r="I77" i="134" s="1"/>
  <c r="G65" i="134"/>
  <c r="I65" i="134" s="1"/>
  <c r="I177" i="129"/>
  <c r="C178" i="129"/>
  <c r="F178" i="129" s="1"/>
  <c r="K25" i="129"/>
  <c r="D26" i="129"/>
  <c r="I26" i="129" s="1"/>
  <c r="M25" i="129"/>
  <c r="R23" i="209" l="1"/>
  <c r="R74" i="209" s="1"/>
  <c r="I110" i="131"/>
  <c r="J76" i="141"/>
  <c r="H131" i="126"/>
  <c r="H135" i="126"/>
  <c r="C179" i="129"/>
  <c r="F179" i="129" s="1"/>
  <c r="I178" i="129"/>
  <c r="D27" i="129"/>
  <c r="I27" i="129" s="1"/>
  <c r="K26" i="129"/>
  <c r="M26" i="129"/>
  <c r="O74" i="37"/>
  <c r="H145" i="126"/>
  <c r="H144" i="126"/>
  <c r="H143" i="126"/>
  <c r="H142" i="126"/>
  <c r="H138" i="126"/>
  <c r="H133" i="126"/>
  <c r="H132" i="126"/>
  <c r="H139" i="126"/>
  <c r="H134" i="126"/>
  <c r="H140" i="126"/>
  <c r="H136" i="126"/>
  <c r="H141" i="126"/>
  <c r="H137" i="126"/>
  <c r="S23" i="209" l="1"/>
  <c r="Q65" i="37"/>
  <c r="R65" i="37" s="1"/>
  <c r="I100" i="134"/>
  <c r="J100" i="134" s="1"/>
  <c r="C112" i="131"/>
  <c r="Q47" i="37" s="1"/>
  <c r="R47" i="37" s="1"/>
  <c r="C113" i="131"/>
  <c r="H146" i="126"/>
  <c r="D30" i="129"/>
  <c r="I30" i="129" s="1"/>
  <c r="K27" i="129"/>
  <c r="K28" i="129" s="1"/>
  <c r="M27" i="129"/>
  <c r="M28" i="129" s="1"/>
  <c r="C180" i="129"/>
  <c r="F180" i="129" s="1"/>
  <c r="I179" i="129"/>
  <c r="S74" i="209" l="1"/>
  <c r="S1" i="209" s="1"/>
  <c r="X17" i="209"/>
  <c r="J77" i="141"/>
  <c r="C181" i="129"/>
  <c r="F181" i="129" s="1"/>
  <c r="I180" i="129"/>
  <c r="M30" i="129"/>
  <c r="D31" i="129"/>
  <c r="I31" i="129" s="1"/>
  <c r="K30" i="129"/>
  <c r="Q74" i="37"/>
  <c r="R74" i="37" s="1"/>
  <c r="J81" i="141" l="1"/>
  <c r="C84" i="141"/>
  <c r="D32" i="129"/>
  <c r="I32" i="129" s="1"/>
  <c r="K31" i="129"/>
  <c r="M31" i="129"/>
  <c r="I181" i="129"/>
  <c r="C182" i="129"/>
  <c r="F182" i="129" s="1"/>
  <c r="G22" i="68"/>
  <c r="F22" i="68"/>
  <c r="F23" i="68"/>
  <c r="F24" i="68"/>
  <c r="F25" i="68"/>
  <c r="F26" i="68"/>
  <c r="F27" i="68"/>
  <c r="F28" i="68"/>
  <c r="F29" i="68"/>
  <c r="F30" i="68"/>
  <c r="F31" i="68"/>
  <c r="F32" i="68"/>
  <c r="F33" i="68"/>
  <c r="F34" i="68"/>
  <c r="F35" i="68"/>
  <c r="F21" i="68"/>
  <c r="F20" i="68"/>
  <c r="F19" i="68"/>
  <c r="F18" i="68"/>
  <c r="G19" i="68"/>
  <c r="G20" i="68"/>
  <c r="G21" i="68"/>
  <c r="G18" i="68"/>
  <c r="E44" i="68"/>
  <c r="C45" i="68" s="1"/>
  <c r="E73" i="68"/>
  <c r="C74" i="68" s="1"/>
  <c r="E14" i="68"/>
  <c r="C15" i="68" s="1"/>
  <c r="C16" i="65"/>
  <c r="H20" i="65"/>
  <c r="H21" i="65"/>
  <c r="H22" i="65"/>
  <c r="H23" i="65"/>
  <c r="H24" i="65"/>
  <c r="H25" i="65"/>
  <c r="H26" i="65"/>
  <c r="H27" i="65"/>
  <c r="H28" i="65"/>
  <c r="H29" i="65"/>
  <c r="H30" i="65"/>
  <c r="H31" i="65"/>
  <c r="H32" i="65"/>
  <c r="H33" i="65"/>
  <c r="H34" i="65"/>
  <c r="H35" i="65"/>
  <c r="H19" i="65"/>
  <c r="G25" i="65"/>
  <c r="G26" i="65"/>
  <c r="G27" i="65"/>
  <c r="G28" i="65"/>
  <c r="G29" i="65"/>
  <c r="G30" i="65"/>
  <c r="G31" i="65"/>
  <c r="G32" i="65"/>
  <c r="G33" i="65"/>
  <c r="G34" i="65"/>
  <c r="G35" i="65"/>
  <c r="G24" i="65"/>
  <c r="G23" i="65"/>
  <c r="G22" i="65"/>
  <c r="G21" i="65"/>
  <c r="G20" i="65"/>
  <c r="G19" i="65"/>
  <c r="F20" i="65"/>
  <c r="F21" i="65"/>
  <c r="F22" i="65"/>
  <c r="F23" i="65"/>
  <c r="F24" i="65"/>
  <c r="F25" i="65"/>
  <c r="F26" i="65"/>
  <c r="F27" i="65"/>
  <c r="F28" i="65"/>
  <c r="F29" i="65"/>
  <c r="F19" i="65"/>
  <c r="E31" i="65"/>
  <c r="F31" i="65" s="1"/>
  <c r="E32" i="65"/>
  <c r="F32" i="65" s="1"/>
  <c r="E33" i="65"/>
  <c r="F33" i="65" s="1"/>
  <c r="E34" i="65"/>
  <c r="F34" i="65" s="1"/>
  <c r="E35" i="65"/>
  <c r="F35" i="65" s="1"/>
  <c r="E30" i="65"/>
  <c r="F30" i="65" s="1"/>
  <c r="C10" i="65"/>
  <c r="C39" i="65" s="1"/>
  <c r="C85" i="141" l="1"/>
  <c r="C183" i="129"/>
  <c r="F183" i="129" s="1"/>
  <c r="I182" i="129"/>
  <c r="K32" i="129"/>
  <c r="C50" i="129"/>
  <c r="M32" i="129"/>
  <c r="H18" i="68"/>
  <c r="C39" i="68"/>
  <c r="H81" i="68"/>
  <c r="C98" i="68"/>
  <c r="H77" i="68"/>
  <c r="H80" i="68"/>
  <c r="H79" i="68"/>
  <c r="H78" i="68"/>
  <c r="H19" i="68"/>
  <c r="H20" i="68"/>
  <c r="C69" i="68"/>
  <c r="H48" i="68"/>
  <c r="H50" i="68"/>
  <c r="H51" i="68"/>
  <c r="H49" i="68"/>
  <c r="H21" i="68"/>
  <c r="H52" i="68"/>
  <c r="H22" i="68"/>
  <c r="C103" i="68" l="1"/>
  <c r="C56" i="129"/>
  <c r="C184" i="129"/>
  <c r="F184" i="129" s="1"/>
  <c r="I184" i="129" s="1"/>
  <c r="I183" i="129"/>
  <c r="H95" i="68"/>
  <c r="C99" i="68" s="1"/>
  <c r="H66" i="68"/>
  <c r="C70" i="68" s="1"/>
  <c r="C71" i="68" s="1"/>
  <c r="I154" i="125"/>
  <c r="I155" i="125"/>
  <c r="I156" i="125"/>
  <c r="I153" i="125"/>
  <c r="G153" i="125"/>
  <c r="H153" i="125"/>
  <c r="G154" i="125"/>
  <c r="H154" i="125"/>
  <c r="G155" i="125"/>
  <c r="H155" i="125"/>
  <c r="G156" i="125"/>
  <c r="H156" i="125"/>
  <c r="E153" i="125"/>
  <c r="F153" i="125" s="1"/>
  <c r="D48" i="74"/>
  <c r="H22" i="74"/>
  <c r="H23" i="74"/>
  <c r="H24" i="74"/>
  <c r="H25" i="74"/>
  <c r="H26" i="74"/>
  <c r="H27" i="74"/>
  <c r="H28" i="74"/>
  <c r="F22" i="74"/>
  <c r="F18" i="74"/>
  <c r="F19" i="74"/>
  <c r="F20" i="74"/>
  <c r="F21" i="74"/>
  <c r="F23" i="74"/>
  <c r="F24" i="74"/>
  <c r="F25" i="74"/>
  <c r="F26" i="74"/>
  <c r="F27" i="74"/>
  <c r="F28" i="74"/>
  <c r="F17" i="74"/>
  <c r="E12" i="74"/>
  <c r="G19" i="74" s="1"/>
  <c r="I19" i="74" s="1"/>
  <c r="F131" i="125"/>
  <c r="O70" i="37" l="1"/>
  <c r="I185" i="129"/>
  <c r="D34" i="129"/>
  <c r="I34" i="129" s="1"/>
  <c r="G24" i="74"/>
  <c r="I24" i="74" s="1"/>
  <c r="G22" i="74"/>
  <c r="I22" i="74" s="1"/>
  <c r="G28" i="74"/>
  <c r="G20" i="74"/>
  <c r="I20" i="74" s="1"/>
  <c r="G26" i="74"/>
  <c r="I26" i="74" s="1"/>
  <c r="G18" i="74"/>
  <c r="I18" i="74" s="1"/>
  <c r="G17" i="74"/>
  <c r="I17" i="74" s="1"/>
  <c r="G25" i="74"/>
  <c r="I25" i="74" s="1"/>
  <c r="G21" i="74"/>
  <c r="I21" i="74" s="1"/>
  <c r="D32" i="74"/>
  <c r="G27" i="74"/>
  <c r="I27" i="74" s="1"/>
  <c r="G23" i="74"/>
  <c r="I23" i="74" s="1"/>
  <c r="D35" i="129" l="1"/>
  <c r="I35" i="129" s="1"/>
  <c r="K34" i="129"/>
  <c r="I29" i="74"/>
  <c r="D33" i="74" s="1"/>
  <c r="D34" i="74" s="1"/>
  <c r="D36" i="129" l="1"/>
  <c r="I36" i="129" s="1"/>
  <c r="K35" i="129"/>
  <c r="M35" i="129"/>
  <c r="D30" i="105"/>
  <c r="D27" i="105"/>
  <c r="D26" i="105"/>
  <c r="D23" i="54"/>
  <c r="D55" i="99"/>
  <c r="H30" i="99"/>
  <c r="H31" i="99"/>
  <c r="H32" i="99"/>
  <c r="H33" i="99"/>
  <c r="H34" i="99"/>
  <c r="H35" i="99"/>
  <c r="H36" i="99"/>
  <c r="H37" i="99"/>
  <c r="H38" i="99"/>
  <c r="H39" i="99"/>
  <c r="H40" i="99"/>
  <c r="G28" i="99"/>
  <c r="G29" i="99"/>
  <c r="G30" i="99"/>
  <c r="G31" i="99"/>
  <c r="G32" i="99"/>
  <c r="G33" i="99"/>
  <c r="G34" i="99"/>
  <c r="G35" i="99"/>
  <c r="G36" i="99"/>
  <c r="G37" i="99"/>
  <c r="G38" i="99"/>
  <c r="G39" i="99"/>
  <c r="G40" i="99"/>
  <c r="F28" i="99"/>
  <c r="E29" i="99"/>
  <c r="F29" i="99" s="1"/>
  <c r="E30" i="99"/>
  <c r="F30" i="99" s="1"/>
  <c r="E31" i="99"/>
  <c r="F31" i="99" s="1"/>
  <c r="E32" i="99"/>
  <c r="F32" i="99" s="1"/>
  <c r="I32" i="99" s="1"/>
  <c r="E33" i="99"/>
  <c r="F33" i="99" s="1"/>
  <c r="E34" i="99"/>
  <c r="F34" i="99" s="1"/>
  <c r="E35" i="99"/>
  <c r="F35" i="99" s="1"/>
  <c r="E36" i="99"/>
  <c r="F36" i="99" s="1"/>
  <c r="I36" i="99" s="1"/>
  <c r="E37" i="99"/>
  <c r="F37" i="99" s="1"/>
  <c r="E38" i="99"/>
  <c r="F38" i="99" s="1"/>
  <c r="E39" i="99"/>
  <c r="F39" i="99" s="1"/>
  <c r="E40" i="99"/>
  <c r="F40" i="99" s="1"/>
  <c r="I40" i="99" s="1"/>
  <c r="E28" i="99"/>
  <c r="F18" i="99"/>
  <c r="F19" i="99"/>
  <c r="F20" i="99"/>
  <c r="F21" i="99"/>
  <c r="F22" i="99"/>
  <c r="F23" i="99"/>
  <c r="F24" i="99"/>
  <c r="F25" i="99"/>
  <c r="F26" i="99"/>
  <c r="F27" i="99"/>
  <c r="F17" i="99"/>
  <c r="G17" i="99"/>
  <c r="H28" i="99"/>
  <c r="I28" i="99" s="1"/>
  <c r="H17" i="99"/>
  <c r="N17" i="104"/>
  <c r="O43" i="37"/>
  <c r="P43" i="37"/>
  <c r="B21" i="54"/>
  <c r="B20" i="54"/>
  <c r="B24" i="54"/>
  <c r="G13" i="54"/>
  <c r="C18" i="104"/>
  <c r="B18" i="104"/>
  <c r="G10" i="54"/>
  <c r="N20" i="104"/>
  <c r="Q20" i="104"/>
  <c r="N22" i="54"/>
  <c r="N17" i="54"/>
  <c r="E12" i="104"/>
  <c r="I12" i="104" s="1"/>
  <c r="K12" i="104" s="1"/>
  <c r="R43" i="37" l="1"/>
  <c r="K36" i="129"/>
  <c r="D37" i="129"/>
  <c r="I37" i="129" s="1"/>
  <c r="K37" i="129" s="1"/>
  <c r="M36" i="129"/>
  <c r="I31" i="99"/>
  <c r="I39" i="99"/>
  <c r="I35" i="99"/>
  <c r="I38" i="99"/>
  <c r="I34" i="99"/>
  <c r="I30" i="99"/>
  <c r="I37" i="99"/>
  <c r="I33" i="99"/>
  <c r="O21" i="104"/>
  <c r="N29" i="104" s="1"/>
  <c r="O30" i="104" s="1"/>
  <c r="E13" i="104"/>
  <c r="I13" i="104" s="1"/>
  <c r="C122" i="125"/>
  <c r="P58" i="37"/>
  <c r="F128" i="125"/>
  <c r="F129" i="125"/>
  <c r="F130" i="125"/>
  <c r="F132" i="125"/>
  <c r="F133" i="125"/>
  <c r="F134" i="125"/>
  <c r="F135" i="125"/>
  <c r="F136" i="125"/>
  <c r="F137" i="125"/>
  <c r="F138" i="125"/>
  <c r="F127" i="125"/>
  <c r="E156" i="125"/>
  <c r="F156" i="125" s="1"/>
  <c r="E155" i="125"/>
  <c r="F155" i="125" s="1"/>
  <c r="E154" i="125"/>
  <c r="F154" i="125" s="1"/>
  <c r="E152" i="125"/>
  <c r="F152" i="125" s="1"/>
  <c r="E151" i="125"/>
  <c r="F151" i="125" s="1"/>
  <c r="E150" i="125"/>
  <c r="F150" i="125" s="1"/>
  <c r="E149" i="125"/>
  <c r="F149" i="125" s="1"/>
  <c r="E148" i="125"/>
  <c r="F148" i="125" s="1"/>
  <c r="E147" i="125"/>
  <c r="F147" i="125" s="1"/>
  <c r="E146" i="125"/>
  <c r="F146" i="125" s="1"/>
  <c r="E145" i="125"/>
  <c r="F145" i="125" s="1"/>
  <c r="E144" i="125"/>
  <c r="F144" i="125" s="1"/>
  <c r="E143" i="125"/>
  <c r="F143" i="125" s="1"/>
  <c r="E142" i="125"/>
  <c r="F142" i="125" s="1"/>
  <c r="E141" i="125"/>
  <c r="F141" i="125" s="1"/>
  <c r="E140" i="125"/>
  <c r="F140" i="125" s="1"/>
  <c r="E139" i="125"/>
  <c r="F139" i="125" s="1"/>
  <c r="H130" i="125"/>
  <c r="H129" i="125"/>
  <c r="H128" i="125"/>
  <c r="H127" i="125"/>
  <c r="E104" i="125"/>
  <c r="E105" i="125"/>
  <c r="E103" i="125"/>
  <c r="C105" i="125"/>
  <c r="C112" i="125" s="1"/>
  <c r="F112" i="125" s="1"/>
  <c r="C104" i="125"/>
  <c r="C111" i="125" s="1"/>
  <c r="F111" i="125" s="1"/>
  <c r="C103" i="125"/>
  <c r="C110" i="125" s="1"/>
  <c r="F110" i="125" s="1"/>
  <c r="C49" i="125"/>
  <c r="C61" i="125" s="1"/>
  <c r="I99" i="125"/>
  <c r="H99" i="125"/>
  <c r="G99" i="125"/>
  <c r="F99" i="125"/>
  <c r="E99" i="125"/>
  <c r="D99" i="125"/>
  <c r="C99" i="125"/>
  <c r="E65" i="125"/>
  <c r="F65" i="125" s="1"/>
  <c r="E66" i="125"/>
  <c r="F66" i="125" s="1"/>
  <c r="E67" i="125"/>
  <c r="F67" i="125" s="1"/>
  <c r="E68" i="125"/>
  <c r="F68" i="125" s="1"/>
  <c r="E69" i="125"/>
  <c r="F69" i="125" s="1"/>
  <c r="E70" i="125"/>
  <c r="F70" i="125" s="1"/>
  <c r="E71" i="125"/>
  <c r="F71" i="125" s="1"/>
  <c r="E72" i="125"/>
  <c r="F72" i="125" s="1"/>
  <c r="E73" i="125"/>
  <c r="F73" i="125" s="1"/>
  <c r="E74" i="125"/>
  <c r="F74" i="125" s="1"/>
  <c r="E75" i="125"/>
  <c r="F75" i="125" s="1"/>
  <c r="E76" i="125"/>
  <c r="F76" i="125" s="1"/>
  <c r="E77" i="125"/>
  <c r="F77" i="125" s="1"/>
  <c r="E78" i="125"/>
  <c r="F78" i="125" s="1"/>
  <c r="E79" i="125"/>
  <c r="F79" i="125" s="1"/>
  <c r="E80" i="125"/>
  <c r="F80" i="125" s="1"/>
  <c r="E64" i="125"/>
  <c r="F64" i="125" s="1"/>
  <c r="E27" i="125"/>
  <c r="F27" i="125" s="1"/>
  <c r="D61" i="125"/>
  <c r="E61" i="125"/>
  <c r="F61" i="125"/>
  <c r="G61" i="125"/>
  <c r="H61" i="125"/>
  <c r="I61" i="125"/>
  <c r="E28" i="125"/>
  <c r="F28" i="125" s="1"/>
  <c r="E29" i="125"/>
  <c r="F29" i="125" s="1"/>
  <c r="E30" i="125"/>
  <c r="F30" i="125" s="1"/>
  <c r="E31" i="125"/>
  <c r="F31" i="125" s="1"/>
  <c r="E32" i="125"/>
  <c r="F32" i="125" s="1"/>
  <c r="E33" i="125"/>
  <c r="F33" i="125" s="1"/>
  <c r="E34" i="125"/>
  <c r="F34" i="125" s="1"/>
  <c r="E35" i="125"/>
  <c r="F35" i="125" s="1"/>
  <c r="E36" i="125"/>
  <c r="F36" i="125" s="1"/>
  <c r="E37" i="125"/>
  <c r="F37" i="125" s="1"/>
  <c r="E38" i="125"/>
  <c r="F38" i="125" s="1"/>
  <c r="E39" i="125"/>
  <c r="F39" i="125" s="1"/>
  <c r="E40" i="125"/>
  <c r="F40" i="125" s="1"/>
  <c r="E41" i="125"/>
  <c r="F41" i="125" s="1"/>
  <c r="E42" i="125"/>
  <c r="F42" i="125" s="1"/>
  <c r="E43" i="125"/>
  <c r="F43" i="125" s="1"/>
  <c r="E13" i="125"/>
  <c r="F13" i="125" s="1"/>
  <c r="E15" i="125"/>
  <c r="F15" i="125" s="1"/>
  <c r="E14" i="125"/>
  <c r="F14" i="125" s="1"/>
  <c r="I24" i="125"/>
  <c r="H24" i="125"/>
  <c r="G24" i="125"/>
  <c r="F24" i="125"/>
  <c r="E24" i="125"/>
  <c r="D24" i="125"/>
  <c r="C24" i="125"/>
  <c r="K13" i="104" l="1"/>
  <c r="E14" i="104"/>
  <c r="I14" i="104" s="1"/>
  <c r="N37" i="129"/>
  <c r="C57" i="129"/>
  <c r="C59" i="129" s="1"/>
  <c r="M37" i="129"/>
  <c r="F103" i="125"/>
  <c r="F113" i="125"/>
  <c r="F105" i="125"/>
  <c r="F104" i="125"/>
  <c r="F82" i="125"/>
  <c r="F45" i="125"/>
  <c r="F44" i="125"/>
  <c r="F81" i="125"/>
  <c r="F17" i="125"/>
  <c r="F16" i="125"/>
  <c r="K14" i="104" l="1"/>
  <c r="K15" i="104" s="1"/>
  <c r="C19" i="104" s="1"/>
  <c r="Q49" i="37" s="1"/>
  <c r="C17" i="104"/>
  <c r="F46" i="125"/>
  <c r="F106" i="125"/>
  <c r="F117" i="125" s="1"/>
  <c r="F116" i="125"/>
  <c r="F115" i="125"/>
  <c r="F83" i="125"/>
  <c r="F18" i="125"/>
  <c r="C20" i="104" l="1"/>
  <c r="O49" i="37"/>
  <c r="R49" i="37" s="1"/>
  <c r="F118" i="125"/>
  <c r="G131" i="125" l="1"/>
  <c r="I131" i="125" s="1"/>
  <c r="O58" i="37"/>
  <c r="G128" i="125"/>
  <c r="I128" i="125" s="1"/>
  <c r="G133" i="125"/>
  <c r="I133" i="125" s="1"/>
  <c r="G137" i="125"/>
  <c r="I137" i="125" s="1"/>
  <c r="G141" i="125"/>
  <c r="I141" i="125" s="1"/>
  <c r="G145" i="125"/>
  <c r="I145" i="125" s="1"/>
  <c r="G149" i="125"/>
  <c r="I149" i="125" s="1"/>
  <c r="G130" i="125"/>
  <c r="I130" i="125" s="1"/>
  <c r="G135" i="125"/>
  <c r="I135" i="125" s="1"/>
  <c r="G139" i="125"/>
  <c r="I139" i="125" s="1"/>
  <c r="G143" i="125"/>
  <c r="I143" i="125" s="1"/>
  <c r="G147" i="125"/>
  <c r="I147" i="125" s="1"/>
  <c r="G151" i="125"/>
  <c r="I151" i="125" s="1"/>
  <c r="G132" i="125"/>
  <c r="I132" i="125" s="1"/>
  <c r="G140" i="125"/>
  <c r="I140" i="125" s="1"/>
  <c r="G144" i="125"/>
  <c r="I144" i="125" s="1"/>
  <c r="G152" i="125"/>
  <c r="I152" i="125" s="1"/>
  <c r="G129" i="125"/>
  <c r="I129" i="125" s="1"/>
  <c r="G134" i="125"/>
  <c r="I134" i="125" s="1"/>
  <c r="G138" i="125"/>
  <c r="I138" i="125" s="1"/>
  <c r="G142" i="125"/>
  <c r="I142" i="125" s="1"/>
  <c r="G146" i="125"/>
  <c r="I146" i="125" s="1"/>
  <c r="G150" i="125"/>
  <c r="I150" i="125" s="1"/>
  <c r="G136" i="125"/>
  <c r="I136" i="125" s="1"/>
  <c r="G148" i="125"/>
  <c r="I148" i="125" s="1"/>
  <c r="I127" i="125"/>
  <c r="I157" i="125" l="1"/>
  <c r="C42" i="103"/>
  <c r="C41" i="103"/>
  <c r="C40" i="103"/>
  <c r="I37" i="103"/>
  <c r="I15" i="103"/>
  <c r="I16" i="103"/>
  <c r="I17" i="103"/>
  <c r="I18" i="103"/>
  <c r="I19" i="103"/>
  <c r="I20" i="103"/>
  <c r="I21" i="103"/>
  <c r="I22" i="103"/>
  <c r="I23" i="103"/>
  <c r="I24" i="103"/>
  <c r="I25" i="103"/>
  <c r="I26" i="103"/>
  <c r="I27" i="103"/>
  <c r="I28" i="103"/>
  <c r="I29" i="103"/>
  <c r="I30" i="103"/>
  <c r="I31" i="103"/>
  <c r="I32" i="103"/>
  <c r="I33" i="103"/>
  <c r="I34" i="103"/>
  <c r="I35" i="103"/>
  <c r="I36" i="103"/>
  <c r="I14" i="103"/>
  <c r="G15" i="103"/>
  <c r="G16" i="103"/>
  <c r="G17" i="103"/>
  <c r="G18" i="103"/>
  <c r="G19" i="103"/>
  <c r="G20" i="103"/>
  <c r="G21" i="103"/>
  <c r="G22" i="103"/>
  <c r="G23" i="103"/>
  <c r="G24" i="103"/>
  <c r="G25" i="103"/>
  <c r="G26" i="103"/>
  <c r="G27" i="103"/>
  <c r="G28" i="103"/>
  <c r="G29" i="103"/>
  <c r="G30" i="103"/>
  <c r="G31" i="103"/>
  <c r="G32" i="103"/>
  <c r="G33" i="103"/>
  <c r="G34" i="103"/>
  <c r="G35" i="103"/>
  <c r="G36" i="103"/>
  <c r="G14" i="103"/>
  <c r="F25" i="103"/>
  <c r="F15" i="103"/>
  <c r="F16" i="103"/>
  <c r="F17" i="103"/>
  <c r="F18" i="103"/>
  <c r="F19" i="103"/>
  <c r="F20" i="103"/>
  <c r="F21" i="103"/>
  <c r="F22" i="103"/>
  <c r="F23" i="103"/>
  <c r="F24" i="103"/>
  <c r="F26" i="103"/>
  <c r="F27" i="103"/>
  <c r="F28" i="103"/>
  <c r="F29" i="103"/>
  <c r="F30" i="103"/>
  <c r="F31" i="103"/>
  <c r="F32" i="103"/>
  <c r="F33" i="103"/>
  <c r="F34" i="103"/>
  <c r="F35" i="103"/>
  <c r="F36" i="103"/>
  <c r="F14" i="103"/>
  <c r="E26" i="103"/>
  <c r="E27" i="103"/>
  <c r="E28" i="103"/>
  <c r="E29" i="103"/>
  <c r="E30" i="103"/>
  <c r="E31" i="103"/>
  <c r="E32" i="103"/>
  <c r="E33" i="103"/>
  <c r="E34" i="103"/>
  <c r="E35" i="103"/>
  <c r="E36" i="103"/>
  <c r="E25" i="103"/>
  <c r="H25" i="103"/>
  <c r="H15" i="103"/>
  <c r="H16" i="103"/>
  <c r="H17" i="103"/>
  <c r="H18" i="103"/>
  <c r="H19" i="103"/>
  <c r="H20" i="103"/>
  <c r="H21" i="103"/>
  <c r="H22" i="103"/>
  <c r="H23" i="103"/>
  <c r="H24" i="103"/>
  <c r="H26" i="103"/>
  <c r="H27" i="103"/>
  <c r="H28" i="103"/>
  <c r="H29" i="103"/>
  <c r="H30" i="103"/>
  <c r="H31" i="103"/>
  <c r="H32" i="103"/>
  <c r="H33" i="103"/>
  <c r="H34" i="103"/>
  <c r="H35" i="103"/>
  <c r="H36" i="103"/>
  <c r="H14" i="103"/>
  <c r="Q58" i="37" l="1"/>
  <c r="R58" i="37" s="1"/>
  <c r="C74" i="105"/>
  <c r="C10" i="54" l="1"/>
  <c r="C95" i="89" l="1"/>
  <c r="C93" i="89"/>
  <c r="D10" i="105"/>
  <c r="C10" i="105"/>
  <c r="C12" i="105" s="1"/>
  <c r="M16" i="54"/>
  <c r="M21" i="54" s="1"/>
  <c r="R16" i="54"/>
  <c r="R17" i="54"/>
  <c r="M26" i="54"/>
  <c r="C38" i="98"/>
  <c r="I24" i="98"/>
  <c r="I25" i="98"/>
  <c r="I26" i="98"/>
  <c r="I27" i="98"/>
  <c r="I28" i="98"/>
  <c r="I29" i="98"/>
  <c r="I30" i="98"/>
  <c r="I31" i="98"/>
  <c r="I32" i="98"/>
  <c r="I33" i="98"/>
  <c r="I34" i="98"/>
  <c r="I23" i="98"/>
  <c r="I20" i="98"/>
  <c r="I21" i="98"/>
  <c r="I22" i="98"/>
  <c r="I13" i="98"/>
  <c r="I14" i="98"/>
  <c r="I15" i="98"/>
  <c r="I16" i="98"/>
  <c r="I17" i="98"/>
  <c r="I18" i="98"/>
  <c r="I19" i="98"/>
  <c r="I12" i="98"/>
  <c r="G13" i="98"/>
  <c r="G14" i="98"/>
  <c r="G15" i="98"/>
  <c r="G16" i="98"/>
  <c r="G17" i="98"/>
  <c r="G18" i="98"/>
  <c r="G19" i="98"/>
  <c r="G20" i="98"/>
  <c r="G21" i="98"/>
  <c r="G22" i="98"/>
  <c r="G23" i="98"/>
  <c r="G24" i="98"/>
  <c r="G25" i="98"/>
  <c r="G26" i="98"/>
  <c r="G27" i="98"/>
  <c r="G28" i="98"/>
  <c r="G29" i="98"/>
  <c r="G30" i="98"/>
  <c r="G31" i="98"/>
  <c r="G32" i="98"/>
  <c r="G33" i="98"/>
  <c r="G34" i="98"/>
  <c r="G35" i="98"/>
  <c r="G12" i="98"/>
  <c r="E24" i="98"/>
  <c r="E25" i="98"/>
  <c r="E26" i="98"/>
  <c r="E27" i="98"/>
  <c r="F27" i="98" s="1"/>
  <c r="E28" i="98"/>
  <c r="E29" i="98"/>
  <c r="E30" i="98"/>
  <c r="E31" i="98"/>
  <c r="F31" i="98" s="1"/>
  <c r="E32" i="98"/>
  <c r="E33" i="98"/>
  <c r="E34" i="98"/>
  <c r="E35" i="98"/>
  <c r="F35" i="98" s="1"/>
  <c r="E23" i="98"/>
  <c r="F23" i="98" s="1"/>
  <c r="F13" i="98"/>
  <c r="F14" i="98"/>
  <c r="F15" i="98"/>
  <c r="F16" i="98"/>
  <c r="F17" i="98"/>
  <c r="F18" i="98"/>
  <c r="F19" i="98"/>
  <c r="F20" i="98"/>
  <c r="F21" i="98"/>
  <c r="F22" i="98"/>
  <c r="F24" i="98"/>
  <c r="F25" i="98"/>
  <c r="F26" i="98"/>
  <c r="F28" i="98"/>
  <c r="F29" i="98"/>
  <c r="F30" i="98"/>
  <c r="F32" i="98"/>
  <c r="F33" i="98"/>
  <c r="F34" i="98"/>
  <c r="F12" i="98"/>
  <c r="H23" i="98"/>
  <c r="C14" i="105" l="1"/>
  <c r="D13" i="105"/>
  <c r="D14" i="105" s="1"/>
  <c r="C26" i="105"/>
  <c r="H12" i="98"/>
  <c r="H13" i="98"/>
  <c r="H14" i="98"/>
  <c r="H15" i="98"/>
  <c r="H16" i="98"/>
  <c r="H17" i="98"/>
  <c r="H18" i="98"/>
  <c r="H19" i="98"/>
  <c r="H20" i="98"/>
  <c r="H21" i="98"/>
  <c r="H22" i="98"/>
  <c r="H24" i="98"/>
  <c r="H25" i="98"/>
  <c r="C56" i="105" l="1"/>
  <c r="P42" i="37" l="1"/>
  <c r="G14" i="27"/>
  <c r="G15" i="27"/>
  <c r="G16" i="27"/>
  <c r="G13" i="27"/>
  <c r="F14" i="27"/>
  <c r="I14" i="27" s="1"/>
  <c r="F15" i="27"/>
  <c r="I15" i="27" s="1"/>
  <c r="F16" i="27"/>
  <c r="I16" i="27" s="1"/>
  <c r="F13" i="27"/>
  <c r="I13" i="27" s="1"/>
  <c r="D13" i="27"/>
  <c r="I361" i="124"/>
  <c r="I362" i="124" s="1"/>
  <c r="L349" i="124"/>
  <c r="D479" i="124"/>
  <c r="D477" i="124"/>
  <c r="O23" i="37"/>
  <c r="I363" i="124" l="1"/>
  <c r="I364" i="124" s="1"/>
  <c r="H13" i="27"/>
  <c r="D14" i="27" s="1"/>
  <c r="H14" i="27" s="1"/>
  <c r="D15" i="27" s="1"/>
  <c r="H15" i="27" s="1"/>
  <c r="E357" i="124"/>
  <c r="H343" i="124"/>
  <c r="C349" i="124" s="1"/>
  <c r="P23" i="37" s="1"/>
  <c r="C476" i="124"/>
  <c r="F473" i="124"/>
  <c r="C479" i="124" s="1"/>
  <c r="E473" i="124"/>
  <c r="C478" i="124" s="1"/>
  <c r="D473" i="124"/>
  <c r="C477" i="124" s="1"/>
  <c r="C473" i="124"/>
  <c r="G472" i="124"/>
  <c r="G471" i="124"/>
  <c r="G470" i="124"/>
  <c r="G469" i="124"/>
  <c r="G468" i="124"/>
  <c r="G467" i="124"/>
  <c r="G466" i="124"/>
  <c r="G465" i="124"/>
  <c r="G464" i="124"/>
  <c r="G463" i="124"/>
  <c r="G462" i="124"/>
  <c r="G461" i="124"/>
  <c r="G460" i="124"/>
  <c r="G459" i="124"/>
  <c r="G458" i="124"/>
  <c r="G457" i="124"/>
  <c r="G456" i="124"/>
  <c r="G455" i="124"/>
  <c r="G454" i="124"/>
  <c r="G453" i="124"/>
  <c r="G452" i="124"/>
  <c r="G451" i="124"/>
  <c r="G450" i="124"/>
  <c r="G449" i="124"/>
  <c r="G448" i="124"/>
  <c r="G447" i="124"/>
  <c r="G446" i="124"/>
  <c r="G445" i="124"/>
  <c r="G444" i="124"/>
  <c r="G443" i="124"/>
  <c r="G442" i="124"/>
  <c r="G441" i="124"/>
  <c r="G440" i="124"/>
  <c r="G439" i="124"/>
  <c r="G438" i="124"/>
  <c r="G437" i="124"/>
  <c r="G436" i="124"/>
  <c r="G435" i="124"/>
  <c r="G434" i="124"/>
  <c r="G433" i="124"/>
  <c r="G432" i="124"/>
  <c r="G431" i="124"/>
  <c r="G430" i="124"/>
  <c r="G429" i="124"/>
  <c r="G428" i="124"/>
  <c r="G427" i="124"/>
  <c r="G426" i="124"/>
  <c r="G425" i="124"/>
  <c r="G424" i="124"/>
  <c r="G423" i="124"/>
  <c r="G422" i="124"/>
  <c r="G421" i="124"/>
  <c r="G420" i="124"/>
  <c r="G419" i="124"/>
  <c r="G418" i="124"/>
  <c r="G417" i="124"/>
  <c r="G416" i="124"/>
  <c r="G415" i="124"/>
  <c r="G414" i="124"/>
  <c r="G413" i="124"/>
  <c r="G412" i="124"/>
  <c r="G411" i="124"/>
  <c r="G410" i="124"/>
  <c r="G409" i="124"/>
  <c r="G408" i="124"/>
  <c r="G407" i="124"/>
  <c r="G406" i="124"/>
  <c r="G405" i="124"/>
  <c r="G404" i="124"/>
  <c r="G403" i="124"/>
  <c r="G402" i="124"/>
  <c r="G401" i="124"/>
  <c r="G400" i="124"/>
  <c r="G399" i="124"/>
  <c r="G398" i="124"/>
  <c r="G397" i="124"/>
  <c r="G396" i="124"/>
  <c r="G395" i="124"/>
  <c r="G394" i="124"/>
  <c r="G393" i="124"/>
  <c r="G392" i="124"/>
  <c r="G391" i="124"/>
  <c r="G390" i="124"/>
  <c r="G389" i="124"/>
  <c r="G388" i="124"/>
  <c r="G387" i="124"/>
  <c r="G386" i="124"/>
  <c r="G385" i="124"/>
  <c r="G384" i="124"/>
  <c r="G383" i="124"/>
  <c r="G382" i="124"/>
  <c r="G381" i="124"/>
  <c r="G380" i="124"/>
  <c r="G379" i="124"/>
  <c r="G378" i="124"/>
  <c r="G377" i="124"/>
  <c r="G376" i="124"/>
  <c r="G375" i="124"/>
  <c r="G374" i="124"/>
  <c r="G373" i="124"/>
  <c r="G372" i="124"/>
  <c r="G371" i="124"/>
  <c r="G370" i="124"/>
  <c r="G369" i="124"/>
  <c r="G368" i="124"/>
  <c r="G367" i="124"/>
  <c r="G366" i="124"/>
  <c r="G365" i="124"/>
  <c r="G364" i="124"/>
  <c r="G363" i="124"/>
  <c r="G362" i="124"/>
  <c r="G361" i="124"/>
  <c r="J13" i="27" l="1"/>
  <c r="J14" i="27"/>
  <c r="J15" i="27"/>
  <c r="D16" i="27"/>
  <c r="H16" i="27" s="1"/>
  <c r="J16" i="27" s="1"/>
  <c r="J17" i="27" s="1"/>
  <c r="M347" i="124"/>
  <c r="G473" i="124"/>
  <c r="C480" i="124"/>
  <c r="J43" i="28"/>
  <c r="I42" i="28"/>
  <c r="E128" i="61"/>
  <c r="D128" i="61"/>
  <c r="C128" i="61"/>
  <c r="B128" i="61"/>
  <c r="C295" i="124"/>
  <c r="C294" i="124"/>
  <c r="C292" i="124"/>
  <c r="C293" i="124" s="1"/>
  <c r="C285" i="124"/>
  <c r="C284" i="124"/>
  <c r="C282" i="124"/>
  <c r="C283" i="124" s="1"/>
  <c r="C275" i="124"/>
  <c r="C274" i="124"/>
  <c r="C272" i="124"/>
  <c r="C273" i="124" s="1"/>
  <c r="C265" i="124"/>
  <c r="C264" i="124"/>
  <c r="C262" i="124"/>
  <c r="C263" i="124" s="1"/>
  <c r="C255" i="124"/>
  <c r="C254" i="124"/>
  <c r="C252" i="124"/>
  <c r="C253" i="124" s="1"/>
  <c r="C245" i="124"/>
  <c r="C244" i="124"/>
  <c r="C242" i="124"/>
  <c r="C243" i="124" s="1"/>
  <c r="F99" i="124"/>
  <c r="C235" i="124"/>
  <c r="C234" i="124"/>
  <c r="C232" i="124"/>
  <c r="C233" i="124" s="1"/>
  <c r="F69" i="124"/>
  <c r="C222" i="124"/>
  <c r="C223" i="124" s="1"/>
  <c r="G79" i="89"/>
  <c r="C83" i="89"/>
  <c r="F20" i="124"/>
  <c r="F21" i="124"/>
  <c r="F22" i="124"/>
  <c r="E202" i="124"/>
  <c r="D201" i="124"/>
  <c r="Q42" i="37" l="1"/>
  <c r="R42" i="37" s="1"/>
  <c r="C19" i="27"/>
  <c r="C21" i="27" s="1"/>
  <c r="M351" i="124"/>
  <c r="M349" i="124"/>
  <c r="C133" i="61"/>
  <c r="C132" i="61"/>
  <c r="C224" i="124"/>
  <c r="C225" i="124"/>
  <c r="F23" i="124"/>
  <c r="C209" i="124" s="1"/>
  <c r="C214" i="124" s="1"/>
  <c r="O12" i="124"/>
  <c r="C212" i="124" l="1"/>
  <c r="C213" i="124" s="1"/>
  <c r="C215" i="124"/>
  <c r="C134" i="61"/>
  <c r="C138" i="61" s="1"/>
  <c r="F127" i="61"/>
  <c r="F126" i="61"/>
  <c r="F125" i="61"/>
  <c r="F124" i="61"/>
  <c r="F123" i="61"/>
  <c r="F122" i="61"/>
  <c r="F121" i="61"/>
  <c r="F120" i="61"/>
  <c r="F119" i="61"/>
  <c r="F118" i="61"/>
  <c r="F117" i="61"/>
  <c r="F116" i="61"/>
  <c r="F115" i="61"/>
  <c r="F114" i="61"/>
  <c r="F113" i="61"/>
  <c r="F112" i="61"/>
  <c r="F111" i="61"/>
  <c r="F110" i="61"/>
  <c r="F109" i="61"/>
  <c r="F108" i="61"/>
  <c r="F107" i="61"/>
  <c r="F106" i="61"/>
  <c r="F105" i="61"/>
  <c r="F104" i="61"/>
  <c r="F103" i="61"/>
  <c r="F102" i="61"/>
  <c r="F101" i="61"/>
  <c r="F100" i="61"/>
  <c r="F99" i="61"/>
  <c r="F98" i="61"/>
  <c r="F97" i="61"/>
  <c r="F96" i="61"/>
  <c r="F95" i="61"/>
  <c r="F94" i="61"/>
  <c r="F93" i="61"/>
  <c r="F92" i="61"/>
  <c r="F91" i="61"/>
  <c r="F90" i="61"/>
  <c r="F89" i="61"/>
  <c r="F88" i="61"/>
  <c r="F87" i="61"/>
  <c r="F86" i="61"/>
  <c r="F85" i="61"/>
  <c r="F84" i="61"/>
  <c r="F83" i="61"/>
  <c r="F82" i="61"/>
  <c r="F81" i="61"/>
  <c r="F80" i="61"/>
  <c r="F79" i="61"/>
  <c r="F78" i="61"/>
  <c r="F77" i="61"/>
  <c r="F76" i="61"/>
  <c r="F75" i="61"/>
  <c r="F74" i="61"/>
  <c r="F73" i="61"/>
  <c r="F72" i="61"/>
  <c r="F71" i="61"/>
  <c r="F70" i="61"/>
  <c r="F69" i="61"/>
  <c r="F68" i="61"/>
  <c r="F67" i="61"/>
  <c r="F66" i="61"/>
  <c r="F65" i="61"/>
  <c r="F64" i="61"/>
  <c r="F63" i="61"/>
  <c r="F62" i="61"/>
  <c r="F61" i="61"/>
  <c r="F60" i="61"/>
  <c r="F59" i="61"/>
  <c r="F58" i="61"/>
  <c r="F57" i="61"/>
  <c r="F56" i="61"/>
  <c r="F55" i="61"/>
  <c r="F54" i="61"/>
  <c r="F53" i="61"/>
  <c r="F52" i="61"/>
  <c r="F51" i="61"/>
  <c r="F50" i="61"/>
  <c r="F128" i="61" s="1"/>
  <c r="C140" i="61" l="1"/>
  <c r="N145" i="124" l="1"/>
  <c r="N144" i="124"/>
  <c r="N143" i="124"/>
  <c r="N142" i="124"/>
  <c r="N141" i="124"/>
  <c r="N140" i="124"/>
  <c r="N139" i="124"/>
  <c r="N138" i="124"/>
  <c r="N137" i="124"/>
  <c r="N136" i="124"/>
  <c r="N135" i="124"/>
  <c r="N134" i="124"/>
  <c r="N128" i="124"/>
  <c r="N127" i="124"/>
  <c r="N126" i="124"/>
  <c r="N125" i="124"/>
  <c r="N124" i="124"/>
  <c r="N123" i="124"/>
  <c r="N122" i="124"/>
  <c r="N121" i="124"/>
  <c r="N120" i="124"/>
  <c r="N119" i="124"/>
  <c r="N118" i="124"/>
  <c r="N117" i="124"/>
  <c r="N42" i="124"/>
  <c r="N41" i="124"/>
  <c r="N40" i="124"/>
  <c r="N39" i="124"/>
  <c r="N38" i="124"/>
  <c r="N37" i="124"/>
  <c r="P17" i="124"/>
  <c r="Q17" i="124"/>
  <c r="R17" i="124"/>
  <c r="S17" i="124"/>
  <c r="T17" i="124"/>
  <c r="O17" i="124"/>
  <c r="B349" i="124"/>
  <c r="G341" i="124"/>
  <c r="D341" i="124"/>
  <c r="E341" i="124" s="1"/>
  <c r="G340" i="124"/>
  <c r="D340" i="124"/>
  <c r="E340" i="124" s="1"/>
  <c r="G339" i="124"/>
  <c r="D339" i="124"/>
  <c r="E339" i="124" s="1"/>
  <c r="G338" i="124"/>
  <c r="D338" i="124"/>
  <c r="E338" i="124" s="1"/>
  <c r="G337" i="124"/>
  <c r="D337" i="124"/>
  <c r="E337" i="124" s="1"/>
  <c r="G336" i="124"/>
  <c r="D336" i="124"/>
  <c r="E336" i="124" s="1"/>
  <c r="G335" i="124"/>
  <c r="E335" i="124"/>
  <c r="G334" i="124"/>
  <c r="E334" i="124"/>
  <c r="G333" i="124"/>
  <c r="E333" i="124"/>
  <c r="G332" i="124"/>
  <c r="E332" i="124"/>
  <c r="G331" i="124"/>
  <c r="E331" i="124"/>
  <c r="G330" i="124"/>
  <c r="E330" i="124"/>
  <c r="G329" i="124"/>
  <c r="E329" i="124"/>
  <c r="G328" i="124"/>
  <c r="E328" i="124"/>
  <c r="G327" i="124"/>
  <c r="E327" i="124"/>
  <c r="G326" i="124"/>
  <c r="E326" i="124"/>
  <c r="G325" i="124"/>
  <c r="E325" i="124"/>
  <c r="G324" i="124"/>
  <c r="E324" i="124"/>
  <c r="G323" i="124"/>
  <c r="E323" i="124"/>
  <c r="G322" i="124"/>
  <c r="E322" i="124"/>
  <c r="G321" i="124"/>
  <c r="E321" i="124"/>
  <c r="G320" i="124"/>
  <c r="E320" i="124"/>
  <c r="G319" i="124"/>
  <c r="E319" i="124"/>
  <c r="G318" i="124"/>
  <c r="E318" i="124"/>
  <c r="G317" i="124"/>
  <c r="E317" i="124"/>
  <c r="G316" i="124"/>
  <c r="E316" i="124"/>
  <c r="G315" i="124"/>
  <c r="E315" i="124"/>
  <c r="G314" i="124"/>
  <c r="E314" i="124"/>
  <c r="G313" i="124"/>
  <c r="E313" i="124"/>
  <c r="G312" i="124"/>
  <c r="E312" i="124"/>
  <c r="G311" i="124"/>
  <c r="E311" i="124"/>
  <c r="G310" i="124"/>
  <c r="E310" i="124"/>
  <c r="G309" i="124"/>
  <c r="E309" i="124"/>
  <c r="G308" i="124"/>
  <c r="E308" i="124"/>
  <c r="G305" i="124"/>
  <c r="E305" i="124"/>
  <c r="G304" i="124"/>
  <c r="E304" i="124"/>
  <c r="G303" i="124"/>
  <c r="E303" i="124"/>
  <c r="G302" i="124"/>
  <c r="E302" i="124"/>
  <c r="B299" i="124"/>
  <c r="E295" i="124"/>
  <c r="E294" i="124"/>
  <c r="E293" i="124"/>
  <c r="E292" i="124"/>
  <c r="E285" i="124"/>
  <c r="E284" i="124"/>
  <c r="E283" i="124"/>
  <c r="E282" i="124"/>
  <c r="E275" i="124"/>
  <c r="E274" i="124"/>
  <c r="E273" i="124"/>
  <c r="E272" i="124"/>
  <c r="E265" i="124"/>
  <c r="E264" i="124"/>
  <c r="E263" i="124"/>
  <c r="E262" i="124"/>
  <c r="E255" i="124"/>
  <c r="E254" i="124"/>
  <c r="E253" i="124"/>
  <c r="E252" i="124"/>
  <c r="E245" i="124"/>
  <c r="E244" i="124"/>
  <c r="E243" i="124"/>
  <c r="E242" i="124"/>
  <c r="E235" i="124"/>
  <c r="E234" i="124"/>
  <c r="E233" i="124"/>
  <c r="E232" i="124"/>
  <c r="E225" i="124"/>
  <c r="E224" i="124"/>
  <c r="E223" i="124"/>
  <c r="E222" i="124"/>
  <c r="E215" i="124"/>
  <c r="E214" i="124"/>
  <c r="E213" i="124"/>
  <c r="E212" i="124"/>
  <c r="E205" i="124"/>
  <c r="E204" i="124"/>
  <c r="E203" i="124"/>
  <c r="G187" i="124"/>
  <c r="H187" i="124" s="1"/>
  <c r="E187" i="124"/>
  <c r="G186" i="124"/>
  <c r="H186" i="124" s="1"/>
  <c r="E186" i="124"/>
  <c r="B185" i="124"/>
  <c r="G183" i="124"/>
  <c r="I183" i="124" s="1"/>
  <c r="E183" i="124"/>
  <c r="G182" i="124"/>
  <c r="I182" i="124" s="1"/>
  <c r="E182" i="124"/>
  <c r="G177" i="124"/>
  <c r="H177" i="124" s="1"/>
  <c r="E177" i="124"/>
  <c r="G176" i="124"/>
  <c r="H176" i="124" s="1"/>
  <c r="E176" i="124"/>
  <c r="B175" i="124"/>
  <c r="G173" i="124"/>
  <c r="I173" i="124" s="1"/>
  <c r="E173" i="124"/>
  <c r="G172" i="124"/>
  <c r="E172" i="124"/>
  <c r="I169" i="124"/>
  <c r="H169" i="124"/>
  <c r="G169" i="124"/>
  <c r="E169" i="124"/>
  <c r="I168" i="124"/>
  <c r="H168" i="124"/>
  <c r="G168" i="124"/>
  <c r="E168" i="124"/>
  <c r="I167" i="124"/>
  <c r="H167" i="124"/>
  <c r="G167" i="124"/>
  <c r="E167" i="124"/>
  <c r="I166" i="124"/>
  <c r="H166" i="124"/>
  <c r="G166" i="124"/>
  <c r="E166" i="124"/>
  <c r="I165" i="124"/>
  <c r="H165" i="124"/>
  <c r="G165" i="124"/>
  <c r="E165" i="124"/>
  <c r="I164" i="124"/>
  <c r="H164" i="124"/>
  <c r="G164" i="124"/>
  <c r="E164" i="124"/>
  <c r="I163" i="124"/>
  <c r="H163" i="124"/>
  <c r="G163" i="124"/>
  <c r="E163" i="124"/>
  <c r="I162" i="124"/>
  <c r="H162" i="124"/>
  <c r="G162" i="124"/>
  <c r="E162" i="124"/>
  <c r="I161" i="124"/>
  <c r="H161" i="124"/>
  <c r="G161" i="124"/>
  <c r="E161" i="124"/>
  <c r="I160" i="124"/>
  <c r="H160" i="124"/>
  <c r="G160" i="124"/>
  <c r="E160" i="124"/>
  <c r="B159" i="124"/>
  <c r="G157" i="124"/>
  <c r="I157" i="124" s="1"/>
  <c r="E157" i="124"/>
  <c r="G156" i="124"/>
  <c r="H156" i="124" s="1"/>
  <c r="E156" i="124"/>
  <c r="G155" i="124"/>
  <c r="I155" i="124" s="1"/>
  <c r="E155" i="124"/>
  <c r="G154" i="124"/>
  <c r="H154" i="124" s="1"/>
  <c r="E154" i="124"/>
  <c r="G153" i="124"/>
  <c r="I153" i="124" s="1"/>
  <c r="E153" i="124"/>
  <c r="G152" i="124"/>
  <c r="H152" i="124" s="1"/>
  <c r="E152" i="124"/>
  <c r="G151" i="124"/>
  <c r="I151" i="124" s="1"/>
  <c r="E151" i="124"/>
  <c r="G150" i="124"/>
  <c r="I150" i="124" s="1"/>
  <c r="E150" i="124"/>
  <c r="G149" i="124"/>
  <c r="I149" i="124" s="1"/>
  <c r="E149" i="124"/>
  <c r="G148" i="124"/>
  <c r="E148" i="124"/>
  <c r="I145" i="124"/>
  <c r="H145" i="124"/>
  <c r="G145" i="124"/>
  <c r="E145" i="124"/>
  <c r="I144" i="124"/>
  <c r="H144" i="124"/>
  <c r="G144" i="124"/>
  <c r="E144" i="124"/>
  <c r="I143" i="124"/>
  <c r="H143" i="124"/>
  <c r="G143" i="124"/>
  <c r="E143" i="124"/>
  <c r="I142" i="124"/>
  <c r="H142" i="124"/>
  <c r="G142" i="124"/>
  <c r="E142" i="124"/>
  <c r="I141" i="124"/>
  <c r="H141" i="124"/>
  <c r="G141" i="124"/>
  <c r="E141" i="124"/>
  <c r="I140" i="124"/>
  <c r="H140" i="124"/>
  <c r="G140" i="124"/>
  <c r="E140" i="124"/>
  <c r="I139" i="124"/>
  <c r="H139" i="124"/>
  <c r="G139" i="124"/>
  <c r="E139" i="124"/>
  <c r="I138" i="124"/>
  <c r="H138" i="124"/>
  <c r="G138" i="124"/>
  <c r="E138" i="124"/>
  <c r="I137" i="124"/>
  <c r="H137" i="124"/>
  <c r="G137" i="124"/>
  <c r="E137" i="124"/>
  <c r="I136" i="124"/>
  <c r="H136" i="124"/>
  <c r="G136" i="124"/>
  <c r="E136" i="124"/>
  <c r="I135" i="124"/>
  <c r="H135" i="124"/>
  <c r="G135" i="124"/>
  <c r="E135" i="124"/>
  <c r="I134" i="124"/>
  <c r="H134" i="124"/>
  <c r="G134" i="124"/>
  <c r="E134" i="124"/>
  <c r="B133" i="124"/>
  <c r="G131" i="124"/>
  <c r="I131" i="124" s="1"/>
  <c r="E131" i="124"/>
  <c r="G130" i="124"/>
  <c r="I130" i="124" s="1"/>
  <c r="E130" i="124"/>
  <c r="G129" i="124"/>
  <c r="I129" i="124" s="1"/>
  <c r="E129" i="124"/>
  <c r="G128" i="124"/>
  <c r="E128" i="124"/>
  <c r="G127" i="124"/>
  <c r="E127" i="124"/>
  <c r="G126" i="124"/>
  <c r="E126" i="124"/>
  <c r="G125" i="124"/>
  <c r="H125" i="124" s="1"/>
  <c r="E125" i="124"/>
  <c r="G124" i="124"/>
  <c r="H124" i="124" s="1"/>
  <c r="E124" i="124"/>
  <c r="G123" i="124"/>
  <c r="I123" i="124" s="1"/>
  <c r="E123" i="124"/>
  <c r="G122" i="124"/>
  <c r="I122" i="124" s="1"/>
  <c r="E122" i="124"/>
  <c r="G121" i="124"/>
  <c r="I121" i="124" s="1"/>
  <c r="E121" i="124"/>
  <c r="G120" i="124"/>
  <c r="I120" i="124" s="1"/>
  <c r="E120" i="124"/>
  <c r="F117" i="124"/>
  <c r="G117" i="124" s="1"/>
  <c r="I117" i="124" s="1"/>
  <c r="E117" i="124"/>
  <c r="B116" i="124"/>
  <c r="F115" i="124"/>
  <c r="G115" i="124" s="1"/>
  <c r="I115" i="124" s="1"/>
  <c r="E115" i="124"/>
  <c r="G112" i="124"/>
  <c r="H112" i="124" s="1"/>
  <c r="E112" i="124"/>
  <c r="G111" i="124"/>
  <c r="I111" i="124" s="1"/>
  <c r="E111" i="124"/>
  <c r="G110" i="124"/>
  <c r="H110" i="124" s="1"/>
  <c r="E110" i="124"/>
  <c r="G109" i="124"/>
  <c r="I109" i="124" s="1"/>
  <c r="E109" i="124"/>
  <c r="G108" i="124"/>
  <c r="I108" i="124" s="1"/>
  <c r="E108" i="124"/>
  <c r="G107" i="124"/>
  <c r="I107" i="124" s="1"/>
  <c r="E107" i="124"/>
  <c r="G106" i="124"/>
  <c r="E106" i="124"/>
  <c r="G105" i="124"/>
  <c r="E105" i="124"/>
  <c r="G104" i="124"/>
  <c r="E104" i="124"/>
  <c r="G103" i="124"/>
  <c r="I103" i="124" s="1"/>
  <c r="E103" i="124"/>
  <c r="G102" i="124"/>
  <c r="H102" i="124" s="1"/>
  <c r="E102" i="124"/>
  <c r="G101" i="124"/>
  <c r="I101" i="124" s="1"/>
  <c r="E101" i="124"/>
  <c r="B100" i="124"/>
  <c r="E98" i="124"/>
  <c r="E96" i="124"/>
  <c r="G96" i="124" s="1"/>
  <c r="E95" i="124"/>
  <c r="G95" i="124" s="1"/>
  <c r="E94" i="124"/>
  <c r="G94" i="124" s="1"/>
  <c r="E93" i="124"/>
  <c r="G93" i="124" s="1"/>
  <c r="E92" i="124"/>
  <c r="G92" i="124" s="1"/>
  <c r="H92" i="124" s="1"/>
  <c r="E91" i="124"/>
  <c r="G91" i="124" s="1"/>
  <c r="E90" i="124"/>
  <c r="G90" i="124" s="1"/>
  <c r="E88" i="124"/>
  <c r="G88" i="124" s="1"/>
  <c r="H88" i="124" s="1"/>
  <c r="E87" i="124"/>
  <c r="G87" i="124" s="1"/>
  <c r="E86" i="124"/>
  <c r="G86" i="124" s="1"/>
  <c r="I86" i="124" s="1"/>
  <c r="E85" i="124"/>
  <c r="I82" i="124"/>
  <c r="H82" i="124"/>
  <c r="G82" i="124"/>
  <c r="E82" i="124"/>
  <c r="I81" i="124"/>
  <c r="H81" i="124"/>
  <c r="G81" i="124"/>
  <c r="E81" i="124"/>
  <c r="I80" i="124"/>
  <c r="H80" i="124"/>
  <c r="G80" i="124"/>
  <c r="E80" i="124"/>
  <c r="I79" i="124"/>
  <c r="H79" i="124"/>
  <c r="G79" i="124"/>
  <c r="E79" i="124"/>
  <c r="I78" i="124"/>
  <c r="H78" i="124"/>
  <c r="G78" i="124"/>
  <c r="E78" i="124"/>
  <c r="I77" i="124"/>
  <c r="H77" i="124"/>
  <c r="G77" i="124"/>
  <c r="E77" i="124"/>
  <c r="I76" i="124"/>
  <c r="H76" i="124"/>
  <c r="G76" i="124"/>
  <c r="E76" i="124"/>
  <c r="I75" i="124"/>
  <c r="H75" i="124"/>
  <c r="G75" i="124"/>
  <c r="E75" i="124"/>
  <c r="I74" i="124"/>
  <c r="H74" i="124"/>
  <c r="G74" i="124"/>
  <c r="E74" i="124"/>
  <c r="I73" i="124"/>
  <c r="H73" i="124"/>
  <c r="G73" i="124"/>
  <c r="E73" i="124"/>
  <c r="I72" i="124"/>
  <c r="H72" i="124"/>
  <c r="G72" i="124"/>
  <c r="E72" i="124"/>
  <c r="I71" i="124"/>
  <c r="H71" i="124"/>
  <c r="G71" i="124"/>
  <c r="E71" i="124"/>
  <c r="B70" i="124"/>
  <c r="E68" i="124"/>
  <c r="G68" i="124" s="1"/>
  <c r="H68" i="124" s="1"/>
  <c r="E67" i="124"/>
  <c r="G67" i="124" s="1"/>
  <c r="E66" i="124"/>
  <c r="G66" i="124" s="1"/>
  <c r="E65" i="124"/>
  <c r="G65" i="124" s="1"/>
  <c r="E64" i="124"/>
  <c r="E62" i="124"/>
  <c r="E60" i="124"/>
  <c r="G60" i="124" s="1"/>
  <c r="I60" i="124" s="1"/>
  <c r="E59" i="124"/>
  <c r="G59" i="124" s="1"/>
  <c r="H59" i="124" s="1"/>
  <c r="E58" i="124"/>
  <c r="E56" i="124"/>
  <c r="G56" i="124" s="1"/>
  <c r="H56" i="124" s="1"/>
  <c r="E55" i="124"/>
  <c r="G55" i="124" s="1"/>
  <c r="E54" i="124"/>
  <c r="G54" i="124" s="1"/>
  <c r="G49" i="124"/>
  <c r="I49" i="124" s="1"/>
  <c r="E49" i="124"/>
  <c r="G48" i="124"/>
  <c r="E48" i="124"/>
  <c r="G47" i="124"/>
  <c r="I47" i="124" s="1"/>
  <c r="E47" i="124"/>
  <c r="G46" i="124"/>
  <c r="H46" i="124" s="1"/>
  <c r="E46" i="124"/>
  <c r="G45" i="124"/>
  <c r="I45" i="124" s="1"/>
  <c r="E45" i="124"/>
  <c r="G44" i="124"/>
  <c r="E44" i="124"/>
  <c r="I43" i="124"/>
  <c r="H43" i="124"/>
  <c r="F43" i="124"/>
  <c r="E43" i="124"/>
  <c r="E40" i="124"/>
  <c r="G40" i="124" s="1"/>
  <c r="E39" i="124"/>
  <c r="G39" i="124" s="1"/>
  <c r="E38" i="124"/>
  <c r="G38" i="124" s="1"/>
  <c r="E37" i="124"/>
  <c r="G37" i="124" s="1"/>
  <c r="H37" i="124" s="1"/>
  <c r="E36" i="124"/>
  <c r="E34" i="124"/>
  <c r="F32" i="124"/>
  <c r="E32" i="124"/>
  <c r="G30" i="124"/>
  <c r="F50" i="124" s="1"/>
  <c r="I29" i="124"/>
  <c r="H29" i="124"/>
  <c r="F29" i="124"/>
  <c r="E29" i="124"/>
  <c r="I28" i="124"/>
  <c r="H28" i="124"/>
  <c r="F28" i="124"/>
  <c r="E28" i="124"/>
  <c r="G27" i="124"/>
  <c r="F27" i="124"/>
  <c r="E27" i="124"/>
  <c r="I26" i="124"/>
  <c r="H26" i="124"/>
  <c r="E26" i="124"/>
  <c r="G22" i="124"/>
  <c r="I22" i="124" s="1"/>
  <c r="E22" i="124"/>
  <c r="G21" i="124"/>
  <c r="I21" i="124" s="1"/>
  <c r="E21" i="124"/>
  <c r="G20" i="124"/>
  <c r="I20" i="124" s="1"/>
  <c r="E20" i="124"/>
  <c r="E18" i="124"/>
  <c r="F12" i="124"/>
  <c r="E12" i="124"/>
  <c r="G90" i="56"/>
  <c r="G91" i="56"/>
  <c r="G92" i="56"/>
  <c r="G93" i="56"/>
  <c r="G94" i="56"/>
  <c r="G95" i="56"/>
  <c r="G96" i="56"/>
  <c r="G97" i="56"/>
  <c r="G98" i="56"/>
  <c r="G99" i="56"/>
  <c r="G100" i="56"/>
  <c r="G89" i="56"/>
  <c r="I86" i="19"/>
  <c r="I85" i="19"/>
  <c r="I123" i="101"/>
  <c r="E122" i="101"/>
  <c r="F122" i="101" s="1"/>
  <c r="I122" i="101" s="1"/>
  <c r="G122" i="101"/>
  <c r="H122" i="101"/>
  <c r="J163" i="124" l="1"/>
  <c r="J167" i="124"/>
  <c r="F234" i="124"/>
  <c r="F41" i="124"/>
  <c r="J169" i="124"/>
  <c r="I124" i="124"/>
  <c r="J124" i="124" s="1"/>
  <c r="J76" i="124"/>
  <c r="J79" i="124"/>
  <c r="H107" i="124"/>
  <c r="J107" i="124" s="1"/>
  <c r="H157" i="124"/>
  <c r="J157" i="124" s="1"/>
  <c r="J28" i="124"/>
  <c r="E23" i="124"/>
  <c r="F225" i="124" s="1"/>
  <c r="J26" i="124"/>
  <c r="J29" i="124"/>
  <c r="F244" i="124"/>
  <c r="J136" i="124"/>
  <c r="J140" i="124"/>
  <c r="G12" i="124"/>
  <c r="I12" i="124" s="1"/>
  <c r="H153" i="124"/>
  <c r="J153" i="124" s="1"/>
  <c r="I125" i="124"/>
  <c r="J125" i="124" s="1"/>
  <c r="J71" i="124"/>
  <c r="J73" i="124"/>
  <c r="J74" i="124"/>
  <c r="J75" i="124"/>
  <c r="H111" i="124"/>
  <c r="J111" i="124" s="1"/>
  <c r="H149" i="124"/>
  <c r="J149" i="124" s="1"/>
  <c r="J161" i="124"/>
  <c r="H47" i="124"/>
  <c r="J47" i="124" s="1"/>
  <c r="J81" i="124"/>
  <c r="J82" i="124"/>
  <c r="H103" i="124"/>
  <c r="J103" i="124" s="1"/>
  <c r="H115" i="124"/>
  <c r="J115" i="124" s="1"/>
  <c r="E132" i="124"/>
  <c r="E174" i="124"/>
  <c r="H173" i="124"/>
  <c r="J173" i="124" s="1"/>
  <c r="H101" i="124"/>
  <c r="J101" i="124" s="1"/>
  <c r="J160" i="124"/>
  <c r="J164" i="124"/>
  <c r="I177" i="124"/>
  <c r="J177" i="124" s="1"/>
  <c r="I186" i="124"/>
  <c r="J186" i="124" s="1"/>
  <c r="J137" i="124"/>
  <c r="J139" i="124"/>
  <c r="J143" i="124"/>
  <c r="J145" i="124"/>
  <c r="I93" i="124"/>
  <c r="H93" i="124"/>
  <c r="I65" i="124"/>
  <c r="H65" i="124"/>
  <c r="I38" i="124"/>
  <c r="H38" i="124"/>
  <c r="H21" i="124"/>
  <c r="J21" i="124" s="1"/>
  <c r="G34" i="124"/>
  <c r="I34" i="124" s="1"/>
  <c r="J43" i="124"/>
  <c r="I46" i="124"/>
  <c r="J46" i="124" s="1"/>
  <c r="E69" i="124"/>
  <c r="F292" i="124" s="1"/>
  <c r="J80" i="124"/>
  <c r="H86" i="124"/>
  <c r="J86" i="124" s="1"/>
  <c r="I92" i="124"/>
  <c r="J92" i="124" s="1"/>
  <c r="I102" i="124"/>
  <c r="J102" i="124" s="1"/>
  <c r="I112" i="124"/>
  <c r="J112" i="124" s="1"/>
  <c r="H121" i="124"/>
  <c r="J121" i="124" s="1"/>
  <c r="H122" i="124"/>
  <c r="J122" i="124" s="1"/>
  <c r="H123" i="124"/>
  <c r="J123" i="124" s="1"/>
  <c r="H129" i="124"/>
  <c r="J129" i="124" s="1"/>
  <c r="J141" i="124"/>
  <c r="J142" i="124"/>
  <c r="J165" i="124"/>
  <c r="J166" i="124"/>
  <c r="E184" i="124"/>
  <c r="E89" i="124"/>
  <c r="H183" i="124"/>
  <c r="J183" i="124" s="1"/>
  <c r="F213" i="124"/>
  <c r="I56" i="124"/>
  <c r="J56" i="124" s="1"/>
  <c r="H60" i="124"/>
  <c r="J60" i="124" s="1"/>
  <c r="J72" i="124"/>
  <c r="J77" i="124"/>
  <c r="J78" i="124"/>
  <c r="J134" i="124"/>
  <c r="J135" i="124"/>
  <c r="J144" i="124"/>
  <c r="I154" i="124"/>
  <c r="J154" i="124" s="1"/>
  <c r="J168" i="124"/>
  <c r="H182" i="124"/>
  <c r="J182" i="124" s="1"/>
  <c r="E41" i="124"/>
  <c r="F254" i="124" s="1"/>
  <c r="G36" i="124"/>
  <c r="H90" i="124"/>
  <c r="I90" i="124"/>
  <c r="G32" i="124"/>
  <c r="I55" i="124"/>
  <c r="H55" i="124"/>
  <c r="I96" i="124"/>
  <c r="H96" i="124"/>
  <c r="I104" i="124"/>
  <c r="H104" i="124"/>
  <c r="H106" i="124"/>
  <c r="I106" i="124"/>
  <c r="I127" i="124"/>
  <c r="H127" i="124"/>
  <c r="I27" i="124"/>
  <c r="H27" i="124"/>
  <c r="I39" i="124"/>
  <c r="H39" i="124"/>
  <c r="H44" i="124"/>
  <c r="I44" i="124"/>
  <c r="H48" i="124"/>
  <c r="I48" i="124"/>
  <c r="I59" i="124"/>
  <c r="J59" i="124" s="1"/>
  <c r="I66" i="124"/>
  <c r="H66" i="124"/>
  <c r="I68" i="124"/>
  <c r="J68" i="124" s="1"/>
  <c r="I91" i="124"/>
  <c r="H91" i="124"/>
  <c r="E97" i="124"/>
  <c r="I148" i="124"/>
  <c r="H148" i="124"/>
  <c r="I172" i="124"/>
  <c r="H172" i="124"/>
  <c r="F14" i="124"/>
  <c r="G14" i="124" s="1"/>
  <c r="C199" i="124"/>
  <c r="C202" i="124" s="1"/>
  <c r="C203" i="124" s="1"/>
  <c r="I40" i="124"/>
  <c r="H40" i="124"/>
  <c r="E57" i="124"/>
  <c r="E61" i="124"/>
  <c r="G58" i="124"/>
  <c r="I67" i="124"/>
  <c r="H67" i="124"/>
  <c r="I88" i="124"/>
  <c r="J88" i="124" s="1"/>
  <c r="I94" i="124"/>
  <c r="H94" i="124"/>
  <c r="I105" i="124"/>
  <c r="H105" i="124"/>
  <c r="I126" i="124"/>
  <c r="H126" i="124"/>
  <c r="H128" i="124"/>
  <c r="I128" i="124"/>
  <c r="F284" i="124"/>
  <c r="F285" i="124"/>
  <c r="G62" i="124"/>
  <c r="I37" i="124"/>
  <c r="J37" i="124" s="1"/>
  <c r="I54" i="124"/>
  <c r="H54" i="124"/>
  <c r="I87" i="124"/>
  <c r="H87" i="124"/>
  <c r="I95" i="124"/>
  <c r="H95" i="124"/>
  <c r="G98" i="124"/>
  <c r="G18" i="124"/>
  <c r="H20" i="124"/>
  <c r="J20" i="124" s="1"/>
  <c r="H22" i="124"/>
  <c r="J22" i="124" s="1"/>
  <c r="H45" i="124"/>
  <c r="J45" i="124" s="1"/>
  <c r="H49" i="124"/>
  <c r="J49" i="124" s="1"/>
  <c r="G64" i="124"/>
  <c r="G85" i="124"/>
  <c r="H108" i="124"/>
  <c r="J108" i="124" s="1"/>
  <c r="H109" i="124"/>
  <c r="J109" i="124" s="1"/>
  <c r="I110" i="124"/>
  <c r="J110" i="124" s="1"/>
  <c r="H117" i="124"/>
  <c r="J117" i="124" s="1"/>
  <c r="H130" i="124"/>
  <c r="J130" i="124" s="1"/>
  <c r="H131" i="124"/>
  <c r="J131" i="124" s="1"/>
  <c r="H150" i="124"/>
  <c r="J150" i="124" s="1"/>
  <c r="H151" i="124"/>
  <c r="J151" i="124" s="1"/>
  <c r="I152" i="124"/>
  <c r="J152" i="124" s="1"/>
  <c r="F214" i="124"/>
  <c r="F215" i="124"/>
  <c r="F245" i="124"/>
  <c r="H120" i="124"/>
  <c r="J120" i="124" s="1"/>
  <c r="J138" i="124"/>
  <c r="E158" i="124"/>
  <c r="H155" i="124"/>
  <c r="J155" i="124" s="1"/>
  <c r="I156" i="124"/>
  <c r="J156" i="124" s="1"/>
  <c r="J162" i="124"/>
  <c r="I176" i="124"/>
  <c r="J176" i="124" s="1"/>
  <c r="I187" i="124"/>
  <c r="J187" i="124" s="1"/>
  <c r="G39" i="56"/>
  <c r="F235" i="124" l="1"/>
  <c r="J87" i="124"/>
  <c r="F222" i="124"/>
  <c r="F224" i="124"/>
  <c r="F293" i="124"/>
  <c r="H34" i="124"/>
  <c r="J34" i="124" s="1"/>
  <c r="J66" i="124"/>
  <c r="J127" i="124"/>
  <c r="J104" i="124"/>
  <c r="J55" i="124"/>
  <c r="J38" i="124"/>
  <c r="H12" i="124"/>
  <c r="J12" i="124" s="1"/>
  <c r="F212" i="124"/>
  <c r="F216" i="124" s="1"/>
  <c r="F275" i="124"/>
  <c r="F252" i="124"/>
  <c r="J90" i="124"/>
  <c r="J106" i="124"/>
  <c r="J188" i="124"/>
  <c r="J118" i="124"/>
  <c r="J48" i="124"/>
  <c r="F295" i="124"/>
  <c r="J105" i="124"/>
  <c r="J91" i="124"/>
  <c r="F274" i="124"/>
  <c r="F294" i="124"/>
  <c r="F255" i="124"/>
  <c r="J40" i="124"/>
  <c r="J148" i="124"/>
  <c r="J170" i="124" s="1"/>
  <c r="J93" i="124"/>
  <c r="J65" i="124"/>
  <c r="H85" i="124"/>
  <c r="I85" i="124"/>
  <c r="F232" i="124"/>
  <c r="F233" i="124"/>
  <c r="H64" i="124"/>
  <c r="I64" i="124"/>
  <c r="J128" i="124"/>
  <c r="F265" i="124"/>
  <c r="F264" i="124"/>
  <c r="I36" i="124"/>
  <c r="H36" i="124"/>
  <c r="I98" i="124"/>
  <c r="H98" i="124"/>
  <c r="F243" i="124"/>
  <c r="F242" i="124"/>
  <c r="H18" i="124"/>
  <c r="I18" i="124"/>
  <c r="J95" i="124"/>
  <c r="J54" i="124"/>
  <c r="F283" i="124"/>
  <c r="F282" i="124"/>
  <c r="J126" i="124"/>
  <c r="J67" i="124"/>
  <c r="I58" i="124"/>
  <c r="H58" i="124"/>
  <c r="J172" i="124"/>
  <c r="J44" i="124"/>
  <c r="J27" i="124"/>
  <c r="J96" i="124"/>
  <c r="J178" i="124"/>
  <c r="H14" i="124"/>
  <c r="I14" i="124"/>
  <c r="F203" i="124"/>
  <c r="F202" i="124"/>
  <c r="I62" i="124"/>
  <c r="H62" i="124"/>
  <c r="J94" i="124"/>
  <c r="F272" i="124"/>
  <c r="F273" i="124"/>
  <c r="C205" i="124"/>
  <c r="F205" i="124" s="1"/>
  <c r="C204" i="124"/>
  <c r="F204" i="124" s="1"/>
  <c r="J39" i="124"/>
  <c r="H32" i="124"/>
  <c r="I32" i="124"/>
  <c r="F70" i="96"/>
  <c r="G70" i="96" s="1"/>
  <c r="H31" i="98"/>
  <c r="F33" i="104"/>
  <c r="F34" i="104"/>
  <c r="F35" i="104"/>
  <c r="F36" i="104"/>
  <c r="F37" i="104"/>
  <c r="F38" i="104"/>
  <c r="F39" i="104"/>
  <c r="F40" i="104"/>
  <c r="F41" i="104"/>
  <c r="F32" i="104"/>
  <c r="F286" i="124" l="1"/>
  <c r="F246" i="124"/>
  <c r="F223" i="124"/>
  <c r="F226" i="124" s="1"/>
  <c r="F206" i="124"/>
  <c r="F253" i="124"/>
  <c r="F256" i="124" s="1"/>
  <c r="F276" i="124"/>
  <c r="F296" i="124"/>
  <c r="J64" i="124"/>
  <c r="J14" i="124"/>
  <c r="J191" i="124" s="1"/>
  <c r="J58" i="124"/>
  <c r="J62" i="124"/>
  <c r="J98" i="124"/>
  <c r="J146" i="124"/>
  <c r="J32" i="124"/>
  <c r="J18" i="124"/>
  <c r="J30" i="124" s="1"/>
  <c r="F236" i="124"/>
  <c r="J36" i="124"/>
  <c r="F263" i="124"/>
  <c r="F262" i="124"/>
  <c r="J85" i="124"/>
  <c r="D115" i="119"/>
  <c r="D116" i="119"/>
  <c r="D117" i="119"/>
  <c r="D118" i="119"/>
  <c r="D119" i="119"/>
  <c r="D120" i="119"/>
  <c r="D121" i="119"/>
  <c r="D122" i="119"/>
  <c r="D123" i="119"/>
  <c r="D124" i="119"/>
  <c r="D125" i="119"/>
  <c r="D126" i="119"/>
  <c r="D127" i="119"/>
  <c r="D128" i="119"/>
  <c r="D129" i="119"/>
  <c r="D130" i="119"/>
  <c r="D131" i="119"/>
  <c r="D132" i="119"/>
  <c r="D133" i="119"/>
  <c r="D134" i="119"/>
  <c r="D135" i="119"/>
  <c r="D136" i="119"/>
  <c r="D137" i="119"/>
  <c r="D138" i="119"/>
  <c r="D139" i="119"/>
  <c r="D140" i="119"/>
  <c r="D141" i="119"/>
  <c r="D142" i="119"/>
  <c r="D143" i="119"/>
  <c r="D144" i="119"/>
  <c r="D114" i="119"/>
  <c r="D92" i="119"/>
  <c r="D93" i="119"/>
  <c r="D94" i="119"/>
  <c r="D95" i="119"/>
  <c r="D96" i="119"/>
  <c r="D97" i="119"/>
  <c r="E12" i="55"/>
  <c r="D12" i="55"/>
  <c r="J15" i="124" l="1"/>
  <c r="J113" i="124"/>
  <c r="J83" i="124"/>
  <c r="F266" i="124"/>
  <c r="F297" i="124" s="1"/>
  <c r="J50" i="124"/>
  <c r="J192" i="124"/>
  <c r="J193" i="124" s="1"/>
  <c r="E161" i="75"/>
  <c r="F161" i="75" s="1"/>
  <c r="E162" i="75"/>
  <c r="F162" i="75" s="1"/>
  <c r="E163" i="75"/>
  <c r="F163" i="75" s="1"/>
  <c r="E164" i="75"/>
  <c r="F164" i="75" s="1"/>
  <c r="E165" i="75"/>
  <c r="F165" i="75" s="1"/>
  <c r="E166" i="75"/>
  <c r="F166" i="75" s="1"/>
  <c r="E167" i="75"/>
  <c r="F167" i="75" s="1"/>
  <c r="E168" i="75"/>
  <c r="F168" i="75" s="1"/>
  <c r="E169" i="75"/>
  <c r="F169" i="75" s="1"/>
  <c r="E170" i="75"/>
  <c r="F170" i="75" s="1"/>
  <c r="E171" i="75"/>
  <c r="F171" i="75" s="1"/>
  <c r="E172" i="75"/>
  <c r="F172" i="75" s="1"/>
  <c r="E173" i="75"/>
  <c r="F173" i="75" s="1"/>
  <c r="E174" i="75"/>
  <c r="F174" i="75" s="1"/>
  <c r="E175" i="75"/>
  <c r="F175" i="75" s="1"/>
  <c r="E176" i="75"/>
  <c r="F176" i="75" s="1"/>
  <c r="E177" i="75"/>
  <c r="F177" i="75" s="1"/>
  <c r="E178" i="75"/>
  <c r="F178" i="75" s="1"/>
  <c r="E179" i="75"/>
  <c r="F179" i="75" s="1"/>
  <c r="E180" i="75"/>
  <c r="F180" i="75" s="1"/>
  <c r="E181" i="75"/>
  <c r="F181" i="75" s="1"/>
  <c r="E182" i="75"/>
  <c r="F182" i="75" s="1"/>
  <c r="E183" i="75"/>
  <c r="F183" i="75" s="1"/>
  <c r="E184" i="75"/>
  <c r="F184" i="75" s="1"/>
  <c r="E185" i="75"/>
  <c r="F185" i="75" s="1"/>
  <c r="E186" i="75"/>
  <c r="F186" i="75" s="1"/>
  <c r="E187" i="75"/>
  <c r="F187" i="75" s="1"/>
  <c r="E188" i="75"/>
  <c r="F188" i="75" s="1"/>
  <c r="E189" i="75"/>
  <c r="F189" i="75" s="1"/>
  <c r="E190" i="75"/>
  <c r="F190" i="75" s="1"/>
  <c r="E191" i="75"/>
  <c r="F191" i="75" s="1"/>
  <c r="E192" i="75"/>
  <c r="F192" i="75" s="1"/>
  <c r="E193" i="75"/>
  <c r="F193" i="75" s="1"/>
  <c r="E194" i="75"/>
  <c r="F194" i="75" s="1"/>
  <c r="E195" i="75"/>
  <c r="F195" i="75" s="1"/>
  <c r="E196" i="75"/>
  <c r="F196" i="75" s="1"/>
  <c r="E197" i="75"/>
  <c r="F197" i="75" s="1"/>
  <c r="E160" i="75"/>
  <c r="E159" i="75"/>
  <c r="E158" i="75"/>
  <c r="E157" i="75"/>
  <c r="E156" i="75"/>
  <c r="E155" i="75"/>
  <c r="E154" i="75"/>
  <c r="E153" i="75"/>
  <c r="H134" i="75"/>
  <c r="H135" i="75"/>
  <c r="H136" i="75"/>
  <c r="H137" i="75"/>
  <c r="H138" i="75"/>
  <c r="H139" i="75"/>
  <c r="H152" i="75"/>
  <c r="F152" i="75"/>
  <c r="E152" i="75"/>
  <c r="E134" i="75"/>
  <c r="F134" i="75" s="1"/>
  <c r="E135" i="75"/>
  <c r="F135" i="75" s="1"/>
  <c r="E136" i="75"/>
  <c r="F136" i="75" s="1"/>
  <c r="E137" i="75"/>
  <c r="F137" i="75" s="1"/>
  <c r="E138" i="75"/>
  <c r="F138" i="75" s="1"/>
  <c r="E139" i="75"/>
  <c r="F139" i="75" s="1"/>
  <c r="E133" i="75"/>
  <c r="F133" i="75" s="1"/>
  <c r="E17" i="61"/>
  <c r="G34" i="68"/>
  <c r="G35" i="68"/>
  <c r="G24" i="99"/>
  <c r="H24" i="99"/>
  <c r="H29" i="99"/>
  <c r="I29" i="99" s="1"/>
  <c r="G27" i="99"/>
  <c r="I27" i="99" s="1"/>
  <c r="H27" i="99"/>
  <c r="G179" i="66"/>
  <c r="G180" i="66"/>
  <c r="G181" i="66"/>
  <c r="G182" i="66"/>
  <c r="G183" i="66"/>
  <c r="G184" i="66"/>
  <c r="G185" i="66"/>
  <c r="G186" i="66"/>
  <c r="G187" i="66"/>
  <c r="G188" i="66"/>
  <c r="G189" i="66"/>
  <c r="G190" i="66"/>
  <c r="G191" i="66"/>
  <c r="G192" i="66"/>
  <c r="G193" i="66"/>
  <c r="G194" i="66"/>
  <c r="G195" i="66"/>
  <c r="G196" i="66"/>
  <c r="G197" i="66"/>
  <c r="G198" i="66"/>
  <c r="G199" i="66"/>
  <c r="G200" i="66"/>
  <c r="G201" i="66"/>
  <c r="G202" i="66"/>
  <c r="G203" i="66"/>
  <c r="G204" i="66"/>
  <c r="G178" i="66"/>
  <c r="E174" i="66"/>
  <c r="F182" i="66" s="1"/>
  <c r="H182" i="66" s="1"/>
  <c r="E173" i="66"/>
  <c r="E190" i="66"/>
  <c r="E191" i="66"/>
  <c r="E194" i="66"/>
  <c r="E195" i="66"/>
  <c r="E198" i="66"/>
  <c r="E199" i="66"/>
  <c r="E202" i="66"/>
  <c r="E203" i="66"/>
  <c r="E179" i="66"/>
  <c r="E180" i="66"/>
  <c r="E181" i="66"/>
  <c r="E182" i="66"/>
  <c r="E183" i="66"/>
  <c r="E184" i="66"/>
  <c r="E185" i="66"/>
  <c r="E186" i="66"/>
  <c r="E187" i="66"/>
  <c r="D189" i="66"/>
  <c r="E189" i="66" s="1"/>
  <c r="D190" i="66"/>
  <c r="D191" i="66"/>
  <c r="D192" i="66"/>
  <c r="E192" i="66" s="1"/>
  <c r="D193" i="66"/>
  <c r="E193" i="66" s="1"/>
  <c r="D194" i="66"/>
  <c r="D195" i="66"/>
  <c r="D196" i="66"/>
  <c r="E196" i="66" s="1"/>
  <c r="D197" i="66"/>
  <c r="E197" i="66" s="1"/>
  <c r="D198" i="66"/>
  <c r="D199" i="66"/>
  <c r="D200" i="66"/>
  <c r="E200" i="66" s="1"/>
  <c r="D201" i="66"/>
  <c r="E201" i="66" s="1"/>
  <c r="D202" i="66"/>
  <c r="D203" i="66"/>
  <c r="D204" i="66"/>
  <c r="E204" i="66" s="1"/>
  <c r="D188" i="66"/>
  <c r="E188" i="66" s="1"/>
  <c r="E178" i="66"/>
  <c r="H34" i="98"/>
  <c r="H35" i="98"/>
  <c r="I35" i="98" s="1"/>
  <c r="I36" i="98" s="1"/>
  <c r="C40" i="98" s="1"/>
  <c r="E59" i="104"/>
  <c r="F59" i="104" s="1"/>
  <c r="G59" i="104"/>
  <c r="H59" i="104"/>
  <c r="E60" i="104"/>
  <c r="F60" i="104" s="1"/>
  <c r="G60" i="104"/>
  <c r="H60" i="104"/>
  <c r="E84" i="19"/>
  <c r="F84" i="19" s="1"/>
  <c r="G84" i="19"/>
  <c r="H84" i="19"/>
  <c r="G83" i="105"/>
  <c r="E84" i="105"/>
  <c r="F84" i="105" s="1"/>
  <c r="E85" i="105"/>
  <c r="F85" i="105" s="1"/>
  <c r="E86" i="105"/>
  <c r="F86" i="105" s="1"/>
  <c r="E87" i="105"/>
  <c r="F87" i="105" s="1"/>
  <c r="E88" i="105"/>
  <c r="F88" i="105" s="1"/>
  <c r="E89" i="105"/>
  <c r="F89" i="105" s="1"/>
  <c r="E90" i="105"/>
  <c r="F90" i="105" s="1"/>
  <c r="E91" i="105"/>
  <c r="F91" i="105" s="1"/>
  <c r="E92" i="105"/>
  <c r="F92" i="105" s="1"/>
  <c r="E93" i="105"/>
  <c r="F93" i="105" s="1"/>
  <c r="E94" i="105"/>
  <c r="F94" i="105" s="1"/>
  <c r="E95" i="105"/>
  <c r="F95" i="105" s="1"/>
  <c r="E96" i="105"/>
  <c r="F96" i="105" s="1"/>
  <c r="E97" i="105"/>
  <c r="F97" i="105" s="1"/>
  <c r="E98" i="105"/>
  <c r="F98" i="105" s="1"/>
  <c r="E99" i="105"/>
  <c r="F99" i="105" s="1"/>
  <c r="E100" i="105"/>
  <c r="F100" i="105" s="1"/>
  <c r="E101" i="105"/>
  <c r="F101" i="105" s="1"/>
  <c r="E102" i="105"/>
  <c r="F102" i="105" s="1"/>
  <c r="E103" i="105"/>
  <c r="F103" i="105" s="1"/>
  <c r="E104" i="105"/>
  <c r="F104" i="105" s="1"/>
  <c r="E105" i="105"/>
  <c r="F105" i="105" s="1"/>
  <c r="E106" i="105"/>
  <c r="F106" i="105" s="1"/>
  <c r="E107" i="105"/>
  <c r="F107" i="105" s="1"/>
  <c r="E108" i="105"/>
  <c r="F108" i="105" s="1"/>
  <c r="E109" i="105"/>
  <c r="F109" i="105" s="1"/>
  <c r="E110" i="105"/>
  <c r="F110" i="105" s="1"/>
  <c r="E111" i="105"/>
  <c r="F111" i="105" s="1"/>
  <c r="E112" i="105"/>
  <c r="F112" i="105" s="1"/>
  <c r="E113" i="105"/>
  <c r="F113" i="105" s="1"/>
  <c r="E114" i="105"/>
  <c r="F114" i="105" s="1"/>
  <c r="E115" i="105"/>
  <c r="F115" i="105" s="1"/>
  <c r="E116" i="105"/>
  <c r="F116" i="105" s="1"/>
  <c r="E117" i="105"/>
  <c r="F117" i="105" s="1"/>
  <c r="E118" i="105"/>
  <c r="F118" i="105" s="1"/>
  <c r="E119" i="105"/>
  <c r="F119" i="105" s="1"/>
  <c r="E120" i="105"/>
  <c r="F120" i="105" s="1"/>
  <c r="E121" i="105"/>
  <c r="F121" i="105" s="1"/>
  <c r="E122" i="105"/>
  <c r="F122" i="105" s="1"/>
  <c r="E123" i="105"/>
  <c r="F123" i="105" s="1"/>
  <c r="E124" i="105"/>
  <c r="F124" i="105" s="1"/>
  <c r="E125" i="105"/>
  <c r="F125" i="105" s="1"/>
  <c r="E126" i="105"/>
  <c r="F126" i="105" s="1"/>
  <c r="E83" i="105"/>
  <c r="F83" i="105" s="1"/>
  <c r="G126" i="105"/>
  <c r="H113" i="97"/>
  <c r="F113" i="97"/>
  <c r="G113" i="97" s="1"/>
  <c r="D113" i="97"/>
  <c r="G215" i="56"/>
  <c r="E215" i="56"/>
  <c r="H215" i="56" s="1"/>
  <c r="G192" i="56"/>
  <c r="E192" i="56"/>
  <c r="H192" i="56" s="1"/>
  <c r="G169" i="56"/>
  <c r="E169" i="56"/>
  <c r="H169" i="56" s="1"/>
  <c r="G146" i="56"/>
  <c r="E146" i="56"/>
  <c r="H146" i="56" s="1"/>
  <c r="G123" i="56"/>
  <c r="E123" i="56"/>
  <c r="H123" i="56" s="1"/>
  <c r="E100" i="56"/>
  <c r="H100" i="56" s="1"/>
  <c r="G77" i="56"/>
  <c r="E77" i="56"/>
  <c r="H77" i="56" s="1"/>
  <c r="E53" i="56"/>
  <c r="H53" i="56" s="1"/>
  <c r="G53" i="56"/>
  <c r="E238" i="56"/>
  <c r="H238" i="56" s="1"/>
  <c r="G238" i="56"/>
  <c r="I24" i="99" l="1"/>
  <c r="F201" i="66"/>
  <c r="H201" i="66" s="1"/>
  <c r="F193" i="66"/>
  <c r="H193" i="66" s="1"/>
  <c r="F185" i="66"/>
  <c r="H185" i="66" s="1"/>
  <c r="F178" i="66"/>
  <c r="F200" i="66"/>
  <c r="H200" i="66" s="1"/>
  <c r="F188" i="66"/>
  <c r="H188" i="66" s="1"/>
  <c r="F180" i="66"/>
  <c r="H180" i="66" s="1"/>
  <c r="F203" i="66"/>
  <c r="H203" i="66" s="1"/>
  <c r="F199" i="66"/>
  <c r="H199" i="66" s="1"/>
  <c r="F195" i="66"/>
  <c r="H195" i="66" s="1"/>
  <c r="F191" i="66"/>
  <c r="H191" i="66" s="1"/>
  <c r="F187" i="66"/>
  <c r="H187" i="66" s="1"/>
  <c r="F183" i="66"/>
  <c r="H183" i="66" s="1"/>
  <c r="F179" i="66"/>
  <c r="H179" i="66" s="1"/>
  <c r="F197" i="66"/>
  <c r="H197" i="66" s="1"/>
  <c r="F189" i="66"/>
  <c r="H189" i="66" s="1"/>
  <c r="F181" i="66"/>
  <c r="H181" i="66" s="1"/>
  <c r="F204" i="66"/>
  <c r="H204" i="66" s="1"/>
  <c r="F196" i="66"/>
  <c r="H196" i="66" s="1"/>
  <c r="F192" i="66"/>
  <c r="H192" i="66" s="1"/>
  <c r="F184" i="66"/>
  <c r="H184" i="66" s="1"/>
  <c r="F202" i="66"/>
  <c r="H202" i="66" s="1"/>
  <c r="F198" i="66"/>
  <c r="H198" i="66" s="1"/>
  <c r="F194" i="66"/>
  <c r="H194" i="66" s="1"/>
  <c r="F190" i="66"/>
  <c r="H190" i="66" s="1"/>
  <c r="F186" i="66"/>
  <c r="H186" i="66" s="1"/>
  <c r="F302" i="124"/>
  <c r="F337" i="124"/>
  <c r="H337" i="124" s="1"/>
  <c r="F336" i="124"/>
  <c r="H336" i="124" s="1"/>
  <c r="F323" i="124"/>
  <c r="H323" i="124" s="1"/>
  <c r="F305" i="124"/>
  <c r="H305" i="124" s="1"/>
  <c r="F328" i="124"/>
  <c r="H328" i="124" s="1"/>
  <c r="F312" i="124"/>
  <c r="H312" i="124" s="1"/>
  <c r="F325" i="124"/>
  <c r="H325" i="124" s="1"/>
  <c r="F322" i="124"/>
  <c r="H322" i="124" s="1"/>
  <c r="F326" i="124"/>
  <c r="H326" i="124" s="1"/>
  <c r="F321" i="124"/>
  <c r="H321" i="124" s="1"/>
  <c r="F341" i="124"/>
  <c r="F331" i="124"/>
  <c r="H331" i="124" s="1"/>
  <c r="F338" i="124"/>
  <c r="H338" i="124" s="1"/>
  <c r="H302" i="124"/>
  <c r="F309" i="124"/>
  <c r="H309" i="124" s="1"/>
  <c r="F310" i="124"/>
  <c r="H310" i="124" s="1"/>
  <c r="F330" i="124"/>
  <c r="H330" i="124" s="1"/>
  <c r="F316" i="124"/>
  <c r="H316" i="124" s="1"/>
  <c r="F334" i="124"/>
  <c r="H334" i="124" s="1"/>
  <c r="F314" i="124"/>
  <c r="H314" i="124" s="1"/>
  <c r="F335" i="124"/>
  <c r="H335" i="124" s="1"/>
  <c r="F319" i="124"/>
  <c r="H319" i="124" s="1"/>
  <c r="F339" i="124"/>
  <c r="H339" i="124" s="1"/>
  <c r="F324" i="124"/>
  <c r="H324" i="124" s="1"/>
  <c r="F308" i="124"/>
  <c r="H308" i="124" s="1"/>
  <c r="F317" i="124"/>
  <c r="H317" i="124" s="1"/>
  <c r="F304" i="124"/>
  <c r="H304" i="124" s="1"/>
  <c r="F318" i="124"/>
  <c r="H318" i="124" s="1"/>
  <c r="F303" i="124"/>
  <c r="H303" i="124" s="1"/>
  <c r="F315" i="124"/>
  <c r="H315" i="124" s="1"/>
  <c r="F320" i="124"/>
  <c r="H320" i="124" s="1"/>
  <c r="C347" i="124"/>
  <c r="F340" i="124"/>
  <c r="H340" i="124" s="1"/>
  <c r="F327" i="124"/>
  <c r="H327" i="124" s="1"/>
  <c r="F311" i="124"/>
  <c r="H311" i="124" s="1"/>
  <c r="F332" i="124"/>
  <c r="H332" i="124" s="1"/>
  <c r="F333" i="124"/>
  <c r="H333" i="124" s="1"/>
  <c r="F313" i="124"/>
  <c r="H313" i="124" s="1"/>
  <c r="F329" i="124"/>
  <c r="H329" i="124" s="1"/>
  <c r="J195" i="124"/>
  <c r="I60" i="104"/>
  <c r="I59" i="104"/>
  <c r="I84" i="19"/>
  <c r="I113" i="97"/>
  <c r="H178" i="66" l="1"/>
  <c r="H205" i="66" s="1"/>
  <c r="B209" i="66" s="1"/>
  <c r="B208" i="66"/>
  <c r="H341" i="124"/>
  <c r="E24" i="61"/>
  <c r="F24" i="61" s="1"/>
  <c r="P144" i="86"/>
  <c r="P143" i="86"/>
  <c r="P133" i="86"/>
  <c r="B210" i="66" l="1"/>
  <c r="Q23" i="37"/>
  <c r="R23" i="37" s="1"/>
  <c r="C348" i="124"/>
  <c r="C351" i="124" s="1"/>
  <c r="I24" i="61"/>
  <c r="H36" i="62"/>
  <c r="F17" i="61" l="1"/>
  <c r="H18" i="61"/>
  <c r="H19" i="61"/>
  <c r="H20" i="61"/>
  <c r="H21" i="61"/>
  <c r="H22" i="61"/>
  <c r="H23" i="61"/>
  <c r="H17" i="61"/>
  <c r="E18" i="61"/>
  <c r="F18" i="61" s="1"/>
  <c r="E19" i="61"/>
  <c r="F19" i="61" s="1"/>
  <c r="E20" i="61"/>
  <c r="F20" i="61" s="1"/>
  <c r="E21" i="61"/>
  <c r="F21" i="61" s="1"/>
  <c r="E22" i="61"/>
  <c r="F22" i="61" s="1"/>
  <c r="E23" i="61"/>
  <c r="F23" i="61" s="1"/>
  <c r="E25" i="61"/>
  <c r="F25" i="61" s="1"/>
  <c r="E26" i="61"/>
  <c r="F26" i="61" s="1"/>
  <c r="E27" i="61"/>
  <c r="F27" i="61" s="1"/>
  <c r="E28" i="61"/>
  <c r="F28" i="61" s="1"/>
  <c r="E29" i="61"/>
  <c r="F29" i="61" s="1"/>
  <c r="E30" i="61"/>
  <c r="F30" i="61" s="1"/>
  <c r="E31" i="61"/>
  <c r="F31" i="61" s="1"/>
  <c r="E32" i="61"/>
  <c r="F32" i="61" s="1"/>
  <c r="E33" i="61"/>
  <c r="F33" i="61" s="1"/>
  <c r="E34" i="61"/>
  <c r="F34" i="61" s="1"/>
  <c r="E35" i="61"/>
  <c r="F35" i="61" s="1"/>
  <c r="E36" i="61"/>
  <c r="F36" i="61" s="1"/>
  <c r="E37" i="61"/>
  <c r="F37" i="61" s="1"/>
  <c r="L45" i="62"/>
  <c r="H15" i="62"/>
  <c r="H14" i="62"/>
  <c r="I36" i="61" l="1"/>
  <c r="I28" i="61"/>
  <c r="I19" i="61"/>
  <c r="I32" i="61"/>
  <c r="I23" i="61"/>
  <c r="I35" i="61"/>
  <c r="I31" i="61"/>
  <c r="I27" i="61"/>
  <c r="I22" i="61"/>
  <c r="I18" i="61"/>
  <c r="I37" i="61"/>
  <c r="I33" i="61"/>
  <c r="I29" i="61"/>
  <c r="I25" i="61"/>
  <c r="I20" i="61"/>
  <c r="I17" i="61"/>
  <c r="I34" i="61"/>
  <c r="I30" i="61"/>
  <c r="I26" i="61"/>
  <c r="I21" i="61"/>
  <c r="Q251" i="120"/>
  <c r="Q227" i="120"/>
  <c r="G251" i="120"/>
  <c r="G227" i="120"/>
  <c r="P223" i="120"/>
  <c r="F119" i="120"/>
  <c r="M269" i="120"/>
  <c r="D269" i="120"/>
  <c r="G269" i="120" s="1"/>
  <c r="F269" i="120"/>
  <c r="E173" i="120"/>
  <c r="E174" i="120"/>
  <c r="E172" i="120"/>
  <c r="E103" i="120"/>
  <c r="E101" i="120"/>
  <c r="E102" i="120"/>
  <c r="E100" i="120"/>
  <c r="E77" i="120"/>
  <c r="E78" i="120"/>
  <c r="E79" i="120"/>
  <c r="E80" i="120"/>
  <c r="E81" i="120"/>
  <c r="E82" i="120"/>
  <c r="E83" i="120"/>
  <c r="E84" i="120"/>
  <c r="E85" i="120"/>
  <c r="E86" i="120"/>
  <c r="E87" i="120"/>
  <c r="E88" i="120"/>
  <c r="E89" i="120"/>
  <c r="E90" i="120"/>
  <c r="E91" i="120"/>
  <c r="E92" i="120"/>
  <c r="E93" i="120"/>
  <c r="E76" i="120"/>
  <c r="E54" i="120"/>
  <c r="E55" i="120"/>
  <c r="E56" i="120"/>
  <c r="E57" i="120"/>
  <c r="E58" i="120"/>
  <c r="E59" i="120"/>
  <c r="E60" i="120"/>
  <c r="E61" i="120"/>
  <c r="E62" i="120"/>
  <c r="E63" i="120"/>
  <c r="E64" i="120"/>
  <c r="E65" i="120"/>
  <c r="E66" i="120"/>
  <c r="E67" i="120"/>
  <c r="E68" i="120"/>
  <c r="E69" i="120"/>
  <c r="E70" i="120"/>
  <c r="E53" i="120"/>
  <c r="E31" i="120"/>
  <c r="E32" i="120"/>
  <c r="E33" i="120"/>
  <c r="E34" i="120"/>
  <c r="E35" i="120"/>
  <c r="E36" i="120"/>
  <c r="E37" i="120"/>
  <c r="E38" i="120"/>
  <c r="E39" i="120"/>
  <c r="E40" i="120"/>
  <c r="E41" i="120"/>
  <c r="E42" i="120"/>
  <c r="E43" i="120"/>
  <c r="E44" i="120"/>
  <c r="E45" i="120"/>
  <c r="E46" i="120"/>
  <c r="E30" i="120"/>
  <c r="E16" i="120"/>
  <c r="E17" i="120"/>
  <c r="E18" i="120"/>
  <c r="E19" i="120"/>
  <c r="E22" i="120"/>
  <c r="E23" i="120"/>
  <c r="E24" i="120"/>
  <c r="E15" i="120"/>
  <c r="I38" i="61" l="1"/>
  <c r="D43" i="61" s="1"/>
  <c r="G85" i="89"/>
  <c r="G88" i="89"/>
  <c r="D88" i="89"/>
  <c r="G47" i="89"/>
  <c r="G48" i="89"/>
  <c r="G49" i="89"/>
  <c r="G50" i="89"/>
  <c r="G51" i="89"/>
  <c r="G52" i="89"/>
  <c r="G53" i="89"/>
  <c r="G54" i="89"/>
  <c r="G55" i="89"/>
  <c r="G56" i="89"/>
  <c r="G57" i="89"/>
  <c r="G58" i="89"/>
  <c r="G59" i="89"/>
  <c r="G60" i="89"/>
  <c r="G46" i="89"/>
  <c r="G17" i="89"/>
  <c r="F77" i="89"/>
  <c r="D77" i="89"/>
  <c r="F74" i="89"/>
  <c r="F75" i="89"/>
  <c r="F73" i="89"/>
  <c r="D74" i="89"/>
  <c r="D75" i="89"/>
  <c r="D73" i="89"/>
  <c r="F70" i="89"/>
  <c r="F71" i="89"/>
  <c r="F69" i="89"/>
  <c r="D70" i="89"/>
  <c r="D71" i="89"/>
  <c r="D69" i="89"/>
  <c r="F66" i="89"/>
  <c r="F67" i="89"/>
  <c r="F65" i="89"/>
  <c r="D67" i="89"/>
  <c r="D66" i="89"/>
  <c r="D65" i="89"/>
  <c r="D119" i="58"/>
  <c r="D120" i="58"/>
  <c r="D121" i="58"/>
  <c r="D122" i="58"/>
  <c r="D123" i="58"/>
  <c r="D124" i="58"/>
  <c r="D125" i="58"/>
  <c r="D126" i="58"/>
  <c r="D127" i="58"/>
  <c r="D128" i="58"/>
  <c r="D129" i="58"/>
  <c r="D130" i="58"/>
  <c r="D131" i="58"/>
  <c r="D132" i="58"/>
  <c r="D133" i="58"/>
  <c r="D134" i="58"/>
  <c r="D135" i="58"/>
  <c r="D136" i="58"/>
  <c r="D137" i="58"/>
  <c r="D138" i="58"/>
  <c r="D139" i="58"/>
  <c r="D140" i="58"/>
  <c r="D141" i="58"/>
  <c r="G141" i="58"/>
  <c r="H141" i="58"/>
  <c r="Q269" i="120"/>
  <c r="P269" i="120"/>
  <c r="K42" i="61" l="1"/>
  <c r="K43" i="61" s="1"/>
  <c r="D45" i="61"/>
  <c r="O15" i="37"/>
  <c r="Q15" i="37"/>
  <c r="G77" i="89"/>
  <c r="G65" i="89"/>
  <c r="G74" i="89"/>
  <c r="G71" i="89"/>
  <c r="G70" i="89"/>
  <c r="G67" i="89"/>
  <c r="G66" i="89"/>
  <c r="G75" i="89"/>
  <c r="G73" i="89"/>
  <c r="G69" i="89"/>
  <c r="R15" i="37" l="1"/>
  <c r="R321" i="111"/>
  <c r="D91" i="43"/>
  <c r="D92" i="43"/>
  <c r="E92" i="43"/>
  <c r="G92" i="43"/>
  <c r="F144" i="119"/>
  <c r="G144" i="119"/>
  <c r="G98" i="119"/>
  <c r="G114" i="119"/>
  <c r="R58" i="86" l="1"/>
  <c r="B30" i="86"/>
  <c r="C38" i="86"/>
  <c r="O125" i="86" l="1"/>
  <c r="R125" i="86" s="1"/>
  <c r="Q125" i="86"/>
  <c r="C13" i="55" l="1"/>
  <c r="B165" i="62" l="1"/>
  <c r="B164" i="62"/>
  <c r="D141" i="62"/>
  <c r="E141" i="62" s="1"/>
  <c r="G141" i="62"/>
  <c r="G97" i="62"/>
  <c r="G93" i="62"/>
  <c r="E97" i="62"/>
  <c r="E94" i="62"/>
  <c r="B72" i="22"/>
  <c r="D72" i="22" s="1"/>
  <c r="E72" i="22"/>
  <c r="F72" i="22"/>
  <c r="G72" i="22"/>
  <c r="E45" i="24"/>
  <c r="F45" i="24" s="1"/>
  <c r="G45" i="24"/>
  <c r="H45" i="24"/>
  <c r="I129" i="123"/>
  <c r="H128" i="123"/>
  <c r="E128" i="123"/>
  <c r="F128" i="123" s="1"/>
  <c r="G128" i="123"/>
  <c r="H72" i="22" l="1"/>
  <c r="H73" i="22" s="1"/>
  <c r="I45" i="24"/>
  <c r="I128" i="123"/>
  <c r="I80" i="26"/>
  <c r="E79" i="26"/>
  <c r="F79" i="26" s="1"/>
  <c r="G79" i="26"/>
  <c r="H79" i="26"/>
  <c r="G102" i="62"/>
  <c r="E102" i="62"/>
  <c r="F64" i="96"/>
  <c r="G64" i="96" s="1"/>
  <c r="F65" i="96"/>
  <c r="G65" i="96" s="1"/>
  <c r="F66" i="96"/>
  <c r="G66" i="96" s="1"/>
  <c r="F67" i="96"/>
  <c r="G67" i="96" s="1"/>
  <c r="F68" i="96"/>
  <c r="G68" i="96" s="1"/>
  <c r="F69" i="96"/>
  <c r="G69" i="96" s="1"/>
  <c r="F71" i="96"/>
  <c r="G71" i="96" s="1"/>
  <c r="F72" i="96"/>
  <c r="G72" i="96" s="1"/>
  <c r="F73" i="96"/>
  <c r="G73" i="96" s="1"/>
  <c r="F74" i="96"/>
  <c r="G74" i="96" s="1"/>
  <c r="F75" i="96"/>
  <c r="G75" i="96" s="1"/>
  <c r="F76" i="96"/>
  <c r="G76" i="96" s="1"/>
  <c r="F77" i="96"/>
  <c r="G77" i="96" s="1"/>
  <c r="F78" i="96"/>
  <c r="G78" i="96" s="1"/>
  <c r="F79" i="96"/>
  <c r="G79" i="96" s="1"/>
  <c r="F80" i="96"/>
  <c r="G80" i="96" s="1"/>
  <c r="F81" i="96"/>
  <c r="G81" i="96" s="1"/>
  <c r="F82" i="96"/>
  <c r="G82" i="96" s="1"/>
  <c r="F83" i="96"/>
  <c r="G83" i="96" s="1"/>
  <c r="F84" i="96"/>
  <c r="G84" i="96" s="1"/>
  <c r="F85" i="96"/>
  <c r="G85" i="96" s="1"/>
  <c r="F86" i="96"/>
  <c r="G86" i="96" s="1"/>
  <c r="F87" i="96"/>
  <c r="G87" i="96" s="1"/>
  <c r="F88" i="96"/>
  <c r="G88" i="96" s="1"/>
  <c r="F89" i="96"/>
  <c r="G89" i="96" s="1"/>
  <c r="F90" i="96"/>
  <c r="G90" i="96" s="1"/>
  <c r="F91" i="96"/>
  <c r="G91" i="96" s="1"/>
  <c r="F92" i="96"/>
  <c r="G92" i="96" s="1"/>
  <c r="F63" i="96"/>
  <c r="G63" i="96" s="1"/>
  <c r="E78" i="55"/>
  <c r="F78" i="55" s="1"/>
  <c r="G78" i="55"/>
  <c r="H78" i="55" s="1"/>
  <c r="D44" i="99" l="1"/>
  <c r="E32" i="102"/>
  <c r="F32" i="102" s="1"/>
  <c r="G32" i="102"/>
  <c r="H32" i="102"/>
  <c r="E31" i="102"/>
  <c r="F31" i="102" s="1"/>
  <c r="G31" i="102"/>
  <c r="H31" i="102"/>
  <c r="D35" i="102"/>
  <c r="E23" i="102"/>
  <c r="F23" i="102" s="1"/>
  <c r="F22" i="102"/>
  <c r="G22" i="102"/>
  <c r="H22" i="102"/>
  <c r="G12" i="102"/>
  <c r="F13" i="102"/>
  <c r="F14" i="102"/>
  <c r="F15" i="102"/>
  <c r="F16" i="102"/>
  <c r="F17" i="102"/>
  <c r="F18" i="102"/>
  <c r="F19" i="102"/>
  <c r="F20" i="102"/>
  <c r="F21" i="102"/>
  <c r="F12" i="102"/>
  <c r="I32" i="102" l="1"/>
  <c r="I31" i="102"/>
  <c r="I22" i="102"/>
  <c r="E161" i="116"/>
  <c r="F161" i="116" s="1"/>
  <c r="G161" i="116"/>
  <c r="H228" i="56" l="1"/>
  <c r="G228" i="56"/>
  <c r="G205" i="56"/>
  <c r="H205" i="56"/>
  <c r="G182" i="56"/>
  <c r="H182" i="56"/>
  <c r="G159" i="56"/>
  <c r="H159" i="56"/>
  <c r="G136" i="56"/>
  <c r="H136" i="56"/>
  <c r="G113" i="56"/>
  <c r="H113" i="56"/>
  <c r="G112" i="56"/>
  <c r="H90" i="56"/>
  <c r="H67" i="56"/>
  <c r="G67" i="56"/>
  <c r="F67" i="56"/>
  <c r="G43" i="56"/>
  <c r="G44" i="56"/>
  <c r="G45" i="56"/>
  <c r="G46" i="56"/>
  <c r="G47" i="56"/>
  <c r="G48" i="56"/>
  <c r="H43" i="56"/>
  <c r="E12" i="26" l="1"/>
  <c r="F12" i="26" s="1"/>
  <c r="E13" i="26"/>
  <c r="F13" i="26" s="1"/>
  <c r="E14" i="26"/>
  <c r="F14" i="26" s="1"/>
  <c r="E15" i="26"/>
  <c r="F15" i="26" s="1"/>
  <c r="E16" i="26"/>
  <c r="F16" i="26" s="1"/>
  <c r="E17" i="26"/>
  <c r="F17" i="26" s="1"/>
  <c r="E18" i="26"/>
  <c r="F18" i="26" s="1"/>
  <c r="E19" i="26"/>
  <c r="F19" i="26" s="1"/>
  <c r="E20" i="26"/>
  <c r="F20" i="26" s="1"/>
  <c r="E21" i="26"/>
  <c r="F21" i="26" s="1"/>
  <c r="E22" i="26"/>
  <c r="F22" i="26" s="1"/>
  <c r="E23" i="26"/>
  <c r="F23" i="26" s="1"/>
  <c r="E24" i="26"/>
  <c r="F24" i="26" s="1"/>
  <c r="E25" i="26"/>
  <c r="F25" i="26" s="1"/>
  <c r="E26" i="26"/>
  <c r="F26" i="26" s="1"/>
  <c r="E27" i="26"/>
  <c r="F27" i="26" s="1"/>
  <c r="E28" i="26"/>
  <c r="F28" i="26" s="1"/>
  <c r="E29" i="26"/>
  <c r="F29" i="26" s="1"/>
  <c r="E30" i="26"/>
  <c r="F30" i="26" s="1"/>
  <c r="E31" i="26"/>
  <c r="F31" i="26" s="1"/>
  <c r="E32" i="26"/>
  <c r="F32" i="26" s="1"/>
  <c r="E33" i="26"/>
  <c r="F33" i="26" s="1"/>
  <c r="E34" i="26"/>
  <c r="F34" i="26" s="1"/>
  <c r="E35" i="26"/>
  <c r="F35" i="26" s="1"/>
  <c r="E36" i="26"/>
  <c r="F36" i="26" s="1"/>
  <c r="E37" i="26"/>
  <c r="F37" i="26" s="1"/>
  <c r="E38" i="26"/>
  <c r="F38" i="26" s="1"/>
  <c r="E39" i="26"/>
  <c r="F39" i="26" s="1"/>
  <c r="E40" i="26"/>
  <c r="F40" i="26" s="1"/>
  <c r="E41" i="26"/>
  <c r="F41" i="26" s="1"/>
  <c r="E11" i="26"/>
  <c r="F11" i="26" s="1"/>
  <c r="E38" i="91"/>
  <c r="E39" i="91"/>
  <c r="E40" i="91"/>
  <c r="E41" i="91"/>
  <c r="E42" i="91"/>
  <c r="E43" i="91"/>
  <c r="E27" i="91"/>
  <c r="E28" i="91"/>
  <c r="E29" i="91"/>
  <c r="E30" i="91"/>
  <c r="E31" i="91"/>
  <c r="E32" i="91"/>
  <c r="E33" i="91"/>
  <c r="E34" i="91"/>
  <c r="E35" i="91"/>
  <c r="E36" i="91"/>
  <c r="E37" i="91"/>
  <c r="E25" i="91"/>
  <c r="E26" i="91"/>
  <c r="G25" i="91"/>
  <c r="G15" i="91"/>
  <c r="G16" i="91"/>
  <c r="G17" i="91"/>
  <c r="G18" i="91"/>
  <c r="G19" i="91"/>
  <c r="G20" i="91"/>
  <c r="G21" i="91"/>
  <c r="G22" i="91"/>
  <c r="G23" i="91"/>
  <c r="G24" i="91"/>
  <c r="G14" i="91"/>
  <c r="G237" i="56"/>
  <c r="E237" i="56"/>
  <c r="H237" i="56" s="1"/>
  <c r="G236" i="56"/>
  <c r="E236" i="56"/>
  <c r="H236" i="56" s="1"/>
  <c r="G235" i="56"/>
  <c r="E235" i="56"/>
  <c r="H235" i="56" s="1"/>
  <c r="H234" i="56"/>
  <c r="G234" i="56"/>
  <c r="H233" i="56"/>
  <c r="G233" i="56"/>
  <c r="H232" i="56"/>
  <c r="G232" i="56"/>
  <c r="H231" i="56"/>
  <c r="G231" i="56"/>
  <c r="H230" i="56"/>
  <c r="G230" i="56"/>
  <c r="H229" i="56"/>
  <c r="G229" i="56"/>
  <c r="H227" i="56"/>
  <c r="G227" i="56"/>
  <c r="H226" i="56"/>
  <c r="G226" i="56"/>
  <c r="H225" i="56"/>
  <c r="G225" i="56"/>
  <c r="H224" i="56"/>
  <c r="G224" i="56"/>
  <c r="G214" i="56"/>
  <c r="E214" i="56"/>
  <c r="H214" i="56" s="1"/>
  <c r="G213" i="56"/>
  <c r="E213" i="56"/>
  <c r="H213" i="56" s="1"/>
  <c r="G212" i="56"/>
  <c r="E212" i="56"/>
  <c r="H212" i="56" s="1"/>
  <c r="H211" i="56"/>
  <c r="G211" i="56"/>
  <c r="H210" i="56"/>
  <c r="G210" i="56"/>
  <c r="H209" i="56"/>
  <c r="G209" i="56"/>
  <c r="H208" i="56"/>
  <c r="G208" i="56"/>
  <c r="H207" i="56"/>
  <c r="G207" i="56"/>
  <c r="H206" i="56"/>
  <c r="G206" i="56"/>
  <c r="H204" i="56"/>
  <c r="G204" i="56"/>
  <c r="H203" i="56"/>
  <c r="G203" i="56"/>
  <c r="H202" i="56"/>
  <c r="G202" i="56"/>
  <c r="H201" i="56"/>
  <c r="G201" i="56"/>
  <c r="G191" i="56"/>
  <c r="E191" i="56"/>
  <c r="H191" i="56" s="1"/>
  <c r="G190" i="56"/>
  <c r="E190" i="56"/>
  <c r="H190" i="56" s="1"/>
  <c r="G189" i="56"/>
  <c r="E189" i="56"/>
  <c r="H189" i="56" s="1"/>
  <c r="H188" i="56"/>
  <c r="G188" i="56"/>
  <c r="H187" i="56"/>
  <c r="G187" i="56"/>
  <c r="H186" i="56"/>
  <c r="G186" i="56"/>
  <c r="H185" i="56"/>
  <c r="G185" i="56"/>
  <c r="H184" i="56"/>
  <c r="G184" i="56"/>
  <c r="H183" i="56"/>
  <c r="G183" i="56"/>
  <c r="H181" i="56"/>
  <c r="G181" i="56"/>
  <c r="H180" i="56"/>
  <c r="G180" i="56"/>
  <c r="H179" i="56"/>
  <c r="G179" i="56"/>
  <c r="H178" i="56"/>
  <c r="G178" i="56"/>
  <c r="G168" i="56"/>
  <c r="E168" i="56"/>
  <c r="H168" i="56" s="1"/>
  <c r="G167" i="56"/>
  <c r="E167" i="56"/>
  <c r="H167" i="56" s="1"/>
  <c r="G166" i="56"/>
  <c r="E166" i="56"/>
  <c r="H166" i="56" s="1"/>
  <c r="H165" i="56"/>
  <c r="G165" i="56"/>
  <c r="H164" i="56"/>
  <c r="G164" i="56"/>
  <c r="H163" i="56"/>
  <c r="G163" i="56"/>
  <c r="H162" i="56"/>
  <c r="G162" i="56"/>
  <c r="H161" i="56"/>
  <c r="G161" i="56"/>
  <c r="H160" i="56"/>
  <c r="G160" i="56"/>
  <c r="H158" i="56"/>
  <c r="G158" i="56"/>
  <c r="H157" i="56"/>
  <c r="G157" i="56"/>
  <c r="H156" i="56"/>
  <c r="G156" i="56"/>
  <c r="H155" i="56"/>
  <c r="G155" i="56"/>
  <c r="G145" i="56"/>
  <c r="E145" i="56"/>
  <c r="H145" i="56" s="1"/>
  <c r="G144" i="56"/>
  <c r="E144" i="56"/>
  <c r="H144" i="56" s="1"/>
  <c r="G143" i="56"/>
  <c r="E143" i="56"/>
  <c r="H143" i="56" s="1"/>
  <c r="H142" i="56"/>
  <c r="G142" i="56"/>
  <c r="H141" i="56"/>
  <c r="G141" i="56"/>
  <c r="H140" i="56"/>
  <c r="G140" i="56"/>
  <c r="H139" i="56"/>
  <c r="G139" i="56"/>
  <c r="H138" i="56"/>
  <c r="G138" i="56"/>
  <c r="H137" i="56"/>
  <c r="G137" i="56"/>
  <c r="H135" i="56"/>
  <c r="G135" i="56"/>
  <c r="H134" i="56"/>
  <c r="G134" i="56"/>
  <c r="H133" i="56"/>
  <c r="G133" i="56"/>
  <c r="H132" i="56"/>
  <c r="G132" i="56"/>
  <c r="G122" i="56"/>
  <c r="E122" i="56"/>
  <c r="H122" i="56" s="1"/>
  <c r="G121" i="56"/>
  <c r="E121" i="56"/>
  <c r="H121" i="56" s="1"/>
  <c r="G120" i="56"/>
  <c r="E120" i="56"/>
  <c r="H120" i="56" s="1"/>
  <c r="H119" i="56"/>
  <c r="G119" i="56"/>
  <c r="H118" i="56"/>
  <c r="G118" i="56"/>
  <c r="H117" i="56"/>
  <c r="G117" i="56"/>
  <c r="H116" i="56"/>
  <c r="G116" i="56"/>
  <c r="H115" i="56"/>
  <c r="G115" i="56"/>
  <c r="H114" i="56"/>
  <c r="G114" i="56"/>
  <c r="H112" i="56"/>
  <c r="H111" i="56"/>
  <c r="G111" i="56"/>
  <c r="H110" i="56"/>
  <c r="G110" i="56"/>
  <c r="H109" i="56"/>
  <c r="G109" i="56"/>
  <c r="E99" i="56"/>
  <c r="H99" i="56" s="1"/>
  <c r="E98" i="56"/>
  <c r="H98" i="56" s="1"/>
  <c r="E97" i="56"/>
  <c r="H97" i="56" s="1"/>
  <c r="H96" i="56"/>
  <c r="H95" i="56"/>
  <c r="H94" i="56"/>
  <c r="H93" i="56"/>
  <c r="H92" i="56"/>
  <c r="H91" i="56"/>
  <c r="H89" i="56"/>
  <c r="H88" i="56"/>
  <c r="G88" i="56"/>
  <c r="H87" i="56"/>
  <c r="G87" i="56"/>
  <c r="H86" i="56"/>
  <c r="G86" i="56"/>
  <c r="F64" i="56"/>
  <c r="F65" i="56"/>
  <c r="F66" i="56"/>
  <c r="F68" i="56"/>
  <c r="F69" i="56"/>
  <c r="F70" i="56"/>
  <c r="F71" i="56"/>
  <c r="F72" i="56"/>
  <c r="F73" i="56"/>
  <c r="F74" i="56"/>
  <c r="F75" i="56"/>
  <c r="F76" i="56"/>
  <c r="F63" i="56"/>
  <c r="C80" i="56"/>
  <c r="G76" i="56"/>
  <c r="E76" i="56"/>
  <c r="H76" i="56" s="1"/>
  <c r="G75" i="56"/>
  <c r="E75" i="56"/>
  <c r="H75" i="56" s="1"/>
  <c r="G74" i="56"/>
  <c r="E74" i="56"/>
  <c r="H74" i="56" s="1"/>
  <c r="H73" i="56"/>
  <c r="G73" i="56"/>
  <c r="H72" i="56"/>
  <c r="G72" i="56"/>
  <c r="H71" i="56"/>
  <c r="G71" i="56"/>
  <c r="H70" i="56"/>
  <c r="G70" i="56"/>
  <c r="H69" i="56"/>
  <c r="G69" i="56"/>
  <c r="H68" i="56"/>
  <c r="G68" i="56"/>
  <c r="H66" i="56"/>
  <c r="G66" i="56"/>
  <c r="H65" i="56"/>
  <c r="G65" i="56"/>
  <c r="H64" i="56"/>
  <c r="G64" i="56"/>
  <c r="H63" i="56"/>
  <c r="G63" i="56"/>
  <c r="F215" i="56"/>
  <c r="H49" i="56"/>
  <c r="E50" i="56"/>
  <c r="H50" i="56" s="1"/>
  <c r="G50" i="56"/>
  <c r="F169" i="56" l="1"/>
  <c r="F192" i="56"/>
  <c r="F123" i="56"/>
  <c r="F146" i="56"/>
  <c r="F77" i="56"/>
  <c r="F100" i="56"/>
  <c r="F43" i="56"/>
  <c r="F53" i="56"/>
  <c r="I64" i="56"/>
  <c r="I66" i="56"/>
  <c r="I65" i="56"/>
  <c r="I63" i="56"/>
  <c r="E316" i="21"/>
  <c r="E310" i="21"/>
  <c r="E248" i="21"/>
  <c r="E186" i="21"/>
  <c r="E124" i="21"/>
  <c r="E62" i="21"/>
  <c r="M82" i="21"/>
  <c r="G87" i="89"/>
  <c r="G86" i="89"/>
  <c r="D17" i="56"/>
  <c r="D28" i="56"/>
  <c r="D25" i="56"/>
  <c r="D222" i="56" s="1"/>
  <c r="C241" i="56" s="1"/>
  <c r="D24" i="56"/>
  <c r="D176" i="56" s="1"/>
  <c r="D23" i="56"/>
  <c r="D22" i="56"/>
  <c r="D153" i="56" s="1"/>
  <c r="D21" i="56"/>
  <c r="D130" i="56" s="1"/>
  <c r="D20" i="56"/>
  <c r="D107" i="56" s="1"/>
  <c r="F113" i="56" s="1"/>
  <c r="D19" i="56"/>
  <c r="D84" i="56" s="1"/>
  <c r="F90" i="56" s="1"/>
  <c r="D18" i="56"/>
  <c r="G52" i="56"/>
  <c r="E52" i="56"/>
  <c r="H52" i="56" s="1"/>
  <c r="G51" i="56"/>
  <c r="E51" i="56"/>
  <c r="H51" i="56" s="1"/>
  <c r="G49" i="56"/>
  <c r="H48" i="56"/>
  <c r="H47" i="56"/>
  <c r="H46" i="56"/>
  <c r="H45" i="56"/>
  <c r="H44" i="56"/>
  <c r="G42" i="56"/>
  <c r="H42" i="56"/>
  <c r="G41" i="56"/>
  <c r="H41" i="56"/>
  <c r="G40" i="56"/>
  <c r="H40" i="56"/>
  <c r="H39" i="56"/>
  <c r="E270" i="56"/>
  <c r="H270" i="56" s="1"/>
  <c r="E260" i="56"/>
  <c r="H260" i="56" s="1"/>
  <c r="E261" i="56"/>
  <c r="H261" i="56" s="1"/>
  <c r="E262" i="56"/>
  <c r="H262" i="56" s="1"/>
  <c r="E263" i="56"/>
  <c r="H263" i="56" s="1"/>
  <c r="E264" i="56"/>
  <c r="H264" i="56" s="1"/>
  <c r="E265" i="56"/>
  <c r="H265" i="56" s="1"/>
  <c r="E266" i="56"/>
  <c r="H266" i="56" s="1"/>
  <c r="E267" i="56"/>
  <c r="H267" i="56" s="1"/>
  <c r="E268" i="56"/>
  <c r="H268" i="56" s="1"/>
  <c r="E269" i="56"/>
  <c r="H269" i="56" s="1"/>
  <c r="E259" i="56"/>
  <c r="H259" i="56" s="1"/>
  <c r="I78" i="56" l="1"/>
  <c r="C81" i="56" s="1"/>
  <c r="C82" i="56" s="1"/>
  <c r="F228" i="56"/>
  <c r="F238" i="56"/>
  <c r="F182" i="56"/>
  <c r="F205" i="56"/>
  <c r="F136" i="56"/>
  <c r="F159" i="56"/>
  <c r="F112" i="56"/>
  <c r="F117" i="56"/>
  <c r="F121" i="56"/>
  <c r="F111" i="56"/>
  <c r="I111" i="56" s="1"/>
  <c r="F120" i="56"/>
  <c r="F114" i="56"/>
  <c r="F118" i="56"/>
  <c r="F122" i="56"/>
  <c r="F116" i="56"/>
  <c r="C126" i="56"/>
  <c r="F110" i="56"/>
  <c r="I110" i="56" s="1"/>
  <c r="F115" i="56"/>
  <c r="F119" i="56"/>
  <c r="F109" i="56"/>
  <c r="I109" i="56" s="1"/>
  <c r="C103" i="56"/>
  <c r="F91" i="56"/>
  <c r="F95" i="56"/>
  <c r="F99" i="56"/>
  <c r="F98" i="56"/>
  <c r="F87" i="56"/>
  <c r="I87" i="56" s="1"/>
  <c r="F92" i="56"/>
  <c r="F96" i="56"/>
  <c r="F86" i="56"/>
  <c r="I86" i="56" s="1"/>
  <c r="F94" i="56"/>
  <c r="F88" i="56"/>
  <c r="I88" i="56" s="1"/>
  <c r="F93" i="56"/>
  <c r="F97" i="56"/>
  <c r="F89" i="56"/>
  <c r="C149" i="56"/>
  <c r="F233" i="56"/>
  <c r="F229" i="56"/>
  <c r="F224" i="56"/>
  <c r="I224" i="56" s="1"/>
  <c r="F211" i="56"/>
  <c r="F207" i="56"/>
  <c r="F202" i="56"/>
  <c r="I202" i="56" s="1"/>
  <c r="F187" i="56"/>
  <c r="F183" i="56"/>
  <c r="F178" i="56"/>
  <c r="I178" i="56" s="1"/>
  <c r="F163" i="56"/>
  <c r="F158" i="56"/>
  <c r="I158" i="56" s="1"/>
  <c r="F135" i="56"/>
  <c r="F140" i="56"/>
  <c r="F144" i="56"/>
  <c r="F227" i="56"/>
  <c r="I227" i="56" s="1"/>
  <c r="F213" i="56"/>
  <c r="F201" i="56"/>
  <c r="I201" i="56" s="1"/>
  <c r="F186" i="56"/>
  <c r="F168" i="56"/>
  <c r="F157" i="56"/>
  <c r="I157" i="56" s="1"/>
  <c r="F134" i="56"/>
  <c r="I134" i="56" s="1"/>
  <c r="F143" i="56"/>
  <c r="F235" i="56"/>
  <c r="F234" i="56"/>
  <c r="F230" i="56"/>
  <c r="F225" i="56"/>
  <c r="I225" i="56" s="1"/>
  <c r="F208" i="56"/>
  <c r="F203" i="56"/>
  <c r="I203" i="56" s="1"/>
  <c r="F189" i="56"/>
  <c r="F188" i="56"/>
  <c r="F184" i="56"/>
  <c r="F179" i="56"/>
  <c r="I179" i="56" s="1"/>
  <c r="F164" i="56"/>
  <c r="F160" i="56"/>
  <c r="F155" i="56"/>
  <c r="I155" i="56" s="1"/>
  <c r="F137" i="56"/>
  <c r="F141" i="56"/>
  <c r="F145" i="56"/>
  <c r="F232" i="56"/>
  <c r="F214" i="56"/>
  <c r="F212" i="56"/>
  <c r="F167" i="56"/>
  <c r="F237" i="56"/>
  <c r="F236" i="56"/>
  <c r="F231" i="56"/>
  <c r="F226" i="56"/>
  <c r="I226" i="56" s="1"/>
  <c r="F209" i="56"/>
  <c r="F204" i="56"/>
  <c r="I204" i="56" s="1"/>
  <c r="F191" i="56"/>
  <c r="F190" i="56"/>
  <c r="F185" i="56"/>
  <c r="F180" i="56"/>
  <c r="I180" i="56" s="1"/>
  <c r="F166" i="56"/>
  <c r="F165" i="56"/>
  <c r="F161" i="56"/>
  <c r="F156" i="56"/>
  <c r="I156" i="56" s="1"/>
  <c r="F133" i="56"/>
  <c r="I133" i="56" s="1"/>
  <c r="F138" i="56"/>
  <c r="F142" i="56"/>
  <c r="F132" i="56"/>
  <c r="I132" i="56" s="1"/>
  <c r="F210" i="56"/>
  <c r="F206" i="56"/>
  <c r="F181" i="56"/>
  <c r="I181" i="56" s="1"/>
  <c r="F162" i="56"/>
  <c r="F139" i="56"/>
  <c r="F44" i="56"/>
  <c r="F50" i="56"/>
  <c r="D199" i="56"/>
  <c r="C195" i="56"/>
  <c r="C172" i="56"/>
  <c r="F47" i="56"/>
  <c r="F46" i="56"/>
  <c r="F52" i="56"/>
  <c r="F42" i="56"/>
  <c r="I42" i="56" s="1"/>
  <c r="C57" i="56"/>
  <c r="F51" i="56"/>
  <c r="F41" i="56"/>
  <c r="I41" i="56" s="1"/>
  <c r="F49" i="56"/>
  <c r="F45" i="56"/>
  <c r="F40" i="56"/>
  <c r="I40" i="56" s="1"/>
  <c r="F39" i="56"/>
  <c r="F48" i="56"/>
  <c r="P27" i="37"/>
  <c r="I170" i="56" l="1"/>
  <c r="C173" i="56" s="1"/>
  <c r="I216" i="56"/>
  <c r="C219" i="56" s="1"/>
  <c r="I239" i="56"/>
  <c r="C242" i="56" s="1"/>
  <c r="I193" i="56"/>
  <c r="C196" i="56" s="1"/>
  <c r="I147" i="56"/>
  <c r="C150" i="56" s="1"/>
  <c r="C127" i="56"/>
  <c r="I101" i="56"/>
  <c r="I54" i="56"/>
  <c r="C58" i="56" s="1"/>
  <c r="C218" i="56"/>
  <c r="C104" i="56" l="1"/>
  <c r="C105" i="56" s="1"/>
  <c r="C59" i="56"/>
  <c r="O73" i="37"/>
  <c r="Q73" i="37" l="1"/>
  <c r="R73" i="37" s="1"/>
  <c r="E307" i="21"/>
  <c r="E304" i="21"/>
  <c r="F304" i="21" s="1"/>
  <c r="H304" i="21" s="1"/>
  <c r="G303" i="21"/>
  <c r="E303" i="21"/>
  <c r="F303" i="21" s="1"/>
  <c r="G302" i="21"/>
  <c r="E302" i="21"/>
  <c r="F302" i="21" s="1"/>
  <c r="G301" i="21"/>
  <c r="E301" i="21"/>
  <c r="F301" i="21" s="1"/>
  <c r="G300" i="21"/>
  <c r="E300" i="21"/>
  <c r="F300" i="21" s="1"/>
  <c r="G299" i="21"/>
  <c r="E299" i="21"/>
  <c r="F299" i="21" s="1"/>
  <c r="G298" i="21"/>
  <c r="E298" i="21"/>
  <c r="F298" i="21" s="1"/>
  <c r="G297" i="21"/>
  <c r="E297" i="21"/>
  <c r="F297" i="21" s="1"/>
  <c r="G296" i="21"/>
  <c r="E296" i="21"/>
  <c r="F296" i="21" s="1"/>
  <c r="G295" i="21"/>
  <c r="E295" i="21"/>
  <c r="F295" i="21" s="1"/>
  <c r="G294" i="21"/>
  <c r="E294" i="21"/>
  <c r="F294" i="21" s="1"/>
  <c r="G293" i="21"/>
  <c r="E293" i="21"/>
  <c r="F293" i="21" s="1"/>
  <c r="G292" i="21"/>
  <c r="E292" i="21"/>
  <c r="F292" i="21" s="1"/>
  <c r="G291" i="21"/>
  <c r="E291" i="21"/>
  <c r="F291" i="21" s="1"/>
  <c r="H291" i="21" s="1"/>
  <c r="G290" i="21"/>
  <c r="E290" i="21"/>
  <c r="F290" i="21" s="1"/>
  <c r="G289" i="21"/>
  <c r="E289" i="21"/>
  <c r="F289" i="21" s="1"/>
  <c r="H289" i="21" s="1"/>
  <c r="G288" i="21"/>
  <c r="E288" i="21"/>
  <c r="F288" i="21" s="1"/>
  <c r="G287" i="21"/>
  <c r="E287" i="21"/>
  <c r="F287" i="21" s="1"/>
  <c r="H287" i="21" s="1"/>
  <c r="G286" i="21"/>
  <c r="E286" i="21"/>
  <c r="F286" i="21" s="1"/>
  <c r="G285" i="21"/>
  <c r="E285" i="21"/>
  <c r="F285" i="21" s="1"/>
  <c r="H285" i="21" s="1"/>
  <c r="G284" i="21"/>
  <c r="E284" i="21"/>
  <c r="F284" i="21" s="1"/>
  <c r="G283" i="21"/>
  <c r="E283" i="21"/>
  <c r="F283" i="21" s="1"/>
  <c r="H283" i="21" s="1"/>
  <c r="G282" i="21"/>
  <c r="E282" i="21"/>
  <c r="F282" i="21" s="1"/>
  <c r="G281" i="21"/>
  <c r="E281" i="21"/>
  <c r="F281" i="21" s="1"/>
  <c r="H281" i="21" s="1"/>
  <c r="G280" i="21"/>
  <c r="E280" i="21"/>
  <c r="F280" i="21" s="1"/>
  <c r="G279" i="21"/>
  <c r="E279" i="21"/>
  <c r="F279" i="21" s="1"/>
  <c r="H279" i="21" s="1"/>
  <c r="G278" i="21"/>
  <c r="E278" i="21"/>
  <c r="F278" i="21" s="1"/>
  <c r="G277" i="21"/>
  <c r="E277" i="21"/>
  <c r="F277" i="21" s="1"/>
  <c r="H277" i="21" s="1"/>
  <c r="G276" i="21"/>
  <c r="E276" i="21"/>
  <c r="F276" i="21" s="1"/>
  <c r="G275" i="21"/>
  <c r="E275" i="21"/>
  <c r="F275" i="21" s="1"/>
  <c r="H275" i="21" s="1"/>
  <c r="G274" i="21"/>
  <c r="E274" i="21"/>
  <c r="F274" i="21" s="1"/>
  <c r="G273" i="21"/>
  <c r="E273" i="21"/>
  <c r="F273" i="21" s="1"/>
  <c r="H273" i="21" s="1"/>
  <c r="G272" i="21"/>
  <c r="E272" i="21"/>
  <c r="F272" i="21" s="1"/>
  <c r="G271" i="21"/>
  <c r="E271" i="21"/>
  <c r="F271" i="21" s="1"/>
  <c r="H271" i="21" s="1"/>
  <c r="G270" i="21"/>
  <c r="E270" i="21"/>
  <c r="F270" i="21" s="1"/>
  <c r="G269" i="21"/>
  <c r="E269" i="21"/>
  <c r="F269" i="21" s="1"/>
  <c r="H269" i="21" s="1"/>
  <c r="G268" i="21"/>
  <c r="E268" i="21"/>
  <c r="F268" i="21" s="1"/>
  <c r="G267" i="21"/>
  <c r="E267" i="21"/>
  <c r="F267" i="21" s="1"/>
  <c r="H267" i="21" s="1"/>
  <c r="G266" i="21"/>
  <c r="E266" i="21"/>
  <c r="F266" i="21" s="1"/>
  <c r="G265" i="21"/>
  <c r="E265" i="21"/>
  <c r="F265" i="21" s="1"/>
  <c r="H265" i="21" s="1"/>
  <c r="G264" i="21"/>
  <c r="E264" i="21"/>
  <c r="F264" i="21" s="1"/>
  <c r="G263" i="21"/>
  <c r="E263" i="21"/>
  <c r="F263" i="21" s="1"/>
  <c r="H263" i="21" s="1"/>
  <c r="G262" i="21"/>
  <c r="E262" i="21"/>
  <c r="F262" i="21" s="1"/>
  <c r="E261" i="21"/>
  <c r="F261" i="21" s="1"/>
  <c r="H261" i="21" s="1"/>
  <c r="G260" i="21"/>
  <c r="E260" i="21"/>
  <c r="F260" i="21" s="1"/>
  <c r="G259" i="21"/>
  <c r="E259" i="21"/>
  <c r="F259" i="21" s="1"/>
  <c r="G258" i="21"/>
  <c r="E258" i="21"/>
  <c r="F258" i="21" s="1"/>
  <c r="G257" i="21"/>
  <c r="E257" i="21"/>
  <c r="F257" i="21" s="1"/>
  <c r="G256" i="21"/>
  <c r="E256" i="21"/>
  <c r="F256" i="21" s="1"/>
  <c r="G255" i="21"/>
  <c r="E255" i="21"/>
  <c r="F255" i="21" s="1"/>
  <c r="G254" i="21"/>
  <c r="E254" i="21"/>
  <c r="F254" i="21" s="1"/>
  <c r="E245" i="21"/>
  <c r="E242" i="21"/>
  <c r="F242" i="21" s="1"/>
  <c r="H242" i="21" s="1"/>
  <c r="G241" i="21"/>
  <c r="E241" i="21"/>
  <c r="F241" i="21" s="1"/>
  <c r="G240" i="21"/>
  <c r="E240" i="21"/>
  <c r="F240" i="21" s="1"/>
  <c r="H240" i="21" s="1"/>
  <c r="G239" i="21"/>
  <c r="E239" i="21"/>
  <c r="F239" i="21" s="1"/>
  <c r="G238" i="21"/>
  <c r="E238" i="21"/>
  <c r="F238" i="21" s="1"/>
  <c r="H238" i="21" s="1"/>
  <c r="G237" i="21"/>
  <c r="E237" i="21"/>
  <c r="F237" i="21" s="1"/>
  <c r="G236" i="21"/>
  <c r="E236" i="21"/>
  <c r="F236" i="21" s="1"/>
  <c r="H236" i="21" s="1"/>
  <c r="G235" i="21"/>
  <c r="E235" i="21"/>
  <c r="F235" i="21" s="1"/>
  <c r="G234" i="21"/>
  <c r="E234" i="21"/>
  <c r="F234" i="21" s="1"/>
  <c r="H234" i="21" s="1"/>
  <c r="G233" i="21"/>
  <c r="E233" i="21"/>
  <c r="F233" i="21" s="1"/>
  <c r="G232" i="21"/>
  <c r="E232" i="21"/>
  <c r="F232" i="21" s="1"/>
  <c r="H232" i="21" s="1"/>
  <c r="G231" i="21"/>
  <c r="E231" i="21"/>
  <c r="F231" i="21" s="1"/>
  <c r="G230" i="21"/>
  <c r="E230" i="21"/>
  <c r="F230" i="21" s="1"/>
  <c r="H230" i="21" s="1"/>
  <c r="G229" i="21"/>
  <c r="E229" i="21"/>
  <c r="F229" i="21" s="1"/>
  <c r="G228" i="21"/>
  <c r="E228" i="21"/>
  <c r="F228" i="21" s="1"/>
  <c r="H228" i="21" s="1"/>
  <c r="G227" i="21"/>
  <c r="E227" i="21"/>
  <c r="F227" i="21" s="1"/>
  <c r="G226" i="21"/>
  <c r="E226" i="21"/>
  <c r="F226" i="21" s="1"/>
  <c r="H226" i="21" s="1"/>
  <c r="G225" i="21"/>
  <c r="E225" i="21"/>
  <c r="F225" i="21" s="1"/>
  <c r="G224" i="21"/>
  <c r="E224" i="21"/>
  <c r="F224" i="21" s="1"/>
  <c r="H224" i="21" s="1"/>
  <c r="G223" i="21"/>
  <c r="E223" i="21"/>
  <c r="F223" i="21" s="1"/>
  <c r="G222" i="21"/>
  <c r="E222" i="21"/>
  <c r="F222" i="21" s="1"/>
  <c r="H222" i="21" s="1"/>
  <c r="G221" i="21"/>
  <c r="E221" i="21"/>
  <c r="F221" i="21" s="1"/>
  <c r="G220" i="21"/>
  <c r="E220" i="21"/>
  <c r="F220" i="21" s="1"/>
  <c r="H220" i="21" s="1"/>
  <c r="G219" i="21"/>
  <c r="E219" i="21"/>
  <c r="F219" i="21" s="1"/>
  <c r="G218" i="21"/>
  <c r="E218" i="21"/>
  <c r="F218" i="21" s="1"/>
  <c r="H218" i="21" s="1"/>
  <c r="G217" i="21"/>
  <c r="E217" i="21"/>
  <c r="F217" i="21" s="1"/>
  <c r="G216" i="21"/>
  <c r="E216" i="21"/>
  <c r="F216" i="21" s="1"/>
  <c r="H216" i="21" s="1"/>
  <c r="G215" i="21"/>
  <c r="E215" i="21"/>
  <c r="F215" i="21" s="1"/>
  <c r="G214" i="21"/>
  <c r="E214" i="21"/>
  <c r="F214" i="21" s="1"/>
  <c r="H214" i="21" s="1"/>
  <c r="G213" i="21"/>
  <c r="E213" i="21"/>
  <c r="F213" i="21" s="1"/>
  <c r="G212" i="21"/>
  <c r="E212" i="21"/>
  <c r="F212" i="21" s="1"/>
  <c r="H212" i="21" s="1"/>
  <c r="G211" i="21"/>
  <c r="E211" i="21"/>
  <c r="F211" i="21" s="1"/>
  <c r="G210" i="21"/>
  <c r="E210" i="21"/>
  <c r="F210" i="21" s="1"/>
  <c r="H210" i="21" s="1"/>
  <c r="G209" i="21"/>
  <c r="E209" i="21"/>
  <c r="F209" i="21" s="1"/>
  <c r="G208" i="21"/>
  <c r="E208" i="21"/>
  <c r="F208" i="21" s="1"/>
  <c r="H208" i="21" s="1"/>
  <c r="G207" i="21"/>
  <c r="E207" i="21"/>
  <c r="F207" i="21" s="1"/>
  <c r="G206" i="21"/>
  <c r="E206" i="21"/>
  <c r="F206" i="21" s="1"/>
  <c r="H206" i="21" s="1"/>
  <c r="G205" i="21"/>
  <c r="E205" i="21"/>
  <c r="F205" i="21" s="1"/>
  <c r="G204" i="21"/>
  <c r="E204" i="21"/>
  <c r="F204" i="21" s="1"/>
  <c r="H204" i="21" s="1"/>
  <c r="G203" i="21"/>
  <c r="E203" i="21"/>
  <c r="F203" i="21" s="1"/>
  <c r="G202" i="21"/>
  <c r="E202" i="21"/>
  <c r="F202" i="21" s="1"/>
  <c r="H202" i="21" s="1"/>
  <c r="G201" i="21"/>
  <c r="E201" i="21"/>
  <c r="F201" i="21" s="1"/>
  <c r="G200" i="21"/>
  <c r="E200" i="21"/>
  <c r="F200" i="21" s="1"/>
  <c r="H200" i="21" s="1"/>
  <c r="E199" i="21"/>
  <c r="F199" i="21" s="1"/>
  <c r="H199" i="21" s="1"/>
  <c r="G198" i="21"/>
  <c r="E198" i="21"/>
  <c r="F198" i="21" s="1"/>
  <c r="G197" i="21"/>
  <c r="E197" i="21"/>
  <c r="F197" i="21" s="1"/>
  <c r="G196" i="21"/>
  <c r="E196" i="21"/>
  <c r="F196" i="21" s="1"/>
  <c r="G195" i="21"/>
  <c r="E195" i="21"/>
  <c r="F195" i="21" s="1"/>
  <c r="G194" i="21"/>
  <c r="E194" i="21"/>
  <c r="F194" i="21" s="1"/>
  <c r="G193" i="21"/>
  <c r="E193" i="21"/>
  <c r="F193" i="21" s="1"/>
  <c r="G192" i="21"/>
  <c r="E192" i="21"/>
  <c r="F192" i="21" s="1"/>
  <c r="E183" i="21"/>
  <c r="E180" i="21"/>
  <c r="F180" i="21" s="1"/>
  <c r="H180" i="21" s="1"/>
  <c r="G179" i="21"/>
  <c r="E179" i="21"/>
  <c r="F179" i="21" s="1"/>
  <c r="H179" i="21" s="1"/>
  <c r="G178" i="21"/>
  <c r="E178" i="21"/>
  <c r="F178" i="21" s="1"/>
  <c r="G177" i="21"/>
  <c r="E177" i="21"/>
  <c r="F177" i="21" s="1"/>
  <c r="H177" i="21" s="1"/>
  <c r="G176" i="21"/>
  <c r="E176" i="21"/>
  <c r="F176" i="21" s="1"/>
  <c r="G175" i="21"/>
  <c r="E175" i="21"/>
  <c r="F175" i="21" s="1"/>
  <c r="H175" i="21" s="1"/>
  <c r="G174" i="21"/>
  <c r="E174" i="21"/>
  <c r="F174" i="21" s="1"/>
  <c r="G173" i="21"/>
  <c r="E173" i="21"/>
  <c r="F173" i="21" s="1"/>
  <c r="H173" i="21" s="1"/>
  <c r="G172" i="21"/>
  <c r="E172" i="21"/>
  <c r="F172" i="21" s="1"/>
  <c r="G171" i="21"/>
  <c r="E171" i="21"/>
  <c r="F171" i="21" s="1"/>
  <c r="H171" i="21" s="1"/>
  <c r="G170" i="21"/>
  <c r="E170" i="21"/>
  <c r="F170" i="21" s="1"/>
  <c r="G169" i="21"/>
  <c r="E169" i="21"/>
  <c r="F169" i="21" s="1"/>
  <c r="H169" i="21" s="1"/>
  <c r="G168" i="21"/>
  <c r="E168" i="21"/>
  <c r="F168" i="21" s="1"/>
  <c r="G167" i="21"/>
  <c r="E167" i="21"/>
  <c r="F167" i="21" s="1"/>
  <c r="H167" i="21" s="1"/>
  <c r="G166" i="21"/>
  <c r="E166" i="21"/>
  <c r="F166" i="21" s="1"/>
  <c r="G165" i="21"/>
  <c r="E165" i="21"/>
  <c r="F165" i="21" s="1"/>
  <c r="H165" i="21" s="1"/>
  <c r="G164" i="21"/>
  <c r="E164" i="21"/>
  <c r="F164" i="21" s="1"/>
  <c r="G163" i="21"/>
  <c r="E163" i="21"/>
  <c r="F163" i="21" s="1"/>
  <c r="H163" i="21" s="1"/>
  <c r="G162" i="21"/>
  <c r="E162" i="21"/>
  <c r="F162" i="21" s="1"/>
  <c r="G161" i="21"/>
  <c r="E161" i="21"/>
  <c r="F161" i="21" s="1"/>
  <c r="H161" i="21" s="1"/>
  <c r="G160" i="21"/>
  <c r="E160" i="21"/>
  <c r="F160" i="21" s="1"/>
  <c r="G159" i="21"/>
  <c r="E159" i="21"/>
  <c r="F159" i="21" s="1"/>
  <c r="H159" i="21" s="1"/>
  <c r="G158" i="21"/>
  <c r="E158" i="21"/>
  <c r="F158" i="21" s="1"/>
  <c r="G157" i="21"/>
  <c r="E157" i="21"/>
  <c r="F157" i="21" s="1"/>
  <c r="H157" i="21" s="1"/>
  <c r="G156" i="21"/>
  <c r="E156" i="21"/>
  <c r="F156" i="21" s="1"/>
  <c r="G155" i="21"/>
  <c r="E155" i="21"/>
  <c r="F155" i="21" s="1"/>
  <c r="H155" i="21" s="1"/>
  <c r="G154" i="21"/>
  <c r="E154" i="21"/>
  <c r="F154" i="21" s="1"/>
  <c r="G153" i="21"/>
  <c r="E153" i="21"/>
  <c r="F153" i="21" s="1"/>
  <c r="H153" i="21" s="1"/>
  <c r="G152" i="21"/>
  <c r="E152" i="21"/>
  <c r="F152" i="21" s="1"/>
  <c r="G151" i="21"/>
  <c r="E151" i="21"/>
  <c r="F151" i="21" s="1"/>
  <c r="H151" i="21" s="1"/>
  <c r="G150" i="21"/>
  <c r="E150" i="21"/>
  <c r="F150" i="21" s="1"/>
  <c r="G149" i="21"/>
  <c r="E149" i="21"/>
  <c r="F149" i="21" s="1"/>
  <c r="H149" i="21" s="1"/>
  <c r="G148" i="21"/>
  <c r="E148" i="21"/>
  <c r="F148" i="21" s="1"/>
  <c r="G147" i="21"/>
  <c r="E147" i="21"/>
  <c r="F147" i="21" s="1"/>
  <c r="H147" i="21" s="1"/>
  <c r="G146" i="21"/>
  <c r="E146" i="21"/>
  <c r="F146" i="21" s="1"/>
  <c r="G145" i="21"/>
  <c r="E145" i="21"/>
  <c r="F145" i="21" s="1"/>
  <c r="H145" i="21" s="1"/>
  <c r="G144" i="21"/>
  <c r="E144" i="21"/>
  <c r="F144" i="21" s="1"/>
  <c r="G143" i="21"/>
  <c r="E143" i="21"/>
  <c r="F143" i="21" s="1"/>
  <c r="H143" i="21" s="1"/>
  <c r="G142" i="21"/>
  <c r="E142" i="21"/>
  <c r="F142" i="21" s="1"/>
  <c r="G141" i="21"/>
  <c r="E141" i="21"/>
  <c r="F141" i="21" s="1"/>
  <c r="H141" i="21" s="1"/>
  <c r="G140" i="21"/>
  <c r="E140" i="21"/>
  <c r="F140" i="21" s="1"/>
  <c r="G139" i="21"/>
  <c r="E139" i="21"/>
  <c r="F139" i="21" s="1"/>
  <c r="H139" i="21" s="1"/>
  <c r="G138" i="21"/>
  <c r="E138" i="21"/>
  <c r="F138" i="21" s="1"/>
  <c r="E137" i="21"/>
  <c r="F137" i="21" s="1"/>
  <c r="H137" i="21" s="1"/>
  <c r="G136" i="21"/>
  <c r="E136" i="21"/>
  <c r="F136" i="21" s="1"/>
  <c r="G135" i="21"/>
  <c r="E135" i="21"/>
  <c r="F135" i="21" s="1"/>
  <c r="G134" i="21"/>
  <c r="E134" i="21"/>
  <c r="F134" i="21" s="1"/>
  <c r="G133" i="21"/>
  <c r="E133" i="21"/>
  <c r="F133" i="21" s="1"/>
  <c r="G132" i="21"/>
  <c r="E132" i="21"/>
  <c r="F132" i="21" s="1"/>
  <c r="G131" i="21"/>
  <c r="E131" i="21"/>
  <c r="F131" i="21" s="1"/>
  <c r="G130" i="21"/>
  <c r="E130" i="21"/>
  <c r="F130" i="21" s="1"/>
  <c r="E121" i="21"/>
  <c r="E118" i="21"/>
  <c r="F118" i="21" s="1"/>
  <c r="H118" i="21" s="1"/>
  <c r="G117" i="21"/>
  <c r="E117" i="21"/>
  <c r="F117" i="21" s="1"/>
  <c r="G116" i="21"/>
  <c r="E116" i="21"/>
  <c r="F116" i="21" s="1"/>
  <c r="G115" i="21"/>
  <c r="E115" i="21"/>
  <c r="F115" i="21" s="1"/>
  <c r="G114" i="21"/>
  <c r="E114" i="21"/>
  <c r="F114" i="21" s="1"/>
  <c r="H114" i="21" s="1"/>
  <c r="G113" i="21"/>
  <c r="E113" i="21"/>
  <c r="F113" i="21" s="1"/>
  <c r="G112" i="21"/>
  <c r="E112" i="21"/>
  <c r="F112" i="21" s="1"/>
  <c r="G111" i="21"/>
  <c r="E111" i="21"/>
  <c r="F111" i="21" s="1"/>
  <c r="G110" i="21"/>
  <c r="E110" i="21"/>
  <c r="F110" i="21" s="1"/>
  <c r="H110" i="21" s="1"/>
  <c r="G109" i="21"/>
  <c r="E109" i="21"/>
  <c r="F109" i="21" s="1"/>
  <c r="G108" i="21"/>
  <c r="E108" i="21"/>
  <c r="F108" i="21" s="1"/>
  <c r="G107" i="21"/>
  <c r="E107" i="21"/>
  <c r="F107" i="21" s="1"/>
  <c r="G106" i="21"/>
  <c r="E106" i="21"/>
  <c r="F106" i="21" s="1"/>
  <c r="H106" i="21" s="1"/>
  <c r="G105" i="21"/>
  <c r="E105" i="21"/>
  <c r="F105" i="21" s="1"/>
  <c r="G104" i="21"/>
  <c r="E104" i="21"/>
  <c r="F104" i="21" s="1"/>
  <c r="G103" i="21"/>
  <c r="E103" i="21"/>
  <c r="F103" i="21" s="1"/>
  <c r="G102" i="21"/>
  <c r="E102" i="21"/>
  <c r="F102" i="21" s="1"/>
  <c r="H102" i="21" s="1"/>
  <c r="G101" i="21"/>
  <c r="E101" i="21"/>
  <c r="F101" i="21" s="1"/>
  <c r="G100" i="21"/>
  <c r="E100" i="21"/>
  <c r="F100" i="21" s="1"/>
  <c r="G99" i="21"/>
  <c r="E99" i="21"/>
  <c r="F99" i="21" s="1"/>
  <c r="G98" i="21"/>
  <c r="E98" i="21"/>
  <c r="F98" i="21" s="1"/>
  <c r="H98" i="21" s="1"/>
  <c r="G97" i="21"/>
  <c r="E97" i="21"/>
  <c r="F97" i="21" s="1"/>
  <c r="G96" i="21"/>
  <c r="E96" i="21"/>
  <c r="F96" i="21" s="1"/>
  <c r="G95" i="21"/>
  <c r="E95" i="21"/>
  <c r="F95" i="21" s="1"/>
  <c r="G94" i="21"/>
  <c r="E94" i="21"/>
  <c r="F94" i="21" s="1"/>
  <c r="H94" i="21" s="1"/>
  <c r="G93" i="21"/>
  <c r="E93" i="21"/>
  <c r="F93" i="21" s="1"/>
  <c r="G92" i="21"/>
  <c r="E92" i="21"/>
  <c r="F92" i="21" s="1"/>
  <c r="G91" i="21"/>
  <c r="E91" i="21"/>
  <c r="F91" i="21" s="1"/>
  <c r="G90" i="21"/>
  <c r="E90" i="21"/>
  <c r="F90" i="21" s="1"/>
  <c r="H90" i="21" s="1"/>
  <c r="G89" i="21"/>
  <c r="E89" i="21"/>
  <c r="F89" i="21" s="1"/>
  <c r="G88" i="21"/>
  <c r="E88" i="21"/>
  <c r="F88" i="21" s="1"/>
  <c r="G87" i="21"/>
  <c r="E87" i="21"/>
  <c r="F87" i="21" s="1"/>
  <c r="G86" i="21"/>
  <c r="E86" i="21"/>
  <c r="F86" i="21" s="1"/>
  <c r="H86" i="21" s="1"/>
  <c r="G85" i="21"/>
  <c r="E85" i="21"/>
  <c r="F85" i="21" s="1"/>
  <c r="G84" i="21"/>
  <c r="E84" i="21"/>
  <c r="F84" i="21" s="1"/>
  <c r="G83" i="21"/>
  <c r="E83" i="21"/>
  <c r="F83" i="21" s="1"/>
  <c r="G82" i="21"/>
  <c r="E82" i="21"/>
  <c r="F82" i="21" s="1"/>
  <c r="H82" i="21" s="1"/>
  <c r="G81" i="21"/>
  <c r="E81" i="21"/>
  <c r="F81" i="21" s="1"/>
  <c r="G80" i="21"/>
  <c r="E80" i="21"/>
  <c r="F80" i="21" s="1"/>
  <c r="G79" i="21"/>
  <c r="E79" i="21"/>
  <c r="F79" i="21" s="1"/>
  <c r="G78" i="21"/>
  <c r="E78" i="21"/>
  <c r="F78" i="21" s="1"/>
  <c r="H78" i="21" s="1"/>
  <c r="G77" i="21"/>
  <c r="E77" i="21"/>
  <c r="F77" i="21" s="1"/>
  <c r="G76" i="21"/>
  <c r="E76" i="21"/>
  <c r="F76" i="21" s="1"/>
  <c r="E75" i="21"/>
  <c r="F75" i="21" s="1"/>
  <c r="H75" i="21" s="1"/>
  <c r="G74" i="21"/>
  <c r="E74" i="21"/>
  <c r="F74" i="21" s="1"/>
  <c r="G73" i="21"/>
  <c r="E73" i="21"/>
  <c r="F73" i="21" s="1"/>
  <c r="G72" i="21"/>
  <c r="E72" i="21"/>
  <c r="F72" i="21" s="1"/>
  <c r="H72" i="21" s="1"/>
  <c r="G71" i="21"/>
  <c r="E71" i="21"/>
  <c r="F71" i="21" s="1"/>
  <c r="G70" i="21"/>
  <c r="E70" i="21"/>
  <c r="F70" i="21" s="1"/>
  <c r="H70" i="21" s="1"/>
  <c r="G69" i="21"/>
  <c r="E69" i="21"/>
  <c r="F69" i="21" s="1"/>
  <c r="H69" i="21" s="1"/>
  <c r="G68" i="21"/>
  <c r="E68" i="21"/>
  <c r="F68" i="21" s="1"/>
  <c r="E59" i="21"/>
  <c r="E56" i="21"/>
  <c r="F56" i="21" s="1"/>
  <c r="H56" i="21" s="1"/>
  <c r="G55" i="21"/>
  <c r="E55" i="21"/>
  <c r="F55" i="21" s="1"/>
  <c r="G54" i="21"/>
  <c r="E54" i="21"/>
  <c r="F54" i="21" s="1"/>
  <c r="H54" i="21" s="1"/>
  <c r="G53" i="21"/>
  <c r="E53" i="21"/>
  <c r="F53" i="21" s="1"/>
  <c r="H53" i="21" s="1"/>
  <c r="G52" i="21"/>
  <c r="E52" i="21"/>
  <c r="F52" i="21" s="1"/>
  <c r="H52" i="21" s="1"/>
  <c r="G51" i="21"/>
  <c r="E51" i="21"/>
  <c r="F51" i="21" s="1"/>
  <c r="G50" i="21"/>
  <c r="E50" i="21"/>
  <c r="F50" i="21" s="1"/>
  <c r="H50" i="21" s="1"/>
  <c r="G49" i="21"/>
  <c r="E49" i="21"/>
  <c r="F49" i="21" s="1"/>
  <c r="H49" i="21" s="1"/>
  <c r="G48" i="21"/>
  <c r="E48" i="21"/>
  <c r="F48" i="21" s="1"/>
  <c r="H48" i="21" s="1"/>
  <c r="G47" i="21"/>
  <c r="E47" i="21"/>
  <c r="F47" i="21" s="1"/>
  <c r="G46" i="21"/>
  <c r="E46" i="21"/>
  <c r="F46" i="21" s="1"/>
  <c r="H46" i="21" s="1"/>
  <c r="G45" i="21"/>
  <c r="E45" i="21"/>
  <c r="F45" i="21" s="1"/>
  <c r="G44" i="21"/>
  <c r="E44" i="21"/>
  <c r="F44" i="21" s="1"/>
  <c r="H44" i="21" s="1"/>
  <c r="G43" i="21"/>
  <c r="E43" i="21"/>
  <c r="F43" i="21" s="1"/>
  <c r="G42" i="21"/>
  <c r="E42" i="21"/>
  <c r="F42" i="21" s="1"/>
  <c r="H42" i="21" s="1"/>
  <c r="G41" i="21"/>
  <c r="E41" i="21"/>
  <c r="F41" i="21" s="1"/>
  <c r="H41" i="21" s="1"/>
  <c r="G40" i="21"/>
  <c r="E40" i="21"/>
  <c r="F40" i="21" s="1"/>
  <c r="H40" i="21" s="1"/>
  <c r="G39" i="21"/>
  <c r="E39" i="21"/>
  <c r="F39" i="21" s="1"/>
  <c r="G38" i="21"/>
  <c r="E38" i="21"/>
  <c r="F38" i="21" s="1"/>
  <c r="H38" i="21" s="1"/>
  <c r="G37" i="21"/>
  <c r="E37" i="21"/>
  <c r="F37" i="21" s="1"/>
  <c r="H37" i="21" s="1"/>
  <c r="G36" i="21"/>
  <c r="E36" i="21"/>
  <c r="F36" i="21" s="1"/>
  <c r="H36" i="21" s="1"/>
  <c r="G35" i="21"/>
  <c r="E35" i="21"/>
  <c r="F35" i="21" s="1"/>
  <c r="G34" i="21"/>
  <c r="E34" i="21"/>
  <c r="F34" i="21" s="1"/>
  <c r="H34" i="21" s="1"/>
  <c r="G33" i="21"/>
  <c r="E33" i="21"/>
  <c r="F33" i="21" s="1"/>
  <c r="H33" i="21" s="1"/>
  <c r="G32" i="21"/>
  <c r="E32" i="21"/>
  <c r="F32" i="21" s="1"/>
  <c r="H32" i="21" s="1"/>
  <c r="G31" i="21"/>
  <c r="E31" i="21"/>
  <c r="F31" i="21" s="1"/>
  <c r="G30" i="21"/>
  <c r="E30" i="21"/>
  <c r="F30" i="21" s="1"/>
  <c r="H30" i="21" s="1"/>
  <c r="G29" i="21"/>
  <c r="E29" i="21"/>
  <c r="F29" i="21" s="1"/>
  <c r="G28" i="21"/>
  <c r="E28" i="21"/>
  <c r="F28" i="21" s="1"/>
  <c r="H28" i="21" s="1"/>
  <c r="G27" i="21"/>
  <c r="E27" i="21"/>
  <c r="F27" i="21" s="1"/>
  <c r="G26" i="21"/>
  <c r="E26" i="21"/>
  <c r="F26" i="21" s="1"/>
  <c r="H26" i="21" s="1"/>
  <c r="G25" i="21"/>
  <c r="E25" i="21"/>
  <c r="F25" i="21" s="1"/>
  <c r="H25" i="21" s="1"/>
  <c r="G24" i="21"/>
  <c r="E24" i="21"/>
  <c r="F24" i="21" s="1"/>
  <c r="H24" i="21" s="1"/>
  <c r="G23" i="21"/>
  <c r="E23" i="21"/>
  <c r="F23" i="21" s="1"/>
  <c r="G22" i="21"/>
  <c r="E22" i="21"/>
  <c r="F22" i="21" s="1"/>
  <c r="H22" i="21" s="1"/>
  <c r="G21" i="21"/>
  <c r="E21" i="21"/>
  <c r="F21" i="21" s="1"/>
  <c r="H21" i="21" s="1"/>
  <c r="G20" i="21"/>
  <c r="E20" i="21"/>
  <c r="F20" i="21" s="1"/>
  <c r="H20" i="21" s="1"/>
  <c r="G19" i="21"/>
  <c r="E19" i="21"/>
  <c r="F19" i="21" s="1"/>
  <c r="G18" i="21"/>
  <c r="E18" i="21"/>
  <c r="F18" i="21" s="1"/>
  <c r="H18" i="21" s="1"/>
  <c r="G17" i="21"/>
  <c r="E17" i="21"/>
  <c r="F17" i="21" s="1"/>
  <c r="H17" i="21" s="1"/>
  <c r="G16" i="21"/>
  <c r="E16" i="21"/>
  <c r="F16" i="21" s="1"/>
  <c r="H16" i="21" s="1"/>
  <c r="G15" i="21"/>
  <c r="E15" i="21"/>
  <c r="F15" i="21" s="1"/>
  <c r="G14" i="21"/>
  <c r="E14" i="21"/>
  <c r="F14" i="21" s="1"/>
  <c r="H14" i="21" s="1"/>
  <c r="E13" i="21"/>
  <c r="F13" i="21" s="1"/>
  <c r="H13" i="21" s="1"/>
  <c r="G12" i="21"/>
  <c r="E12" i="21"/>
  <c r="F12" i="21" s="1"/>
  <c r="G11" i="21"/>
  <c r="E11" i="21"/>
  <c r="F11" i="21" s="1"/>
  <c r="G10" i="21"/>
  <c r="E10" i="21"/>
  <c r="F10" i="21" s="1"/>
  <c r="G9" i="21"/>
  <c r="E9" i="21"/>
  <c r="F9" i="21" s="1"/>
  <c r="G8" i="21"/>
  <c r="E8" i="21"/>
  <c r="F8" i="21" s="1"/>
  <c r="G7" i="21"/>
  <c r="E7" i="21"/>
  <c r="F7" i="21" s="1"/>
  <c r="G6" i="21"/>
  <c r="E6" i="21"/>
  <c r="F6" i="21" s="1"/>
  <c r="H9" i="21" l="1"/>
  <c r="H6" i="21"/>
  <c r="H8" i="21"/>
  <c r="H10" i="21"/>
  <c r="H12" i="21"/>
  <c r="H74" i="21"/>
  <c r="H135" i="21"/>
  <c r="H131" i="21"/>
  <c r="H181" i="21" s="1"/>
  <c r="E184" i="21" s="1"/>
  <c r="H195" i="21"/>
  <c r="H29" i="21"/>
  <c r="H45" i="21"/>
  <c r="H262" i="21"/>
  <c r="H264" i="21"/>
  <c r="H266" i="21"/>
  <c r="H268" i="21"/>
  <c r="H270" i="21"/>
  <c r="H272" i="21"/>
  <c r="H274" i="21"/>
  <c r="H276" i="21"/>
  <c r="H278" i="21"/>
  <c r="H280" i="21"/>
  <c r="H282" i="21"/>
  <c r="H284" i="21"/>
  <c r="H286" i="21"/>
  <c r="H288" i="21"/>
  <c r="H290" i="21"/>
  <c r="H292" i="21"/>
  <c r="H294" i="21"/>
  <c r="H296" i="21"/>
  <c r="H298" i="21"/>
  <c r="H300" i="21"/>
  <c r="H302" i="21"/>
  <c r="H256" i="21"/>
  <c r="H260" i="21"/>
  <c r="H130" i="21"/>
  <c r="H255" i="21"/>
  <c r="H259" i="21"/>
  <c r="H15" i="21"/>
  <c r="H19" i="21"/>
  <c r="H23" i="21"/>
  <c r="H27" i="21"/>
  <c r="H31" i="21"/>
  <c r="H35" i="21"/>
  <c r="H39" i="21"/>
  <c r="H43" i="21"/>
  <c r="H47" i="21"/>
  <c r="H51" i="21"/>
  <c r="H55" i="21"/>
  <c r="H68" i="21"/>
  <c r="H71" i="21"/>
  <c r="H76" i="21"/>
  <c r="H80" i="21"/>
  <c r="H84" i="21"/>
  <c r="H88" i="21"/>
  <c r="H92" i="21"/>
  <c r="H96" i="21"/>
  <c r="H100" i="21"/>
  <c r="H104" i="21"/>
  <c r="H108" i="21"/>
  <c r="H112" i="21"/>
  <c r="H116" i="21"/>
  <c r="H133" i="21"/>
  <c r="H193" i="21"/>
  <c r="H197" i="21"/>
  <c r="H254" i="21"/>
  <c r="H258" i="21"/>
  <c r="H293" i="21"/>
  <c r="H295" i="21"/>
  <c r="H297" i="21"/>
  <c r="H299" i="21"/>
  <c r="H301" i="21"/>
  <c r="H303" i="21"/>
  <c r="H134" i="21"/>
  <c r="H194" i="21"/>
  <c r="H198" i="21"/>
  <c r="H7" i="21"/>
  <c r="H11" i="21"/>
  <c r="H73" i="21"/>
  <c r="H77" i="21"/>
  <c r="H79" i="21"/>
  <c r="H81" i="21"/>
  <c r="H83" i="21"/>
  <c r="H85" i="21"/>
  <c r="H87" i="21"/>
  <c r="H89" i="21"/>
  <c r="H91" i="21"/>
  <c r="H93" i="21"/>
  <c r="H95" i="21"/>
  <c r="H97" i="21"/>
  <c r="H99" i="21"/>
  <c r="H101" i="21"/>
  <c r="H103" i="21"/>
  <c r="H105" i="21"/>
  <c r="H107" i="21"/>
  <c r="H109" i="21"/>
  <c r="H111" i="21"/>
  <c r="H113" i="21"/>
  <c r="H115" i="21"/>
  <c r="H117" i="21"/>
  <c r="H132" i="21"/>
  <c r="H136" i="21"/>
  <c r="H138" i="21"/>
  <c r="H140" i="21"/>
  <c r="H142" i="21"/>
  <c r="H144" i="21"/>
  <c r="H146" i="21"/>
  <c r="H148" i="21"/>
  <c r="H150" i="21"/>
  <c r="H152" i="21"/>
  <c r="H154" i="21"/>
  <c r="H156" i="21"/>
  <c r="H158" i="21"/>
  <c r="H160" i="21"/>
  <c r="H162" i="21"/>
  <c r="H164" i="21"/>
  <c r="H166" i="21"/>
  <c r="H168" i="21"/>
  <c r="H170" i="21"/>
  <c r="H172" i="21"/>
  <c r="H174" i="21"/>
  <c r="H176" i="21"/>
  <c r="H178" i="21"/>
  <c r="H192" i="21"/>
  <c r="H196" i="21"/>
  <c r="H201" i="21"/>
  <c r="H203" i="21"/>
  <c r="H205" i="21"/>
  <c r="H207" i="21"/>
  <c r="H209" i="21"/>
  <c r="H211" i="21"/>
  <c r="H213" i="21"/>
  <c r="H215" i="21"/>
  <c r="H217" i="21"/>
  <c r="H219" i="21"/>
  <c r="H221" i="21"/>
  <c r="H223" i="21"/>
  <c r="H225" i="21"/>
  <c r="H227" i="21"/>
  <c r="H229" i="21"/>
  <c r="H231" i="21"/>
  <c r="H233" i="21"/>
  <c r="H235" i="21"/>
  <c r="H237" i="21"/>
  <c r="H239" i="21"/>
  <c r="H241" i="21"/>
  <c r="H257" i="21"/>
  <c r="H57" i="21" l="1"/>
  <c r="E60" i="21" s="1"/>
  <c r="O19" i="37"/>
  <c r="H119" i="21"/>
  <c r="E122" i="21" s="1"/>
  <c r="H305" i="21"/>
  <c r="E308" i="21" s="1"/>
  <c r="H243" i="21"/>
  <c r="E246" i="21" s="1"/>
  <c r="E21" i="24"/>
  <c r="E13" i="24"/>
  <c r="E14" i="24"/>
  <c r="E15" i="24"/>
  <c r="E16" i="24"/>
  <c r="E17" i="24"/>
  <c r="E18" i="24"/>
  <c r="E19" i="24"/>
  <c r="E20" i="24"/>
  <c r="E12" i="24"/>
  <c r="F12" i="24" s="1"/>
  <c r="O22" i="37" l="1"/>
  <c r="H258" i="64" l="1"/>
  <c r="E258" i="64"/>
  <c r="F258" i="64" s="1"/>
  <c r="H257" i="64"/>
  <c r="E257" i="64"/>
  <c r="F257" i="64" s="1"/>
  <c r="H256" i="64"/>
  <c r="E256" i="64"/>
  <c r="F256" i="64" s="1"/>
  <c r="H255" i="64"/>
  <c r="E255" i="64"/>
  <c r="F255" i="64" s="1"/>
  <c r="H254" i="64"/>
  <c r="F254" i="64"/>
  <c r="E254" i="64"/>
  <c r="H253" i="64"/>
  <c r="F253" i="64"/>
  <c r="E253" i="64"/>
  <c r="H252" i="64"/>
  <c r="E252" i="64"/>
  <c r="F252" i="64" s="1"/>
  <c r="H251" i="64"/>
  <c r="E251" i="64"/>
  <c r="F251" i="64" s="1"/>
  <c r="H250" i="64"/>
  <c r="E250" i="64"/>
  <c r="F250" i="64" s="1"/>
  <c r="H249" i="64"/>
  <c r="E249" i="64"/>
  <c r="F249" i="64" s="1"/>
  <c r="H248" i="64"/>
  <c r="E248" i="64"/>
  <c r="F248" i="64" s="1"/>
  <c r="H247" i="64"/>
  <c r="E247" i="64"/>
  <c r="F247" i="64" s="1"/>
  <c r="H246" i="64"/>
  <c r="E246" i="64"/>
  <c r="F246" i="64" s="1"/>
  <c r="H245" i="64"/>
  <c r="E245" i="64"/>
  <c r="F245" i="64" s="1"/>
  <c r="H244" i="64"/>
  <c r="E244" i="64"/>
  <c r="F244" i="64" s="1"/>
  <c r="H243" i="64"/>
  <c r="E243" i="64"/>
  <c r="F243" i="64" s="1"/>
  <c r="H242" i="64"/>
  <c r="F242" i="64"/>
  <c r="E242" i="64"/>
  <c r="H241" i="64"/>
  <c r="E241" i="64"/>
  <c r="F241" i="64" s="1"/>
  <c r="H240" i="64"/>
  <c r="E240" i="64"/>
  <c r="F240" i="64" s="1"/>
  <c r="H239" i="64"/>
  <c r="E239" i="64"/>
  <c r="F239" i="64" s="1"/>
  <c r="H238" i="64"/>
  <c r="E238" i="64"/>
  <c r="F238" i="64" s="1"/>
  <c r="H237" i="64"/>
  <c r="E237" i="64"/>
  <c r="F237" i="64" s="1"/>
  <c r="H236" i="64"/>
  <c r="E236" i="64"/>
  <c r="F236" i="64" s="1"/>
  <c r="H235" i="64"/>
  <c r="E235" i="64"/>
  <c r="F235" i="64" s="1"/>
  <c r="H234" i="64"/>
  <c r="E234" i="64"/>
  <c r="F234" i="64" s="1"/>
  <c r="H233" i="64"/>
  <c r="E233" i="64"/>
  <c r="F233" i="64" s="1"/>
  <c r="I232" i="64"/>
  <c r="I231" i="64"/>
  <c r="I230" i="64"/>
  <c r="I229" i="64"/>
  <c r="I228" i="64"/>
  <c r="I227" i="64"/>
  <c r="H226" i="64"/>
  <c r="E226" i="64"/>
  <c r="F226" i="64" s="1"/>
  <c r="H225" i="64"/>
  <c r="E225" i="64"/>
  <c r="F225" i="64" s="1"/>
  <c r="H224" i="64"/>
  <c r="E224" i="64"/>
  <c r="F224" i="64" s="1"/>
  <c r="H223" i="64"/>
  <c r="E223" i="64"/>
  <c r="F223" i="64" s="1"/>
  <c r="H222" i="64"/>
  <c r="E222" i="64"/>
  <c r="F222" i="64" s="1"/>
  <c r="H221" i="64"/>
  <c r="E221" i="64"/>
  <c r="F221" i="64" s="1"/>
  <c r="H220" i="64"/>
  <c r="E220" i="64"/>
  <c r="F220" i="64" s="1"/>
  <c r="H208" i="64"/>
  <c r="E208" i="64"/>
  <c r="F208" i="64" s="1"/>
  <c r="H207" i="64"/>
  <c r="E207" i="64"/>
  <c r="F207" i="64" s="1"/>
  <c r="H206" i="64"/>
  <c r="E206" i="64"/>
  <c r="F206" i="64" s="1"/>
  <c r="H205" i="64"/>
  <c r="E205" i="64"/>
  <c r="F205" i="64" s="1"/>
  <c r="H204" i="64"/>
  <c r="E204" i="64"/>
  <c r="F204" i="64" s="1"/>
  <c r="H203" i="64"/>
  <c r="E203" i="64"/>
  <c r="F203" i="64" s="1"/>
  <c r="H202" i="64"/>
  <c r="E202" i="64"/>
  <c r="F202" i="64" s="1"/>
  <c r="H201" i="64"/>
  <c r="E201" i="64"/>
  <c r="F201" i="64" s="1"/>
  <c r="H200" i="64"/>
  <c r="E200" i="64"/>
  <c r="F200" i="64" s="1"/>
  <c r="H199" i="64"/>
  <c r="E199" i="64"/>
  <c r="F199" i="64" s="1"/>
  <c r="H198" i="64"/>
  <c r="E198" i="64"/>
  <c r="F198" i="64" s="1"/>
  <c r="H197" i="64"/>
  <c r="E197" i="64"/>
  <c r="F197" i="64" s="1"/>
  <c r="H196" i="64"/>
  <c r="E196" i="64"/>
  <c r="F196" i="64" s="1"/>
  <c r="H195" i="64"/>
  <c r="E195" i="64"/>
  <c r="F195" i="64" s="1"/>
  <c r="H194" i="64"/>
  <c r="E194" i="64"/>
  <c r="F194" i="64" s="1"/>
  <c r="H193" i="64"/>
  <c r="E193" i="64"/>
  <c r="F193" i="64" s="1"/>
  <c r="H192" i="64"/>
  <c r="E192" i="64"/>
  <c r="F192" i="64" s="1"/>
  <c r="H191" i="64"/>
  <c r="E191" i="64"/>
  <c r="F191" i="64" s="1"/>
  <c r="H190" i="64"/>
  <c r="E190" i="64"/>
  <c r="F190" i="64" s="1"/>
  <c r="H189" i="64"/>
  <c r="E189" i="64"/>
  <c r="F189" i="64" s="1"/>
  <c r="H188" i="64"/>
  <c r="E188" i="64"/>
  <c r="F188" i="64" s="1"/>
  <c r="H187" i="64"/>
  <c r="E187" i="64"/>
  <c r="F187" i="64" s="1"/>
  <c r="H186" i="64"/>
  <c r="E186" i="64"/>
  <c r="F186" i="64" s="1"/>
  <c r="H185" i="64"/>
  <c r="E185" i="64"/>
  <c r="F185" i="64" s="1"/>
  <c r="H184" i="64"/>
  <c r="E184" i="64"/>
  <c r="F184" i="64" s="1"/>
  <c r="H183" i="64"/>
  <c r="E183" i="64"/>
  <c r="F183" i="64" s="1"/>
  <c r="I182" i="64"/>
  <c r="I181" i="64"/>
  <c r="I180" i="64"/>
  <c r="I179" i="64"/>
  <c r="I178" i="64"/>
  <c r="I177" i="64"/>
  <c r="H176" i="64"/>
  <c r="E176" i="64"/>
  <c r="F176" i="64" s="1"/>
  <c r="H175" i="64"/>
  <c r="E175" i="64"/>
  <c r="F175" i="64" s="1"/>
  <c r="H174" i="64"/>
  <c r="E174" i="64"/>
  <c r="F174" i="64" s="1"/>
  <c r="H173" i="64"/>
  <c r="E173" i="64"/>
  <c r="F173" i="64" s="1"/>
  <c r="H172" i="64"/>
  <c r="E172" i="64"/>
  <c r="F172" i="64" s="1"/>
  <c r="H171" i="64"/>
  <c r="E171" i="64"/>
  <c r="F171" i="64" s="1"/>
  <c r="H170" i="64"/>
  <c r="E170" i="64"/>
  <c r="F170" i="64" s="1"/>
  <c r="H109" i="64"/>
  <c r="E109" i="64"/>
  <c r="F109" i="64" s="1"/>
  <c r="H108" i="64"/>
  <c r="E108" i="64"/>
  <c r="F108" i="64" s="1"/>
  <c r="H107" i="64"/>
  <c r="E107" i="64"/>
  <c r="F107" i="64" s="1"/>
  <c r="H106" i="64"/>
  <c r="E106" i="64"/>
  <c r="F106" i="64" s="1"/>
  <c r="H105" i="64"/>
  <c r="E105" i="64"/>
  <c r="F105" i="64" s="1"/>
  <c r="H104" i="64"/>
  <c r="E104" i="64"/>
  <c r="F104" i="64" s="1"/>
  <c r="H103" i="64"/>
  <c r="E103" i="64"/>
  <c r="F103" i="64" s="1"/>
  <c r="H102" i="64"/>
  <c r="E102" i="64"/>
  <c r="F102" i="64" s="1"/>
  <c r="H101" i="64"/>
  <c r="E101" i="64"/>
  <c r="F101" i="64" s="1"/>
  <c r="H100" i="64"/>
  <c r="E100" i="64"/>
  <c r="F100" i="64" s="1"/>
  <c r="H99" i="64"/>
  <c r="E99" i="64"/>
  <c r="F99" i="64" s="1"/>
  <c r="H98" i="64"/>
  <c r="E98" i="64"/>
  <c r="F98" i="64" s="1"/>
  <c r="H97" i="64"/>
  <c r="E97" i="64"/>
  <c r="F97" i="64" s="1"/>
  <c r="H96" i="64"/>
  <c r="E96" i="64"/>
  <c r="F96" i="64" s="1"/>
  <c r="H95" i="64"/>
  <c r="E95" i="64"/>
  <c r="F95" i="64" s="1"/>
  <c r="H94" i="64"/>
  <c r="E94" i="64"/>
  <c r="F94" i="64" s="1"/>
  <c r="H93" i="64"/>
  <c r="E93" i="64"/>
  <c r="F93" i="64" s="1"/>
  <c r="H92" i="64"/>
  <c r="E92" i="64"/>
  <c r="F92" i="64" s="1"/>
  <c r="H91" i="64"/>
  <c r="E91" i="64"/>
  <c r="F91" i="64" s="1"/>
  <c r="H90" i="64"/>
  <c r="E90" i="64"/>
  <c r="F90" i="64" s="1"/>
  <c r="H89" i="64"/>
  <c r="E89" i="64"/>
  <c r="F89" i="64" s="1"/>
  <c r="H88" i="64"/>
  <c r="E88" i="64"/>
  <c r="F88" i="64" s="1"/>
  <c r="H87" i="64"/>
  <c r="E87" i="64"/>
  <c r="F87" i="64" s="1"/>
  <c r="H86" i="64"/>
  <c r="E86" i="64"/>
  <c r="F86" i="64" s="1"/>
  <c r="H85" i="64"/>
  <c r="E85" i="64"/>
  <c r="F85" i="64" s="1"/>
  <c r="H84" i="64"/>
  <c r="E84" i="64"/>
  <c r="F84" i="64" s="1"/>
  <c r="I83" i="64"/>
  <c r="I82" i="64"/>
  <c r="I81" i="64"/>
  <c r="I80" i="64"/>
  <c r="I79" i="64"/>
  <c r="I78" i="64"/>
  <c r="H77" i="64"/>
  <c r="E77" i="64"/>
  <c r="F77" i="64" s="1"/>
  <c r="H76" i="64"/>
  <c r="E76" i="64"/>
  <c r="F76" i="64" s="1"/>
  <c r="H75" i="64"/>
  <c r="E75" i="64"/>
  <c r="F75" i="64" s="1"/>
  <c r="H74" i="64"/>
  <c r="E74" i="64"/>
  <c r="F74" i="64" s="1"/>
  <c r="H73" i="64"/>
  <c r="E73" i="64"/>
  <c r="F73" i="64" s="1"/>
  <c r="H72" i="64"/>
  <c r="E72" i="64"/>
  <c r="F72" i="64" s="1"/>
  <c r="H71" i="64"/>
  <c r="E71" i="64"/>
  <c r="F71" i="64" s="1"/>
  <c r="D11" i="64"/>
  <c r="H158" i="64"/>
  <c r="E158" i="64"/>
  <c r="F158" i="64" s="1"/>
  <c r="H157" i="64"/>
  <c r="E157" i="64"/>
  <c r="F157" i="64" s="1"/>
  <c r="H156" i="64"/>
  <c r="E156" i="64"/>
  <c r="F156" i="64" s="1"/>
  <c r="H155" i="64"/>
  <c r="E155" i="64"/>
  <c r="F155" i="64" s="1"/>
  <c r="H154" i="64"/>
  <c r="E154" i="64"/>
  <c r="F154" i="64" s="1"/>
  <c r="H153" i="64"/>
  <c r="E153" i="64"/>
  <c r="F153" i="64" s="1"/>
  <c r="H152" i="64"/>
  <c r="E152" i="64"/>
  <c r="F152" i="64" s="1"/>
  <c r="H151" i="64"/>
  <c r="E151" i="64"/>
  <c r="F151" i="64" s="1"/>
  <c r="H150" i="64"/>
  <c r="E150" i="64"/>
  <c r="F150" i="64" s="1"/>
  <c r="H149" i="64"/>
  <c r="E149" i="64"/>
  <c r="F149" i="64" s="1"/>
  <c r="H148" i="64"/>
  <c r="E148" i="64"/>
  <c r="F148" i="64" s="1"/>
  <c r="H147" i="64"/>
  <c r="E147" i="64"/>
  <c r="F147" i="64" s="1"/>
  <c r="H146" i="64"/>
  <c r="E146" i="64"/>
  <c r="F146" i="64" s="1"/>
  <c r="H145" i="64"/>
  <c r="E145" i="64"/>
  <c r="F145" i="64" s="1"/>
  <c r="H144" i="64"/>
  <c r="E144" i="64"/>
  <c r="F144" i="64" s="1"/>
  <c r="H143" i="64"/>
  <c r="E143" i="64"/>
  <c r="F143" i="64" s="1"/>
  <c r="H142" i="64"/>
  <c r="E142" i="64"/>
  <c r="F142" i="64" s="1"/>
  <c r="H141" i="64"/>
  <c r="E141" i="64"/>
  <c r="F141" i="64" s="1"/>
  <c r="H140" i="64"/>
  <c r="E140" i="64"/>
  <c r="F140" i="64" s="1"/>
  <c r="H139" i="64"/>
  <c r="E139" i="64"/>
  <c r="F139" i="64" s="1"/>
  <c r="H138" i="64"/>
  <c r="E138" i="64"/>
  <c r="F138" i="64" s="1"/>
  <c r="H137" i="64"/>
  <c r="E137" i="64"/>
  <c r="F137" i="64" s="1"/>
  <c r="H136" i="64"/>
  <c r="E136" i="64"/>
  <c r="F136" i="64" s="1"/>
  <c r="H135" i="64"/>
  <c r="E135" i="64"/>
  <c r="F135" i="64" s="1"/>
  <c r="H134" i="64"/>
  <c r="E134" i="64"/>
  <c r="F134" i="64" s="1"/>
  <c r="H133" i="64"/>
  <c r="E133" i="64"/>
  <c r="F133" i="64" s="1"/>
  <c r="I132" i="64"/>
  <c r="I131" i="64"/>
  <c r="I130" i="64"/>
  <c r="I129" i="64"/>
  <c r="I128" i="64"/>
  <c r="I127" i="64"/>
  <c r="H126" i="64"/>
  <c r="E126" i="64"/>
  <c r="F126" i="64" s="1"/>
  <c r="H125" i="64"/>
  <c r="E125" i="64"/>
  <c r="F125" i="64" s="1"/>
  <c r="H124" i="64"/>
  <c r="E124" i="64"/>
  <c r="F124" i="64" s="1"/>
  <c r="H123" i="64"/>
  <c r="E123" i="64"/>
  <c r="F123" i="64" s="1"/>
  <c r="H122" i="64"/>
  <c r="E122" i="64"/>
  <c r="F122" i="64" s="1"/>
  <c r="H121" i="64"/>
  <c r="E121" i="64"/>
  <c r="F121" i="64" s="1"/>
  <c r="H120" i="64"/>
  <c r="E120" i="64"/>
  <c r="F120" i="64" s="1"/>
  <c r="H59" i="64"/>
  <c r="G45" i="64" l="1"/>
  <c r="G100" i="64"/>
  <c r="I100" i="64" s="1"/>
  <c r="G96" i="64"/>
  <c r="I96" i="64" s="1"/>
  <c r="G86" i="64"/>
  <c r="I86" i="64" s="1"/>
  <c r="G97" i="64"/>
  <c r="I97" i="64" s="1"/>
  <c r="G106" i="64"/>
  <c r="I106" i="64" s="1"/>
  <c r="G74" i="64"/>
  <c r="I74" i="64" s="1"/>
  <c r="G88" i="64"/>
  <c r="I88" i="64" s="1"/>
  <c r="G109" i="64"/>
  <c r="I109" i="64" s="1"/>
  <c r="G92" i="64"/>
  <c r="I92" i="64" s="1"/>
  <c r="G89" i="64"/>
  <c r="I89" i="64" s="1"/>
  <c r="G93" i="64"/>
  <c r="I93" i="64" s="1"/>
  <c r="G99" i="64"/>
  <c r="G95" i="64"/>
  <c r="I95" i="64" s="1"/>
  <c r="G85" i="64"/>
  <c r="I85" i="64" s="1"/>
  <c r="G77" i="64"/>
  <c r="I77" i="64" s="1"/>
  <c r="G44" i="64"/>
  <c r="G105" i="64"/>
  <c r="I105" i="64" s="1"/>
  <c r="G102" i="64"/>
  <c r="I102" i="64" s="1"/>
  <c r="G73" i="64"/>
  <c r="I73" i="64" s="1"/>
  <c r="G56" i="64"/>
  <c r="G98" i="64"/>
  <c r="I98" i="64" s="1"/>
  <c r="G108" i="64"/>
  <c r="I108" i="64" s="1"/>
  <c r="G91" i="64"/>
  <c r="I91" i="64" s="1"/>
  <c r="G84" i="64"/>
  <c r="G107" i="64"/>
  <c r="I107" i="64" s="1"/>
  <c r="G90" i="64"/>
  <c r="I90" i="64" s="1"/>
  <c r="G94" i="64"/>
  <c r="I94" i="64" s="1"/>
  <c r="G76" i="64"/>
  <c r="I76" i="64" s="1"/>
  <c r="G72" i="64"/>
  <c r="I72" i="64" s="1"/>
  <c r="G87" i="64"/>
  <c r="I87" i="64" s="1"/>
  <c r="G104" i="64"/>
  <c r="I104" i="64" s="1"/>
  <c r="G101" i="64"/>
  <c r="I101" i="64" s="1"/>
  <c r="G75" i="64"/>
  <c r="I75" i="64" s="1"/>
  <c r="G103" i="64"/>
  <c r="I103" i="64" s="1"/>
  <c r="G71" i="64"/>
  <c r="I71" i="64" s="1"/>
  <c r="I84" i="64"/>
  <c r="I99" i="64"/>
  <c r="G55" i="64"/>
  <c r="G43" i="64"/>
  <c r="G26" i="64"/>
  <c r="G53" i="64"/>
  <c r="G41" i="64"/>
  <c r="G25" i="64"/>
  <c r="G52" i="64"/>
  <c r="G40" i="64"/>
  <c r="G24" i="64"/>
  <c r="G51" i="64"/>
  <c r="G39" i="64"/>
  <c r="G27" i="64"/>
  <c r="G23" i="64"/>
  <c r="G50" i="64"/>
  <c r="G38" i="64"/>
  <c r="G42" i="64"/>
  <c r="G22" i="64"/>
  <c r="G49" i="64"/>
  <c r="G37" i="64"/>
  <c r="G54" i="64"/>
  <c r="G34" i="64"/>
  <c r="G48" i="64"/>
  <c r="G36" i="64"/>
  <c r="G59" i="64"/>
  <c r="G47" i="64"/>
  <c r="G35" i="64"/>
  <c r="G58" i="64"/>
  <c r="G46" i="64"/>
  <c r="C63" i="64"/>
  <c r="G57" i="64"/>
  <c r="E63" i="43"/>
  <c r="P14" i="37"/>
  <c r="I110" i="64" l="1"/>
  <c r="C114" i="64" s="1"/>
  <c r="E65" i="43" l="1"/>
  <c r="E64" i="43"/>
  <c r="H38" i="117" l="1"/>
  <c r="H94" i="58" l="1"/>
  <c r="H100" i="58"/>
  <c r="H101" i="58"/>
  <c r="H108" i="58"/>
  <c r="H109" i="58"/>
  <c r="H116" i="58"/>
  <c r="H117" i="58"/>
  <c r="H124" i="58"/>
  <c r="H125" i="58"/>
  <c r="H132" i="58"/>
  <c r="H133" i="58"/>
  <c r="G140" i="58"/>
  <c r="H140" i="58" s="1"/>
  <c r="G95" i="58"/>
  <c r="H95" i="58" s="1"/>
  <c r="G96" i="58"/>
  <c r="H96" i="58" s="1"/>
  <c r="G97" i="58"/>
  <c r="H97" i="58" s="1"/>
  <c r="G98" i="58"/>
  <c r="H98" i="58" s="1"/>
  <c r="G99" i="58"/>
  <c r="H99" i="58" s="1"/>
  <c r="G100" i="58"/>
  <c r="G101" i="58"/>
  <c r="G102" i="58"/>
  <c r="H102" i="58" s="1"/>
  <c r="G103" i="58"/>
  <c r="H103" i="58" s="1"/>
  <c r="G104" i="58"/>
  <c r="H104" i="58" s="1"/>
  <c r="G105" i="58"/>
  <c r="H105" i="58" s="1"/>
  <c r="G106" i="58"/>
  <c r="H106" i="58" s="1"/>
  <c r="G107" i="58"/>
  <c r="H107" i="58" s="1"/>
  <c r="G108" i="58"/>
  <c r="G109" i="58"/>
  <c r="G110" i="58"/>
  <c r="H110" i="58" s="1"/>
  <c r="G111" i="58"/>
  <c r="H111" i="58" s="1"/>
  <c r="G112" i="58"/>
  <c r="H112" i="58" s="1"/>
  <c r="G113" i="58"/>
  <c r="H113" i="58" s="1"/>
  <c r="G114" i="58"/>
  <c r="H114" i="58" s="1"/>
  <c r="G115" i="58"/>
  <c r="H115" i="58" s="1"/>
  <c r="G116" i="58"/>
  <c r="G117" i="58"/>
  <c r="G118" i="58"/>
  <c r="H118" i="58" s="1"/>
  <c r="G119" i="58"/>
  <c r="H119" i="58" s="1"/>
  <c r="G120" i="58"/>
  <c r="H120" i="58" s="1"/>
  <c r="G121" i="58"/>
  <c r="H121" i="58" s="1"/>
  <c r="G122" i="58"/>
  <c r="H122" i="58" s="1"/>
  <c r="G123" i="58"/>
  <c r="H123" i="58" s="1"/>
  <c r="G124" i="58"/>
  <c r="G125" i="58"/>
  <c r="G126" i="58"/>
  <c r="H126" i="58" s="1"/>
  <c r="G127" i="58"/>
  <c r="H127" i="58" s="1"/>
  <c r="G128" i="58"/>
  <c r="H128" i="58" s="1"/>
  <c r="G129" i="58"/>
  <c r="H129" i="58" s="1"/>
  <c r="G130" i="58"/>
  <c r="H130" i="58" s="1"/>
  <c r="G131" i="58"/>
  <c r="H131" i="58" s="1"/>
  <c r="G132" i="58"/>
  <c r="G133" i="58"/>
  <c r="G134" i="58"/>
  <c r="H134" i="58" s="1"/>
  <c r="G135" i="58"/>
  <c r="H135" i="58" s="1"/>
  <c r="G136" i="58"/>
  <c r="H136" i="58" s="1"/>
  <c r="G137" i="58"/>
  <c r="H137" i="58" s="1"/>
  <c r="G138" i="58"/>
  <c r="H138" i="58" s="1"/>
  <c r="G139" i="58"/>
  <c r="H139" i="58" s="1"/>
  <c r="G94" i="58"/>
  <c r="G75" i="58"/>
  <c r="H75" i="58" s="1"/>
  <c r="I75" i="58" s="1"/>
  <c r="D72" i="58"/>
  <c r="D73" i="58"/>
  <c r="D74" i="58"/>
  <c r="D71" i="58"/>
  <c r="G71" i="58"/>
  <c r="H71" i="58" s="1"/>
  <c r="G72" i="58"/>
  <c r="H72" i="58" s="1"/>
  <c r="G73" i="58"/>
  <c r="H73" i="58" s="1"/>
  <c r="G74" i="58"/>
  <c r="H74" i="58" s="1"/>
  <c r="G76" i="58"/>
  <c r="H76" i="58" s="1"/>
  <c r="I76" i="58" s="1"/>
  <c r="G77" i="58"/>
  <c r="H77" i="58" s="1"/>
  <c r="I77" i="58" s="1"/>
  <c r="G78" i="58"/>
  <c r="H78" i="58" s="1"/>
  <c r="G79" i="58"/>
  <c r="H79" i="58" s="1"/>
  <c r="G80" i="58"/>
  <c r="H80" i="58" s="1"/>
  <c r="G81" i="58"/>
  <c r="H81" i="58" s="1"/>
  <c r="G82" i="58"/>
  <c r="H82" i="58" s="1"/>
  <c r="G83" i="58"/>
  <c r="H83" i="58" s="1"/>
  <c r="G84" i="58"/>
  <c r="H84" i="58" s="1"/>
  <c r="G85" i="58"/>
  <c r="H85" i="58" s="1"/>
  <c r="G86" i="58"/>
  <c r="H86" i="58" s="1"/>
  <c r="G87" i="58"/>
  <c r="H87" i="58" s="1"/>
  <c r="G88" i="58"/>
  <c r="H88" i="58" s="1"/>
  <c r="G89" i="58"/>
  <c r="H89" i="58" s="1"/>
  <c r="G90" i="58"/>
  <c r="H90" i="58" s="1"/>
  <c r="G91" i="58"/>
  <c r="H91" i="58" s="1"/>
  <c r="G92" i="58"/>
  <c r="H92" i="58" s="1"/>
  <c r="G93" i="58"/>
  <c r="H93" i="58" s="1"/>
  <c r="G70" i="58"/>
  <c r="H70" i="58" s="1"/>
  <c r="G69" i="58"/>
  <c r="H69" i="58" s="1"/>
  <c r="G68" i="58"/>
  <c r="H68" i="58" s="1"/>
  <c r="E47" i="58"/>
  <c r="D47" i="58"/>
  <c r="E132" i="123" l="1"/>
  <c r="O14" i="37" s="1"/>
  <c r="H127" i="123"/>
  <c r="G127" i="123"/>
  <c r="E127" i="123"/>
  <c r="F127" i="123" s="1"/>
  <c r="H126" i="123"/>
  <c r="G126" i="123"/>
  <c r="E126" i="123"/>
  <c r="F126" i="123" s="1"/>
  <c r="H125" i="123"/>
  <c r="G125" i="123"/>
  <c r="E125" i="123"/>
  <c r="F125" i="123" s="1"/>
  <c r="H124" i="123"/>
  <c r="G124" i="123"/>
  <c r="E124" i="123"/>
  <c r="F124" i="123" s="1"/>
  <c r="H123" i="123"/>
  <c r="G123" i="123"/>
  <c r="E123" i="123"/>
  <c r="F123" i="123" s="1"/>
  <c r="H122" i="123"/>
  <c r="G122" i="123"/>
  <c r="E122" i="123"/>
  <c r="F122" i="123" s="1"/>
  <c r="H121" i="123"/>
  <c r="G121" i="123"/>
  <c r="E121" i="123"/>
  <c r="F121" i="123" s="1"/>
  <c r="H120" i="123"/>
  <c r="G120" i="123"/>
  <c r="E120" i="123"/>
  <c r="F120" i="123" s="1"/>
  <c r="I120" i="123" s="1"/>
  <c r="H119" i="123"/>
  <c r="G119" i="123"/>
  <c r="E119" i="123"/>
  <c r="F119" i="123" s="1"/>
  <c r="H118" i="123"/>
  <c r="G118" i="123"/>
  <c r="E118" i="123"/>
  <c r="F118" i="123" s="1"/>
  <c r="H117" i="123"/>
  <c r="G117" i="123"/>
  <c r="E117" i="123"/>
  <c r="F117" i="123" s="1"/>
  <c r="H116" i="123"/>
  <c r="G116" i="123"/>
  <c r="E116" i="123"/>
  <c r="F116" i="123" s="1"/>
  <c r="H115" i="123"/>
  <c r="G115" i="123"/>
  <c r="E115" i="123"/>
  <c r="F115" i="123" s="1"/>
  <c r="H114" i="123"/>
  <c r="G114" i="123"/>
  <c r="E114" i="123"/>
  <c r="F114" i="123" s="1"/>
  <c r="H113" i="123"/>
  <c r="G113" i="123"/>
  <c r="E113" i="123"/>
  <c r="F113" i="123" s="1"/>
  <c r="H112" i="123"/>
  <c r="G112" i="123"/>
  <c r="E112" i="123"/>
  <c r="F112" i="123" s="1"/>
  <c r="H111" i="123"/>
  <c r="G111" i="123"/>
  <c r="E111" i="123"/>
  <c r="F111" i="123" s="1"/>
  <c r="H110" i="123"/>
  <c r="G110" i="123"/>
  <c r="E110" i="123"/>
  <c r="F110" i="123" s="1"/>
  <c r="H109" i="123"/>
  <c r="G109" i="123"/>
  <c r="E109" i="123"/>
  <c r="F109" i="123" s="1"/>
  <c r="H108" i="123"/>
  <c r="G108" i="123"/>
  <c r="E108" i="123"/>
  <c r="F108" i="123" s="1"/>
  <c r="H107" i="123"/>
  <c r="G107" i="123"/>
  <c r="E107" i="123"/>
  <c r="F107" i="123" s="1"/>
  <c r="H106" i="123"/>
  <c r="G106" i="123"/>
  <c r="E106" i="123"/>
  <c r="F106" i="123" s="1"/>
  <c r="H105" i="123"/>
  <c r="G105" i="123"/>
  <c r="E105" i="123"/>
  <c r="F105" i="123" s="1"/>
  <c r="H104" i="123"/>
  <c r="G104" i="123"/>
  <c r="E104" i="123"/>
  <c r="F104" i="123" s="1"/>
  <c r="H103" i="123"/>
  <c r="G103" i="123"/>
  <c r="E103" i="123"/>
  <c r="F103" i="123" s="1"/>
  <c r="H102" i="123"/>
  <c r="G102" i="123"/>
  <c r="E102" i="123"/>
  <c r="F102" i="123" s="1"/>
  <c r="H101" i="123"/>
  <c r="G101" i="123"/>
  <c r="E101" i="123"/>
  <c r="F101" i="123" s="1"/>
  <c r="H100" i="123"/>
  <c r="I100" i="123" s="1"/>
  <c r="G100" i="123"/>
  <c r="E100" i="123"/>
  <c r="F100" i="123" s="1"/>
  <c r="H99" i="123"/>
  <c r="G99" i="123"/>
  <c r="E99" i="123"/>
  <c r="F99" i="123" s="1"/>
  <c r="H98" i="123"/>
  <c r="G98" i="123"/>
  <c r="E98" i="123"/>
  <c r="F98" i="123" s="1"/>
  <c r="H97" i="123"/>
  <c r="G97" i="123"/>
  <c r="E97" i="123"/>
  <c r="F97" i="123" s="1"/>
  <c r="H96" i="123"/>
  <c r="G96" i="123"/>
  <c r="E96" i="123"/>
  <c r="F96" i="123" s="1"/>
  <c r="H95" i="123"/>
  <c r="G95" i="123"/>
  <c r="E95" i="123"/>
  <c r="F95" i="123" s="1"/>
  <c r="H94" i="123"/>
  <c r="G94" i="123"/>
  <c r="E94" i="123"/>
  <c r="F94" i="123" s="1"/>
  <c r="H93" i="123"/>
  <c r="G93" i="123"/>
  <c r="E93" i="123"/>
  <c r="F93" i="123" s="1"/>
  <c r="H92" i="123"/>
  <c r="I92" i="123" s="1"/>
  <c r="G92" i="123"/>
  <c r="E92" i="123"/>
  <c r="F92" i="123" s="1"/>
  <c r="H91" i="123"/>
  <c r="G91" i="123"/>
  <c r="E91" i="123"/>
  <c r="F91" i="123" s="1"/>
  <c r="H90" i="123"/>
  <c r="G90" i="123"/>
  <c r="E90" i="123"/>
  <c r="F90" i="123" s="1"/>
  <c r="H89" i="123"/>
  <c r="G89" i="123"/>
  <c r="E89" i="123"/>
  <c r="F89" i="123" s="1"/>
  <c r="H88" i="123"/>
  <c r="G88" i="123"/>
  <c r="E88" i="123"/>
  <c r="F88" i="123" s="1"/>
  <c r="H87" i="123"/>
  <c r="G87" i="123"/>
  <c r="E87" i="123"/>
  <c r="F87" i="123" s="1"/>
  <c r="H86" i="123"/>
  <c r="G86" i="123"/>
  <c r="E86" i="123"/>
  <c r="F86" i="123" s="1"/>
  <c r="H85" i="123"/>
  <c r="G85" i="123"/>
  <c r="E85" i="123"/>
  <c r="F85" i="123" s="1"/>
  <c r="H84" i="123"/>
  <c r="G84" i="123"/>
  <c r="E84" i="123"/>
  <c r="F84" i="123" s="1"/>
  <c r="H83" i="123"/>
  <c r="G83" i="123"/>
  <c r="E83" i="123"/>
  <c r="F83" i="123" s="1"/>
  <c r="H82" i="123"/>
  <c r="G82" i="123"/>
  <c r="E82" i="123"/>
  <c r="F82" i="123" s="1"/>
  <c r="H81" i="123"/>
  <c r="G81" i="123"/>
  <c r="E81" i="123"/>
  <c r="F81" i="123" s="1"/>
  <c r="H80" i="123"/>
  <c r="I80" i="123" s="1"/>
  <c r="G80" i="123"/>
  <c r="E80" i="123"/>
  <c r="F80" i="123" s="1"/>
  <c r="H79" i="123"/>
  <c r="G79" i="123"/>
  <c r="E79" i="123"/>
  <c r="F79" i="123" s="1"/>
  <c r="H78" i="123"/>
  <c r="G78" i="123"/>
  <c r="E78" i="123"/>
  <c r="F78" i="123" s="1"/>
  <c r="H77" i="123"/>
  <c r="G77" i="123"/>
  <c r="E77" i="123"/>
  <c r="F77" i="123" s="1"/>
  <c r="H76" i="123"/>
  <c r="G76" i="123"/>
  <c r="E76" i="123"/>
  <c r="F76" i="123" s="1"/>
  <c r="H74" i="123"/>
  <c r="E74" i="123"/>
  <c r="F74" i="123" s="1"/>
  <c r="H73" i="123"/>
  <c r="E73" i="123"/>
  <c r="F73" i="123" s="1"/>
  <c r="H72" i="123"/>
  <c r="E72" i="123"/>
  <c r="F72" i="123" s="1"/>
  <c r="H71" i="123"/>
  <c r="E71" i="123"/>
  <c r="F71" i="123" s="1"/>
  <c r="H70" i="123"/>
  <c r="E70" i="123"/>
  <c r="F70" i="123" s="1"/>
  <c r="H69" i="123"/>
  <c r="E69" i="123"/>
  <c r="F69" i="123" s="1"/>
  <c r="H68" i="123"/>
  <c r="E68" i="123"/>
  <c r="F68" i="123" s="1"/>
  <c r="H67" i="123"/>
  <c r="E67" i="123"/>
  <c r="F67" i="123" s="1"/>
  <c r="H66" i="123"/>
  <c r="E66" i="123"/>
  <c r="F66" i="123" s="1"/>
  <c r="H65" i="123"/>
  <c r="E65" i="123"/>
  <c r="F65" i="123" s="1"/>
  <c r="H64" i="123"/>
  <c r="E64" i="123"/>
  <c r="F64" i="123" s="1"/>
  <c r="H63" i="123"/>
  <c r="E63" i="123"/>
  <c r="F63" i="123" s="1"/>
  <c r="H62" i="123"/>
  <c r="E62" i="123"/>
  <c r="F62" i="123" s="1"/>
  <c r="H61" i="123"/>
  <c r="E61" i="123"/>
  <c r="F61" i="123" s="1"/>
  <c r="H60" i="123"/>
  <c r="E60" i="123"/>
  <c r="F60" i="123" s="1"/>
  <c r="H59" i="123"/>
  <c r="E59" i="123"/>
  <c r="F59" i="123" s="1"/>
  <c r="H58" i="123"/>
  <c r="E58" i="123"/>
  <c r="F58" i="123" s="1"/>
  <c r="H57" i="123"/>
  <c r="E57" i="123"/>
  <c r="F57" i="123" s="1"/>
  <c r="H56" i="123"/>
  <c r="E56" i="123"/>
  <c r="F56" i="123" s="1"/>
  <c r="H55" i="123"/>
  <c r="E55" i="123"/>
  <c r="F55" i="123" s="1"/>
  <c r="H54" i="123"/>
  <c r="E54" i="123"/>
  <c r="F54" i="123" s="1"/>
  <c r="H53" i="123"/>
  <c r="E53" i="123"/>
  <c r="F53" i="123" s="1"/>
  <c r="H52" i="123"/>
  <c r="E52" i="123"/>
  <c r="F52" i="123" s="1"/>
  <c r="H51" i="123"/>
  <c r="E51" i="123"/>
  <c r="F51" i="123" s="1"/>
  <c r="H50" i="123"/>
  <c r="E50" i="123"/>
  <c r="F50" i="123" s="1"/>
  <c r="H49" i="123"/>
  <c r="E49" i="123"/>
  <c r="F49" i="123" s="1"/>
  <c r="H48" i="123"/>
  <c r="E48" i="123"/>
  <c r="F48" i="123" s="1"/>
  <c r="H47" i="123"/>
  <c r="E47" i="123"/>
  <c r="F47" i="123" s="1"/>
  <c r="H46" i="123"/>
  <c r="E46" i="123"/>
  <c r="F46" i="123" s="1"/>
  <c r="H45" i="123"/>
  <c r="E45" i="123"/>
  <c r="F45" i="123" s="1"/>
  <c r="H44" i="123"/>
  <c r="E44" i="123"/>
  <c r="F44" i="123" s="1"/>
  <c r="H43" i="123"/>
  <c r="E43" i="123"/>
  <c r="F43" i="123" s="1"/>
  <c r="H42" i="123"/>
  <c r="E42" i="123"/>
  <c r="F42" i="123" s="1"/>
  <c r="H41" i="123"/>
  <c r="E41" i="123"/>
  <c r="F41" i="123" s="1"/>
  <c r="H40" i="123"/>
  <c r="E40" i="123"/>
  <c r="F40" i="123" s="1"/>
  <c r="H39" i="123"/>
  <c r="E39" i="123"/>
  <c r="F39" i="123" s="1"/>
  <c r="H38" i="123"/>
  <c r="E38" i="123"/>
  <c r="F38" i="123" s="1"/>
  <c r="H37" i="123"/>
  <c r="E37" i="123"/>
  <c r="F37" i="123" s="1"/>
  <c r="H36" i="123"/>
  <c r="E36" i="123"/>
  <c r="F36" i="123" s="1"/>
  <c r="H35" i="123"/>
  <c r="E35" i="123"/>
  <c r="F35" i="123" s="1"/>
  <c r="H34" i="123"/>
  <c r="E34" i="123"/>
  <c r="F34" i="123" s="1"/>
  <c r="H33" i="123"/>
  <c r="E33" i="123"/>
  <c r="F33" i="123" s="1"/>
  <c r="H32" i="123"/>
  <c r="E32" i="123"/>
  <c r="F32" i="123" s="1"/>
  <c r="H31" i="123"/>
  <c r="E31" i="123"/>
  <c r="F31" i="123" s="1"/>
  <c r="H30" i="123"/>
  <c r="E30" i="123"/>
  <c r="F30" i="123" s="1"/>
  <c r="H29" i="123"/>
  <c r="E29" i="123"/>
  <c r="F29" i="123" s="1"/>
  <c r="H28" i="123"/>
  <c r="E28" i="123"/>
  <c r="F28" i="123" s="1"/>
  <c r="H27" i="123"/>
  <c r="E27" i="123"/>
  <c r="F27" i="123" s="1"/>
  <c r="H26" i="123"/>
  <c r="E26" i="123"/>
  <c r="F26" i="123" s="1"/>
  <c r="H25" i="123"/>
  <c r="E25" i="123"/>
  <c r="F25" i="123" s="1"/>
  <c r="H24" i="123"/>
  <c r="E24" i="123"/>
  <c r="F24" i="123" s="1"/>
  <c r="H23" i="123"/>
  <c r="E23" i="123"/>
  <c r="F23" i="123" s="1"/>
  <c r="H22" i="123"/>
  <c r="E22" i="123"/>
  <c r="F22" i="123" s="1"/>
  <c r="H21" i="123"/>
  <c r="E21" i="123"/>
  <c r="F21" i="123" s="1"/>
  <c r="H20" i="123"/>
  <c r="E20" i="123"/>
  <c r="F20" i="123" s="1"/>
  <c r="H19" i="123"/>
  <c r="E19" i="123"/>
  <c r="F19" i="123" s="1"/>
  <c r="H18" i="123"/>
  <c r="E18" i="123"/>
  <c r="F18" i="123" s="1"/>
  <c r="H17" i="123"/>
  <c r="E17" i="123"/>
  <c r="F17" i="123" s="1"/>
  <c r="H16" i="123"/>
  <c r="E16" i="123"/>
  <c r="F16" i="123" s="1"/>
  <c r="H15" i="123"/>
  <c r="E15" i="123"/>
  <c r="F15" i="123" s="1"/>
  <c r="H14" i="123"/>
  <c r="E14" i="123"/>
  <c r="F14" i="123" s="1"/>
  <c r="H13" i="123"/>
  <c r="E13" i="123"/>
  <c r="F13" i="123" s="1"/>
  <c r="H12" i="123"/>
  <c r="E12" i="123"/>
  <c r="F12" i="123" s="1"/>
  <c r="H11" i="123"/>
  <c r="E11" i="123"/>
  <c r="F11" i="123" s="1"/>
  <c r="H10" i="123"/>
  <c r="E10" i="123"/>
  <c r="F10" i="123" s="1"/>
  <c r="H9" i="123"/>
  <c r="E9" i="123"/>
  <c r="F9" i="123" s="1"/>
  <c r="I96" i="123" l="1"/>
  <c r="I108" i="123"/>
  <c r="I82" i="123"/>
  <c r="I86" i="123"/>
  <c r="I127" i="123"/>
  <c r="I21" i="123"/>
  <c r="I27" i="123"/>
  <c r="I31" i="123"/>
  <c r="I39" i="123"/>
  <c r="I45" i="123"/>
  <c r="I51" i="123"/>
  <c r="I55" i="123"/>
  <c r="I61" i="123"/>
  <c r="I67" i="123"/>
  <c r="I73" i="123"/>
  <c r="I9" i="123"/>
  <c r="I76" i="123"/>
  <c r="I84" i="123"/>
  <c r="I106" i="123"/>
  <c r="I122" i="123"/>
  <c r="I124" i="123"/>
  <c r="I19" i="123"/>
  <c r="I25" i="123"/>
  <c r="I33" i="123"/>
  <c r="I37" i="123"/>
  <c r="I43" i="123"/>
  <c r="I47" i="123"/>
  <c r="I53" i="123"/>
  <c r="I59" i="123"/>
  <c r="I65" i="123"/>
  <c r="I71" i="123"/>
  <c r="I98" i="123"/>
  <c r="I112" i="123"/>
  <c r="I13" i="123"/>
  <c r="I17" i="123"/>
  <c r="I23" i="123"/>
  <c r="I29" i="123"/>
  <c r="I35" i="123"/>
  <c r="I41" i="123"/>
  <c r="I49" i="123"/>
  <c r="I57" i="123"/>
  <c r="I63" i="123"/>
  <c r="I69" i="123"/>
  <c r="I116" i="123"/>
  <c r="I81" i="123"/>
  <c r="I12" i="123"/>
  <c r="I77" i="123"/>
  <c r="I10" i="123"/>
  <c r="I14" i="123"/>
  <c r="I83" i="123"/>
  <c r="I85" i="123"/>
  <c r="I88" i="123"/>
  <c r="I95" i="123"/>
  <c r="I97" i="123"/>
  <c r="I102" i="123"/>
  <c r="I109" i="123"/>
  <c r="I114" i="123"/>
  <c r="I121" i="123"/>
  <c r="I79" i="123"/>
  <c r="I93" i="123"/>
  <c r="I105" i="123"/>
  <c r="I16" i="123"/>
  <c r="I89" i="123"/>
  <c r="I115" i="123"/>
  <c r="I117" i="123"/>
  <c r="I11" i="123"/>
  <c r="I15" i="123"/>
  <c r="I90" i="123"/>
  <c r="I99" i="123"/>
  <c r="I101" i="123"/>
  <c r="I104" i="123"/>
  <c r="I111" i="123"/>
  <c r="I113" i="123"/>
  <c r="I118" i="123"/>
  <c r="I125" i="123"/>
  <c r="I18" i="123"/>
  <c r="I20" i="123"/>
  <c r="I22" i="123"/>
  <c r="I24" i="123"/>
  <c r="I26" i="123"/>
  <c r="I28" i="123"/>
  <c r="I30" i="123"/>
  <c r="I32" i="123"/>
  <c r="I34" i="123"/>
  <c r="I36" i="123"/>
  <c r="I38" i="123"/>
  <c r="I40" i="123"/>
  <c r="I42" i="123"/>
  <c r="I44" i="123"/>
  <c r="I46" i="123"/>
  <c r="I48" i="123"/>
  <c r="I50" i="123"/>
  <c r="I52" i="123"/>
  <c r="I54" i="123"/>
  <c r="I56" i="123"/>
  <c r="I58" i="123"/>
  <c r="I60" i="123"/>
  <c r="I62" i="123"/>
  <c r="I64" i="123"/>
  <c r="I66" i="123"/>
  <c r="I68" i="123"/>
  <c r="I70" i="123"/>
  <c r="I72" i="123"/>
  <c r="I74" i="123"/>
  <c r="I91" i="123"/>
  <c r="I107" i="123"/>
  <c r="I123" i="123"/>
  <c r="I78" i="123"/>
  <c r="I87" i="123"/>
  <c r="I94" i="123"/>
  <c r="I103" i="123"/>
  <c r="I110" i="123"/>
  <c r="I119" i="123"/>
  <c r="I126" i="123"/>
  <c r="E133" i="123" l="1"/>
  <c r="E135" i="123" s="1"/>
  <c r="C46" i="85"/>
  <c r="F22" i="85"/>
  <c r="H23" i="85"/>
  <c r="G23" i="85"/>
  <c r="E23" i="85"/>
  <c r="F23" i="85" s="1"/>
  <c r="I23" i="85" s="1"/>
  <c r="Q14" i="37" l="1"/>
  <c r="R14" i="37" s="1"/>
  <c r="G40" i="47"/>
  <c r="I40" i="47"/>
  <c r="H40" i="47"/>
  <c r="F40" i="47" l="1"/>
  <c r="F31" i="47"/>
  <c r="F30" i="47"/>
  <c r="F29" i="47"/>
  <c r="F28" i="47"/>
  <c r="F27" i="47"/>
  <c r="F26" i="47"/>
  <c r="F25" i="47"/>
  <c r="F24" i="47"/>
  <c r="F23" i="47"/>
  <c r="E40" i="47"/>
  <c r="E37" i="43"/>
  <c r="D268" i="120" l="1"/>
  <c r="G268" i="120" s="1"/>
  <c r="F268" i="120"/>
  <c r="I28" i="64" l="1"/>
  <c r="H34" i="64"/>
  <c r="E34" i="64"/>
  <c r="F34" i="64" s="1"/>
  <c r="H35" i="64"/>
  <c r="L22" i="25" l="1"/>
  <c r="K20" i="25" s="1"/>
  <c r="B10" i="23" l="1"/>
  <c r="G45" i="28" l="1"/>
  <c r="M20" i="25" l="1"/>
  <c r="F18" i="25" s="1"/>
  <c r="M26" i="23" l="1"/>
  <c r="M25" i="21"/>
  <c r="N25" i="21" s="1"/>
  <c r="M24" i="21"/>
  <c r="N24" i="21" s="1"/>
  <c r="M23" i="21"/>
  <c r="N23" i="21" s="1"/>
  <c r="M22" i="21"/>
  <c r="N22" i="21" s="1"/>
  <c r="M72" i="21"/>
  <c r="N72" i="21" s="1"/>
  <c r="AB27" i="37"/>
  <c r="E83" i="19"/>
  <c r="F83" i="19" s="1"/>
  <c r="H83" i="19"/>
  <c r="G125" i="105"/>
  <c r="E120" i="101"/>
  <c r="F120" i="101" s="1"/>
  <c r="H120" i="101"/>
  <c r="E121" i="101"/>
  <c r="F121" i="101" s="1"/>
  <c r="H121" i="101"/>
  <c r="H80" i="101"/>
  <c r="H79" i="101"/>
  <c r="H25"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34" i="97"/>
  <c r="F26" i="97"/>
  <c r="G26" i="97" s="1"/>
  <c r="F27" i="97"/>
  <c r="F28" i="97"/>
  <c r="F29" i="97"/>
  <c r="F30" i="97"/>
  <c r="F31" i="97"/>
  <c r="F25" i="97"/>
  <c r="G25" i="97" s="1"/>
  <c r="G259" i="56"/>
  <c r="G112" i="97"/>
  <c r="H112" i="97"/>
  <c r="G270" i="56"/>
  <c r="H44" i="26"/>
  <c r="K25" i="23" l="1"/>
  <c r="M25" i="23" s="1"/>
  <c r="F21" i="24" l="1"/>
  <c r="H21" i="24"/>
  <c r="I28" i="92"/>
  <c r="H27" i="92"/>
  <c r="H28" i="92"/>
  <c r="G28" i="92"/>
  <c r="G29" i="92"/>
  <c r="F29" i="92"/>
  <c r="F30" i="92"/>
  <c r="F31" i="92"/>
  <c r="F32" i="92"/>
  <c r="F33" i="92"/>
  <c r="F34" i="92"/>
  <c r="F35" i="92"/>
  <c r="F36" i="92"/>
  <c r="F37" i="92"/>
  <c r="F38" i="92"/>
  <c r="F39" i="92"/>
  <c r="F40" i="92"/>
  <c r="F41" i="92"/>
  <c r="F42" i="92"/>
  <c r="F43" i="92"/>
  <c r="F44" i="92"/>
  <c r="F45" i="92"/>
  <c r="F46" i="92"/>
  <c r="F28" i="92"/>
  <c r="F27" i="92"/>
  <c r="E28" i="92"/>
  <c r="E29" i="92"/>
  <c r="I28" i="59" l="1"/>
  <c r="H27" i="59"/>
  <c r="H28" i="59"/>
  <c r="G27" i="59"/>
  <c r="F27" i="59"/>
  <c r="I27" i="59" l="1"/>
  <c r="C47" i="59"/>
  <c r="E121" i="116" l="1"/>
  <c r="F121" i="116" s="1"/>
  <c r="E70" i="116"/>
  <c r="F70" i="116" s="1"/>
  <c r="E159" i="116"/>
  <c r="F159" i="116" s="1"/>
  <c r="G159" i="116"/>
  <c r="E160" i="116"/>
  <c r="F160" i="116" s="1"/>
  <c r="G160" i="116"/>
  <c r="F78" i="116"/>
  <c r="E71" i="116"/>
  <c r="F71" i="116" s="1"/>
  <c r="E72" i="116"/>
  <c r="F72" i="116" s="1"/>
  <c r="E73" i="116"/>
  <c r="F73" i="116" s="1"/>
  <c r="E74" i="116"/>
  <c r="F74" i="116" s="1"/>
  <c r="E75" i="116"/>
  <c r="F75" i="116" s="1"/>
  <c r="E76" i="116"/>
  <c r="F76" i="116" s="1"/>
  <c r="F11" i="44" l="1"/>
  <c r="E12" i="44" l="1"/>
  <c r="H12" i="44" s="1"/>
  <c r="F12" i="44"/>
  <c r="G12" i="44"/>
  <c r="G17" i="94" l="1"/>
  <c r="F17" i="94"/>
  <c r="I17" i="94" s="1"/>
  <c r="G42" i="94"/>
  <c r="E42" i="94"/>
  <c r="F42" i="94" s="1"/>
  <c r="F24" i="92" l="1"/>
  <c r="F25" i="92"/>
  <c r="F26" i="92"/>
  <c r="F22" i="92"/>
  <c r="F23" i="92"/>
  <c r="F12" i="92"/>
  <c r="R318" i="111" l="1"/>
  <c r="R317" i="111"/>
  <c r="R316" i="111"/>
  <c r="R315" i="111"/>
  <c r="S313" i="111"/>
  <c r="H44" i="94"/>
  <c r="H45" i="94"/>
  <c r="F12" i="85"/>
  <c r="F12" i="59"/>
  <c r="E91" i="43"/>
  <c r="G91" i="43"/>
  <c r="E45" i="94"/>
  <c r="F45" i="94" s="1"/>
  <c r="G45" i="94"/>
  <c r="E42" i="85"/>
  <c r="F42" i="85" s="1"/>
  <c r="H42" i="85"/>
  <c r="E43" i="59"/>
  <c r="F43" i="59" s="1"/>
  <c r="H43" i="59"/>
  <c r="E44" i="24"/>
  <c r="F44" i="24" s="1"/>
  <c r="H44" i="24"/>
  <c r="E46" i="92"/>
  <c r="G46" i="92"/>
  <c r="H46" i="92"/>
  <c r="E78" i="26"/>
  <c r="F78" i="26" s="1"/>
  <c r="G78" i="26"/>
  <c r="H78" i="26"/>
  <c r="D48" i="91"/>
  <c r="E48" i="91" s="1"/>
  <c r="G48" i="91"/>
  <c r="E59" i="64"/>
  <c r="F59" i="64" s="1"/>
  <c r="M268" i="120"/>
  <c r="Q268" i="120" s="1"/>
  <c r="P268" i="120"/>
  <c r="D140" i="62"/>
  <c r="E140" i="62" s="1"/>
  <c r="G140" i="62"/>
  <c r="F143" i="119"/>
  <c r="G143" i="119" s="1"/>
  <c r="E70" i="22"/>
  <c r="E71" i="22"/>
  <c r="F71" i="22" s="1"/>
  <c r="O122" i="86"/>
  <c r="O124" i="86"/>
  <c r="R124" i="86" s="1"/>
  <c r="Q124" i="86"/>
  <c r="E69" i="47"/>
  <c r="F69" i="47" s="1"/>
  <c r="H69" i="47"/>
  <c r="E77" i="55"/>
  <c r="F77" i="55" s="1"/>
  <c r="G77" i="55"/>
  <c r="E132" i="117"/>
  <c r="F132" i="117" s="1"/>
  <c r="J132" i="117"/>
  <c r="P72" i="21"/>
  <c r="D91" i="44"/>
  <c r="E91" i="44" s="1"/>
  <c r="F91" i="44"/>
  <c r="G91" i="44"/>
  <c r="H91" i="44" s="1"/>
  <c r="M77" i="21"/>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15" i="22"/>
  <c r="G91" i="119"/>
  <c r="G58" i="86"/>
  <c r="M79" i="21" l="1"/>
  <c r="P19" i="37" s="1"/>
  <c r="I45" i="94"/>
  <c r="I46" i="94" s="1"/>
  <c r="I47" i="94" s="1"/>
  <c r="I46" i="92"/>
  <c r="G17" i="55"/>
  <c r="G18" i="55"/>
  <c r="G19" i="55"/>
  <c r="G16" i="55"/>
  <c r="F18" i="55"/>
  <c r="E18" i="55"/>
  <c r="F17" i="55"/>
  <c r="P267" i="120" l="1"/>
  <c r="M267" i="120"/>
  <c r="Q267" i="120" s="1"/>
  <c r="F267" i="120"/>
  <c r="D267" i="120"/>
  <c r="G267" i="120" s="1"/>
  <c r="P266" i="120"/>
  <c r="M266" i="120"/>
  <c r="Q266" i="120" s="1"/>
  <c r="G266" i="120"/>
  <c r="F266" i="120"/>
  <c r="D266" i="120"/>
  <c r="P265" i="120"/>
  <c r="M265" i="120"/>
  <c r="Q265" i="120" s="1"/>
  <c r="F265" i="120"/>
  <c r="D265" i="120"/>
  <c r="G265" i="120" s="1"/>
  <c r="P264" i="120"/>
  <c r="M264" i="120"/>
  <c r="Q264" i="120" s="1"/>
  <c r="F264" i="120"/>
  <c r="D264" i="120"/>
  <c r="G264" i="120" s="1"/>
  <c r="P263" i="120"/>
  <c r="M263" i="120"/>
  <c r="Q263" i="120" s="1"/>
  <c r="F263" i="120"/>
  <c r="D263" i="120"/>
  <c r="G263" i="120" s="1"/>
  <c r="P262" i="120"/>
  <c r="M262" i="120"/>
  <c r="Q262" i="120" s="1"/>
  <c r="F262" i="120"/>
  <c r="D262" i="120"/>
  <c r="G262" i="120" s="1"/>
  <c r="P261" i="120"/>
  <c r="M261" i="120"/>
  <c r="Q261" i="120" s="1"/>
  <c r="F261" i="120"/>
  <c r="D261" i="120"/>
  <c r="G261" i="120" s="1"/>
  <c r="Q260" i="120"/>
  <c r="P260" i="120"/>
  <c r="G260" i="120"/>
  <c r="F260" i="120"/>
  <c r="Q259" i="120"/>
  <c r="P259" i="120"/>
  <c r="G259" i="120"/>
  <c r="F259" i="120"/>
  <c r="Q258" i="120"/>
  <c r="P258" i="120"/>
  <c r="G258" i="120"/>
  <c r="F258" i="120"/>
  <c r="Q257" i="120"/>
  <c r="P257" i="120"/>
  <c r="G257" i="120"/>
  <c r="F257" i="120"/>
  <c r="Q256" i="120"/>
  <c r="P256" i="120"/>
  <c r="G256" i="120"/>
  <c r="F256" i="120"/>
  <c r="Q255" i="120"/>
  <c r="P255" i="120"/>
  <c r="G255" i="120"/>
  <c r="F255" i="120"/>
  <c r="Q254" i="120"/>
  <c r="P254" i="120"/>
  <c r="G254" i="120"/>
  <c r="F254" i="120"/>
  <c r="Q253" i="120"/>
  <c r="P253" i="120"/>
  <c r="G253" i="120"/>
  <c r="F253" i="120"/>
  <c r="Q252" i="120"/>
  <c r="P252" i="120"/>
  <c r="G252" i="120"/>
  <c r="F252" i="120"/>
  <c r="Q250" i="120"/>
  <c r="G250" i="120"/>
  <c r="Q249" i="120"/>
  <c r="G249" i="120"/>
  <c r="Q248" i="120"/>
  <c r="G248" i="120"/>
  <c r="Q247" i="120"/>
  <c r="G247" i="120"/>
  <c r="Q246" i="120"/>
  <c r="G246" i="120"/>
  <c r="Q245" i="120"/>
  <c r="G245" i="120"/>
  <c r="Q244" i="120"/>
  <c r="G244" i="120"/>
  <c r="Q243" i="120"/>
  <c r="G243" i="120"/>
  <c r="Q242" i="120"/>
  <c r="G242" i="120"/>
  <c r="Q241" i="120"/>
  <c r="G241" i="120"/>
  <c r="Q240" i="120"/>
  <c r="G240" i="120"/>
  <c r="Q239" i="120"/>
  <c r="G239" i="120"/>
  <c r="Q238" i="120"/>
  <c r="G238" i="120"/>
  <c r="Q237" i="120"/>
  <c r="G237" i="120"/>
  <c r="Q236" i="120"/>
  <c r="G236" i="120"/>
  <c r="Q235" i="120"/>
  <c r="G235" i="120"/>
  <c r="Q234" i="120"/>
  <c r="G234" i="120"/>
  <c r="Q233" i="120"/>
  <c r="G233" i="120"/>
  <c r="Q232" i="120"/>
  <c r="G232" i="120"/>
  <c r="Q231" i="120"/>
  <c r="G231" i="120"/>
  <c r="Q230" i="120"/>
  <c r="G230" i="120"/>
  <c r="Q229" i="120"/>
  <c r="G229" i="120"/>
  <c r="Q228" i="120"/>
  <c r="G228" i="120"/>
  <c r="Q226" i="120"/>
  <c r="P226" i="120"/>
  <c r="G226" i="120"/>
  <c r="F226" i="120"/>
  <c r="Q225" i="120"/>
  <c r="P225" i="120"/>
  <c r="G225" i="120"/>
  <c r="F225" i="120"/>
  <c r="Q224" i="120"/>
  <c r="P224" i="120"/>
  <c r="G224" i="120"/>
  <c r="F224" i="120"/>
  <c r="Q223" i="120"/>
  <c r="G223" i="120"/>
  <c r="F223" i="120"/>
  <c r="D209" i="120"/>
  <c r="F208" i="120"/>
  <c r="D208" i="120"/>
  <c r="F207" i="120"/>
  <c r="D207" i="120"/>
  <c r="D206" i="120"/>
  <c r="D205" i="120"/>
  <c r="D204" i="120"/>
  <c r="D203" i="120"/>
  <c r="K199" i="120"/>
  <c r="F196" i="120"/>
  <c r="D196" i="120"/>
  <c r="F195" i="120"/>
  <c r="D195" i="120"/>
  <c r="F194" i="120"/>
  <c r="D194" i="120"/>
  <c r="D193" i="120"/>
  <c r="D192" i="120"/>
  <c r="D191" i="120"/>
  <c r="D190" i="120"/>
  <c r="D189" i="120"/>
  <c r="C175" i="120"/>
  <c r="F175" i="120" s="1"/>
  <c r="K174" i="120"/>
  <c r="J174" i="120"/>
  <c r="I174" i="120"/>
  <c r="H174" i="120"/>
  <c r="F174" i="120"/>
  <c r="F173" i="120"/>
  <c r="M172" i="120"/>
  <c r="L172" i="120"/>
  <c r="F172" i="120"/>
  <c r="M171" i="120"/>
  <c r="L171" i="120"/>
  <c r="M170" i="120"/>
  <c r="L170" i="120"/>
  <c r="K165" i="120"/>
  <c r="J165" i="120"/>
  <c r="I165" i="120"/>
  <c r="H165" i="120"/>
  <c r="F165" i="120"/>
  <c r="F164" i="120"/>
  <c r="F163" i="120"/>
  <c r="F162" i="120"/>
  <c r="F161" i="120"/>
  <c r="F160" i="120"/>
  <c r="F159" i="120"/>
  <c r="F158" i="120"/>
  <c r="M157" i="120"/>
  <c r="L157" i="120"/>
  <c r="F157" i="120"/>
  <c r="M156" i="120"/>
  <c r="L156" i="120"/>
  <c r="F156" i="120"/>
  <c r="N155" i="120"/>
  <c r="P155" i="120" s="1"/>
  <c r="M155" i="120"/>
  <c r="L155" i="120"/>
  <c r="F155" i="120"/>
  <c r="M154" i="120"/>
  <c r="L154" i="120"/>
  <c r="F154" i="120"/>
  <c r="M153" i="120"/>
  <c r="L153" i="120"/>
  <c r="F153" i="120"/>
  <c r="M152" i="120"/>
  <c r="L152" i="120"/>
  <c r="F152" i="120"/>
  <c r="M151" i="120"/>
  <c r="L151" i="120"/>
  <c r="F151" i="120"/>
  <c r="N150" i="120"/>
  <c r="M150" i="120"/>
  <c r="L150" i="120"/>
  <c r="F150" i="120"/>
  <c r="M149" i="120"/>
  <c r="L149" i="120"/>
  <c r="F149" i="120"/>
  <c r="N148" i="120"/>
  <c r="P148" i="120" s="1"/>
  <c r="M148" i="120"/>
  <c r="L148" i="120"/>
  <c r="F148" i="120"/>
  <c r="M147" i="120"/>
  <c r="L147" i="120"/>
  <c r="M146" i="120"/>
  <c r="L146" i="120"/>
  <c r="K143" i="120"/>
  <c r="J143" i="120"/>
  <c r="I143" i="120"/>
  <c r="H143" i="120"/>
  <c r="F141" i="120"/>
  <c r="F140" i="120"/>
  <c r="F139" i="120"/>
  <c r="F138" i="120"/>
  <c r="F137" i="120"/>
  <c r="F136" i="120"/>
  <c r="M135" i="120"/>
  <c r="L135" i="120"/>
  <c r="F135" i="120"/>
  <c r="M134" i="120"/>
  <c r="L134" i="120"/>
  <c r="F134" i="120"/>
  <c r="M133" i="120"/>
  <c r="L133" i="120"/>
  <c r="F133" i="120"/>
  <c r="M132" i="120"/>
  <c r="L132" i="120"/>
  <c r="F132" i="120"/>
  <c r="N131" i="120"/>
  <c r="P131" i="120" s="1"/>
  <c r="M131" i="120"/>
  <c r="L131" i="120"/>
  <c r="F131" i="120"/>
  <c r="M130" i="120"/>
  <c r="L130" i="120"/>
  <c r="F130" i="120"/>
  <c r="M129" i="120"/>
  <c r="L129" i="120"/>
  <c r="F129" i="120"/>
  <c r="M128" i="120"/>
  <c r="L128" i="120"/>
  <c r="F128" i="120"/>
  <c r="M127" i="120"/>
  <c r="L127" i="120"/>
  <c r="F127" i="120"/>
  <c r="N126" i="120"/>
  <c r="M126" i="120"/>
  <c r="L126" i="120"/>
  <c r="F126" i="120"/>
  <c r="M125" i="120"/>
  <c r="L125" i="120"/>
  <c r="F125" i="120"/>
  <c r="N124" i="120"/>
  <c r="P124" i="120" s="1"/>
  <c r="M124" i="120"/>
  <c r="L124" i="120"/>
  <c r="F124" i="120"/>
  <c r="K119" i="120"/>
  <c r="J119" i="120"/>
  <c r="I119" i="120"/>
  <c r="H119" i="120"/>
  <c r="F117" i="120"/>
  <c r="F116" i="120"/>
  <c r="F115" i="120"/>
  <c r="F114" i="120"/>
  <c r="F113" i="120"/>
  <c r="F112" i="120"/>
  <c r="M111" i="120"/>
  <c r="L111" i="120"/>
  <c r="F111" i="120"/>
  <c r="M110" i="120"/>
  <c r="L110" i="120"/>
  <c r="F110" i="120"/>
  <c r="M109" i="120"/>
  <c r="L109" i="120"/>
  <c r="F109" i="120"/>
  <c r="M108" i="120"/>
  <c r="L108" i="120"/>
  <c r="F108" i="120"/>
  <c r="N107" i="120"/>
  <c r="P107" i="120" s="1"/>
  <c r="M107" i="120"/>
  <c r="L107" i="120"/>
  <c r="F107" i="120"/>
  <c r="M106" i="120"/>
  <c r="L106" i="120"/>
  <c r="F106" i="120"/>
  <c r="M105" i="120"/>
  <c r="L105" i="120"/>
  <c r="F105" i="120"/>
  <c r="M104" i="120"/>
  <c r="L104" i="120"/>
  <c r="F104" i="120"/>
  <c r="M103" i="120"/>
  <c r="L103" i="120"/>
  <c r="F103" i="120"/>
  <c r="N102" i="120"/>
  <c r="M102" i="120"/>
  <c r="L102" i="120"/>
  <c r="F102" i="120"/>
  <c r="M101" i="120"/>
  <c r="L101" i="120"/>
  <c r="F101" i="120"/>
  <c r="N100" i="120"/>
  <c r="P100" i="120" s="1"/>
  <c r="M100" i="120"/>
  <c r="L100" i="120"/>
  <c r="F100" i="120"/>
  <c r="L95" i="120"/>
  <c r="I95" i="120"/>
  <c r="H95" i="120"/>
  <c r="F93" i="120"/>
  <c r="F92" i="120"/>
  <c r="F91" i="120"/>
  <c r="F90" i="120"/>
  <c r="F89" i="120"/>
  <c r="F88" i="120"/>
  <c r="M87" i="120"/>
  <c r="J87" i="120"/>
  <c r="F87" i="120"/>
  <c r="M86" i="120"/>
  <c r="J86" i="120"/>
  <c r="F86" i="120"/>
  <c r="M85" i="120"/>
  <c r="J85" i="120"/>
  <c r="F85" i="120"/>
  <c r="M84" i="120"/>
  <c r="J84" i="120"/>
  <c r="F84" i="120"/>
  <c r="N83" i="120"/>
  <c r="P83" i="120" s="1"/>
  <c r="M83" i="120"/>
  <c r="J83" i="120"/>
  <c r="F83" i="120"/>
  <c r="M82" i="120"/>
  <c r="J82" i="120"/>
  <c r="F82" i="120"/>
  <c r="M81" i="120"/>
  <c r="J81" i="120"/>
  <c r="F81" i="120"/>
  <c r="M80" i="120"/>
  <c r="J80" i="120"/>
  <c r="F80" i="120"/>
  <c r="M79" i="120"/>
  <c r="J79" i="120"/>
  <c r="F79" i="120"/>
  <c r="N78" i="120"/>
  <c r="M78" i="120"/>
  <c r="J78" i="120"/>
  <c r="F78" i="120"/>
  <c r="M77" i="120"/>
  <c r="J77" i="120"/>
  <c r="F77" i="120"/>
  <c r="N76" i="120"/>
  <c r="P76" i="120" s="1"/>
  <c r="K76" i="120"/>
  <c r="K95" i="120" s="1"/>
  <c r="F76" i="120"/>
  <c r="K72" i="120"/>
  <c r="J72" i="120"/>
  <c r="I72" i="120"/>
  <c r="H72" i="120"/>
  <c r="F70" i="120"/>
  <c r="F69" i="120"/>
  <c r="F68" i="120"/>
  <c r="F67" i="120"/>
  <c r="F66" i="120"/>
  <c r="F65" i="120"/>
  <c r="M64" i="120"/>
  <c r="L64" i="120"/>
  <c r="F64" i="120"/>
  <c r="M63" i="120"/>
  <c r="L63" i="120"/>
  <c r="F63" i="120"/>
  <c r="M62" i="120"/>
  <c r="L62" i="120"/>
  <c r="F62" i="120"/>
  <c r="M61" i="120"/>
  <c r="L61" i="120"/>
  <c r="F61" i="120"/>
  <c r="N60" i="120"/>
  <c r="P60" i="120" s="1"/>
  <c r="M60" i="120"/>
  <c r="L60" i="120"/>
  <c r="F60" i="120"/>
  <c r="M59" i="120"/>
  <c r="L59" i="120"/>
  <c r="F59" i="120"/>
  <c r="M58" i="120"/>
  <c r="L58" i="120"/>
  <c r="F58" i="120"/>
  <c r="M57" i="120"/>
  <c r="L57" i="120"/>
  <c r="F57" i="120"/>
  <c r="M56" i="120"/>
  <c r="L56" i="120"/>
  <c r="F56" i="120"/>
  <c r="N55" i="120"/>
  <c r="M55" i="120"/>
  <c r="L55" i="120"/>
  <c r="F55" i="120"/>
  <c r="M54" i="120"/>
  <c r="L54" i="120"/>
  <c r="F54" i="120"/>
  <c r="P53" i="120"/>
  <c r="N53" i="120"/>
  <c r="M53" i="120"/>
  <c r="L53" i="120"/>
  <c r="F53" i="120"/>
  <c r="K48" i="120"/>
  <c r="J48" i="120"/>
  <c r="I48" i="120"/>
  <c r="H48" i="120"/>
  <c r="F46" i="120"/>
  <c r="F45" i="120"/>
  <c r="F44" i="120"/>
  <c r="F43" i="120"/>
  <c r="F42" i="120"/>
  <c r="M41" i="120"/>
  <c r="L41" i="120"/>
  <c r="F41" i="120"/>
  <c r="M40" i="120"/>
  <c r="L40" i="120"/>
  <c r="F40" i="120"/>
  <c r="M39" i="120"/>
  <c r="L39" i="120"/>
  <c r="F39" i="120"/>
  <c r="M38" i="120"/>
  <c r="L38" i="120"/>
  <c r="F38" i="120"/>
  <c r="M37" i="120"/>
  <c r="L37" i="120"/>
  <c r="F37" i="120"/>
  <c r="M36" i="120"/>
  <c r="L36" i="120"/>
  <c r="F36" i="120"/>
  <c r="M35" i="120"/>
  <c r="L35" i="120"/>
  <c r="F35" i="120"/>
  <c r="M34" i="120"/>
  <c r="L34" i="120"/>
  <c r="F34" i="120"/>
  <c r="M33" i="120"/>
  <c r="L33" i="120"/>
  <c r="F33" i="120"/>
  <c r="N32" i="120"/>
  <c r="M32" i="120"/>
  <c r="L32" i="120"/>
  <c r="F32" i="120"/>
  <c r="M31" i="120"/>
  <c r="L31" i="120"/>
  <c r="F31" i="120"/>
  <c r="P30" i="120"/>
  <c r="N33" i="120" s="1"/>
  <c r="N30" i="120"/>
  <c r="M30" i="120"/>
  <c r="L30" i="120"/>
  <c r="F30" i="120"/>
  <c r="K26" i="120"/>
  <c r="J26" i="120"/>
  <c r="I26" i="120"/>
  <c r="H26" i="120"/>
  <c r="F24" i="120"/>
  <c r="F23" i="120"/>
  <c r="F22" i="120"/>
  <c r="D21" i="120"/>
  <c r="D20" i="120"/>
  <c r="M19" i="120"/>
  <c r="L19" i="120"/>
  <c r="F19" i="120"/>
  <c r="M18" i="120"/>
  <c r="L18" i="120"/>
  <c r="F18" i="120"/>
  <c r="N17" i="120"/>
  <c r="M17" i="120"/>
  <c r="L17" i="120"/>
  <c r="F17" i="120"/>
  <c r="M16" i="120"/>
  <c r="L16" i="120"/>
  <c r="F16" i="120"/>
  <c r="P15" i="120"/>
  <c r="M15" i="120"/>
  <c r="L15" i="120"/>
  <c r="F15" i="120"/>
  <c r="F72" i="120" l="1"/>
  <c r="E190" i="120"/>
  <c r="F176" i="120"/>
  <c r="F26" i="120"/>
  <c r="H179" i="120"/>
  <c r="F71" i="120"/>
  <c r="F73" i="120" s="1"/>
  <c r="E20" i="120"/>
  <c r="F20" i="120" s="1"/>
  <c r="K179" i="120"/>
  <c r="M26" i="120"/>
  <c r="E21" i="120"/>
  <c r="F21" i="120" s="1"/>
  <c r="F48" i="120"/>
  <c r="M119" i="120"/>
  <c r="I179" i="120"/>
  <c r="M174" i="120"/>
  <c r="R223" i="120"/>
  <c r="L72" i="120"/>
  <c r="F94" i="120"/>
  <c r="L26" i="120"/>
  <c r="M48" i="120"/>
  <c r="L48" i="120"/>
  <c r="M76" i="120"/>
  <c r="M95" i="120" s="1"/>
  <c r="J95" i="120"/>
  <c r="J179" i="120" s="1"/>
  <c r="F95" i="120"/>
  <c r="L174" i="120"/>
  <c r="N103" i="120"/>
  <c r="N101" i="120"/>
  <c r="P101" i="120" s="1"/>
  <c r="N104" i="120" s="1"/>
  <c r="P104" i="120" s="1"/>
  <c r="N105" i="120" s="1"/>
  <c r="N106" i="120" s="1"/>
  <c r="M72" i="120"/>
  <c r="F118" i="120"/>
  <c r="F120" i="120" s="1"/>
  <c r="F166" i="120"/>
  <c r="F168" i="120" s="1"/>
  <c r="E193" i="120"/>
  <c r="F193" i="120" s="1"/>
  <c r="F190" i="120"/>
  <c r="E191" i="120"/>
  <c r="F191" i="120" s="1"/>
  <c r="N16" i="120"/>
  <c r="P16" i="120" s="1"/>
  <c r="N19" i="120" s="1"/>
  <c r="P19" i="120" s="1"/>
  <c r="N18" i="120"/>
  <c r="F47" i="120"/>
  <c r="F49" i="120" s="1"/>
  <c r="N31" i="120"/>
  <c r="P31" i="120" s="1"/>
  <c r="N34" i="120" s="1"/>
  <c r="P34" i="120" s="1"/>
  <c r="M143" i="120"/>
  <c r="N77" i="120"/>
  <c r="P77" i="120" s="1"/>
  <c r="N80" i="120" s="1"/>
  <c r="P80" i="120" s="1"/>
  <c r="N81" i="120" s="1"/>
  <c r="N82" i="120" s="1"/>
  <c r="N79" i="120"/>
  <c r="E192" i="120"/>
  <c r="F192" i="120" s="1"/>
  <c r="N54" i="120"/>
  <c r="P54" i="120" s="1"/>
  <c r="N57" i="120" s="1"/>
  <c r="P57" i="120" s="1"/>
  <c r="N56" i="120"/>
  <c r="N127" i="120"/>
  <c r="N125" i="120"/>
  <c r="P125" i="120" s="1"/>
  <c r="N128" i="120" s="1"/>
  <c r="P128" i="120" s="1"/>
  <c r="N129" i="120" s="1"/>
  <c r="N130" i="120" s="1"/>
  <c r="F142" i="120"/>
  <c r="M165" i="120"/>
  <c r="N151" i="120"/>
  <c r="N149" i="120"/>
  <c r="P149" i="120" s="1"/>
  <c r="N152" i="120" s="1"/>
  <c r="P152" i="120" s="1"/>
  <c r="D202" i="120"/>
  <c r="E203" i="120" s="1"/>
  <c r="L165" i="120"/>
  <c r="L119" i="120"/>
  <c r="L143" i="120"/>
  <c r="F25" i="120" l="1"/>
  <c r="F197" i="120"/>
  <c r="F144" i="120"/>
  <c r="L179" i="120"/>
  <c r="E182" i="120"/>
  <c r="F178" i="120"/>
  <c r="O224" i="120"/>
  <c r="N224" i="120" s="1"/>
  <c r="R224" i="120" s="1"/>
  <c r="F96" i="120"/>
  <c r="N153" i="120"/>
  <c r="N154" i="120" s="1"/>
  <c r="M179" i="120"/>
  <c r="N20" i="120"/>
  <c r="N21" i="120" s="1"/>
  <c r="N58" i="120"/>
  <c r="N59" i="120" s="1"/>
  <c r="E209" i="120"/>
  <c r="F209" i="120" s="1"/>
  <c r="E204" i="120"/>
  <c r="F204" i="120" s="1"/>
  <c r="E206" i="120"/>
  <c r="F206" i="120" s="1"/>
  <c r="E205" i="120"/>
  <c r="F205" i="120" s="1"/>
  <c r="N35" i="120"/>
  <c r="N36" i="120" s="1"/>
  <c r="O225" i="120" l="1"/>
  <c r="O226" i="120" s="1"/>
  <c r="O227" i="120" s="1"/>
  <c r="N227" i="120" s="1"/>
  <c r="R227" i="120" s="1"/>
  <c r="F27" i="120"/>
  <c r="E251" i="120" s="1"/>
  <c r="H251" i="120" s="1"/>
  <c r="E181" i="120"/>
  <c r="E183" i="120" s="1"/>
  <c r="E185" i="120" s="1"/>
  <c r="N225" i="120"/>
  <c r="R225" i="120" s="1"/>
  <c r="E269" i="120" l="1"/>
  <c r="H269" i="120" s="1"/>
  <c r="E227" i="120"/>
  <c r="H227" i="120" s="1"/>
  <c r="E268" i="120"/>
  <c r="H268" i="120" s="1"/>
  <c r="E272" i="120"/>
  <c r="E266" i="120"/>
  <c r="H266" i="120" s="1"/>
  <c r="E262" i="120"/>
  <c r="H262" i="120" s="1"/>
  <c r="E257" i="120"/>
  <c r="H257" i="120" s="1"/>
  <c r="E253" i="120"/>
  <c r="H253" i="120" s="1"/>
  <c r="E248" i="120"/>
  <c r="H248" i="120" s="1"/>
  <c r="E244" i="120"/>
  <c r="H244" i="120" s="1"/>
  <c r="E240" i="120"/>
  <c r="H240" i="120" s="1"/>
  <c r="E236" i="120"/>
  <c r="H236" i="120" s="1"/>
  <c r="E232" i="120"/>
  <c r="H232" i="120" s="1"/>
  <c r="E228" i="120"/>
  <c r="H228" i="120" s="1"/>
  <c r="E223" i="120"/>
  <c r="H223" i="120" s="1"/>
  <c r="E267" i="120"/>
  <c r="H267" i="120" s="1"/>
  <c r="E263" i="120"/>
  <c r="H263" i="120" s="1"/>
  <c r="E260" i="120"/>
  <c r="H260" i="120" s="1"/>
  <c r="E256" i="120"/>
  <c r="H256" i="120" s="1"/>
  <c r="E252" i="120"/>
  <c r="H252" i="120" s="1"/>
  <c r="E247" i="120"/>
  <c r="H247" i="120" s="1"/>
  <c r="E243" i="120"/>
  <c r="H243" i="120" s="1"/>
  <c r="E239" i="120"/>
  <c r="H239" i="120" s="1"/>
  <c r="E235" i="120"/>
  <c r="H235" i="120" s="1"/>
  <c r="E231" i="120"/>
  <c r="H231" i="120" s="1"/>
  <c r="E226" i="120"/>
  <c r="H226" i="120" s="1"/>
  <c r="E264" i="120"/>
  <c r="H264" i="120" s="1"/>
  <c r="E261" i="120"/>
  <c r="H261" i="120" s="1"/>
  <c r="E255" i="120"/>
  <c r="H255" i="120" s="1"/>
  <c r="E254" i="120"/>
  <c r="H254" i="120" s="1"/>
  <c r="E246" i="120"/>
  <c r="H246" i="120" s="1"/>
  <c r="E245" i="120"/>
  <c r="H245" i="120" s="1"/>
  <c r="E238" i="120"/>
  <c r="H238" i="120" s="1"/>
  <c r="E237" i="120"/>
  <c r="H237" i="120" s="1"/>
  <c r="E230" i="120"/>
  <c r="H230" i="120" s="1"/>
  <c r="E229" i="120"/>
  <c r="H229" i="120" s="1"/>
  <c r="E265" i="120"/>
  <c r="H265" i="120" s="1"/>
  <c r="E258" i="120"/>
  <c r="H258" i="120" s="1"/>
  <c r="E250" i="120"/>
  <c r="H250" i="120" s="1"/>
  <c r="E241" i="120"/>
  <c r="H241" i="120" s="1"/>
  <c r="E234" i="120"/>
  <c r="H234" i="120" s="1"/>
  <c r="E224" i="120"/>
  <c r="H224" i="120" s="1"/>
  <c r="E259" i="120"/>
  <c r="H259" i="120" s="1"/>
  <c r="E249" i="120"/>
  <c r="H249" i="120" s="1"/>
  <c r="E242" i="120"/>
  <c r="H242" i="120" s="1"/>
  <c r="E233" i="120"/>
  <c r="H233" i="120" s="1"/>
  <c r="E225" i="120"/>
  <c r="H225" i="120" s="1"/>
  <c r="N226" i="120"/>
  <c r="R226" i="120" s="1"/>
  <c r="O228" i="120"/>
  <c r="O20" i="37" l="1"/>
  <c r="H270" i="120"/>
  <c r="E273" i="120" s="1"/>
  <c r="E278" i="120" s="1"/>
  <c r="E279" i="120" s="1"/>
  <c r="N228" i="120"/>
  <c r="R228" i="120" s="1"/>
  <c r="O229" i="120"/>
  <c r="E274" i="120" l="1"/>
  <c r="O230" i="120"/>
  <c r="N229" i="120"/>
  <c r="R229" i="120" s="1"/>
  <c r="O231" i="120" l="1"/>
  <c r="N230" i="120"/>
  <c r="R230" i="120" s="1"/>
  <c r="N231" i="120" l="1"/>
  <c r="R231" i="120" s="1"/>
  <c r="O232" i="120"/>
  <c r="N232" i="120" l="1"/>
  <c r="R232" i="120" s="1"/>
  <c r="O233" i="120"/>
  <c r="O234" i="120" l="1"/>
  <c r="N233" i="120"/>
  <c r="R233" i="120" s="1"/>
  <c r="O235" i="120" l="1"/>
  <c r="N234" i="120"/>
  <c r="R234" i="120" s="1"/>
  <c r="N235" i="120" l="1"/>
  <c r="R235" i="120" s="1"/>
  <c r="O236" i="120"/>
  <c r="N236" i="120" l="1"/>
  <c r="R236" i="120" s="1"/>
  <c r="O237" i="120"/>
  <c r="O238" i="120" s="1"/>
  <c r="N237" i="120" l="1"/>
  <c r="R237" i="120" s="1"/>
  <c r="O239" i="120" l="1"/>
  <c r="N238" i="120"/>
  <c r="R238" i="120" s="1"/>
  <c r="N239" i="120" l="1"/>
  <c r="R239" i="120" s="1"/>
  <c r="O240" i="120"/>
  <c r="N240" i="120" l="1"/>
  <c r="R240" i="120" s="1"/>
  <c r="O241" i="120"/>
  <c r="O242" i="120" l="1"/>
  <c r="N241" i="120"/>
  <c r="R241" i="120" s="1"/>
  <c r="O243" i="120" l="1"/>
  <c r="N242" i="120"/>
  <c r="R242" i="120" s="1"/>
  <c r="N243" i="120" l="1"/>
  <c r="R243" i="120" s="1"/>
  <c r="O244" i="120"/>
  <c r="N244" i="120" l="1"/>
  <c r="R244" i="120" s="1"/>
  <c r="O245" i="120"/>
  <c r="O246" i="120" l="1"/>
  <c r="N245" i="120"/>
  <c r="R245" i="120" s="1"/>
  <c r="O247" i="120" l="1"/>
  <c r="N246" i="120"/>
  <c r="R246" i="120" s="1"/>
  <c r="N247" i="120" l="1"/>
  <c r="R247" i="120" s="1"/>
  <c r="O248" i="120"/>
  <c r="N248" i="120" l="1"/>
  <c r="R248" i="120" s="1"/>
  <c r="O249" i="120"/>
  <c r="O250" i="120" s="1"/>
  <c r="O251" i="120" s="1"/>
  <c r="O252" i="120" l="1"/>
  <c r="N251" i="120"/>
  <c r="R251" i="120" s="1"/>
  <c r="N250" i="120"/>
  <c r="N249" i="120"/>
  <c r="R249" i="120" s="1"/>
  <c r="O253" i="120" l="1"/>
  <c r="N252" i="120"/>
  <c r="R252" i="120" s="1"/>
  <c r="R250" i="120"/>
  <c r="N253" i="120" l="1"/>
  <c r="R253" i="120" s="1"/>
  <c r="O254" i="120"/>
  <c r="O255" i="120" l="1"/>
  <c r="N254" i="120"/>
  <c r="R254" i="120" s="1"/>
  <c r="O256" i="120" l="1"/>
  <c r="N255" i="120"/>
  <c r="R255" i="120" s="1"/>
  <c r="N256" i="120" l="1"/>
  <c r="R256" i="120" s="1"/>
  <c r="O257" i="120"/>
  <c r="N257" i="120" s="1"/>
  <c r="R257" i="120" l="1"/>
  <c r="O258" i="120"/>
  <c r="N258" i="120" s="1"/>
  <c r="O259" i="120" l="1"/>
  <c r="N259" i="120" s="1"/>
  <c r="R258" i="120"/>
  <c r="O260" i="120" l="1"/>
  <c r="N260" i="120" s="1"/>
  <c r="R259" i="120"/>
  <c r="O261" i="120" l="1"/>
  <c r="R260" i="120"/>
  <c r="O262" i="120" l="1"/>
  <c r="N261" i="120"/>
  <c r="R261" i="120" s="1"/>
  <c r="O263" i="120" l="1"/>
  <c r="N262" i="120"/>
  <c r="R262" i="120" s="1"/>
  <c r="O264" i="120" l="1"/>
  <c r="N263" i="120"/>
  <c r="R263" i="120" s="1"/>
  <c r="O265" i="120" l="1"/>
  <c r="N264" i="120"/>
  <c r="R264" i="120" s="1"/>
  <c r="N265" i="120" l="1"/>
  <c r="R265" i="120" s="1"/>
  <c r="O266" i="120"/>
  <c r="O267" i="120" l="1"/>
  <c r="N266" i="120"/>
  <c r="R266" i="120" s="1"/>
  <c r="N267" i="120" l="1"/>
  <c r="R267" i="120" s="1"/>
  <c r="O268" i="120"/>
  <c r="E14" i="46"/>
  <c r="M3" i="43"/>
  <c r="N3" i="43" s="1"/>
  <c r="C23" i="23"/>
  <c r="G63" i="43"/>
  <c r="H13" i="94"/>
  <c r="H14" i="94"/>
  <c r="H15" i="94"/>
  <c r="H12" i="94"/>
  <c r="H13" i="85"/>
  <c r="H14" i="85"/>
  <c r="H15" i="85"/>
  <c r="H16" i="85"/>
  <c r="H17" i="85"/>
  <c r="H18" i="85"/>
  <c r="H19" i="85"/>
  <c r="H20" i="85"/>
  <c r="H21" i="85"/>
  <c r="H22" i="85"/>
  <c r="H24" i="85"/>
  <c r="H25" i="85"/>
  <c r="H26" i="85"/>
  <c r="H27" i="85"/>
  <c r="H28" i="85"/>
  <c r="H29" i="85"/>
  <c r="H30" i="85"/>
  <c r="H31" i="85"/>
  <c r="H32" i="85"/>
  <c r="H33" i="85"/>
  <c r="H34" i="85"/>
  <c r="H35" i="85"/>
  <c r="H36" i="85"/>
  <c r="H37" i="85"/>
  <c r="H38" i="85"/>
  <c r="H39" i="85"/>
  <c r="H40" i="85"/>
  <c r="H41" i="85"/>
  <c r="P29" i="37"/>
  <c r="F12" i="25"/>
  <c r="C22" i="25"/>
  <c r="D12" i="25"/>
  <c r="H12" i="25" s="1"/>
  <c r="N268" i="120" l="1"/>
  <c r="R268" i="120" s="1"/>
  <c r="O269" i="120"/>
  <c r="N269" i="120" s="1"/>
  <c r="R269" i="120" s="1"/>
  <c r="R270" i="120" s="1"/>
  <c r="D13" i="25"/>
  <c r="H13" i="25" s="1"/>
  <c r="D14" i="25" s="1"/>
  <c r="H14" i="25" s="1"/>
  <c r="D15" i="25" s="1"/>
  <c r="H15" i="25" s="1"/>
  <c r="I12" i="25"/>
  <c r="J12" i="25" s="1"/>
  <c r="H17" i="59"/>
  <c r="F17" i="59"/>
  <c r="C51" i="92"/>
  <c r="G16" i="92"/>
  <c r="F16" i="92"/>
  <c r="H12" i="24"/>
  <c r="N274" i="120" l="1"/>
  <c r="J13" i="25"/>
  <c r="J14" i="25"/>
  <c r="J15" i="25"/>
  <c r="D16" i="25"/>
  <c r="H16" i="25" s="1"/>
  <c r="I16" i="92"/>
  <c r="H39" i="117"/>
  <c r="I39" i="117" s="1"/>
  <c r="N275" i="120" l="1"/>
  <c r="J16" i="25"/>
  <c r="D17" i="25"/>
  <c r="H17" i="25" s="1"/>
  <c r="Q20" i="37" l="1"/>
  <c r="R20" i="37" s="1"/>
  <c r="J17" i="25"/>
  <c r="D18" i="25"/>
  <c r="I81" i="62"/>
  <c r="J75" i="62"/>
  <c r="J83" i="62"/>
  <c r="J82" i="62"/>
  <c r="J76" i="62"/>
  <c r="J74" i="62"/>
  <c r="H18" i="25" l="1"/>
  <c r="J18" i="25" s="1"/>
  <c r="J19" i="25" s="1"/>
  <c r="C23" i="25" l="1"/>
  <c r="C25" i="25" s="1"/>
  <c r="Q29" i="37"/>
  <c r="F103" i="75"/>
  <c r="H77" i="55"/>
  <c r="H16" i="55" l="1"/>
  <c r="H17" i="55"/>
  <c r="H18" i="55"/>
  <c r="D111" i="75" l="1"/>
  <c r="C118" i="75" s="1"/>
  <c r="D120" i="75" s="1"/>
  <c r="D114" i="75"/>
  <c r="D113" i="75"/>
  <c r="M108" i="75"/>
  <c r="C114" i="75" s="1"/>
  <c r="B121" i="75" s="1"/>
  <c r="L108" i="75"/>
  <c r="C113" i="75" s="1"/>
  <c r="K108" i="75"/>
  <c r="C112" i="75" s="1"/>
  <c r="B119" i="75" s="1"/>
  <c r="H94" i="44"/>
  <c r="H133" i="75"/>
  <c r="D75" i="75"/>
  <c r="D74" i="75"/>
  <c r="D73" i="75"/>
  <c r="D72" i="75"/>
  <c r="D71" i="75"/>
  <c r="E59" i="75"/>
  <c r="D29" i="75"/>
  <c r="D28" i="75"/>
  <c r="D27" i="75"/>
  <c r="D26" i="75"/>
  <c r="D91" i="119"/>
  <c r="F142" i="119"/>
  <c r="G142" i="119" s="1"/>
  <c r="F141" i="119"/>
  <c r="G141" i="119" s="1"/>
  <c r="F140" i="119"/>
  <c r="G140" i="119" s="1"/>
  <c r="F139" i="119"/>
  <c r="G139" i="119" s="1"/>
  <c r="G138" i="119"/>
  <c r="G137" i="119"/>
  <c r="G136" i="119"/>
  <c r="G135" i="119"/>
  <c r="G134" i="119"/>
  <c r="G133" i="119"/>
  <c r="G132" i="119"/>
  <c r="G131" i="119"/>
  <c r="G130" i="119"/>
  <c r="G129" i="119"/>
  <c r="G128" i="119"/>
  <c r="G127" i="119"/>
  <c r="G126" i="119"/>
  <c r="G125" i="119"/>
  <c r="G124" i="119"/>
  <c r="G123" i="119"/>
  <c r="G122" i="119"/>
  <c r="G121" i="119"/>
  <c r="G120" i="119"/>
  <c r="G119" i="119"/>
  <c r="G118" i="119"/>
  <c r="G117" i="119"/>
  <c r="G116" i="119"/>
  <c r="G115" i="119"/>
  <c r="G113" i="119"/>
  <c r="G112" i="119"/>
  <c r="G111" i="119"/>
  <c r="G110" i="119"/>
  <c r="G109" i="119"/>
  <c r="G108" i="119"/>
  <c r="G107" i="119"/>
  <c r="G106" i="119"/>
  <c r="G105" i="119"/>
  <c r="G104" i="119"/>
  <c r="G103" i="119"/>
  <c r="G102" i="119"/>
  <c r="G101" i="119"/>
  <c r="G100" i="119"/>
  <c r="G99" i="119"/>
  <c r="G97" i="119"/>
  <c r="G96" i="119"/>
  <c r="G95" i="119"/>
  <c r="G94" i="119"/>
  <c r="G93" i="119"/>
  <c r="G92" i="119"/>
  <c r="E84" i="119"/>
  <c r="F84" i="119" s="1"/>
  <c r="E83" i="119"/>
  <c r="F83" i="119" s="1"/>
  <c r="E82" i="119"/>
  <c r="F82" i="119" s="1"/>
  <c r="E81" i="119"/>
  <c r="F81" i="119" s="1"/>
  <c r="E80" i="119"/>
  <c r="F80" i="119" s="1"/>
  <c r="E79" i="119"/>
  <c r="F79" i="119" s="1"/>
  <c r="E78" i="119"/>
  <c r="E74" i="119"/>
  <c r="F74" i="119" s="1"/>
  <c r="E73" i="119"/>
  <c r="F73" i="119" s="1"/>
  <c r="E72" i="119"/>
  <c r="F72" i="119" s="1"/>
  <c r="E71" i="119"/>
  <c r="F71" i="119" s="1"/>
  <c r="E70" i="119"/>
  <c r="F70" i="119" s="1"/>
  <c r="E69" i="119"/>
  <c r="F69" i="119" s="1"/>
  <c r="E68" i="119"/>
  <c r="E67" i="119"/>
  <c r="E66" i="119"/>
  <c r="E65" i="119"/>
  <c r="E64" i="119"/>
  <c r="E63" i="119"/>
  <c r="E62" i="119"/>
  <c r="E61" i="119"/>
  <c r="E60" i="119"/>
  <c r="E59" i="119"/>
  <c r="E58" i="119"/>
  <c r="E57" i="119"/>
  <c r="E52" i="119"/>
  <c r="E51" i="119"/>
  <c r="E50" i="119"/>
  <c r="E49" i="119"/>
  <c r="E48" i="119"/>
  <c r="E47" i="119"/>
  <c r="C42" i="119"/>
  <c r="C52" i="119"/>
  <c r="C23" i="119"/>
  <c r="E8" i="119"/>
  <c r="C16" i="119" s="1"/>
  <c r="D8" i="119"/>
  <c r="C8" i="119"/>
  <c r="C78" i="119" s="1"/>
  <c r="E37" i="58"/>
  <c r="F37" i="58" s="1"/>
  <c r="E38" i="58"/>
  <c r="F38" i="58" s="1"/>
  <c r="E39" i="58"/>
  <c r="F39" i="58" s="1"/>
  <c r="E40" i="58"/>
  <c r="F40" i="58" s="1"/>
  <c r="H74" i="117"/>
  <c r="H73" i="117"/>
  <c r="H67" i="117"/>
  <c r="H61" i="117"/>
  <c r="H55" i="117"/>
  <c r="H43" i="117"/>
  <c r="D48" i="58"/>
  <c r="H72" i="117"/>
  <c r="H62" i="117"/>
  <c r="H63" i="117"/>
  <c r="H64" i="117"/>
  <c r="H65" i="117"/>
  <c r="H66" i="117"/>
  <c r="H68" i="117"/>
  <c r="H69" i="117"/>
  <c r="H70" i="117"/>
  <c r="H71" i="117"/>
  <c r="H60" i="117"/>
  <c r="H57" i="117"/>
  <c r="H58" i="117"/>
  <c r="H59" i="117"/>
  <c r="H56" i="117"/>
  <c r="H54" i="117"/>
  <c r="H51" i="117"/>
  <c r="H52" i="117"/>
  <c r="H53" i="117"/>
  <c r="H50" i="117"/>
  <c r="H48" i="117"/>
  <c r="H40" i="117"/>
  <c r="H41" i="117"/>
  <c r="H42" i="117"/>
  <c r="H44" i="117"/>
  <c r="H45" i="117"/>
  <c r="H46" i="117"/>
  <c r="H47" i="117"/>
  <c r="F78" i="119" l="1"/>
  <c r="F46" i="119"/>
  <c r="D119" i="75"/>
  <c r="E119" i="75" s="1"/>
  <c r="E113" i="75"/>
  <c r="F113" i="75" s="1"/>
  <c r="D121" i="75"/>
  <c r="E121" i="75" s="1"/>
  <c r="E114" i="75"/>
  <c r="F114" i="75" s="1"/>
  <c r="B120" i="75"/>
  <c r="E120" i="75" s="1"/>
  <c r="E112" i="75"/>
  <c r="F112" i="75" s="1"/>
  <c r="F52" i="119"/>
  <c r="C13" i="119"/>
  <c r="F49" i="119" s="1"/>
  <c r="C29" i="119"/>
  <c r="C30" i="119" s="1"/>
  <c r="C51" i="119"/>
  <c r="F51" i="119" s="1"/>
  <c r="C31" i="119"/>
  <c r="C99" i="44"/>
  <c r="C68" i="119"/>
  <c r="F68" i="119" s="1"/>
  <c r="C64" i="119"/>
  <c r="F64" i="119" s="1"/>
  <c r="C60" i="119"/>
  <c r="F60" i="119" s="1"/>
  <c r="C24" i="119"/>
  <c r="C20" i="119"/>
  <c r="C67" i="119"/>
  <c r="F67" i="119" s="1"/>
  <c r="C63" i="119"/>
  <c r="F63" i="119" s="1"/>
  <c r="C65" i="119"/>
  <c r="F65" i="119" s="1"/>
  <c r="C61" i="119"/>
  <c r="F61" i="119" s="1"/>
  <c r="F57" i="119"/>
  <c r="F30" i="119"/>
  <c r="C11" i="119"/>
  <c r="C66" i="119"/>
  <c r="F66" i="119" s="1"/>
  <c r="C62" i="119"/>
  <c r="F62" i="119" s="1"/>
  <c r="C58" i="119"/>
  <c r="F58" i="119" s="1"/>
  <c r="C22" i="119"/>
  <c r="C59" i="119"/>
  <c r="F59" i="119" s="1"/>
  <c r="C33" i="119"/>
  <c r="F31" i="119"/>
  <c r="F29" i="119"/>
  <c r="G29" i="119" s="1"/>
  <c r="G30" i="119"/>
  <c r="C34" i="119" s="1"/>
  <c r="F13" i="119" l="1"/>
  <c r="G13" i="119" s="1"/>
  <c r="F14" i="119" s="1"/>
  <c r="F15" i="119" s="1"/>
  <c r="E122" i="75"/>
  <c r="F115" i="75"/>
  <c r="F33" i="119"/>
  <c r="F32" i="119"/>
  <c r="C21" i="119"/>
  <c r="F47" i="119"/>
  <c r="C12" i="119"/>
  <c r="F48" i="119" s="1"/>
  <c r="D40" i="61"/>
  <c r="G16" i="89"/>
  <c r="G59" i="58"/>
  <c r="E59" i="58"/>
  <c r="D59" i="58"/>
  <c r="E126" i="75" l="1"/>
  <c r="C14" i="119"/>
  <c r="G33" i="119"/>
  <c r="F34" i="119" s="1"/>
  <c r="F35" i="119" s="1"/>
  <c r="C32" i="119"/>
  <c r="H59" i="58"/>
  <c r="C50" i="119" l="1"/>
  <c r="F50" i="119" s="1"/>
  <c r="C17" i="119"/>
  <c r="F53" i="119" l="1"/>
  <c r="C88" i="119" s="1"/>
  <c r="O16" i="37" l="1"/>
  <c r="E142" i="119"/>
  <c r="H142" i="119" s="1"/>
  <c r="E121" i="119"/>
  <c r="H121" i="119" s="1"/>
  <c r="E143" i="119"/>
  <c r="H143" i="119" s="1"/>
  <c r="E147" i="119"/>
  <c r="E136" i="119"/>
  <c r="H136" i="119" s="1"/>
  <c r="E132" i="119"/>
  <c r="H132" i="119" s="1"/>
  <c r="E128" i="119"/>
  <c r="H128" i="119" s="1"/>
  <c r="E124" i="119"/>
  <c r="H124" i="119" s="1"/>
  <c r="E120" i="119"/>
  <c r="H120" i="119" s="1"/>
  <c r="E116" i="119"/>
  <c r="H116" i="119" s="1"/>
  <c r="E111" i="119"/>
  <c r="H111" i="119" s="1"/>
  <c r="E107" i="119"/>
  <c r="H107" i="119" s="1"/>
  <c r="E103" i="119"/>
  <c r="H103" i="119" s="1"/>
  <c r="E99" i="119"/>
  <c r="H99" i="119" s="1"/>
  <c r="E94" i="119"/>
  <c r="H94" i="119" s="1"/>
  <c r="E98" i="119"/>
  <c r="H98" i="119" s="1"/>
  <c r="E134" i="119"/>
  <c r="H134" i="119" s="1"/>
  <c r="E126" i="119"/>
  <c r="H126" i="119" s="1"/>
  <c r="E118" i="119"/>
  <c r="H118" i="119" s="1"/>
  <c r="E109" i="119"/>
  <c r="H109" i="119" s="1"/>
  <c r="E101" i="119"/>
  <c r="H101" i="119" s="1"/>
  <c r="E92" i="119"/>
  <c r="H92" i="119" s="1"/>
  <c r="E133" i="119"/>
  <c r="H133" i="119" s="1"/>
  <c r="E125" i="119"/>
  <c r="H125" i="119" s="1"/>
  <c r="E112" i="119"/>
  <c r="H112" i="119" s="1"/>
  <c r="E104" i="119"/>
  <c r="H104" i="119" s="1"/>
  <c r="E95" i="119"/>
  <c r="H95" i="119" s="1"/>
  <c r="E114" i="119"/>
  <c r="H114" i="119" s="1"/>
  <c r="E141" i="119"/>
  <c r="H141" i="119" s="1"/>
  <c r="E139" i="119"/>
  <c r="H139" i="119" s="1"/>
  <c r="E135" i="119"/>
  <c r="H135" i="119" s="1"/>
  <c r="E131" i="119"/>
  <c r="H131" i="119" s="1"/>
  <c r="E127" i="119"/>
  <c r="H127" i="119" s="1"/>
  <c r="E123" i="119"/>
  <c r="H123" i="119" s="1"/>
  <c r="E119" i="119"/>
  <c r="H119" i="119" s="1"/>
  <c r="E115" i="119"/>
  <c r="H115" i="119" s="1"/>
  <c r="E110" i="119"/>
  <c r="H110" i="119" s="1"/>
  <c r="E106" i="119"/>
  <c r="H106" i="119" s="1"/>
  <c r="E102" i="119"/>
  <c r="H102" i="119" s="1"/>
  <c r="E97" i="119"/>
  <c r="H97" i="119" s="1"/>
  <c r="E93" i="119"/>
  <c r="H93" i="119" s="1"/>
  <c r="E140" i="119"/>
  <c r="H140" i="119" s="1"/>
  <c r="E138" i="119"/>
  <c r="H138" i="119" s="1"/>
  <c r="E130" i="119"/>
  <c r="H130" i="119" s="1"/>
  <c r="E122" i="119"/>
  <c r="H122" i="119" s="1"/>
  <c r="E113" i="119"/>
  <c r="H113" i="119" s="1"/>
  <c r="E105" i="119"/>
  <c r="H105" i="119" s="1"/>
  <c r="E96" i="119"/>
  <c r="H96" i="119" s="1"/>
  <c r="E137" i="119"/>
  <c r="H137" i="119" s="1"/>
  <c r="E129" i="119"/>
  <c r="H129" i="119" s="1"/>
  <c r="E117" i="119"/>
  <c r="H117" i="119" s="1"/>
  <c r="E108" i="119"/>
  <c r="H108" i="119" s="1"/>
  <c r="E100" i="119"/>
  <c r="H100" i="119" s="1"/>
  <c r="E91" i="119"/>
  <c r="H91" i="119" s="1"/>
  <c r="E144" i="119"/>
  <c r="H144" i="119" s="1"/>
  <c r="J131" i="117"/>
  <c r="E131" i="117"/>
  <c r="F131" i="117" s="1"/>
  <c r="J130" i="117"/>
  <c r="E130" i="117"/>
  <c r="F130" i="117" s="1"/>
  <c r="J129" i="117"/>
  <c r="E129" i="117"/>
  <c r="F129" i="117" s="1"/>
  <c r="J128" i="117"/>
  <c r="E128" i="117"/>
  <c r="F128" i="117" s="1"/>
  <c r="J127" i="117"/>
  <c r="E127" i="117"/>
  <c r="F127" i="117" s="1"/>
  <c r="J126" i="117"/>
  <c r="E126" i="117"/>
  <c r="F126" i="117" s="1"/>
  <c r="J125" i="117"/>
  <c r="E125" i="117"/>
  <c r="F125" i="117" s="1"/>
  <c r="J124" i="117"/>
  <c r="E124" i="117"/>
  <c r="F124" i="117" s="1"/>
  <c r="J123" i="117"/>
  <c r="E123" i="117"/>
  <c r="F123" i="117" s="1"/>
  <c r="J122" i="117"/>
  <c r="E122" i="117"/>
  <c r="F122" i="117" s="1"/>
  <c r="J121" i="117"/>
  <c r="E121" i="117"/>
  <c r="F121" i="117" s="1"/>
  <c r="J120" i="117"/>
  <c r="E120" i="117"/>
  <c r="F120" i="117" s="1"/>
  <c r="J119" i="117"/>
  <c r="E119" i="117"/>
  <c r="F119" i="117" s="1"/>
  <c r="J118" i="117"/>
  <c r="E118" i="117"/>
  <c r="F118" i="117" s="1"/>
  <c r="J117" i="117"/>
  <c r="E117" i="117"/>
  <c r="F117" i="117" s="1"/>
  <c r="J116" i="117"/>
  <c r="E116" i="117"/>
  <c r="F116" i="117" s="1"/>
  <c r="J115" i="117"/>
  <c r="E115" i="117"/>
  <c r="F115" i="117" s="1"/>
  <c r="J114" i="117"/>
  <c r="E114" i="117"/>
  <c r="F114" i="117" s="1"/>
  <c r="J113" i="117"/>
  <c r="E113" i="117"/>
  <c r="F113" i="117" s="1"/>
  <c r="J112" i="117"/>
  <c r="E112" i="117"/>
  <c r="F112" i="117" s="1"/>
  <c r="J111" i="117"/>
  <c r="E111" i="117"/>
  <c r="F111" i="117" s="1"/>
  <c r="J110" i="117"/>
  <c r="E110" i="117"/>
  <c r="F110" i="117" s="1"/>
  <c r="J109" i="117"/>
  <c r="E109" i="117"/>
  <c r="F109" i="117" s="1"/>
  <c r="J108" i="117"/>
  <c r="E108" i="117"/>
  <c r="F108" i="117" s="1"/>
  <c r="J107" i="117"/>
  <c r="E107" i="117"/>
  <c r="F107" i="117" s="1"/>
  <c r="J106" i="117"/>
  <c r="E106" i="117"/>
  <c r="F106" i="117" s="1"/>
  <c r="J105" i="117"/>
  <c r="E105" i="117"/>
  <c r="F105" i="117" s="1"/>
  <c r="J104" i="117"/>
  <c r="E104" i="117"/>
  <c r="F104" i="117" s="1"/>
  <c r="J103" i="117"/>
  <c r="E103" i="117"/>
  <c r="F103" i="117" s="1"/>
  <c r="J102" i="117"/>
  <c r="E102" i="117"/>
  <c r="F102" i="117" s="1"/>
  <c r="J101" i="117"/>
  <c r="E101" i="117"/>
  <c r="F101" i="117" s="1"/>
  <c r="J100" i="117"/>
  <c r="E100" i="117"/>
  <c r="F100" i="117" s="1"/>
  <c r="J99" i="117"/>
  <c r="E99" i="117"/>
  <c r="F99" i="117" s="1"/>
  <c r="J98" i="117"/>
  <c r="E98" i="117"/>
  <c r="F98" i="117" s="1"/>
  <c r="J97" i="117"/>
  <c r="E97" i="117"/>
  <c r="F97" i="117" s="1"/>
  <c r="J96" i="117"/>
  <c r="E96" i="117"/>
  <c r="F96" i="117" s="1"/>
  <c r="J95" i="117"/>
  <c r="E95" i="117"/>
  <c r="F95" i="117" s="1"/>
  <c r="J94" i="117"/>
  <c r="E94" i="117"/>
  <c r="F94" i="117" s="1"/>
  <c r="J93" i="117"/>
  <c r="E93" i="117"/>
  <c r="F93" i="117" s="1"/>
  <c r="J92" i="117"/>
  <c r="E92" i="117"/>
  <c r="F92" i="117" s="1"/>
  <c r="J91" i="117"/>
  <c r="E91" i="117"/>
  <c r="F91" i="117" s="1"/>
  <c r="J90" i="117"/>
  <c r="E90" i="117"/>
  <c r="F90" i="117" s="1"/>
  <c r="J89" i="117"/>
  <c r="E89" i="117"/>
  <c r="F89" i="117" s="1"/>
  <c r="J88" i="117"/>
  <c r="E88" i="117"/>
  <c r="F88" i="117" s="1"/>
  <c r="J87" i="117"/>
  <c r="E87" i="117"/>
  <c r="F87" i="117" s="1"/>
  <c r="J86" i="117"/>
  <c r="E86" i="117"/>
  <c r="F86" i="117" s="1"/>
  <c r="J85" i="117"/>
  <c r="E85" i="117"/>
  <c r="F85" i="117" s="1"/>
  <c r="J84" i="117"/>
  <c r="E84" i="117"/>
  <c r="F84" i="117" s="1"/>
  <c r="J83" i="117"/>
  <c r="E83" i="117"/>
  <c r="F83" i="117" s="1"/>
  <c r="J82" i="117"/>
  <c r="E82" i="117"/>
  <c r="F82" i="117" s="1"/>
  <c r="J81" i="117"/>
  <c r="E81" i="117"/>
  <c r="F81" i="117" s="1"/>
  <c r="J80" i="117"/>
  <c r="E80" i="117"/>
  <c r="F80" i="117" s="1"/>
  <c r="J79" i="117"/>
  <c r="E79" i="117"/>
  <c r="F79" i="117" s="1"/>
  <c r="J78" i="117"/>
  <c r="E78" i="117"/>
  <c r="F78" i="117" s="1"/>
  <c r="J77" i="117"/>
  <c r="E77" i="117"/>
  <c r="F77" i="117" s="1"/>
  <c r="J76" i="117"/>
  <c r="E76" i="117"/>
  <c r="F76" i="117" s="1"/>
  <c r="J75" i="117"/>
  <c r="E75" i="117"/>
  <c r="F75" i="117" s="1"/>
  <c r="J74" i="117"/>
  <c r="E74" i="117"/>
  <c r="F74" i="117" s="1"/>
  <c r="J73" i="117"/>
  <c r="E73" i="117"/>
  <c r="F73" i="117" s="1"/>
  <c r="J72" i="117"/>
  <c r="E72" i="117"/>
  <c r="F72" i="117" s="1"/>
  <c r="J71" i="117"/>
  <c r="E71" i="117"/>
  <c r="F71" i="117" s="1"/>
  <c r="J70" i="117"/>
  <c r="E70" i="117"/>
  <c r="F70" i="117" s="1"/>
  <c r="J69" i="117"/>
  <c r="E69" i="117"/>
  <c r="F69" i="117" s="1"/>
  <c r="J68" i="117"/>
  <c r="E68" i="117"/>
  <c r="F68" i="117" s="1"/>
  <c r="J67" i="117"/>
  <c r="E67" i="117"/>
  <c r="F67" i="117" s="1"/>
  <c r="J66" i="117"/>
  <c r="E66" i="117"/>
  <c r="F66" i="117" s="1"/>
  <c r="J65" i="117"/>
  <c r="E65" i="117"/>
  <c r="F65" i="117" s="1"/>
  <c r="J64" i="117"/>
  <c r="E64" i="117"/>
  <c r="F64" i="117" s="1"/>
  <c r="J63" i="117"/>
  <c r="E63" i="117"/>
  <c r="F63" i="117" s="1"/>
  <c r="J62" i="117"/>
  <c r="E62" i="117"/>
  <c r="F62" i="117" s="1"/>
  <c r="J61" i="117"/>
  <c r="E61" i="117"/>
  <c r="F61" i="117" s="1"/>
  <c r="J60" i="117"/>
  <c r="E60" i="117"/>
  <c r="F60" i="117" s="1"/>
  <c r="J59" i="117"/>
  <c r="E59" i="117"/>
  <c r="F59" i="117" s="1"/>
  <c r="J58" i="117"/>
  <c r="E58" i="117"/>
  <c r="F58" i="117" s="1"/>
  <c r="J57" i="117"/>
  <c r="E57" i="117"/>
  <c r="F57" i="117" s="1"/>
  <c r="J56" i="117"/>
  <c r="E56" i="117"/>
  <c r="F56" i="117" s="1"/>
  <c r="J55" i="117"/>
  <c r="E55" i="117"/>
  <c r="F55" i="117" s="1"/>
  <c r="J54" i="117"/>
  <c r="E54" i="117"/>
  <c r="F54" i="117" s="1"/>
  <c r="J53" i="117"/>
  <c r="E53" i="117"/>
  <c r="F53" i="117" s="1"/>
  <c r="J52" i="117"/>
  <c r="E52" i="117"/>
  <c r="F52" i="117" s="1"/>
  <c r="J51" i="117"/>
  <c r="E51" i="117"/>
  <c r="F51" i="117" s="1"/>
  <c r="J50" i="117"/>
  <c r="E50" i="117"/>
  <c r="F50" i="117" s="1"/>
  <c r="J49" i="117"/>
  <c r="E49" i="117"/>
  <c r="F49" i="117" s="1"/>
  <c r="J48" i="117"/>
  <c r="E48" i="117"/>
  <c r="F48" i="117" s="1"/>
  <c r="J47" i="117"/>
  <c r="E47" i="117"/>
  <c r="F47" i="117" s="1"/>
  <c r="J46" i="117"/>
  <c r="E46" i="117"/>
  <c r="F46" i="117" s="1"/>
  <c r="J45" i="117"/>
  <c r="E45" i="117"/>
  <c r="F45" i="117" s="1"/>
  <c r="J44" i="117"/>
  <c r="E44" i="117"/>
  <c r="F44" i="117" s="1"/>
  <c r="J43" i="117"/>
  <c r="E43" i="117"/>
  <c r="F43" i="117" s="1"/>
  <c r="J42" i="117"/>
  <c r="E42" i="117"/>
  <c r="F42" i="117" s="1"/>
  <c r="J41" i="117"/>
  <c r="E41" i="117"/>
  <c r="F41" i="117" s="1"/>
  <c r="J40" i="117"/>
  <c r="E40" i="117"/>
  <c r="F40" i="117" s="1"/>
  <c r="J39" i="117"/>
  <c r="I40" i="117"/>
  <c r="I41" i="117" s="1"/>
  <c r="E39" i="117"/>
  <c r="F39" i="117" s="1"/>
  <c r="K39" i="117" s="1"/>
  <c r="J38" i="117"/>
  <c r="E38" i="117"/>
  <c r="F38" i="117" s="1"/>
  <c r="C30" i="117"/>
  <c r="H49" i="117" s="1"/>
  <c r="H145" i="119" l="1"/>
  <c r="K40" i="117"/>
  <c r="K42" i="117"/>
  <c r="I42" i="117"/>
  <c r="K41" i="117"/>
  <c r="E148" i="119" l="1"/>
  <c r="E149" i="119" s="1"/>
  <c r="Q16" i="37"/>
  <c r="R16" i="37" s="1"/>
  <c r="I43" i="117"/>
  <c r="K43" i="117"/>
  <c r="I44" i="117" l="1"/>
  <c r="K44" i="117"/>
  <c r="K45" i="117" l="1"/>
  <c r="I45" i="117"/>
  <c r="K46" i="117" l="1"/>
  <c r="I46" i="117"/>
  <c r="I47" i="117" l="1"/>
  <c r="K47" i="117"/>
  <c r="I48" i="117" l="1"/>
  <c r="I49" i="117" s="1"/>
  <c r="K48" i="117"/>
  <c r="K49" i="117" l="1"/>
  <c r="K50" i="117" l="1"/>
  <c r="I50" i="117"/>
  <c r="K51" i="117" l="1"/>
  <c r="I51" i="117"/>
  <c r="K52" i="117" l="1"/>
  <c r="I52" i="117"/>
  <c r="I53" i="117" l="1"/>
  <c r="K53" i="117"/>
  <c r="I54" i="117" l="1"/>
  <c r="K54" i="117"/>
  <c r="K55" i="117" l="1"/>
  <c r="I55" i="117"/>
  <c r="I56" i="117" l="1"/>
  <c r="K56" i="117"/>
  <c r="I57" i="117" l="1"/>
  <c r="K57" i="117"/>
  <c r="K58" i="117" l="1"/>
  <c r="I58" i="117"/>
  <c r="K59" i="117" l="1"/>
  <c r="I59" i="117"/>
  <c r="I60" i="117" l="1"/>
  <c r="K61" i="117" s="1"/>
  <c r="K60" i="117"/>
  <c r="I61" i="117" l="1"/>
  <c r="K62" i="117" l="1"/>
  <c r="I62" i="117"/>
  <c r="I63" i="117" l="1"/>
  <c r="K63" i="117"/>
  <c r="I64" i="117" l="1"/>
  <c r="K64" i="117"/>
  <c r="K65" i="117" l="1"/>
  <c r="I65" i="117"/>
  <c r="K66" i="117" l="1"/>
  <c r="I66" i="117"/>
  <c r="K67" i="117" l="1"/>
  <c r="I67" i="117"/>
  <c r="K68" i="117" l="1"/>
  <c r="I68" i="117"/>
  <c r="K69" i="117" l="1"/>
  <c r="I69" i="117"/>
  <c r="I70" i="117" l="1"/>
  <c r="K70" i="117"/>
  <c r="I71" i="117" l="1"/>
  <c r="K71" i="117"/>
  <c r="K72" i="117" l="1"/>
  <c r="I72" i="117"/>
  <c r="I73" i="117" s="1"/>
  <c r="K73" i="117" l="1"/>
  <c r="K74" i="117" l="1"/>
  <c r="I74" i="117"/>
  <c r="K75" i="117" l="1"/>
  <c r="I75" i="117"/>
  <c r="I76" i="117" s="1"/>
  <c r="I77" i="117" l="1"/>
  <c r="K76" i="117"/>
  <c r="I78" i="117" l="1"/>
  <c r="K77" i="117"/>
  <c r="K78" i="117" l="1"/>
  <c r="I79" i="117"/>
  <c r="K79" i="117" l="1"/>
  <c r="I80" i="117"/>
  <c r="I81" i="117" l="1"/>
  <c r="K80" i="117"/>
  <c r="I82" i="117" l="1"/>
  <c r="K81" i="117"/>
  <c r="K82" i="117" l="1"/>
  <c r="I83" i="117"/>
  <c r="K83" i="117" l="1"/>
  <c r="I84" i="117"/>
  <c r="I85" i="117" l="1"/>
  <c r="K84" i="117"/>
  <c r="K85" i="117" l="1"/>
  <c r="I86" i="117"/>
  <c r="K86" i="117" l="1"/>
  <c r="I87" i="117"/>
  <c r="K87" i="117" l="1"/>
  <c r="I88" i="117"/>
  <c r="I89" i="117" l="1"/>
  <c r="K88" i="117"/>
  <c r="K89" i="117" l="1"/>
  <c r="I90" i="117"/>
  <c r="K90" i="117" l="1"/>
  <c r="I91" i="117"/>
  <c r="K91" i="117" l="1"/>
  <c r="I92" i="117"/>
  <c r="I93" i="117" l="1"/>
  <c r="K92" i="117"/>
  <c r="K93" i="117" l="1"/>
  <c r="I94" i="117"/>
  <c r="K94" i="117" l="1"/>
  <c r="I95" i="117"/>
  <c r="K95" i="117" l="1"/>
  <c r="I96" i="117"/>
  <c r="I97" i="117" l="1"/>
  <c r="K96" i="117"/>
  <c r="K97" i="117" l="1"/>
  <c r="I98" i="117"/>
  <c r="K98" i="117" l="1"/>
  <c r="I99" i="117"/>
  <c r="K99" i="117" l="1"/>
  <c r="I100" i="117"/>
  <c r="I101" i="117" l="1"/>
  <c r="K100" i="117"/>
  <c r="I102" i="117" l="1"/>
  <c r="K101" i="117"/>
  <c r="K102" i="117" l="1"/>
  <c r="I103" i="117"/>
  <c r="K103" i="117" l="1"/>
  <c r="I104" i="117"/>
  <c r="I105" i="117" l="1"/>
  <c r="K104" i="117"/>
  <c r="I106" i="117" l="1"/>
  <c r="K105" i="117"/>
  <c r="K106" i="117" l="1"/>
  <c r="I107" i="117"/>
  <c r="K107" i="117" l="1"/>
  <c r="I108" i="117"/>
  <c r="I109" i="117" l="1"/>
  <c r="K108" i="117"/>
  <c r="K109" i="117" l="1"/>
  <c r="I110" i="117"/>
  <c r="K110" i="117" l="1"/>
  <c r="I111" i="117"/>
  <c r="K111" i="117" l="1"/>
  <c r="I112" i="117"/>
  <c r="I113" i="117" l="1"/>
  <c r="K112" i="117"/>
  <c r="K113" i="117" l="1"/>
  <c r="I114" i="117"/>
  <c r="K114" i="117" l="1"/>
  <c r="I115" i="117"/>
  <c r="K115" i="117" l="1"/>
  <c r="I116" i="117"/>
  <c r="I117" i="117" l="1"/>
  <c r="K116" i="117"/>
  <c r="K117" i="117" l="1"/>
  <c r="I118" i="117"/>
  <c r="K118" i="117" l="1"/>
  <c r="I119" i="117"/>
  <c r="K119" i="117" l="1"/>
  <c r="I120" i="117"/>
  <c r="I121" i="117" l="1"/>
  <c r="K120" i="117"/>
  <c r="I122" i="117" l="1"/>
  <c r="K121" i="117"/>
  <c r="K122" i="117" l="1"/>
  <c r="I123" i="117"/>
  <c r="K123" i="117" l="1"/>
  <c r="I124" i="117"/>
  <c r="I125" i="117" l="1"/>
  <c r="K124" i="117"/>
  <c r="K125" i="117" l="1"/>
  <c r="I126" i="117"/>
  <c r="K126" i="117" l="1"/>
  <c r="I127" i="117"/>
  <c r="K127" i="117" l="1"/>
  <c r="I128" i="117"/>
  <c r="I129" i="117" l="1"/>
  <c r="K128" i="117"/>
  <c r="I130" i="117" l="1"/>
  <c r="K129" i="117"/>
  <c r="K130" i="117" l="1"/>
  <c r="I131" i="117"/>
  <c r="C136" i="117" s="1"/>
  <c r="I132" i="117" l="1"/>
  <c r="K132" i="117" s="1"/>
  <c r="K133" i="117" s="1"/>
  <c r="K131" i="117"/>
  <c r="O3" i="37"/>
  <c r="C137" i="117" l="1"/>
  <c r="Q3" i="37" l="1"/>
  <c r="C138" i="117"/>
  <c r="J38" i="82"/>
  <c r="E37" i="82"/>
  <c r="F37" i="82" s="1"/>
  <c r="G37" i="82" s="1"/>
  <c r="H37" i="82"/>
  <c r="I37" i="82"/>
  <c r="I123" i="32"/>
  <c r="D122" i="32"/>
  <c r="E122" i="32" s="1"/>
  <c r="F122" i="32" s="1"/>
  <c r="I122" i="32" s="1"/>
  <c r="G122" i="32"/>
  <c r="H122" i="32"/>
  <c r="I123" i="30"/>
  <c r="D122" i="30"/>
  <c r="E122" i="30" s="1"/>
  <c r="F122" i="30" s="1"/>
  <c r="I122" i="30" s="1"/>
  <c r="G122" i="30"/>
  <c r="H122" i="30"/>
  <c r="I85" i="29"/>
  <c r="H75"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50" i="29"/>
  <c r="H51" i="29"/>
  <c r="H52" i="29"/>
  <c r="H53" i="29"/>
  <c r="H54" i="29"/>
  <c r="H55" i="29"/>
  <c r="H56" i="29"/>
  <c r="H57" i="29"/>
  <c r="H58" i="29"/>
  <c r="H59" i="29"/>
  <c r="H60" i="29"/>
  <c r="H61" i="29"/>
  <c r="H62" i="29"/>
  <c r="H63" i="29"/>
  <c r="H64" i="29"/>
  <c r="H65" i="29"/>
  <c r="H66" i="29"/>
  <c r="H67" i="29"/>
  <c r="H68" i="29"/>
  <c r="H69" i="29"/>
  <c r="H70" i="29"/>
  <c r="H71" i="29"/>
  <c r="H72" i="29"/>
  <c r="H73" i="29"/>
  <c r="H74" i="29"/>
  <c r="H76" i="29"/>
  <c r="H77" i="29"/>
  <c r="H78" i="29"/>
  <c r="H79" i="29"/>
  <c r="H80" i="29"/>
  <c r="H81" i="29"/>
  <c r="H82" i="29"/>
  <c r="H83" i="29"/>
  <c r="H84" i="29"/>
  <c r="A84" i="29"/>
  <c r="D84" i="29"/>
  <c r="E84" i="29" s="1"/>
  <c r="F84" i="29" s="1"/>
  <c r="G33" i="68"/>
  <c r="E30" i="102"/>
  <c r="F30" i="102" s="1"/>
  <c r="G30" i="102"/>
  <c r="H30" i="102"/>
  <c r="G26" i="99"/>
  <c r="H26" i="99"/>
  <c r="T78" i="66"/>
  <c r="T79" i="66"/>
  <c r="T80" i="66"/>
  <c r="T81" i="66"/>
  <c r="T82" i="66"/>
  <c r="T83" i="66"/>
  <c r="T84" i="66"/>
  <c r="T85" i="66"/>
  <c r="T86" i="66"/>
  <c r="T87" i="66"/>
  <c r="T88" i="66"/>
  <c r="T89" i="66"/>
  <c r="T90" i="66"/>
  <c r="T91" i="66"/>
  <c r="T92" i="66"/>
  <c r="T93" i="66"/>
  <c r="T94" i="66"/>
  <c r="T95" i="66"/>
  <c r="T96" i="66"/>
  <c r="T97" i="66"/>
  <c r="T98" i="66"/>
  <c r="T99" i="66"/>
  <c r="T100" i="66"/>
  <c r="T101" i="66"/>
  <c r="T77" i="66"/>
  <c r="R101" i="66"/>
  <c r="U101" i="66" s="1"/>
  <c r="H33" i="98"/>
  <c r="E58" i="104"/>
  <c r="F58" i="104" s="1"/>
  <c r="G58" i="104"/>
  <c r="H58" i="104"/>
  <c r="E82" i="19"/>
  <c r="F82" i="19" s="1"/>
  <c r="H82" i="19"/>
  <c r="G124" i="105"/>
  <c r="G111" i="97"/>
  <c r="H111" i="97"/>
  <c r="G269" i="56"/>
  <c r="D90" i="43"/>
  <c r="E90" i="43" s="1"/>
  <c r="G90" i="43"/>
  <c r="E44" i="94"/>
  <c r="F44" i="94" s="1"/>
  <c r="G44" i="94"/>
  <c r="E41" i="85"/>
  <c r="F41" i="85" s="1"/>
  <c r="E42" i="59"/>
  <c r="F42" i="59" s="1"/>
  <c r="H42" i="59"/>
  <c r="E43" i="24"/>
  <c r="F43" i="24" s="1"/>
  <c r="H43" i="24"/>
  <c r="E45" i="92"/>
  <c r="G45" i="92"/>
  <c r="H45" i="92"/>
  <c r="E77" i="26"/>
  <c r="F77" i="26" s="1"/>
  <c r="G77" i="26"/>
  <c r="H77" i="26"/>
  <c r="D47" i="91"/>
  <c r="E47" i="91" s="1"/>
  <c r="G47" i="91"/>
  <c r="E58" i="64"/>
  <c r="F58" i="64" s="1"/>
  <c r="H58" i="64"/>
  <c r="M71" i="21"/>
  <c r="N71" i="21" s="1"/>
  <c r="O71" i="21"/>
  <c r="D139" i="62"/>
  <c r="E139" i="62" s="1"/>
  <c r="G139" i="62"/>
  <c r="F70" i="22"/>
  <c r="F28" i="23"/>
  <c r="O123" i="86"/>
  <c r="R123" i="86" s="1"/>
  <c r="Q123" i="86"/>
  <c r="E68" i="47"/>
  <c r="F68" i="47" s="1"/>
  <c r="H68" i="47"/>
  <c r="E76" i="55"/>
  <c r="F76" i="55" s="1"/>
  <c r="H76" i="55" s="1"/>
  <c r="G76" i="55"/>
  <c r="D90" i="44"/>
  <c r="E90" i="44" s="1"/>
  <c r="F90" i="44"/>
  <c r="G90" i="44"/>
  <c r="I26" i="99" l="1"/>
  <c r="I30" i="102"/>
  <c r="C139" i="117"/>
  <c r="P3" i="37"/>
  <c r="H90" i="44"/>
  <c r="I44" i="94"/>
  <c r="J37" i="82"/>
  <c r="I58" i="104"/>
  <c r="I45" i="92"/>
  <c r="I47" i="92" s="1"/>
  <c r="I48" i="92" s="1"/>
  <c r="P71" i="21"/>
  <c r="C8" i="91"/>
  <c r="R3" i="37" l="1"/>
  <c r="C24" i="58"/>
  <c r="C23" i="58"/>
  <c r="P128" i="86"/>
  <c r="N134" i="86" s="1"/>
  <c r="N144" i="86" s="1"/>
  <c r="P127" i="86"/>
  <c r="N133" i="86" s="1"/>
  <c r="Q122" i="86"/>
  <c r="R122" i="86"/>
  <c r="Q121" i="86"/>
  <c r="O121" i="86"/>
  <c r="R121" i="86" s="1"/>
  <c r="Q120" i="86"/>
  <c r="O120" i="86"/>
  <c r="R120" i="86" s="1"/>
  <c r="R119" i="86"/>
  <c r="Q119" i="86"/>
  <c r="R118" i="86"/>
  <c r="Q118" i="86"/>
  <c r="R117" i="86"/>
  <c r="Q117" i="86"/>
  <c r="R116" i="86"/>
  <c r="Q116" i="86"/>
  <c r="R115" i="86"/>
  <c r="Q115" i="86"/>
  <c r="R114" i="86"/>
  <c r="Q114" i="86"/>
  <c r="R113" i="86"/>
  <c r="Q113" i="86"/>
  <c r="R112" i="86"/>
  <c r="Q112" i="86"/>
  <c r="R111" i="86"/>
  <c r="Q111" i="86"/>
  <c r="R110" i="86"/>
  <c r="Q110" i="86"/>
  <c r="R109" i="86"/>
  <c r="Q109" i="86"/>
  <c r="R108" i="86"/>
  <c r="Q108" i="86"/>
  <c r="R107" i="86"/>
  <c r="Q107" i="86"/>
  <c r="R106" i="86"/>
  <c r="Q106" i="86"/>
  <c r="R105" i="86"/>
  <c r="Q105" i="86"/>
  <c r="R104" i="86"/>
  <c r="Q104" i="86"/>
  <c r="R103" i="86"/>
  <c r="Q103" i="86"/>
  <c r="R102" i="86"/>
  <c r="Q102" i="86"/>
  <c r="R101" i="86"/>
  <c r="Q101" i="86"/>
  <c r="R100" i="86"/>
  <c r="Q100" i="86"/>
  <c r="R99" i="86"/>
  <c r="Q99" i="86"/>
  <c r="R98" i="86"/>
  <c r="Q98" i="86"/>
  <c r="R97" i="86"/>
  <c r="Q97" i="86"/>
  <c r="R96" i="86"/>
  <c r="Q96" i="86"/>
  <c r="R95" i="86"/>
  <c r="Q95" i="86"/>
  <c r="R94" i="86"/>
  <c r="Q94" i="86"/>
  <c r="R93" i="86"/>
  <c r="Q93" i="86"/>
  <c r="R92" i="86"/>
  <c r="Q92" i="86"/>
  <c r="R91" i="86"/>
  <c r="Q91" i="86"/>
  <c r="R90" i="86"/>
  <c r="Q90" i="86"/>
  <c r="R89" i="86"/>
  <c r="Q89" i="86"/>
  <c r="R88" i="86"/>
  <c r="Q88" i="86"/>
  <c r="R87" i="86"/>
  <c r="Q87" i="86"/>
  <c r="R86" i="86"/>
  <c r="Q86" i="86"/>
  <c r="R85" i="86"/>
  <c r="Q85" i="86"/>
  <c r="R84" i="86"/>
  <c r="Q84" i="86"/>
  <c r="R83" i="86"/>
  <c r="Q83" i="86"/>
  <c r="R82" i="86"/>
  <c r="Q82" i="86"/>
  <c r="R81" i="86"/>
  <c r="Q81" i="86"/>
  <c r="R80" i="86"/>
  <c r="Q80" i="86"/>
  <c r="R79" i="86"/>
  <c r="Q79" i="86"/>
  <c r="R78" i="86"/>
  <c r="Q78" i="86"/>
  <c r="R77" i="86"/>
  <c r="Q77" i="86"/>
  <c r="Q76" i="86"/>
  <c r="O76" i="86"/>
  <c r="R76" i="86" s="1"/>
  <c r="R75" i="86"/>
  <c r="Q75" i="86"/>
  <c r="R74" i="86"/>
  <c r="Q74" i="86"/>
  <c r="R73" i="86"/>
  <c r="Q73" i="86"/>
  <c r="R72" i="86"/>
  <c r="Q72" i="86"/>
  <c r="R71" i="86"/>
  <c r="Q71" i="86"/>
  <c r="R70" i="86"/>
  <c r="Q70" i="86"/>
  <c r="R69" i="86"/>
  <c r="Q69" i="86"/>
  <c r="R68" i="86"/>
  <c r="Q68" i="86"/>
  <c r="R67" i="86"/>
  <c r="Q67" i="86"/>
  <c r="R66" i="86"/>
  <c r="Q66" i="86"/>
  <c r="R65" i="86"/>
  <c r="Q65" i="86"/>
  <c r="R64" i="86"/>
  <c r="Q64" i="86"/>
  <c r="R63" i="86"/>
  <c r="Q63" i="86"/>
  <c r="R62" i="86"/>
  <c r="Q62" i="86"/>
  <c r="R61" i="86"/>
  <c r="Q61" i="86"/>
  <c r="R60" i="86"/>
  <c r="Q60" i="86"/>
  <c r="R59" i="86"/>
  <c r="Q59" i="86"/>
  <c r="Q58" i="86"/>
  <c r="N143" i="86" l="1"/>
  <c r="Q143" i="86" s="1"/>
  <c r="Q133" i="86"/>
  <c r="Q134" i="86"/>
  <c r="Q135" i="86" l="1"/>
  <c r="Q144" i="86"/>
  <c r="Q145" i="86" s="1"/>
  <c r="E56" i="89" l="1"/>
  <c r="D56" i="89"/>
  <c r="E46" i="89"/>
  <c r="D46" i="89"/>
  <c r="E38" i="86"/>
  <c r="B154" i="86"/>
  <c r="B153" i="86"/>
  <c r="D49" i="94" l="1"/>
  <c r="G41" i="26"/>
  <c r="H41" i="26"/>
  <c r="H12" i="26"/>
  <c r="H13" i="26"/>
  <c r="H14" i="26"/>
  <c r="H15" i="26"/>
  <c r="H16" i="26"/>
  <c r="H17" i="26"/>
  <c r="H18" i="26"/>
  <c r="H19" i="26"/>
  <c r="H20" i="26"/>
  <c r="H21" i="26"/>
  <c r="H22" i="26"/>
  <c r="H23" i="26"/>
  <c r="H24" i="26"/>
  <c r="H25" i="26"/>
  <c r="H26" i="26"/>
  <c r="H27" i="26"/>
  <c r="H28" i="26"/>
  <c r="H29" i="26"/>
  <c r="H30" i="26"/>
  <c r="H31" i="26"/>
  <c r="H32" i="26"/>
  <c r="H33" i="26"/>
  <c r="H34" i="26"/>
  <c r="H35" i="26"/>
  <c r="H36" i="26"/>
  <c r="H37" i="26"/>
  <c r="H38" i="26"/>
  <c r="H39" i="26"/>
  <c r="H40" i="26"/>
  <c r="H11" i="26"/>
  <c r="G50" i="26"/>
  <c r="H50" i="26"/>
  <c r="E50" i="26"/>
  <c r="F50" i="26" s="1"/>
  <c r="E15" i="91"/>
  <c r="F44" i="28"/>
  <c r="I44" i="28" s="1"/>
  <c r="F43" i="28"/>
  <c r="I43" i="28" s="1"/>
  <c r="F42" i="28"/>
  <c r="I41" i="26" l="1"/>
  <c r="D43" i="28"/>
  <c r="H43" i="28" s="1"/>
  <c r="D44" i="28" l="1"/>
  <c r="H44" i="28" s="1"/>
  <c r="D45" i="28" l="1"/>
  <c r="H45" i="28" s="1"/>
  <c r="J45" i="28" s="1"/>
  <c r="J46" i="28" s="1"/>
  <c r="J44" i="28"/>
  <c r="B50" i="28" l="1"/>
  <c r="B10" i="28"/>
  <c r="M26" i="21"/>
  <c r="N26" i="21" s="1"/>
  <c r="M27" i="21"/>
  <c r="N27" i="21" s="1"/>
  <c r="M28" i="21"/>
  <c r="N28" i="21" s="1"/>
  <c r="M29" i="21"/>
  <c r="N29" i="21" s="1"/>
  <c r="M30" i="21"/>
  <c r="N30" i="21" s="1"/>
  <c r="M31" i="21"/>
  <c r="N31" i="21" s="1"/>
  <c r="M32" i="21"/>
  <c r="N32" i="21" s="1"/>
  <c r="M33" i="21"/>
  <c r="N33" i="21" s="1"/>
  <c r="M34" i="21"/>
  <c r="N34" i="21" s="1"/>
  <c r="M35" i="21"/>
  <c r="N35" i="21" s="1"/>
  <c r="M36" i="21"/>
  <c r="N36" i="21" s="1"/>
  <c r="M37" i="21"/>
  <c r="N37" i="21" s="1"/>
  <c r="M38" i="21"/>
  <c r="N38" i="21" s="1"/>
  <c r="M39" i="21"/>
  <c r="N39" i="21" s="1"/>
  <c r="M40" i="21"/>
  <c r="N40" i="21" s="1"/>
  <c r="D15" i="64"/>
  <c r="D217" i="64" s="1"/>
  <c r="D14" i="64"/>
  <c r="D167" i="64" s="1"/>
  <c r="D13" i="64"/>
  <c r="D117" i="64" s="1"/>
  <c r="C162" i="64" s="1"/>
  <c r="D68" i="64"/>
  <c r="G14" i="23"/>
  <c r="C15" i="23" s="1"/>
  <c r="G23" i="23"/>
  <c r="I23" i="23" s="1"/>
  <c r="F21" i="47"/>
  <c r="F22" i="47"/>
  <c r="C10" i="47"/>
  <c r="C75" i="47" s="1"/>
  <c r="P5" i="37"/>
  <c r="D30" i="44"/>
  <c r="D31" i="44"/>
  <c r="E31" i="44" s="1"/>
  <c r="D32" i="44"/>
  <c r="E32" i="44" s="1"/>
  <c r="D33" i="44"/>
  <c r="E33" i="44" s="1"/>
  <c r="D34" i="44"/>
  <c r="E34" i="44" s="1"/>
  <c r="D35" i="44"/>
  <c r="D36" i="44"/>
  <c r="E36" i="44" s="1"/>
  <c r="D37" i="44"/>
  <c r="E37" i="44" s="1"/>
  <c r="D38" i="44"/>
  <c r="E38" i="44" s="1"/>
  <c r="D39" i="44"/>
  <c r="E39" i="44" s="1"/>
  <c r="D40" i="44"/>
  <c r="E40" i="44" s="1"/>
  <c r="D41" i="44"/>
  <c r="E41" i="44" s="1"/>
  <c r="D42" i="44"/>
  <c r="E42" i="44" s="1"/>
  <c r="D43" i="44"/>
  <c r="E43" i="44" s="1"/>
  <c r="D44" i="44"/>
  <c r="E44" i="44" s="1"/>
  <c r="D45" i="44"/>
  <c r="E45" i="44" s="1"/>
  <c r="D46" i="44"/>
  <c r="D47" i="44"/>
  <c r="E47" i="44" s="1"/>
  <c r="D48" i="44"/>
  <c r="E48" i="44" s="1"/>
  <c r="D49" i="44"/>
  <c r="E49" i="44" s="1"/>
  <c r="D50" i="44"/>
  <c r="E50" i="44" s="1"/>
  <c r="D51" i="44"/>
  <c r="E51" i="44" s="1"/>
  <c r="D52" i="44"/>
  <c r="E52" i="44" s="1"/>
  <c r="D53" i="44"/>
  <c r="E53" i="44" s="1"/>
  <c r="D54" i="44"/>
  <c r="E54" i="44" s="1"/>
  <c r="D55" i="44"/>
  <c r="E55" i="44" s="1"/>
  <c r="D56" i="44"/>
  <c r="E56" i="44" s="1"/>
  <c r="D57" i="44"/>
  <c r="E57" i="44" s="1"/>
  <c r="D58" i="44"/>
  <c r="E58" i="44" s="1"/>
  <c r="D59" i="44"/>
  <c r="E59" i="44" s="1"/>
  <c r="D60" i="44"/>
  <c r="E60" i="44" s="1"/>
  <c r="D61" i="44"/>
  <c r="E61" i="44" s="1"/>
  <c r="D62" i="44"/>
  <c r="D63" i="44"/>
  <c r="E63" i="44" s="1"/>
  <c r="D64" i="44"/>
  <c r="E64" i="44" s="1"/>
  <c r="D65" i="44"/>
  <c r="E65" i="44" s="1"/>
  <c r="D66" i="44"/>
  <c r="E66" i="44" s="1"/>
  <c r="D67" i="44"/>
  <c r="E67" i="44" s="1"/>
  <c r="D68" i="44"/>
  <c r="E68" i="44" s="1"/>
  <c r="D69" i="44"/>
  <c r="E69" i="44" s="1"/>
  <c r="D70" i="44"/>
  <c r="E70" i="44" s="1"/>
  <c r="D71" i="44"/>
  <c r="E71" i="44" s="1"/>
  <c r="D72" i="44"/>
  <c r="E72" i="44" s="1"/>
  <c r="D73" i="44"/>
  <c r="E73" i="44" s="1"/>
  <c r="D74" i="44"/>
  <c r="E74" i="44" s="1"/>
  <c r="D75" i="44"/>
  <c r="E75" i="44" s="1"/>
  <c r="D76" i="44"/>
  <c r="E76" i="44" s="1"/>
  <c r="D77" i="44"/>
  <c r="E77" i="44" s="1"/>
  <c r="D78" i="44"/>
  <c r="D79" i="44"/>
  <c r="E79" i="44" s="1"/>
  <c r="D80" i="44"/>
  <c r="E80" i="44" s="1"/>
  <c r="D81" i="44"/>
  <c r="E81" i="44" s="1"/>
  <c r="D82" i="44"/>
  <c r="E82" i="44" s="1"/>
  <c r="D83" i="44"/>
  <c r="D84" i="44"/>
  <c r="E84" i="44" s="1"/>
  <c r="D85" i="44"/>
  <c r="E85" i="44" s="1"/>
  <c r="D86" i="44"/>
  <c r="E86" i="44" s="1"/>
  <c r="D87" i="44"/>
  <c r="E87" i="44" s="1"/>
  <c r="D88" i="44"/>
  <c r="E88" i="44" s="1"/>
  <c r="D89" i="44"/>
  <c r="E89" i="44" s="1"/>
  <c r="E30" i="44"/>
  <c r="E13" i="44"/>
  <c r="E14" i="44"/>
  <c r="E15" i="44"/>
  <c r="E16" i="44"/>
  <c r="E17" i="44"/>
  <c r="E18" i="44"/>
  <c r="E19" i="44"/>
  <c r="E20" i="44"/>
  <c r="E21" i="44"/>
  <c r="E22" i="44"/>
  <c r="E23" i="44"/>
  <c r="E24" i="44"/>
  <c r="E25" i="44"/>
  <c r="E26" i="44"/>
  <c r="E27" i="44"/>
  <c r="E28" i="44"/>
  <c r="E35" i="44"/>
  <c r="E46" i="44"/>
  <c r="E62" i="44"/>
  <c r="E78" i="44"/>
  <c r="E83" i="44"/>
  <c r="E11" i="44"/>
  <c r="D29" i="44"/>
  <c r="E29" i="44" s="1"/>
  <c r="C113" i="64" l="1"/>
  <c r="C115" i="64" s="1"/>
  <c r="C269" i="64"/>
  <c r="C262" i="64"/>
  <c r="G243" i="64"/>
  <c r="I243" i="64" s="1"/>
  <c r="G255" i="64"/>
  <c r="I255" i="64" s="1"/>
  <c r="G220" i="64"/>
  <c r="I220" i="64" s="1"/>
  <c r="G244" i="64"/>
  <c r="I244" i="64" s="1"/>
  <c r="G256" i="64"/>
  <c r="I256" i="64" s="1"/>
  <c r="G245" i="64"/>
  <c r="I245" i="64" s="1"/>
  <c r="G257" i="64"/>
  <c r="I257" i="64" s="1"/>
  <c r="G225" i="64"/>
  <c r="I225" i="64" s="1"/>
  <c r="G234" i="64"/>
  <c r="I234" i="64" s="1"/>
  <c r="G246" i="64"/>
  <c r="I246" i="64" s="1"/>
  <c r="G258" i="64"/>
  <c r="I258" i="64" s="1"/>
  <c r="G241" i="64"/>
  <c r="I241" i="64" s="1"/>
  <c r="G254" i="64"/>
  <c r="I254" i="64" s="1"/>
  <c r="G235" i="64"/>
  <c r="I235" i="64" s="1"/>
  <c r="G247" i="64"/>
  <c r="I247" i="64" s="1"/>
  <c r="G233" i="64"/>
  <c r="I233" i="64" s="1"/>
  <c r="G226" i="64"/>
  <c r="I226" i="64" s="1"/>
  <c r="G236" i="64"/>
  <c r="I236" i="64" s="1"/>
  <c r="G248" i="64"/>
  <c r="I248" i="64" s="1"/>
  <c r="G237" i="64"/>
  <c r="I237" i="64" s="1"/>
  <c r="G249" i="64"/>
  <c r="I249" i="64" s="1"/>
  <c r="G221" i="64"/>
  <c r="I221" i="64" s="1"/>
  <c r="G238" i="64"/>
  <c r="I238" i="64" s="1"/>
  <c r="G250" i="64"/>
  <c r="I250" i="64" s="1"/>
  <c r="G222" i="64"/>
  <c r="I222" i="64" s="1"/>
  <c r="G239" i="64"/>
  <c r="I239" i="64" s="1"/>
  <c r="G251" i="64"/>
  <c r="I251" i="64" s="1"/>
  <c r="G223" i="64"/>
  <c r="I223" i="64" s="1"/>
  <c r="G253" i="64"/>
  <c r="I253" i="64" s="1"/>
  <c r="G242" i="64"/>
  <c r="I242" i="64" s="1"/>
  <c r="G240" i="64"/>
  <c r="I240" i="64" s="1"/>
  <c r="G252" i="64"/>
  <c r="I252" i="64" s="1"/>
  <c r="G224" i="64"/>
  <c r="I224" i="64" s="1"/>
  <c r="G185" i="64"/>
  <c r="I185" i="64" s="1"/>
  <c r="G197" i="64"/>
  <c r="I197" i="64" s="1"/>
  <c r="G183" i="64"/>
  <c r="I183" i="64" s="1"/>
  <c r="G193" i="64"/>
  <c r="I193" i="64" s="1"/>
  <c r="G194" i="64"/>
  <c r="I194" i="64" s="1"/>
  <c r="G186" i="64"/>
  <c r="I186" i="64" s="1"/>
  <c r="G198" i="64"/>
  <c r="I198" i="64" s="1"/>
  <c r="G171" i="64"/>
  <c r="I171" i="64" s="1"/>
  <c r="G208" i="64"/>
  <c r="I208" i="64" s="1"/>
  <c r="G187" i="64"/>
  <c r="I187" i="64" s="1"/>
  <c r="G199" i="64"/>
  <c r="I199" i="64" s="1"/>
  <c r="G172" i="64"/>
  <c r="I172" i="64" s="1"/>
  <c r="C212" i="64"/>
  <c r="G188" i="64"/>
  <c r="I188" i="64" s="1"/>
  <c r="G200" i="64"/>
  <c r="I200" i="64" s="1"/>
  <c r="G173" i="64"/>
  <c r="I173" i="64" s="1"/>
  <c r="G195" i="64"/>
  <c r="I195" i="64" s="1"/>
  <c r="G189" i="64"/>
  <c r="I189" i="64" s="1"/>
  <c r="G201" i="64"/>
  <c r="I201" i="64" s="1"/>
  <c r="G174" i="64"/>
  <c r="I174" i="64" s="1"/>
  <c r="G206" i="64"/>
  <c r="I206" i="64" s="1"/>
  <c r="G207" i="64"/>
  <c r="I207" i="64" s="1"/>
  <c r="G184" i="64"/>
  <c r="I184" i="64" s="1"/>
  <c r="G190" i="64"/>
  <c r="I190" i="64" s="1"/>
  <c r="G202" i="64"/>
  <c r="I202" i="64" s="1"/>
  <c r="G175" i="64"/>
  <c r="I175" i="64" s="1"/>
  <c r="G191" i="64"/>
  <c r="I191" i="64" s="1"/>
  <c r="G203" i="64"/>
  <c r="I203" i="64" s="1"/>
  <c r="G176" i="64"/>
  <c r="I176" i="64" s="1"/>
  <c r="G192" i="64"/>
  <c r="I192" i="64" s="1"/>
  <c r="G204" i="64"/>
  <c r="I204" i="64" s="1"/>
  <c r="G170" i="64"/>
  <c r="I170" i="64" s="1"/>
  <c r="G205" i="64"/>
  <c r="I205" i="64" s="1"/>
  <c r="G196" i="64"/>
  <c r="I196" i="64" s="1"/>
  <c r="G145" i="64"/>
  <c r="G157" i="64"/>
  <c r="G134" i="64"/>
  <c r="G146" i="64"/>
  <c r="G158" i="64"/>
  <c r="G135" i="64"/>
  <c r="G147" i="64"/>
  <c r="G133" i="64"/>
  <c r="G136" i="64"/>
  <c r="G148" i="64"/>
  <c r="G121" i="64"/>
  <c r="G155" i="64"/>
  <c r="G137" i="64"/>
  <c r="G149" i="64"/>
  <c r="G122" i="64"/>
  <c r="G138" i="64"/>
  <c r="G150" i="64"/>
  <c r="G123" i="64"/>
  <c r="G144" i="64"/>
  <c r="G139" i="64"/>
  <c r="G151" i="64"/>
  <c r="G124" i="64"/>
  <c r="G140" i="64"/>
  <c r="G152" i="64"/>
  <c r="G125" i="64"/>
  <c r="G156" i="64"/>
  <c r="G141" i="64"/>
  <c r="G153" i="64"/>
  <c r="G126" i="64"/>
  <c r="G142" i="64"/>
  <c r="G154" i="64"/>
  <c r="G120" i="64"/>
  <c r="G143" i="64"/>
  <c r="G69" i="47"/>
  <c r="I69" i="47" s="1"/>
  <c r="O21" i="37"/>
  <c r="P21" i="37"/>
  <c r="Q21" i="37"/>
  <c r="G13" i="47"/>
  <c r="C73" i="47"/>
  <c r="G68" i="47"/>
  <c r="I68" i="47" s="1"/>
  <c r="D16" i="64"/>
  <c r="R21" i="37" l="1"/>
  <c r="I259" i="64"/>
  <c r="C263" i="64" s="1"/>
  <c r="C264" i="64" s="1"/>
  <c r="I209" i="64"/>
  <c r="C213" i="64" s="1"/>
  <c r="C214" i="64" s="1"/>
  <c r="I158" i="64"/>
  <c r="I155" i="64"/>
  <c r="I148" i="64"/>
  <c r="I138" i="64"/>
  <c r="I123" i="64"/>
  <c r="I145" i="64"/>
  <c r="I154" i="64"/>
  <c r="I151" i="64"/>
  <c r="I141" i="64"/>
  <c r="I157" i="64"/>
  <c r="I144" i="64"/>
  <c r="I134" i="64"/>
  <c r="I126" i="64"/>
  <c r="I147" i="64"/>
  <c r="I149" i="64"/>
  <c r="I137" i="64"/>
  <c r="I122" i="64"/>
  <c r="I150" i="64"/>
  <c r="I140" i="64"/>
  <c r="I133" i="64"/>
  <c r="I156" i="64"/>
  <c r="I153" i="64"/>
  <c r="I143" i="64"/>
  <c r="I125" i="64"/>
  <c r="I124" i="64"/>
  <c r="I135" i="64"/>
  <c r="I146" i="64"/>
  <c r="I136" i="64"/>
  <c r="I121" i="64"/>
  <c r="I152" i="64"/>
  <c r="I139" i="64"/>
  <c r="I142" i="64"/>
  <c r="I120" i="64"/>
  <c r="I59" i="64"/>
  <c r="I34" i="64"/>
  <c r="B52" i="28"/>
  <c r="I58" i="64"/>
  <c r="G15" i="23"/>
  <c r="I159" i="64" l="1"/>
  <c r="C163" i="64" s="1"/>
  <c r="C164" i="64" s="1"/>
  <c r="C16" i="23"/>
  <c r="G16" i="23" s="1"/>
  <c r="I15" i="23"/>
  <c r="C98" i="44"/>
  <c r="C96" i="44"/>
  <c r="B75" i="47"/>
  <c r="E91" i="116"/>
  <c r="F65" i="116"/>
  <c r="C46" i="116"/>
  <c r="G76" i="116"/>
  <c r="H20" i="46"/>
  <c r="H21" i="46"/>
  <c r="H22" i="46"/>
  <c r="H23" i="46"/>
  <c r="H24" i="46"/>
  <c r="H25" i="46"/>
  <c r="H19" i="46"/>
  <c r="C17" i="23" l="1"/>
  <c r="G17" i="23" s="1"/>
  <c r="C18" i="23" s="1"/>
  <c r="I16" i="23"/>
  <c r="C56" i="116"/>
  <c r="I17" i="23" l="1"/>
  <c r="G18" i="23"/>
  <c r="C19" i="23" s="1"/>
  <c r="G19" i="23" s="1"/>
  <c r="C20" i="23" s="1"/>
  <c r="C11" i="46"/>
  <c r="C13" i="46" s="1"/>
  <c r="E36" i="82"/>
  <c r="F36" i="82" s="1"/>
  <c r="G36" i="82" s="1"/>
  <c r="I36" i="82"/>
  <c r="D121" i="32"/>
  <c r="E121" i="32" s="1"/>
  <c r="F121" i="32" s="1"/>
  <c r="H121" i="32"/>
  <c r="D121" i="30"/>
  <c r="E121" i="30" s="1"/>
  <c r="F121" i="30" s="1"/>
  <c r="H121" i="30"/>
  <c r="D83" i="29"/>
  <c r="E83" i="29" s="1"/>
  <c r="F83" i="29" s="1"/>
  <c r="G32" i="68"/>
  <c r="E29" i="102"/>
  <c r="F29" i="102" s="1"/>
  <c r="G29" i="102"/>
  <c r="H29" i="102"/>
  <c r="G25" i="99"/>
  <c r="H25" i="99"/>
  <c r="R100" i="66"/>
  <c r="U100" i="66" s="1"/>
  <c r="H32" i="98"/>
  <c r="E57" i="104"/>
  <c r="F57" i="104" s="1"/>
  <c r="G57" i="104"/>
  <c r="H57" i="104"/>
  <c r="E81" i="19"/>
  <c r="F81" i="19" s="1"/>
  <c r="H81" i="19"/>
  <c r="G123" i="105"/>
  <c r="H119" i="101"/>
  <c r="E119" i="101"/>
  <c r="F119" i="101" s="1"/>
  <c r="I25" i="99" l="1"/>
  <c r="I29" i="102"/>
  <c r="I18" i="23"/>
  <c r="I57" i="104"/>
  <c r="I19" i="23" l="1"/>
  <c r="G20" i="23"/>
  <c r="I20" i="23" s="1"/>
  <c r="G268" i="56"/>
  <c r="D89" i="43"/>
  <c r="E89" i="43" s="1"/>
  <c r="G89" i="43"/>
  <c r="E40" i="85"/>
  <c r="F40" i="85" s="1"/>
  <c r="E41" i="59"/>
  <c r="F41" i="59" s="1"/>
  <c r="H41" i="59"/>
  <c r="E42" i="24"/>
  <c r="F42" i="24" s="1"/>
  <c r="H42" i="24"/>
  <c r="E44" i="92"/>
  <c r="G44" i="92"/>
  <c r="H44" i="92"/>
  <c r="E76" i="26"/>
  <c r="F76" i="26" s="1"/>
  <c r="G76" i="26"/>
  <c r="H76" i="26"/>
  <c r="D46" i="91"/>
  <c r="E46" i="91" s="1"/>
  <c r="G46" i="91"/>
  <c r="E57" i="64"/>
  <c r="F57" i="64" s="1"/>
  <c r="H57" i="64"/>
  <c r="M70" i="21"/>
  <c r="N70" i="21" s="1"/>
  <c r="O70" i="21"/>
  <c r="E69" i="22"/>
  <c r="F69" i="22" s="1"/>
  <c r="D138" i="62"/>
  <c r="E138" i="62" s="1"/>
  <c r="G138" i="62"/>
  <c r="S101" i="75"/>
  <c r="R101" i="75"/>
  <c r="Q101" i="75"/>
  <c r="P101" i="75"/>
  <c r="D51" i="58"/>
  <c r="E51" i="58"/>
  <c r="D52" i="58"/>
  <c r="E52" i="58"/>
  <c r="D53" i="58"/>
  <c r="E53" i="58"/>
  <c r="D54" i="58"/>
  <c r="E54" i="58"/>
  <c r="D55" i="58"/>
  <c r="E55" i="58"/>
  <c r="D56" i="58"/>
  <c r="E56" i="58"/>
  <c r="D57" i="58"/>
  <c r="E57" i="58"/>
  <c r="D58" i="58"/>
  <c r="E58" i="58"/>
  <c r="E50" i="58"/>
  <c r="D50" i="58"/>
  <c r="E48" i="58"/>
  <c r="D49" i="58"/>
  <c r="E49" i="58"/>
  <c r="D47" i="89"/>
  <c r="E47" i="89"/>
  <c r="D48" i="89"/>
  <c r="E48" i="89"/>
  <c r="D49" i="89"/>
  <c r="E49" i="89"/>
  <c r="D50" i="89"/>
  <c r="E50" i="89"/>
  <c r="D51" i="89"/>
  <c r="E51" i="89"/>
  <c r="D52" i="89"/>
  <c r="E52" i="89"/>
  <c r="D53" i="89"/>
  <c r="E53" i="89"/>
  <c r="D54" i="89"/>
  <c r="E54" i="89"/>
  <c r="D55" i="89"/>
  <c r="E55" i="89"/>
  <c r="D57" i="89"/>
  <c r="E57" i="89"/>
  <c r="D58" i="89"/>
  <c r="E58" i="89"/>
  <c r="D59" i="89"/>
  <c r="E59" i="89"/>
  <c r="D60" i="89"/>
  <c r="E60" i="89"/>
  <c r="D29" i="89"/>
  <c r="E29" i="89"/>
  <c r="D30" i="89"/>
  <c r="E30" i="89"/>
  <c r="D31" i="89"/>
  <c r="E31" i="89"/>
  <c r="D32" i="89"/>
  <c r="E32" i="89"/>
  <c r="D33" i="89"/>
  <c r="E33" i="89"/>
  <c r="D34" i="89"/>
  <c r="E34" i="89"/>
  <c r="D35" i="89"/>
  <c r="E35" i="89"/>
  <c r="D36" i="89"/>
  <c r="E36" i="89"/>
  <c r="D37" i="89"/>
  <c r="E37" i="89"/>
  <c r="D38" i="89"/>
  <c r="E38" i="89"/>
  <c r="D39" i="89"/>
  <c r="E39" i="89"/>
  <c r="E28" i="89"/>
  <c r="D28" i="89"/>
  <c r="D17" i="89"/>
  <c r="E17" i="89"/>
  <c r="D18" i="89"/>
  <c r="E18" i="89"/>
  <c r="D19" i="89"/>
  <c r="E19" i="89"/>
  <c r="D20" i="89"/>
  <c r="E20" i="89"/>
  <c r="D21" i="89"/>
  <c r="E21" i="89"/>
  <c r="D22" i="89"/>
  <c r="E22" i="89"/>
  <c r="D23" i="89"/>
  <c r="E23" i="89"/>
  <c r="D24" i="89"/>
  <c r="E24" i="89"/>
  <c r="D25" i="89"/>
  <c r="E25" i="89"/>
  <c r="D26" i="89"/>
  <c r="E26" i="89"/>
  <c r="D27" i="89"/>
  <c r="E27" i="89"/>
  <c r="E16" i="89"/>
  <c r="D16" i="89"/>
  <c r="I21" i="23" l="1"/>
  <c r="B32" i="23" s="1"/>
  <c r="T101" i="75"/>
  <c r="U101" i="75"/>
  <c r="I44" i="92"/>
  <c r="C24" i="23"/>
  <c r="G24" i="23" s="1"/>
  <c r="I24" i="23" s="1"/>
  <c r="P70" i="21"/>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E75" i="55"/>
  <c r="F75" i="55" s="1"/>
  <c r="H75" i="55" s="1"/>
  <c r="E74" i="55"/>
  <c r="F74" i="55" s="1"/>
  <c r="E73" i="55"/>
  <c r="F73" i="55" s="1"/>
  <c r="H73" i="55" s="1"/>
  <c r="E72" i="55"/>
  <c r="F72" i="55" s="1"/>
  <c r="E71" i="55"/>
  <c r="F71" i="55" s="1"/>
  <c r="H71" i="55" s="1"/>
  <c r="E70" i="55"/>
  <c r="F70" i="55" s="1"/>
  <c r="E69" i="55"/>
  <c r="F69" i="55" s="1"/>
  <c r="H69" i="55" s="1"/>
  <c r="E68" i="55"/>
  <c r="F68" i="55" s="1"/>
  <c r="E67" i="55"/>
  <c r="F67" i="55" s="1"/>
  <c r="H67" i="55" s="1"/>
  <c r="E66" i="55"/>
  <c r="F66" i="55" s="1"/>
  <c r="E65" i="55"/>
  <c r="F65" i="55" s="1"/>
  <c r="H65" i="55" s="1"/>
  <c r="E64" i="55"/>
  <c r="F64" i="55" s="1"/>
  <c r="E63" i="55"/>
  <c r="F63" i="55" s="1"/>
  <c r="H63" i="55" s="1"/>
  <c r="E62" i="55"/>
  <c r="F62" i="55" s="1"/>
  <c r="E61" i="55"/>
  <c r="F61" i="55" s="1"/>
  <c r="H61" i="55" s="1"/>
  <c r="E60" i="55"/>
  <c r="F60" i="55" s="1"/>
  <c r="E59" i="55"/>
  <c r="F59" i="55" s="1"/>
  <c r="H59" i="55" s="1"/>
  <c r="E58" i="55"/>
  <c r="F58" i="55" s="1"/>
  <c r="E57" i="55"/>
  <c r="F57" i="55" s="1"/>
  <c r="H57" i="55" s="1"/>
  <c r="E56" i="55"/>
  <c r="F56" i="55" s="1"/>
  <c r="E55" i="55"/>
  <c r="F55" i="55" s="1"/>
  <c r="H55" i="55" s="1"/>
  <c r="E54" i="55"/>
  <c r="F54" i="55" s="1"/>
  <c r="E53" i="55"/>
  <c r="F53" i="55" s="1"/>
  <c r="H53" i="55" s="1"/>
  <c r="E52" i="55"/>
  <c r="F52" i="55" s="1"/>
  <c r="E51" i="55"/>
  <c r="F51" i="55" s="1"/>
  <c r="H51" i="55" s="1"/>
  <c r="E50" i="55"/>
  <c r="F50" i="55" s="1"/>
  <c r="E49" i="55"/>
  <c r="F49" i="55" s="1"/>
  <c r="H49" i="55" s="1"/>
  <c r="E48" i="55"/>
  <c r="F48" i="55" s="1"/>
  <c r="E47" i="55"/>
  <c r="F47" i="55" s="1"/>
  <c r="H47" i="55" s="1"/>
  <c r="E46" i="55"/>
  <c r="F46" i="55" s="1"/>
  <c r="E45" i="55"/>
  <c r="F45" i="55" s="1"/>
  <c r="H45" i="55" s="1"/>
  <c r="E44" i="55"/>
  <c r="F44" i="55" s="1"/>
  <c r="E43" i="55"/>
  <c r="F43" i="55" s="1"/>
  <c r="H43" i="55" s="1"/>
  <c r="E42" i="55"/>
  <c r="F42" i="55" s="1"/>
  <c r="E41" i="55"/>
  <c r="F41" i="55" s="1"/>
  <c r="H41" i="55" s="1"/>
  <c r="E40" i="55"/>
  <c r="F40" i="55" s="1"/>
  <c r="E39" i="55"/>
  <c r="F39" i="55" s="1"/>
  <c r="H39" i="55" s="1"/>
  <c r="E38" i="55"/>
  <c r="F38" i="55" s="1"/>
  <c r="E37" i="55"/>
  <c r="F37" i="55" s="1"/>
  <c r="H37" i="55" s="1"/>
  <c r="E36" i="55"/>
  <c r="F36" i="55" s="1"/>
  <c r="E35" i="55"/>
  <c r="F35" i="55" s="1"/>
  <c r="H35" i="55" s="1"/>
  <c r="E34" i="55"/>
  <c r="F34" i="55" s="1"/>
  <c r="E33" i="55"/>
  <c r="F33" i="55" s="1"/>
  <c r="H33" i="55" s="1"/>
  <c r="E32" i="55"/>
  <c r="F32" i="55" s="1"/>
  <c r="E31" i="55"/>
  <c r="F31" i="55" s="1"/>
  <c r="H31" i="55" s="1"/>
  <c r="E30" i="55"/>
  <c r="F30" i="55" s="1"/>
  <c r="E29" i="55"/>
  <c r="F29" i="55" s="1"/>
  <c r="H29" i="55" s="1"/>
  <c r="E28" i="55"/>
  <c r="F28" i="55" s="1"/>
  <c r="E27" i="55"/>
  <c r="F27" i="55" s="1"/>
  <c r="H27" i="55" s="1"/>
  <c r="E26" i="55"/>
  <c r="F26" i="55" s="1"/>
  <c r="H26" i="55" s="1"/>
  <c r="E25" i="55"/>
  <c r="F25" i="55" s="1"/>
  <c r="H25" i="55" s="1"/>
  <c r="E24" i="55"/>
  <c r="F24" i="55" s="1"/>
  <c r="E23" i="55"/>
  <c r="F23" i="55" s="1"/>
  <c r="H23" i="55" s="1"/>
  <c r="E22" i="55"/>
  <c r="F22" i="55" s="1"/>
  <c r="E21" i="55"/>
  <c r="F21" i="55" s="1"/>
  <c r="H21" i="55" s="1"/>
  <c r="E20" i="55"/>
  <c r="F20" i="55" s="1"/>
  <c r="E19" i="55"/>
  <c r="F19" i="55" s="1"/>
  <c r="H19" i="55" s="1"/>
  <c r="P61" i="75"/>
  <c r="Q61" i="75"/>
  <c r="R61" i="75"/>
  <c r="S61" i="75"/>
  <c r="P62" i="75"/>
  <c r="Q62" i="75"/>
  <c r="R62" i="75"/>
  <c r="S62" i="75"/>
  <c r="P63" i="75"/>
  <c r="Q63" i="75"/>
  <c r="R63" i="75"/>
  <c r="S63" i="75"/>
  <c r="P64" i="75"/>
  <c r="Q64" i="75"/>
  <c r="R64" i="75"/>
  <c r="S64" i="75"/>
  <c r="P65" i="75"/>
  <c r="Q65" i="75"/>
  <c r="R65" i="75"/>
  <c r="S65" i="75"/>
  <c r="P66" i="75"/>
  <c r="Q66" i="75"/>
  <c r="R66" i="75"/>
  <c r="S66" i="75"/>
  <c r="P67" i="75"/>
  <c r="Q67" i="75"/>
  <c r="R67" i="75"/>
  <c r="S67" i="75"/>
  <c r="P68" i="75"/>
  <c r="Q68" i="75"/>
  <c r="R68" i="75"/>
  <c r="S68" i="75"/>
  <c r="P69" i="75"/>
  <c r="Q69" i="75"/>
  <c r="R69" i="75"/>
  <c r="S69" i="75"/>
  <c r="P70" i="75"/>
  <c r="Q70" i="75"/>
  <c r="R70" i="75"/>
  <c r="S70" i="75"/>
  <c r="P71" i="75"/>
  <c r="Q71" i="75"/>
  <c r="R71" i="75"/>
  <c r="S71" i="75"/>
  <c r="S60" i="75"/>
  <c r="P15" i="75"/>
  <c r="Q15" i="75"/>
  <c r="R15" i="75"/>
  <c r="S15" i="75"/>
  <c r="P16" i="75"/>
  <c r="Q16" i="75"/>
  <c r="R16" i="75"/>
  <c r="S16" i="75"/>
  <c r="P17" i="75"/>
  <c r="Q17" i="75"/>
  <c r="R17" i="75"/>
  <c r="S17" i="75"/>
  <c r="P18" i="75"/>
  <c r="Q18" i="75"/>
  <c r="R18" i="75"/>
  <c r="S18" i="75"/>
  <c r="P19" i="75"/>
  <c r="Q19" i="75"/>
  <c r="R19" i="75"/>
  <c r="S19" i="75"/>
  <c r="P20" i="75"/>
  <c r="Q20" i="75"/>
  <c r="R20" i="75"/>
  <c r="S20" i="75"/>
  <c r="P21" i="75"/>
  <c r="Q21" i="75"/>
  <c r="R21" i="75"/>
  <c r="S21" i="75"/>
  <c r="P22" i="75"/>
  <c r="Q22" i="75"/>
  <c r="R22" i="75"/>
  <c r="S22" i="75"/>
  <c r="P23" i="75"/>
  <c r="Q23" i="75"/>
  <c r="R23" i="75"/>
  <c r="S23" i="75"/>
  <c r="P24" i="75"/>
  <c r="Q24" i="75"/>
  <c r="R24" i="75"/>
  <c r="S24" i="75"/>
  <c r="P25" i="75"/>
  <c r="Q25" i="75"/>
  <c r="R25" i="75"/>
  <c r="S25" i="75"/>
  <c r="S14" i="75"/>
  <c r="R14" i="75"/>
  <c r="P14" i="75"/>
  <c r="Q14" i="75"/>
  <c r="Q60" i="75"/>
  <c r="Q74" i="75" s="1"/>
  <c r="P60" i="75"/>
  <c r="R60" i="75"/>
  <c r="G140" i="111"/>
  <c r="H140" i="111"/>
  <c r="I140" i="111"/>
  <c r="J140" i="111"/>
  <c r="G141" i="111"/>
  <c r="H141" i="111"/>
  <c r="I141" i="111"/>
  <c r="J141" i="111"/>
  <c r="G142" i="111"/>
  <c r="H142" i="111"/>
  <c r="I142" i="111"/>
  <c r="J142" i="111"/>
  <c r="G143" i="111"/>
  <c r="H143" i="111"/>
  <c r="I143" i="111"/>
  <c r="J143" i="111"/>
  <c r="G144" i="111"/>
  <c r="H144" i="111"/>
  <c r="I144" i="111"/>
  <c r="J144" i="111"/>
  <c r="G145" i="111"/>
  <c r="H145" i="111"/>
  <c r="I145" i="111"/>
  <c r="J145" i="111"/>
  <c r="G146" i="111"/>
  <c r="H146" i="111"/>
  <c r="I146" i="111"/>
  <c r="J146" i="111"/>
  <c r="G147" i="111"/>
  <c r="H147" i="111"/>
  <c r="I147" i="111"/>
  <c r="J147" i="111"/>
  <c r="G148" i="111"/>
  <c r="H148" i="111"/>
  <c r="I148" i="111"/>
  <c r="J148" i="111"/>
  <c r="G149" i="111"/>
  <c r="H149" i="111"/>
  <c r="I149" i="111"/>
  <c r="J149" i="111"/>
  <c r="G150" i="111"/>
  <c r="H150" i="111"/>
  <c r="I150" i="111"/>
  <c r="J150" i="111"/>
  <c r="J139" i="111"/>
  <c r="I139" i="111"/>
  <c r="H139" i="111"/>
  <c r="G117" i="111"/>
  <c r="H117" i="111"/>
  <c r="I117" i="111"/>
  <c r="J117" i="111"/>
  <c r="G118" i="111"/>
  <c r="H118" i="111"/>
  <c r="I118" i="111"/>
  <c r="J118" i="111"/>
  <c r="G119" i="111"/>
  <c r="H119" i="111"/>
  <c r="I119" i="111"/>
  <c r="J119" i="111"/>
  <c r="G120" i="111"/>
  <c r="H120" i="111"/>
  <c r="I120" i="111"/>
  <c r="J120" i="111"/>
  <c r="G121" i="111"/>
  <c r="H121" i="111"/>
  <c r="I121" i="111"/>
  <c r="J121" i="111"/>
  <c r="G122" i="111"/>
  <c r="H122" i="111"/>
  <c r="I122" i="111"/>
  <c r="J122" i="111"/>
  <c r="G123" i="111"/>
  <c r="H123" i="111"/>
  <c r="I123" i="111"/>
  <c r="J123" i="111"/>
  <c r="G124" i="111"/>
  <c r="H124" i="111"/>
  <c r="I124" i="111"/>
  <c r="J124" i="111"/>
  <c r="G125" i="111"/>
  <c r="H125" i="111"/>
  <c r="I125" i="111"/>
  <c r="J125" i="111"/>
  <c r="G126" i="111"/>
  <c r="H126" i="111"/>
  <c r="I126" i="111"/>
  <c r="J126" i="111"/>
  <c r="G127" i="111"/>
  <c r="H127" i="111"/>
  <c r="I127" i="111"/>
  <c r="J127" i="111"/>
  <c r="I116" i="111"/>
  <c r="J116" i="111"/>
  <c r="H116" i="111"/>
  <c r="G94" i="111"/>
  <c r="H94" i="111"/>
  <c r="I94" i="111"/>
  <c r="J94" i="111"/>
  <c r="G95" i="111"/>
  <c r="H95" i="111"/>
  <c r="I95" i="111"/>
  <c r="J95" i="111"/>
  <c r="G96" i="111"/>
  <c r="H96" i="111"/>
  <c r="I96" i="111"/>
  <c r="J96" i="111"/>
  <c r="G97" i="111"/>
  <c r="H97" i="111"/>
  <c r="I97" i="111"/>
  <c r="J97" i="111"/>
  <c r="G98" i="111"/>
  <c r="H98" i="111"/>
  <c r="I98" i="111"/>
  <c r="J98" i="111"/>
  <c r="G99" i="111"/>
  <c r="H99" i="111"/>
  <c r="I99" i="111"/>
  <c r="J99" i="111"/>
  <c r="G100" i="111"/>
  <c r="H100" i="111"/>
  <c r="I100" i="111"/>
  <c r="J100" i="111"/>
  <c r="G101" i="111"/>
  <c r="H101" i="111"/>
  <c r="I101" i="111"/>
  <c r="J101" i="111"/>
  <c r="G102" i="111"/>
  <c r="H102" i="111"/>
  <c r="I102" i="111"/>
  <c r="J102" i="111"/>
  <c r="G103" i="111"/>
  <c r="H103" i="111"/>
  <c r="I103" i="111"/>
  <c r="J103" i="111"/>
  <c r="G104" i="111"/>
  <c r="H104" i="111"/>
  <c r="I104" i="111"/>
  <c r="J104" i="111"/>
  <c r="J93" i="111"/>
  <c r="I93" i="111"/>
  <c r="H93" i="111"/>
  <c r="G93" i="111"/>
  <c r="H72" i="111"/>
  <c r="H73" i="111"/>
  <c r="H74" i="111"/>
  <c r="H75" i="111"/>
  <c r="H76" i="111"/>
  <c r="H77" i="111"/>
  <c r="H78" i="111"/>
  <c r="H79" i="111"/>
  <c r="H80" i="111"/>
  <c r="H81" i="111"/>
  <c r="H82" i="111"/>
  <c r="H83" i="111"/>
  <c r="H84" i="111"/>
  <c r="H71" i="111"/>
  <c r="G72" i="111"/>
  <c r="I72" i="111"/>
  <c r="J72" i="111"/>
  <c r="G73" i="111"/>
  <c r="I73" i="111"/>
  <c r="J73" i="111"/>
  <c r="G74" i="111"/>
  <c r="I74" i="111"/>
  <c r="J74" i="111"/>
  <c r="G75" i="111"/>
  <c r="I75" i="111"/>
  <c r="J75" i="111"/>
  <c r="G76" i="111"/>
  <c r="I76" i="111"/>
  <c r="J76" i="111"/>
  <c r="G77" i="111"/>
  <c r="I77" i="111"/>
  <c r="J77" i="111"/>
  <c r="G78" i="111"/>
  <c r="I78" i="111"/>
  <c r="J78" i="111"/>
  <c r="G79" i="111"/>
  <c r="I79" i="111"/>
  <c r="J79" i="111"/>
  <c r="G80" i="111"/>
  <c r="I80" i="111"/>
  <c r="J80" i="111"/>
  <c r="G81" i="111"/>
  <c r="I81" i="111"/>
  <c r="J81" i="111"/>
  <c r="G82" i="111"/>
  <c r="I82" i="111"/>
  <c r="J82" i="111"/>
  <c r="G83" i="111"/>
  <c r="I83" i="111"/>
  <c r="J83" i="111"/>
  <c r="G84" i="111"/>
  <c r="I84" i="111"/>
  <c r="J84" i="111"/>
  <c r="J71" i="111"/>
  <c r="I71" i="111"/>
  <c r="G71" i="111"/>
  <c r="G50" i="111"/>
  <c r="H50" i="111"/>
  <c r="I50" i="111"/>
  <c r="J50" i="111"/>
  <c r="G51" i="111"/>
  <c r="H51" i="111"/>
  <c r="I51" i="111"/>
  <c r="J51" i="111"/>
  <c r="G52" i="111"/>
  <c r="H52" i="111"/>
  <c r="I52" i="111"/>
  <c r="J52" i="111"/>
  <c r="G53" i="111"/>
  <c r="H53" i="111"/>
  <c r="I53" i="111"/>
  <c r="J53" i="111"/>
  <c r="G54" i="111"/>
  <c r="H54" i="111"/>
  <c r="I54" i="111"/>
  <c r="J54" i="111"/>
  <c r="G55" i="111"/>
  <c r="H55" i="111"/>
  <c r="I55" i="111"/>
  <c r="J55" i="111"/>
  <c r="G56" i="111"/>
  <c r="H56" i="111"/>
  <c r="I56" i="111"/>
  <c r="J56" i="111"/>
  <c r="G57" i="111"/>
  <c r="H57" i="111"/>
  <c r="I57" i="111"/>
  <c r="J57" i="111"/>
  <c r="G58" i="111"/>
  <c r="H58" i="111"/>
  <c r="I58" i="111"/>
  <c r="J58" i="111"/>
  <c r="G59" i="111"/>
  <c r="H59" i="111"/>
  <c r="I59" i="111"/>
  <c r="J59" i="111"/>
  <c r="G60" i="111"/>
  <c r="H60" i="111"/>
  <c r="I60" i="111"/>
  <c r="J60" i="111"/>
  <c r="J49" i="111"/>
  <c r="I49" i="111"/>
  <c r="H49" i="111"/>
  <c r="G27" i="111"/>
  <c r="H27" i="111"/>
  <c r="I27" i="111"/>
  <c r="J27" i="111"/>
  <c r="G28" i="111"/>
  <c r="H28" i="111"/>
  <c r="I28" i="111"/>
  <c r="J28" i="111"/>
  <c r="G29" i="111"/>
  <c r="H29" i="111"/>
  <c r="I29" i="111"/>
  <c r="J29" i="111"/>
  <c r="G30" i="111"/>
  <c r="H30" i="111"/>
  <c r="I30" i="111"/>
  <c r="J30" i="111"/>
  <c r="G31" i="111"/>
  <c r="H31" i="111"/>
  <c r="I31" i="111"/>
  <c r="J31" i="111"/>
  <c r="G32" i="111"/>
  <c r="H32" i="111"/>
  <c r="I32" i="111"/>
  <c r="J32" i="111"/>
  <c r="G33" i="111"/>
  <c r="H33" i="111"/>
  <c r="I33" i="111"/>
  <c r="J33" i="111"/>
  <c r="G34" i="111"/>
  <c r="H34" i="111"/>
  <c r="I34" i="111"/>
  <c r="J34" i="111"/>
  <c r="G35" i="111"/>
  <c r="H35" i="111"/>
  <c r="I35" i="111"/>
  <c r="J35" i="111"/>
  <c r="G36" i="111"/>
  <c r="H36" i="111"/>
  <c r="I36" i="111"/>
  <c r="J36" i="111"/>
  <c r="G37" i="111"/>
  <c r="H37" i="111"/>
  <c r="I37" i="111"/>
  <c r="J37" i="111"/>
  <c r="J26" i="111"/>
  <c r="I26" i="111"/>
  <c r="H26" i="111"/>
  <c r="G26" i="111"/>
  <c r="G18" i="111"/>
  <c r="H18" i="111"/>
  <c r="I18" i="111"/>
  <c r="J18" i="111"/>
  <c r="G19" i="111"/>
  <c r="H19" i="111"/>
  <c r="I19" i="111"/>
  <c r="J19" i="111"/>
  <c r="I17" i="111"/>
  <c r="J17" i="111"/>
  <c r="H17" i="111"/>
  <c r="N33" i="86"/>
  <c r="N34" i="86"/>
  <c r="O34" i="86"/>
  <c r="N35" i="86"/>
  <c r="O35" i="86"/>
  <c r="N36" i="86"/>
  <c r="O36" i="86"/>
  <c r="N37" i="86"/>
  <c r="O37" i="86"/>
  <c r="O33" i="86"/>
  <c r="M33" i="86"/>
  <c r="I300" i="111"/>
  <c r="J300" i="111"/>
  <c r="I301" i="111"/>
  <c r="J301" i="111"/>
  <c r="I302" i="111"/>
  <c r="J302" i="111"/>
  <c r="I303" i="111"/>
  <c r="J303" i="111"/>
  <c r="I304" i="111"/>
  <c r="J304" i="111"/>
  <c r="I305" i="111"/>
  <c r="J305" i="111"/>
  <c r="I306" i="111"/>
  <c r="J306" i="111"/>
  <c r="I307" i="111"/>
  <c r="J307" i="111"/>
  <c r="I308" i="111"/>
  <c r="J308" i="111"/>
  <c r="I309" i="111"/>
  <c r="J309" i="111"/>
  <c r="I310" i="111"/>
  <c r="J310" i="111"/>
  <c r="I299" i="111"/>
  <c r="I277" i="111"/>
  <c r="J277" i="111"/>
  <c r="I278" i="111"/>
  <c r="J278" i="111"/>
  <c r="I279" i="111"/>
  <c r="J279" i="111"/>
  <c r="I280" i="111"/>
  <c r="J280" i="111"/>
  <c r="I281" i="111"/>
  <c r="J281" i="111"/>
  <c r="I282" i="111"/>
  <c r="J282" i="111"/>
  <c r="I283" i="111"/>
  <c r="J283" i="111"/>
  <c r="I284" i="111"/>
  <c r="J284" i="111"/>
  <c r="I285" i="111"/>
  <c r="J285" i="111"/>
  <c r="I286" i="111"/>
  <c r="J286" i="111"/>
  <c r="I287" i="111"/>
  <c r="J287" i="111"/>
  <c r="I276" i="111"/>
  <c r="I254" i="111"/>
  <c r="J254" i="111"/>
  <c r="I255" i="111"/>
  <c r="J255" i="111"/>
  <c r="I256" i="111"/>
  <c r="J256" i="111"/>
  <c r="I257" i="111"/>
  <c r="J257" i="111"/>
  <c r="I258" i="111"/>
  <c r="J258" i="111"/>
  <c r="I259" i="111"/>
  <c r="J259" i="111"/>
  <c r="I260" i="111"/>
  <c r="J260" i="111"/>
  <c r="I261" i="111"/>
  <c r="J261" i="111"/>
  <c r="I262" i="111"/>
  <c r="J262" i="111"/>
  <c r="I263" i="111"/>
  <c r="J263" i="111"/>
  <c r="I264" i="111"/>
  <c r="J264" i="111"/>
  <c r="I253" i="111"/>
  <c r="I232" i="111"/>
  <c r="J232" i="111"/>
  <c r="I233" i="111"/>
  <c r="J233" i="111"/>
  <c r="I234" i="111"/>
  <c r="J234" i="111"/>
  <c r="I235" i="111"/>
  <c r="J235" i="111"/>
  <c r="I236" i="111"/>
  <c r="J236" i="111"/>
  <c r="I237" i="111"/>
  <c r="J237" i="111"/>
  <c r="I238" i="111"/>
  <c r="J238" i="111"/>
  <c r="I239" i="111"/>
  <c r="J239" i="111"/>
  <c r="I240" i="111"/>
  <c r="J240" i="111"/>
  <c r="I241" i="111"/>
  <c r="J241" i="111"/>
  <c r="I242" i="111"/>
  <c r="J242" i="111"/>
  <c r="I231" i="111"/>
  <c r="I210" i="111"/>
  <c r="J210" i="111"/>
  <c r="I211" i="111"/>
  <c r="J211" i="111"/>
  <c r="I212" i="111"/>
  <c r="J212" i="111"/>
  <c r="I213" i="111"/>
  <c r="J213" i="111"/>
  <c r="I214" i="111"/>
  <c r="J214" i="111"/>
  <c r="I215" i="111"/>
  <c r="J215" i="111"/>
  <c r="I216" i="111"/>
  <c r="J216" i="111"/>
  <c r="I217" i="111"/>
  <c r="J217" i="111"/>
  <c r="I218" i="111"/>
  <c r="J218" i="111"/>
  <c r="I219" i="111"/>
  <c r="J219" i="111"/>
  <c r="I220" i="111"/>
  <c r="J220" i="111"/>
  <c r="I209" i="111"/>
  <c r="I187" i="111"/>
  <c r="J187" i="111"/>
  <c r="I188" i="111"/>
  <c r="J188" i="111"/>
  <c r="I189" i="111"/>
  <c r="J189" i="111"/>
  <c r="I190" i="111"/>
  <c r="J190" i="111"/>
  <c r="I191" i="111"/>
  <c r="J191" i="111"/>
  <c r="I192" i="111"/>
  <c r="J192" i="111"/>
  <c r="I193" i="111"/>
  <c r="J193" i="111"/>
  <c r="I194" i="111"/>
  <c r="J194" i="111"/>
  <c r="I195" i="111"/>
  <c r="J195" i="111"/>
  <c r="I196" i="111"/>
  <c r="J196" i="111"/>
  <c r="I197" i="111"/>
  <c r="J197" i="111"/>
  <c r="I186" i="111"/>
  <c r="I164" i="111"/>
  <c r="J164" i="111"/>
  <c r="I165" i="111"/>
  <c r="J165" i="111"/>
  <c r="I166" i="111"/>
  <c r="J166" i="111"/>
  <c r="I167" i="111"/>
  <c r="J167" i="111"/>
  <c r="I168" i="111"/>
  <c r="J168" i="111"/>
  <c r="I169" i="111"/>
  <c r="J169" i="111"/>
  <c r="I170" i="111"/>
  <c r="J170" i="111"/>
  <c r="I171" i="111"/>
  <c r="J171" i="111"/>
  <c r="I172" i="111"/>
  <c r="J172" i="111"/>
  <c r="I173" i="111"/>
  <c r="J173" i="111"/>
  <c r="I174" i="111"/>
  <c r="J174" i="111"/>
  <c r="I163" i="111"/>
  <c r="U67" i="75" l="1"/>
  <c r="T70" i="75"/>
  <c r="T68" i="75"/>
  <c r="T67" i="75"/>
  <c r="H34" i="55"/>
  <c r="H42" i="55"/>
  <c r="H50" i="55"/>
  <c r="H58" i="55"/>
  <c r="H66" i="55"/>
  <c r="H74" i="55"/>
  <c r="H22" i="55"/>
  <c r="H30" i="55"/>
  <c r="H38" i="55"/>
  <c r="H46" i="55"/>
  <c r="H54" i="55"/>
  <c r="H62" i="55"/>
  <c r="H70" i="55"/>
  <c r="H20" i="55"/>
  <c r="H24" i="55"/>
  <c r="H28" i="55"/>
  <c r="H32" i="55"/>
  <c r="H36" i="55"/>
  <c r="H40" i="55"/>
  <c r="H44" i="55"/>
  <c r="H48" i="55"/>
  <c r="H52" i="55"/>
  <c r="H56" i="55"/>
  <c r="H60" i="55"/>
  <c r="H64" i="55"/>
  <c r="H68" i="55"/>
  <c r="H72" i="55"/>
  <c r="T61" i="75"/>
  <c r="T21" i="75"/>
  <c r="U64" i="75"/>
  <c r="U63" i="75"/>
  <c r="T14" i="75"/>
  <c r="T25" i="75"/>
  <c r="T19" i="75"/>
  <c r="T15" i="75"/>
  <c r="U70" i="75"/>
  <c r="U69" i="75"/>
  <c r="U66" i="75"/>
  <c r="S74" i="75"/>
  <c r="U60" i="75"/>
  <c r="U21" i="75"/>
  <c r="T69" i="75"/>
  <c r="T66" i="75"/>
  <c r="T63" i="75"/>
  <c r="U61" i="75"/>
  <c r="T23" i="75"/>
  <c r="T20" i="75"/>
  <c r="T18" i="75"/>
  <c r="U71" i="75"/>
  <c r="U68" i="75"/>
  <c r="U65" i="75"/>
  <c r="R28" i="75"/>
  <c r="U25" i="75"/>
  <c r="U19" i="75"/>
  <c r="U15" i="75"/>
  <c r="U14" i="75"/>
  <c r="P28" i="75"/>
  <c r="U62" i="75"/>
  <c r="T71" i="75"/>
  <c r="T65" i="75"/>
  <c r="T62" i="75"/>
  <c r="T60" i="75"/>
  <c r="T22" i="75"/>
  <c r="T16" i="75"/>
  <c r="R74" i="75"/>
  <c r="P74" i="75"/>
  <c r="T17" i="75"/>
  <c r="T24" i="75"/>
  <c r="U23" i="75"/>
  <c r="U17" i="75"/>
  <c r="Q33" i="86"/>
  <c r="C25" i="23"/>
  <c r="G25" i="23" s="1"/>
  <c r="I25" i="23" s="1"/>
  <c r="U24" i="75"/>
  <c r="U22" i="75"/>
  <c r="U20" i="75"/>
  <c r="U18" i="75"/>
  <c r="U16" i="75"/>
  <c r="T64" i="75"/>
  <c r="S28" i="75"/>
  <c r="Q28" i="75"/>
  <c r="E158" i="116"/>
  <c r="F158" i="116" s="1"/>
  <c r="G158" i="116"/>
  <c r="C84" i="55" l="1"/>
  <c r="T28" i="75"/>
  <c r="U74" i="75"/>
  <c r="T74" i="75"/>
  <c r="U28" i="75"/>
  <c r="C26" i="23"/>
  <c r="G26" i="23" s="1"/>
  <c r="I26" i="23" s="1"/>
  <c r="H85" i="72"/>
  <c r="H84" i="72"/>
  <c r="H83" i="72"/>
  <c r="G32" i="72"/>
  <c r="G35" i="72"/>
  <c r="H35" i="72" s="1"/>
  <c r="G30" i="72"/>
  <c r="G31" i="72"/>
  <c r="D30" i="72"/>
  <c r="E30" i="72" s="1"/>
  <c r="D31" i="72"/>
  <c r="E31" i="72" s="1"/>
  <c r="D32" i="72"/>
  <c r="E32" i="72" s="1"/>
  <c r="H34" i="72"/>
  <c r="C16" i="97"/>
  <c r="D122" i="86"/>
  <c r="G122" i="86" s="1"/>
  <c r="F122" i="86"/>
  <c r="E67" i="47"/>
  <c r="F67" i="47" s="1"/>
  <c r="H67" i="47"/>
  <c r="F89" i="44"/>
  <c r="G89" i="44"/>
  <c r="Q312" i="111"/>
  <c r="Q311" i="111"/>
  <c r="H89" i="44" l="1"/>
  <c r="C27" i="23"/>
  <c r="G27" i="23" s="1"/>
  <c r="I27" i="23" s="1"/>
  <c r="Q7" i="37"/>
  <c r="C28" i="23" l="1"/>
  <c r="G28" i="23" l="1"/>
  <c r="B31" i="23" s="1"/>
  <c r="G27" i="72"/>
  <c r="G28" i="72"/>
  <c r="G29" i="72"/>
  <c r="G36" i="72"/>
  <c r="G37" i="72"/>
  <c r="G38" i="72"/>
  <c r="G39" i="72"/>
  <c r="G40" i="72"/>
  <c r="G41" i="72"/>
  <c r="G42" i="72"/>
  <c r="G43" i="72"/>
  <c r="G44" i="72"/>
  <c r="G45" i="72"/>
  <c r="G46" i="72"/>
  <c r="G47" i="72"/>
  <c r="G48" i="72"/>
  <c r="G49" i="72"/>
  <c r="G50" i="72"/>
  <c r="G51" i="72"/>
  <c r="G52" i="72"/>
  <c r="G53" i="72"/>
  <c r="G54" i="72"/>
  <c r="G55" i="72"/>
  <c r="G56" i="72"/>
  <c r="G57" i="72"/>
  <c r="G58" i="72"/>
  <c r="G59" i="72"/>
  <c r="G60" i="72"/>
  <c r="G61" i="72"/>
  <c r="G62" i="72"/>
  <c r="G63" i="72"/>
  <c r="G64" i="72"/>
  <c r="G65" i="72"/>
  <c r="G66" i="72"/>
  <c r="G67" i="72"/>
  <c r="G68" i="72"/>
  <c r="G69" i="72"/>
  <c r="G70" i="72"/>
  <c r="G71" i="72"/>
  <c r="G72" i="72"/>
  <c r="G73" i="72"/>
  <c r="G74" i="72"/>
  <c r="G75" i="72"/>
  <c r="G76" i="72"/>
  <c r="G77" i="72"/>
  <c r="G78" i="72"/>
  <c r="G79" i="72"/>
  <c r="G80" i="72"/>
  <c r="G81" i="72"/>
  <c r="G82" i="72"/>
  <c r="G26" i="72"/>
  <c r="E11" i="32"/>
  <c r="D27" i="72"/>
  <c r="E27" i="72" s="1"/>
  <c r="D28" i="72"/>
  <c r="E28" i="72" s="1"/>
  <c r="D29" i="72"/>
  <c r="E29" i="72" s="1"/>
  <c r="D35" i="72"/>
  <c r="E35" i="72" s="1"/>
  <c r="D36" i="72"/>
  <c r="E36" i="72" s="1"/>
  <c r="D37" i="72"/>
  <c r="E37" i="72" s="1"/>
  <c r="D38" i="72"/>
  <c r="E38" i="72" s="1"/>
  <c r="D39" i="72"/>
  <c r="E39" i="72" s="1"/>
  <c r="D40" i="72"/>
  <c r="E40" i="72" s="1"/>
  <c r="D41" i="72"/>
  <c r="E41" i="72" s="1"/>
  <c r="D42" i="72"/>
  <c r="E42" i="72" s="1"/>
  <c r="D43" i="72"/>
  <c r="E43" i="72" s="1"/>
  <c r="D44" i="72"/>
  <c r="E44" i="72" s="1"/>
  <c r="D45" i="72"/>
  <c r="E45" i="72" s="1"/>
  <c r="D46" i="72"/>
  <c r="E46" i="72" s="1"/>
  <c r="D47" i="72"/>
  <c r="E47" i="72" s="1"/>
  <c r="D48" i="72"/>
  <c r="E48" i="72" s="1"/>
  <c r="D49" i="72"/>
  <c r="E49" i="72" s="1"/>
  <c r="D50" i="72"/>
  <c r="E50" i="72" s="1"/>
  <c r="D51" i="72"/>
  <c r="E51" i="72" s="1"/>
  <c r="D52" i="72"/>
  <c r="E52" i="72" s="1"/>
  <c r="D53" i="72"/>
  <c r="E53" i="72" s="1"/>
  <c r="D54" i="72"/>
  <c r="E54" i="72" s="1"/>
  <c r="D55" i="72"/>
  <c r="E55" i="72" s="1"/>
  <c r="D56" i="72"/>
  <c r="E56" i="72" s="1"/>
  <c r="D57" i="72"/>
  <c r="E57" i="72" s="1"/>
  <c r="D58" i="72"/>
  <c r="E58" i="72" s="1"/>
  <c r="D59" i="72"/>
  <c r="E59" i="72" s="1"/>
  <c r="D60" i="72"/>
  <c r="E60" i="72" s="1"/>
  <c r="D61" i="72"/>
  <c r="E61" i="72" s="1"/>
  <c r="D62" i="72"/>
  <c r="E62" i="72" s="1"/>
  <c r="D63" i="72"/>
  <c r="E63" i="72" s="1"/>
  <c r="D64" i="72"/>
  <c r="E64" i="72" s="1"/>
  <c r="D65" i="72"/>
  <c r="E65" i="72" s="1"/>
  <c r="D66" i="72"/>
  <c r="E66" i="72" s="1"/>
  <c r="D67" i="72"/>
  <c r="E67" i="72" s="1"/>
  <c r="D68" i="72"/>
  <c r="E68" i="72" s="1"/>
  <c r="D69" i="72"/>
  <c r="E69" i="72" s="1"/>
  <c r="D70" i="72"/>
  <c r="E70" i="72" s="1"/>
  <c r="D71" i="72"/>
  <c r="E71" i="72" s="1"/>
  <c r="D72" i="72"/>
  <c r="E72" i="72" s="1"/>
  <c r="D73" i="72"/>
  <c r="E73" i="72" s="1"/>
  <c r="D74" i="72"/>
  <c r="E74" i="72" s="1"/>
  <c r="D75" i="72"/>
  <c r="E75" i="72" s="1"/>
  <c r="D76" i="72"/>
  <c r="E76" i="72" s="1"/>
  <c r="D77" i="72"/>
  <c r="E77" i="72" s="1"/>
  <c r="D78" i="72"/>
  <c r="E78" i="72" s="1"/>
  <c r="D79" i="72"/>
  <c r="E79" i="72" s="1"/>
  <c r="D80" i="72"/>
  <c r="E80" i="72" s="1"/>
  <c r="D81" i="72"/>
  <c r="E81" i="72" s="1"/>
  <c r="D82" i="72"/>
  <c r="E82" i="72" s="1"/>
  <c r="D26" i="72"/>
  <c r="E26" i="72" s="1"/>
  <c r="G157" i="116"/>
  <c r="E157" i="116"/>
  <c r="F157" i="116" s="1"/>
  <c r="G156" i="116"/>
  <c r="E156" i="116"/>
  <c r="F156" i="116" s="1"/>
  <c r="G155" i="116"/>
  <c r="E155" i="116"/>
  <c r="F155" i="116" s="1"/>
  <c r="G154" i="116"/>
  <c r="E154" i="116"/>
  <c r="F154" i="116" s="1"/>
  <c r="G153" i="116"/>
  <c r="E153" i="116"/>
  <c r="F153" i="116" s="1"/>
  <c r="G152" i="116"/>
  <c r="E152" i="116"/>
  <c r="F152" i="116" s="1"/>
  <c r="G151" i="116"/>
  <c r="E151" i="116"/>
  <c r="F151" i="116" s="1"/>
  <c r="G150" i="116"/>
  <c r="E150" i="116"/>
  <c r="F150" i="116" s="1"/>
  <c r="G149" i="116"/>
  <c r="E149" i="116"/>
  <c r="F149" i="116" s="1"/>
  <c r="G148" i="116"/>
  <c r="E148" i="116"/>
  <c r="F148" i="116" s="1"/>
  <c r="G147" i="116"/>
  <c r="E147" i="116"/>
  <c r="F147" i="116" s="1"/>
  <c r="G146" i="116"/>
  <c r="E146" i="116"/>
  <c r="F146" i="116" s="1"/>
  <c r="G145" i="116"/>
  <c r="E145" i="116"/>
  <c r="F145" i="116" s="1"/>
  <c r="G144" i="116"/>
  <c r="E144" i="116"/>
  <c r="F144" i="116" s="1"/>
  <c r="G143" i="116"/>
  <c r="E143" i="116"/>
  <c r="F143" i="116" s="1"/>
  <c r="G142" i="116"/>
  <c r="E142" i="116"/>
  <c r="F142" i="116" s="1"/>
  <c r="G141" i="116"/>
  <c r="E141" i="116"/>
  <c r="F141" i="116" s="1"/>
  <c r="G140" i="116"/>
  <c r="E140" i="116"/>
  <c r="F140" i="116" s="1"/>
  <c r="G139" i="116"/>
  <c r="E139" i="116"/>
  <c r="F139" i="116" s="1"/>
  <c r="G138" i="116"/>
  <c r="E138" i="116"/>
  <c r="F138" i="116" s="1"/>
  <c r="G137" i="116"/>
  <c r="E137" i="116"/>
  <c r="F137" i="116" s="1"/>
  <c r="G136" i="116"/>
  <c r="E136" i="116"/>
  <c r="F136" i="116" s="1"/>
  <c r="G135" i="116"/>
  <c r="E135" i="116"/>
  <c r="F135" i="116" s="1"/>
  <c r="G134" i="116"/>
  <c r="E134" i="116"/>
  <c r="F134" i="116" s="1"/>
  <c r="G133" i="116"/>
  <c r="E133" i="116"/>
  <c r="F133" i="116" s="1"/>
  <c r="G132" i="116"/>
  <c r="E132" i="116"/>
  <c r="F132" i="116" s="1"/>
  <c r="G131" i="116"/>
  <c r="E131" i="116"/>
  <c r="F131" i="116" s="1"/>
  <c r="G130" i="116"/>
  <c r="E130" i="116"/>
  <c r="F130" i="116" s="1"/>
  <c r="G129" i="116"/>
  <c r="E129" i="116"/>
  <c r="F129" i="116" s="1"/>
  <c r="G128" i="116"/>
  <c r="E128" i="116"/>
  <c r="F128" i="116" s="1"/>
  <c r="G127" i="116"/>
  <c r="E127" i="116"/>
  <c r="F127" i="116" s="1"/>
  <c r="G126" i="116"/>
  <c r="E126" i="116"/>
  <c r="F126" i="116" s="1"/>
  <c r="G125" i="116"/>
  <c r="E125" i="116"/>
  <c r="F125" i="116" s="1"/>
  <c r="G124" i="116"/>
  <c r="E124" i="116"/>
  <c r="F124" i="116" s="1"/>
  <c r="G123" i="116"/>
  <c r="E123" i="116"/>
  <c r="F123" i="116" s="1"/>
  <c r="G122" i="116"/>
  <c r="E122" i="116"/>
  <c r="F122" i="116" s="1"/>
  <c r="G121" i="116"/>
  <c r="G120" i="116"/>
  <c r="E120" i="116"/>
  <c r="F120" i="116" s="1"/>
  <c r="G119" i="116"/>
  <c r="E119" i="116"/>
  <c r="F119" i="116" s="1"/>
  <c r="G118" i="116"/>
  <c r="E118" i="116"/>
  <c r="F118" i="116" s="1"/>
  <c r="G117" i="116"/>
  <c r="E117" i="116"/>
  <c r="F117" i="116" s="1"/>
  <c r="G116" i="116"/>
  <c r="E116" i="116"/>
  <c r="F116" i="116" s="1"/>
  <c r="G115" i="116"/>
  <c r="E115" i="116"/>
  <c r="F115" i="116" s="1"/>
  <c r="G114" i="116"/>
  <c r="E114" i="116"/>
  <c r="F114" i="116" s="1"/>
  <c r="G113" i="116"/>
  <c r="E113" i="116"/>
  <c r="F113" i="116" s="1"/>
  <c r="G112" i="116"/>
  <c r="E112" i="116"/>
  <c r="F112" i="116" s="1"/>
  <c r="G111" i="116"/>
  <c r="E111" i="116"/>
  <c r="F111" i="116" s="1"/>
  <c r="G110" i="116"/>
  <c r="E110" i="116"/>
  <c r="F110" i="116" s="1"/>
  <c r="G109" i="116"/>
  <c r="E109" i="116"/>
  <c r="F109" i="116" s="1"/>
  <c r="G108" i="116"/>
  <c r="E108" i="116"/>
  <c r="F108" i="116" s="1"/>
  <c r="G107" i="116"/>
  <c r="E107" i="116"/>
  <c r="F107" i="116" s="1"/>
  <c r="G106" i="116"/>
  <c r="E106" i="116"/>
  <c r="F106" i="116" s="1"/>
  <c r="G105" i="116"/>
  <c r="E105" i="116"/>
  <c r="F105" i="116" s="1"/>
  <c r="G104" i="116"/>
  <c r="E104" i="116"/>
  <c r="F104" i="116" s="1"/>
  <c r="G103" i="116"/>
  <c r="E103" i="116"/>
  <c r="F103" i="116" s="1"/>
  <c r="G102" i="116"/>
  <c r="E102" i="116"/>
  <c r="F102" i="116" s="1"/>
  <c r="G101" i="116"/>
  <c r="E101" i="116"/>
  <c r="F101" i="116" s="1"/>
  <c r="G100" i="116"/>
  <c r="E100" i="116"/>
  <c r="F100" i="116" s="1"/>
  <c r="G99" i="116"/>
  <c r="E99" i="116"/>
  <c r="F99" i="116" s="1"/>
  <c r="G98" i="116"/>
  <c r="E98" i="116"/>
  <c r="F98" i="116" s="1"/>
  <c r="G97" i="116"/>
  <c r="E97" i="116"/>
  <c r="F97" i="116" s="1"/>
  <c r="G96" i="116"/>
  <c r="E96" i="116"/>
  <c r="F96" i="116" s="1"/>
  <c r="G95" i="116"/>
  <c r="E95" i="116"/>
  <c r="F95" i="116" s="1"/>
  <c r="G94" i="116"/>
  <c r="E94" i="116"/>
  <c r="F94" i="116" s="1"/>
  <c r="G93" i="116"/>
  <c r="E93" i="116"/>
  <c r="F93" i="116" s="1"/>
  <c r="G92" i="116"/>
  <c r="E92" i="116"/>
  <c r="F92" i="116" s="1"/>
  <c r="E90" i="116"/>
  <c r="G75" i="116"/>
  <c r="G74" i="116"/>
  <c r="G73" i="116"/>
  <c r="G72" i="116"/>
  <c r="G71" i="116"/>
  <c r="G70" i="116"/>
  <c r="C65" i="116"/>
  <c r="F55" i="116"/>
  <c r="C53" i="116"/>
  <c r="C50" i="116"/>
  <c r="C48" i="116"/>
  <c r="C49" i="116" s="1"/>
  <c r="C45" i="116"/>
  <c r="F44" i="116"/>
  <c r="C42" i="116"/>
  <c r="C39" i="116"/>
  <c r="C37" i="116"/>
  <c r="C38" i="116" s="1"/>
  <c r="E30" i="116"/>
  <c r="H30" i="116" s="1"/>
  <c r="D30" i="116"/>
  <c r="G30" i="116" s="1"/>
  <c r="C30" i="116"/>
  <c r="F30" i="116" s="1"/>
  <c r="E27" i="116"/>
  <c r="H27" i="116" s="1"/>
  <c r="D27" i="116"/>
  <c r="G27" i="116" s="1"/>
  <c r="C27" i="116"/>
  <c r="F27" i="116" s="1"/>
  <c r="E25" i="116"/>
  <c r="H25" i="116" s="1"/>
  <c r="D25" i="116"/>
  <c r="C25" i="116"/>
  <c r="G21" i="116"/>
  <c r="H21" i="116" s="1"/>
  <c r="E21" i="116"/>
  <c r="F21" i="116" s="1"/>
  <c r="C21" i="116"/>
  <c r="D21" i="116" s="1"/>
  <c r="G19" i="116"/>
  <c r="H19" i="116" s="1"/>
  <c r="F19" i="116"/>
  <c r="C19" i="116"/>
  <c r="D19" i="116" s="1"/>
  <c r="I28" i="23" l="1"/>
  <c r="I29" i="23" s="1"/>
  <c r="B33" i="23" s="1"/>
  <c r="F66" i="116"/>
  <c r="C67" i="116" s="1"/>
  <c r="H161" i="116" s="1"/>
  <c r="D26" i="116"/>
  <c r="G26" i="116" s="1"/>
  <c r="C26" i="116"/>
  <c r="F26" i="116" s="1"/>
  <c r="C20" i="116"/>
  <c r="E26" i="116"/>
  <c r="H26" i="116" s="1"/>
  <c r="F20" i="116"/>
  <c r="D31" i="116"/>
  <c r="G31" i="116" s="1"/>
  <c r="C54" i="116"/>
  <c r="G20" i="116"/>
  <c r="Q10" i="37" l="1"/>
  <c r="O10" i="37"/>
  <c r="B34" i="23"/>
  <c r="H93" i="116"/>
  <c r="H97" i="116"/>
  <c r="H101" i="116"/>
  <c r="H105" i="116"/>
  <c r="H109" i="116"/>
  <c r="H113" i="116"/>
  <c r="H117" i="116"/>
  <c r="H121" i="116"/>
  <c r="H125" i="116"/>
  <c r="H129" i="116"/>
  <c r="H133" i="116"/>
  <c r="H137" i="116"/>
  <c r="H141" i="116"/>
  <c r="H145" i="116"/>
  <c r="H149" i="116"/>
  <c r="H153" i="116"/>
  <c r="H157" i="116"/>
  <c r="H92" i="116"/>
  <c r="H74" i="116"/>
  <c r="H96" i="116"/>
  <c r="H104" i="116"/>
  <c r="H108" i="116"/>
  <c r="H112" i="116"/>
  <c r="H116" i="116"/>
  <c r="H120" i="116"/>
  <c r="H124" i="116"/>
  <c r="H128" i="116"/>
  <c r="H136" i="116"/>
  <c r="H148" i="116"/>
  <c r="H156" i="116"/>
  <c r="H73" i="116"/>
  <c r="C165" i="116"/>
  <c r="H94" i="116"/>
  <c r="H98" i="116"/>
  <c r="H102" i="116"/>
  <c r="H106" i="116"/>
  <c r="H110" i="116"/>
  <c r="H114" i="116"/>
  <c r="H118" i="116"/>
  <c r="H122" i="116"/>
  <c r="H126" i="116"/>
  <c r="H130" i="116"/>
  <c r="H134" i="116"/>
  <c r="H138" i="116"/>
  <c r="H142" i="116"/>
  <c r="H146" i="116"/>
  <c r="H150" i="116"/>
  <c r="H154" i="116"/>
  <c r="H158" i="116"/>
  <c r="H71" i="116"/>
  <c r="H75" i="116"/>
  <c r="H100" i="116"/>
  <c r="H140" i="116"/>
  <c r="H95" i="116"/>
  <c r="H99" i="116"/>
  <c r="H103" i="116"/>
  <c r="H107" i="116"/>
  <c r="H111" i="116"/>
  <c r="H115" i="116"/>
  <c r="H119" i="116"/>
  <c r="H123" i="116"/>
  <c r="H127" i="116"/>
  <c r="H131" i="116"/>
  <c r="H135" i="116"/>
  <c r="H139" i="116"/>
  <c r="H143" i="116"/>
  <c r="H147" i="116"/>
  <c r="H151" i="116"/>
  <c r="H155" i="116"/>
  <c r="H159" i="116"/>
  <c r="H72" i="116"/>
  <c r="H76" i="116"/>
  <c r="H132" i="116"/>
  <c r="H144" i="116"/>
  <c r="H152" i="116"/>
  <c r="H160" i="116"/>
  <c r="H70" i="116"/>
  <c r="D29" i="116"/>
  <c r="G29" i="116" s="1"/>
  <c r="C31" i="116"/>
  <c r="F31" i="116" s="1"/>
  <c r="D20" i="116"/>
  <c r="C22" i="116" s="1"/>
  <c r="E31" i="116"/>
  <c r="H31" i="116" s="1"/>
  <c r="H20" i="116"/>
  <c r="G22" i="116" s="1"/>
  <c r="E29" i="116" s="1"/>
  <c r="H29" i="116" s="1"/>
  <c r="R10" i="37" l="1"/>
  <c r="H162" i="116"/>
  <c r="C166" i="116" s="1"/>
  <c r="C167" i="116" s="1"/>
  <c r="O34" i="37"/>
  <c r="D177" i="116"/>
  <c r="H32" i="116"/>
  <c r="E32" i="116"/>
  <c r="C41" i="116"/>
  <c r="C29" i="116"/>
  <c r="F29" i="116" s="1"/>
  <c r="G32" i="116"/>
  <c r="D32" i="116"/>
  <c r="C43" i="116"/>
  <c r="F32" i="116" l="1"/>
  <c r="I32" i="116" s="1"/>
  <c r="C32" i="116"/>
  <c r="D178" i="116" l="1"/>
  <c r="E58" i="101"/>
  <c r="R99" i="66"/>
  <c r="U99" i="66" s="1"/>
  <c r="M69" i="21"/>
  <c r="N69" i="21" s="1"/>
  <c r="O69" i="21"/>
  <c r="E35" i="82"/>
  <c r="F35" i="82" s="1"/>
  <c r="G35" i="82" s="1"/>
  <c r="I35" i="82"/>
  <c r="D120" i="32"/>
  <c r="E120" i="32" s="1"/>
  <c r="F120" i="32" s="1"/>
  <c r="H120" i="32"/>
  <c r="I124" i="30"/>
  <c r="D120" i="30"/>
  <c r="E120" i="30" s="1"/>
  <c r="F120" i="30" s="1"/>
  <c r="H120" i="30"/>
  <c r="D82" i="29"/>
  <c r="E82" i="29" s="1"/>
  <c r="F82" i="29" s="1"/>
  <c r="G31" i="68"/>
  <c r="G28" i="102"/>
  <c r="H28" i="102"/>
  <c r="E28" i="102"/>
  <c r="F28" i="102" s="1"/>
  <c r="G23" i="99"/>
  <c r="H23" i="99"/>
  <c r="E56" i="104"/>
  <c r="F56" i="104" s="1"/>
  <c r="G56" i="104"/>
  <c r="H56" i="104"/>
  <c r="E80" i="19"/>
  <c r="F80" i="19" s="1"/>
  <c r="H80" i="19"/>
  <c r="E118" i="101"/>
  <c r="F118" i="101" s="1"/>
  <c r="H118" i="101"/>
  <c r="D88" i="43"/>
  <c r="D45" i="91"/>
  <c r="E45" i="91" s="1"/>
  <c r="E56" i="64"/>
  <c r="F56" i="64" s="1"/>
  <c r="H56" i="64"/>
  <c r="D137" i="62"/>
  <c r="E68" i="22"/>
  <c r="F68" i="22" s="1"/>
  <c r="D121" i="86"/>
  <c r="G121" i="86" s="1"/>
  <c r="F121" i="86"/>
  <c r="E66" i="47"/>
  <c r="F66" i="47" s="1"/>
  <c r="H66" i="47"/>
  <c r="I23" i="99" l="1"/>
  <c r="I28" i="102"/>
  <c r="I56" i="104"/>
  <c r="P69" i="21"/>
  <c r="Q34" i="37"/>
  <c r="R34" i="37" s="1"/>
  <c r="D179" i="116"/>
  <c r="D180" i="116" s="1"/>
  <c r="O48" i="37"/>
  <c r="R48" i="37" s="1"/>
  <c r="H81" i="101" l="1"/>
  <c r="H82" i="101"/>
  <c r="H83" i="101"/>
  <c r="H84" i="101"/>
  <c r="H85" i="101"/>
  <c r="H86" i="101"/>
  <c r="H87" i="101"/>
  <c r="H88" i="101"/>
  <c r="H89" i="101"/>
  <c r="H90" i="101"/>
  <c r="H91" i="101"/>
  <c r="H92" i="101"/>
  <c r="H93" i="101"/>
  <c r="H94" i="101"/>
  <c r="H95" i="101"/>
  <c r="H96" i="101"/>
  <c r="H97" i="101"/>
  <c r="H98" i="101"/>
  <c r="H99" i="101"/>
  <c r="H100" i="101"/>
  <c r="H101" i="101"/>
  <c r="H102" i="101"/>
  <c r="H103" i="101"/>
  <c r="H104" i="101"/>
  <c r="H105" i="101"/>
  <c r="H106" i="101"/>
  <c r="H107" i="101"/>
  <c r="H108" i="101"/>
  <c r="H109" i="101"/>
  <c r="H110" i="101"/>
  <c r="H111" i="101"/>
  <c r="H112" i="101"/>
  <c r="H113" i="101"/>
  <c r="H114" i="101"/>
  <c r="H115" i="101"/>
  <c r="H116" i="101"/>
  <c r="H117" i="101"/>
  <c r="E80" i="101"/>
  <c r="F80" i="101" s="1"/>
  <c r="E81" i="101"/>
  <c r="F81" i="101" s="1"/>
  <c r="E82" i="101"/>
  <c r="F82" i="101" s="1"/>
  <c r="E83" i="101"/>
  <c r="F83" i="101" s="1"/>
  <c r="E84" i="101"/>
  <c r="F84" i="101" s="1"/>
  <c r="E85" i="101"/>
  <c r="F85" i="101" s="1"/>
  <c r="E86" i="101"/>
  <c r="F86" i="101" s="1"/>
  <c r="E87" i="101"/>
  <c r="F87" i="101" s="1"/>
  <c r="E88" i="101"/>
  <c r="F88" i="101" s="1"/>
  <c r="E89" i="101"/>
  <c r="F89" i="101" s="1"/>
  <c r="E90" i="101"/>
  <c r="F90" i="101" s="1"/>
  <c r="E91" i="101"/>
  <c r="F91" i="101" s="1"/>
  <c r="E92" i="101"/>
  <c r="F92" i="101" s="1"/>
  <c r="E93" i="101"/>
  <c r="F93" i="101" s="1"/>
  <c r="E94" i="101"/>
  <c r="F94" i="101" s="1"/>
  <c r="E95" i="101"/>
  <c r="F95" i="101" s="1"/>
  <c r="E96" i="101"/>
  <c r="F96" i="101" s="1"/>
  <c r="E97" i="101"/>
  <c r="F97" i="101" s="1"/>
  <c r="E98" i="101"/>
  <c r="F98" i="101" s="1"/>
  <c r="E99" i="101"/>
  <c r="F99" i="101" s="1"/>
  <c r="E100" i="101"/>
  <c r="F100" i="101" s="1"/>
  <c r="E101" i="101"/>
  <c r="F101" i="101" s="1"/>
  <c r="E102" i="101"/>
  <c r="F102" i="101" s="1"/>
  <c r="E103" i="101"/>
  <c r="F103" i="101" s="1"/>
  <c r="E104" i="101"/>
  <c r="F104" i="101" s="1"/>
  <c r="E105" i="101"/>
  <c r="F105" i="101" s="1"/>
  <c r="E106" i="101"/>
  <c r="F106" i="101" s="1"/>
  <c r="E107" i="101"/>
  <c r="F107" i="101" s="1"/>
  <c r="E108" i="101"/>
  <c r="F108" i="101" s="1"/>
  <c r="E109" i="101"/>
  <c r="F109" i="101" s="1"/>
  <c r="E110" i="101"/>
  <c r="F110" i="101" s="1"/>
  <c r="E111" i="101"/>
  <c r="F111" i="101" s="1"/>
  <c r="E112" i="101"/>
  <c r="F112" i="101" s="1"/>
  <c r="E113" i="101"/>
  <c r="F113" i="101" s="1"/>
  <c r="E114" i="101"/>
  <c r="F114" i="101" s="1"/>
  <c r="E115" i="101"/>
  <c r="F115" i="101" s="1"/>
  <c r="E116" i="101"/>
  <c r="F116" i="101" s="1"/>
  <c r="E117" i="101"/>
  <c r="F117" i="101" s="1"/>
  <c r="E79" i="101"/>
  <c r="F79" i="101" s="1"/>
  <c r="C76" i="101"/>
  <c r="B76" i="101"/>
  <c r="E72" i="101"/>
  <c r="C71" i="101"/>
  <c r="C70" i="101"/>
  <c r="E65" i="101"/>
  <c r="E47" i="101"/>
  <c r="E40" i="101"/>
  <c r="C64" i="101"/>
  <c r="C63" i="101"/>
  <c r="C57" i="101"/>
  <c r="C56" i="101"/>
  <c r="C46" i="101"/>
  <c r="C45" i="101"/>
  <c r="C39" i="101"/>
  <c r="C38" i="101"/>
  <c r="E32" i="101"/>
  <c r="D25" i="101"/>
  <c r="E25" i="101" s="1"/>
  <c r="C30" i="101"/>
  <c r="C31" i="101"/>
  <c r="C23" i="101"/>
  <c r="C24" i="101"/>
  <c r="Y2" i="37"/>
  <c r="X2" i="37"/>
  <c r="N129" i="37" l="1"/>
  <c r="N130" i="37"/>
  <c r="N126" i="37"/>
  <c r="N125" i="37"/>
  <c r="N128" i="37"/>
  <c r="N127" i="37"/>
  <c r="N86" i="37"/>
  <c r="N108" i="37"/>
  <c r="N89" i="37"/>
  <c r="N123" i="37"/>
  <c r="N119" i="37"/>
  <c r="N115" i="37"/>
  <c r="N110" i="37"/>
  <c r="N105" i="37"/>
  <c r="N121" i="37"/>
  <c r="N111" i="37"/>
  <c r="N120" i="37"/>
  <c r="N144" i="37"/>
  <c r="N122" i="37"/>
  <c r="N118" i="37"/>
  <c r="N114" i="37"/>
  <c r="N143" i="37"/>
  <c r="N109" i="37"/>
  <c r="N104" i="37"/>
  <c r="N117" i="37"/>
  <c r="N113" i="37"/>
  <c r="N116" i="37"/>
  <c r="N112" i="37"/>
  <c r="N106" i="37"/>
  <c r="N103" i="37"/>
  <c r="N102" i="37"/>
  <c r="N36" i="37"/>
  <c r="N35" i="37"/>
  <c r="N81" i="37"/>
  <c r="N76" i="37"/>
  <c r="N37" i="37"/>
  <c r="N83" i="37"/>
  <c r="N8" i="189"/>
  <c r="M10" i="189"/>
  <c r="N41" i="37"/>
  <c r="N100" i="37"/>
  <c r="N101" i="37"/>
  <c r="N85" i="37"/>
  <c r="N87" i="37"/>
  <c r="N88" i="37"/>
  <c r="N75" i="37"/>
  <c r="N98" i="37"/>
  <c r="N80" i="37"/>
  <c r="N90" i="37"/>
  <c r="N97" i="37"/>
  <c r="N94" i="37"/>
  <c r="N84" i="37"/>
  <c r="N95" i="37"/>
  <c r="N96" i="37"/>
  <c r="N93" i="37"/>
  <c r="N55" i="37"/>
  <c r="N82" i="37"/>
  <c r="N79" i="37"/>
  <c r="N91" i="37"/>
  <c r="N77" i="37"/>
  <c r="N52" i="37"/>
  <c r="N7" i="37"/>
  <c r="N48" i="37"/>
  <c r="C72" i="101"/>
  <c r="F72" i="101" s="1"/>
  <c r="F73" i="101" s="1"/>
  <c r="N6" i="37"/>
  <c r="N34" i="37"/>
  <c r="N67" i="37"/>
  <c r="N43" i="37"/>
  <c r="N74" i="37"/>
  <c r="Z2" i="37"/>
  <c r="AA2" i="37" s="1"/>
  <c r="C65" i="101"/>
  <c r="F65" i="101" s="1"/>
  <c r="F66" i="101" s="1"/>
  <c r="C32" i="101"/>
  <c r="F32" i="101" s="1"/>
  <c r="C58" i="101"/>
  <c r="F58" i="101" s="1"/>
  <c r="F59" i="101" s="1"/>
  <c r="C47" i="101"/>
  <c r="F47" i="101" s="1"/>
  <c r="F48" i="101" s="1"/>
  <c r="C40" i="101"/>
  <c r="F40" i="101" s="1"/>
  <c r="F41" i="101" s="1"/>
  <c r="C25" i="101"/>
  <c r="F25" i="101" s="1"/>
  <c r="N51" i="37"/>
  <c r="N18" i="37"/>
  <c r="N19" i="37"/>
  <c r="N17" i="37"/>
  <c r="N30" i="37"/>
  <c r="N49" i="37"/>
  <c r="N39" i="37"/>
  <c r="N28" i="37"/>
  <c r="N16" i="37"/>
  <c r="N31" i="37"/>
  <c r="N50" i="37"/>
  <c r="N27" i="37"/>
  <c r="N15" i="37"/>
  <c r="N40" i="37"/>
  <c r="N38" i="37"/>
  <c r="N63" i="37"/>
  <c r="N73" i="37"/>
  <c r="N26" i="37"/>
  <c r="N14" i="37"/>
  <c r="N29" i="37"/>
  <c r="N69" i="37"/>
  <c r="N61" i="37"/>
  <c r="N46" i="37"/>
  <c r="N25" i="37"/>
  <c r="N13" i="37"/>
  <c r="N64" i="37"/>
  <c r="N44" i="37"/>
  <c r="N24" i="37"/>
  <c r="N12" i="37"/>
  <c r="N54" i="37"/>
  <c r="N72" i="37"/>
  <c r="N60" i="37"/>
  <c r="N45" i="37"/>
  <c r="N23" i="37"/>
  <c r="N11" i="37"/>
  <c r="N57" i="37"/>
  <c r="N56" i="37"/>
  <c r="N71" i="37"/>
  <c r="N92" i="37"/>
  <c r="N22" i="37"/>
  <c r="N10" i="37"/>
  <c r="N65" i="37"/>
  <c r="N47" i="37"/>
  <c r="N70" i="37"/>
  <c r="N59" i="37"/>
  <c r="N33" i="37"/>
  <c r="N21" i="37"/>
  <c r="N9" i="37"/>
  <c r="N66" i="37"/>
  <c r="N68" i="37"/>
  <c r="N58" i="37"/>
  <c r="N42" i="37"/>
  <c r="N32" i="37"/>
  <c r="N20" i="37"/>
  <c r="N8" i="37"/>
  <c r="N5" i="37"/>
  <c r="N4" i="37"/>
  <c r="N3" i="37"/>
  <c r="AB2" i="37" l="1"/>
  <c r="F34" i="101"/>
  <c r="F26" i="101"/>
  <c r="F75" i="101" s="1"/>
  <c r="O68" i="21"/>
  <c r="M68" i="21"/>
  <c r="N68" i="21" s="1"/>
  <c r="O67" i="21"/>
  <c r="M67" i="21"/>
  <c r="N67" i="21" s="1"/>
  <c r="O66" i="21"/>
  <c r="M66" i="21"/>
  <c r="N66" i="21" s="1"/>
  <c r="O65" i="21"/>
  <c r="M65" i="21"/>
  <c r="N65" i="21" s="1"/>
  <c r="O64" i="21"/>
  <c r="M64" i="21"/>
  <c r="O63" i="21"/>
  <c r="M63" i="21"/>
  <c r="N63" i="21" s="1"/>
  <c r="O62" i="21"/>
  <c r="M62" i="21"/>
  <c r="O61" i="21"/>
  <c r="M61" i="21"/>
  <c r="N61" i="21" s="1"/>
  <c r="O60" i="21"/>
  <c r="M60" i="21"/>
  <c r="N60" i="21" s="1"/>
  <c r="O59" i="21"/>
  <c r="M59" i="21"/>
  <c r="N59" i="21" s="1"/>
  <c r="O58" i="21"/>
  <c r="M58" i="21"/>
  <c r="O57" i="21"/>
  <c r="M57" i="21"/>
  <c r="N57" i="21" s="1"/>
  <c r="O56" i="21"/>
  <c r="M56" i="21"/>
  <c r="O55" i="21"/>
  <c r="M55" i="21"/>
  <c r="N55" i="21" s="1"/>
  <c r="O54" i="21"/>
  <c r="M54" i="21"/>
  <c r="N54" i="21" s="1"/>
  <c r="O53" i="21"/>
  <c r="M53" i="21"/>
  <c r="N53" i="21" s="1"/>
  <c r="O52" i="21"/>
  <c r="M52" i="21"/>
  <c r="O51" i="21"/>
  <c r="M51" i="21"/>
  <c r="N51" i="21" s="1"/>
  <c r="O50" i="21"/>
  <c r="M50" i="21"/>
  <c r="O49" i="21"/>
  <c r="M49" i="21"/>
  <c r="N49" i="21" s="1"/>
  <c r="O48" i="21"/>
  <c r="M48" i="21"/>
  <c r="N48" i="21" s="1"/>
  <c r="O47" i="21"/>
  <c r="M47" i="21"/>
  <c r="N47" i="21" s="1"/>
  <c r="O46" i="21"/>
  <c r="M46" i="21"/>
  <c r="O45" i="21"/>
  <c r="M45" i="21"/>
  <c r="N45" i="21" s="1"/>
  <c r="O44" i="21"/>
  <c r="M44" i="21"/>
  <c r="O43" i="21"/>
  <c r="M43" i="21"/>
  <c r="N43" i="21" s="1"/>
  <c r="O42" i="21"/>
  <c r="M42" i="21"/>
  <c r="N42" i="21" s="1"/>
  <c r="O41" i="21"/>
  <c r="M41" i="21"/>
  <c r="N41" i="21" s="1"/>
  <c r="O40" i="21"/>
  <c r="P40" i="21" s="1"/>
  <c r="O39" i="21"/>
  <c r="O38" i="21"/>
  <c r="P38" i="21" s="1"/>
  <c r="O37" i="21"/>
  <c r="O36" i="21"/>
  <c r="O35" i="21"/>
  <c r="O34" i="21"/>
  <c r="P34" i="21" s="1"/>
  <c r="O33" i="21"/>
  <c r="O32" i="21"/>
  <c r="P32" i="21" s="1"/>
  <c r="O31" i="21"/>
  <c r="O30" i="21"/>
  <c r="O28" i="21"/>
  <c r="O27" i="21"/>
  <c r="P27" i="21" s="1"/>
  <c r="O26" i="21"/>
  <c r="O25" i="21"/>
  <c r="P25" i="21" s="1"/>
  <c r="O24" i="21"/>
  <c r="O23" i="21"/>
  <c r="O22" i="21"/>
  <c r="P22" i="21" s="1"/>
  <c r="D119" i="32"/>
  <c r="E119" i="32" s="1"/>
  <c r="F119" i="32" s="1"/>
  <c r="H119" i="32"/>
  <c r="D119" i="30"/>
  <c r="E119" i="30" s="1"/>
  <c r="F119" i="30" s="1"/>
  <c r="H119" i="30"/>
  <c r="D81" i="29"/>
  <c r="E81" i="29" s="1"/>
  <c r="F81" i="29" s="1"/>
  <c r="G30" i="68"/>
  <c r="H12" i="102"/>
  <c r="I12" i="102" s="1"/>
  <c r="G26" i="102"/>
  <c r="H26" i="102"/>
  <c r="G27" i="102"/>
  <c r="H27" i="102"/>
  <c r="E24" i="102"/>
  <c r="E25" i="102"/>
  <c r="E26" i="102"/>
  <c r="F26" i="102" s="1"/>
  <c r="E27" i="102"/>
  <c r="F27" i="102" s="1"/>
  <c r="G22" i="99"/>
  <c r="H22" i="99"/>
  <c r="R98" i="66"/>
  <c r="U98" i="66" s="1"/>
  <c r="H30" i="98"/>
  <c r="H79" i="19"/>
  <c r="E79" i="19"/>
  <c r="F79" i="19" s="1"/>
  <c r="D87" i="43"/>
  <c r="E87" i="43" s="1"/>
  <c r="D44" i="91"/>
  <c r="E44" i="91" s="1"/>
  <c r="H55" i="64"/>
  <c r="E55" i="64"/>
  <c r="F55" i="64" s="1"/>
  <c r="D136" i="62"/>
  <c r="E67" i="22"/>
  <c r="F67" i="22" s="1"/>
  <c r="D120" i="86"/>
  <c r="H65" i="47"/>
  <c r="E65" i="47"/>
  <c r="F65" i="47" s="1"/>
  <c r="C315" i="111"/>
  <c r="D315" i="111" s="1"/>
  <c r="E315" i="111" s="1"/>
  <c r="C314" i="111"/>
  <c r="D314" i="111" s="1"/>
  <c r="E314" i="111" s="1"/>
  <c r="C313" i="111"/>
  <c r="D313" i="111" s="1"/>
  <c r="E313" i="111" s="1"/>
  <c r="R312" i="111"/>
  <c r="P312" i="111"/>
  <c r="C312" i="111"/>
  <c r="D312" i="111" s="1"/>
  <c r="E312" i="111" s="1"/>
  <c r="R311" i="111"/>
  <c r="P311" i="111"/>
  <c r="E311" i="111"/>
  <c r="D311" i="111"/>
  <c r="C311" i="111"/>
  <c r="Q310" i="111"/>
  <c r="R310" i="111" s="1"/>
  <c r="P310" i="111"/>
  <c r="L310" i="111"/>
  <c r="U311" i="111" s="1"/>
  <c r="K310" i="111"/>
  <c r="H310" i="111"/>
  <c r="G310" i="111"/>
  <c r="D310" i="111"/>
  <c r="E310" i="111" s="1"/>
  <c r="R309" i="111"/>
  <c r="Q309" i="111"/>
  <c r="P309" i="111"/>
  <c r="L309" i="111"/>
  <c r="U309" i="111" s="1"/>
  <c r="H309" i="111"/>
  <c r="G309" i="111"/>
  <c r="K309" i="111" s="1"/>
  <c r="S309" i="111" s="1"/>
  <c r="D309" i="111"/>
  <c r="E309" i="111" s="1"/>
  <c r="Q308" i="111"/>
  <c r="R308" i="111" s="1"/>
  <c r="P308" i="111"/>
  <c r="L308" i="111"/>
  <c r="U308" i="111" s="1"/>
  <c r="H308" i="111"/>
  <c r="G308" i="111"/>
  <c r="K308" i="111" s="1"/>
  <c r="S308" i="111" s="1"/>
  <c r="D308" i="111"/>
  <c r="E308" i="111" s="1"/>
  <c r="Q307" i="111"/>
  <c r="R307" i="111" s="1"/>
  <c r="P307" i="111"/>
  <c r="L307" i="111"/>
  <c r="U307" i="111" s="1"/>
  <c r="V307" i="111" s="1"/>
  <c r="K307" i="111"/>
  <c r="S307" i="111" s="1"/>
  <c r="H307" i="111"/>
  <c r="G307" i="111"/>
  <c r="D307" i="111"/>
  <c r="E307" i="111" s="1"/>
  <c r="R306" i="111"/>
  <c r="Q306" i="111"/>
  <c r="P306" i="111"/>
  <c r="L306" i="111"/>
  <c r="U306" i="111" s="1"/>
  <c r="H306" i="111"/>
  <c r="G306" i="111"/>
  <c r="K306" i="111" s="1"/>
  <c r="S306" i="111" s="1"/>
  <c r="D306" i="111"/>
  <c r="E306" i="111" s="1"/>
  <c r="Q305" i="111"/>
  <c r="R305" i="111" s="1"/>
  <c r="P305" i="111"/>
  <c r="H305" i="111"/>
  <c r="G305" i="111"/>
  <c r="K305" i="111" s="1"/>
  <c r="S305" i="111" s="1"/>
  <c r="T305" i="111" s="1"/>
  <c r="D305" i="111"/>
  <c r="E305" i="111" s="1"/>
  <c r="Q304" i="111"/>
  <c r="R304" i="111" s="1"/>
  <c r="P304" i="111"/>
  <c r="L304" i="111"/>
  <c r="U304" i="111" s="1"/>
  <c r="K304" i="111"/>
  <c r="S304" i="111" s="1"/>
  <c r="H304" i="111"/>
  <c r="G304" i="111"/>
  <c r="D304" i="111"/>
  <c r="E304" i="111" s="1"/>
  <c r="R303" i="111"/>
  <c r="Q303" i="111"/>
  <c r="P303" i="111"/>
  <c r="L303" i="111"/>
  <c r="U303" i="111" s="1"/>
  <c r="H303" i="111"/>
  <c r="G303" i="111"/>
  <c r="K303" i="111" s="1"/>
  <c r="S303" i="111" s="1"/>
  <c r="D303" i="111"/>
  <c r="E303" i="111" s="1"/>
  <c r="Q302" i="111"/>
  <c r="R302" i="111" s="1"/>
  <c r="P302" i="111"/>
  <c r="H302" i="111"/>
  <c r="G302" i="111"/>
  <c r="D302" i="111"/>
  <c r="E302" i="111" s="1"/>
  <c r="Q301" i="111"/>
  <c r="R301" i="111" s="1"/>
  <c r="P301" i="111"/>
  <c r="L301" i="111"/>
  <c r="U301" i="111" s="1"/>
  <c r="V301" i="111" s="1"/>
  <c r="K301" i="111"/>
  <c r="S301" i="111" s="1"/>
  <c r="H301" i="111"/>
  <c r="G301" i="111"/>
  <c r="D301" i="111"/>
  <c r="E301" i="111" s="1"/>
  <c r="R300" i="111"/>
  <c r="Q300" i="111"/>
  <c r="P300" i="111"/>
  <c r="L300" i="111"/>
  <c r="U300" i="111" s="1"/>
  <c r="V300" i="111" s="1"/>
  <c r="H300" i="111"/>
  <c r="G300" i="111"/>
  <c r="K300" i="111" s="1"/>
  <c r="S300" i="111" s="1"/>
  <c r="D300" i="111"/>
  <c r="E300" i="111" s="1"/>
  <c r="Q299" i="111"/>
  <c r="R299" i="111" s="1"/>
  <c r="P299" i="111"/>
  <c r="J299" i="111"/>
  <c r="H299" i="111"/>
  <c r="H312" i="111" s="1"/>
  <c r="G299" i="111"/>
  <c r="D299" i="111"/>
  <c r="E299" i="111" s="1"/>
  <c r="E292" i="111"/>
  <c r="C292" i="111"/>
  <c r="D292" i="111" s="1"/>
  <c r="D291" i="111"/>
  <c r="E291" i="111" s="1"/>
  <c r="C291" i="111"/>
  <c r="C290" i="111"/>
  <c r="D290" i="111" s="1"/>
  <c r="E290" i="111" s="1"/>
  <c r="D289" i="111"/>
  <c r="E289" i="111" s="1"/>
  <c r="C289" i="111"/>
  <c r="C288" i="111"/>
  <c r="D288" i="111" s="1"/>
  <c r="E288" i="111" s="1"/>
  <c r="R287" i="111"/>
  <c r="Q287" i="111"/>
  <c r="P287" i="111"/>
  <c r="L287" i="111"/>
  <c r="U287" i="111" s="1"/>
  <c r="H287" i="111"/>
  <c r="G287" i="111"/>
  <c r="K287" i="111" s="1"/>
  <c r="S287" i="111" s="1"/>
  <c r="T287" i="111" s="1"/>
  <c r="D287" i="111"/>
  <c r="E287" i="111" s="1"/>
  <c r="Q286" i="111"/>
  <c r="R286" i="111" s="1"/>
  <c r="P286" i="111"/>
  <c r="H286" i="111"/>
  <c r="G286" i="111"/>
  <c r="K286" i="111" s="1"/>
  <c r="S286" i="111" s="1"/>
  <c r="D286" i="111"/>
  <c r="E286" i="111" s="1"/>
  <c r="Q285" i="111"/>
  <c r="R285" i="111" s="1"/>
  <c r="P285" i="111"/>
  <c r="L285" i="111"/>
  <c r="U285" i="111" s="1"/>
  <c r="K285" i="111"/>
  <c r="S285" i="111" s="1"/>
  <c r="H285" i="111"/>
  <c r="G285" i="111"/>
  <c r="D285" i="111"/>
  <c r="E285" i="111" s="1"/>
  <c r="R284" i="111"/>
  <c r="Q284" i="111"/>
  <c r="P284" i="111"/>
  <c r="L284" i="111"/>
  <c r="U284" i="111" s="1"/>
  <c r="H284" i="111"/>
  <c r="G284" i="111"/>
  <c r="K284" i="111" s="1"/>
  <c r="S284" i="111" s="1"/>
  <c r="T284" i="111" s="1"/>
  <c r="D284" i="111"/>
  <c r="E284" i="111" s="1"/>
  <c r="Q283" i="111"/>
  <c r="R283" i="111" s="1"/>
  <c r="P283" i="111"/>
  <c r="L283" i="111"/>
  <c r="U283" i="111" s="1"/>
  <c r="H283" i="111"/>
  <c r="G283" i="111"/>
  <c r="K283" i="111" s="1"/>
  <c r="S283" i="111" s="1"/>
  <c r="T283" i="111" s="1"/>
  <c r="D283" i="111"/>
  <c r="E283" i="111" s="1"/>
  <c r="Q282" i="111"/>
  <c r="R282" i="111" s="1"/>
  <c r="P282" i="111"/>
  <c r="L282" i="111"/>
  <c r="U282" i="111" s="1"/>
  <c r="V282" i="111" s="1"/>
  <c r="K282" i="111"/>
  <c r="S282" i="111" s="1"/>
  <c r="T282" i="111" s="1"/>
  <c r="H282" i="111"/>
  <c r="G282" i="111"/>
  <c r="D282" i="111"/>
  <c r="E282" i="111" s="1"/>
  <c r="R281" i="111"/>
  <c r="Q281" i="111"/>
  <c r="P281" i="111"/>
  <c r="L281" i="111"/>
  <c r="U281" i="111" s="1"/>
  <c r="H281" i="111"/>
  <c r="G281" i="111"/>
  <c r="K281" i="111" s="1"/>
  <c r="S281" i="111" s="1"/>
  <c r="T281" i="111" s="1"/>
  <c r="D281" i="111"/>
  <c r="E281" i="111" s="1"/>
  <c r="Q280" i="111"/>
  <c r="R280" i="111" s="1"/>
  <c r="P280" i="111"/>
  <c r="T280" i="111" s="1"/>
  <c r="H280" i="111"/>
  <c r="G280" i="111"/>
  <c r="K280" i="111" s="1"/>
  <c r="S280" i="111" s="1"/>
  <c r="D280" i="111"/>
  <c r="E280" i="111" s="1"/>
  <c r="Q279" i="111"/>
  <c r="R279" i="111" s="1"/>
  <c r="P279" i="111"/>
  <c r="L279" i="111"/>
  <c r="U279" i="111" s="1"/>
  <c r="K279" i="111"/>
  <c r="S279" i="111" s="1"/>
  <c r="T279" i="111" s="1"/>
  <c r="H279" i="111"/>
  <c r="G279" i="111"/>
  <c r="D279" i="111"/>
  <c r="E279" i="111" s="1"/>
  <c r="R278" i="111"/>
  <c r="Q278" i="111"/>
  <c r="P278" i="111"/>
  <c r="L278" i="111"/>
  <c r="U278" i="111" s="1"/>
  <c r="V278" i="111" s="1"/>
  <c r="H278" i="111"/>
  <c r="G278" i="111"/>
  <c r="K278" i="111" s="1"/>
  <c r="S278" i="111" s="1"/>
  <c r="T278" i="111" s="1"/>
  <c r="D278" i="111"/>
  <c r="E278" i="111" s="1"/>
  <c r="Q277" i="111"/>
  <c r="R277" i="111" s="1"/>
  <c r="P277" i="111"/>
  <c r="H277" i="111"/>
  <c r="G277" i="111"/>
  <c r="K277" i="111" s="1"/>
  <c r="S277" i="111" s="1"/>
  <c r="T277" i="111" s="1"/>
  <c r="D277" i="111"/>
  <c r="E277" i="111" s="1"/>
  <c r="Q276" i="111"/>
  <c r="R276" i="111" s="1"/>
  <c r="P276" i="111"/>
  <c r="L276" i="111"/>
  <c r="J276" i="111"/>
  <c r="J289" i="111" s="1"/>
  <c r="I289" i="111"/>
  <c r="H276" i="111"/>
  <c r="H289" i="111" s="1"/>
  <c r="G276" i="111"/>
  <c r="D276" i="111"/>
  <c r="E276" i="111" s="1"/>
  <c r="C269" i="111"/>
  <c r="D269" i="111" s="1"/>
  <c r="E269" i="111" s="1"/>
  <c r="D268" i="111"/>
  <c r="E268" i="111" s="1"/>
  <c r="C268" i="111"/>
  <c r="C267" i="111"/>
  <c r="D267" i="111" s="1"/>
  <c r="E267" i="111" s="1"/>
  <c r="D266" i="111"/>
  <c r="E266" i="111" s="1"/>
  <c r="C266" i="111"/>
  <c r="C265" i="111"/>
  <c r="D265" i="111" s="1"/>
  <c r="E265" i="111" s="1"/>
  <c r="Q264" i="111"/>
  <c r="R264" i="111" s="1"/>
  <c r="P264" i="111"/>
  <c r="H264" i="111"/>
  <c r="G264" i="111"/>
  <c r="K264" i="111" s="1"/>
  <c r="S264" i="111" s="1"/>
  <c r="D264" i="111"/>
  <c r="E264" i="111" s="1"/>
  <c r="Q263" i="111"/>
  <c r="R263" i="111" s="1"/>
  <c r="P263" i="111"/>
  <c r="L263" i="111"/>
  <c r="U263" i="111" s="1"/>
  <c r="V263" i="111" s="1"/>
  <c r="K263" i="111"/>
  <c r="S263" i="111" s="1"/>
  <c r="H263" i="111"/>
  <c r="G263" i="111"/>
  <c r="D263" i="111"/>
  <c r="E263" i="111" s="1"/>
  <c r="R262" i="111"/>
  <c r="Q262" i="111"/>
  <c r="P262" i="111"/>
  <c r="L262" i="111"/>
  <c r="U262" i="111" s="1"/>
  <c r="K262" i="111"/>
  <c r="S262" i="111" s="1"/>
  <c r="H262" i="111"/>
  <c r="G262" i="111"/>
  <c r="D262" i="111"/>
  <c r="E262" i="111" s="1"/>
  <c r="R261" i="111"/>
  <c r="Q261" i="111"/>
  <c r="P261" i="111"/>
  <c r="H261" i="111"/>
  <c r="G261" i="111"/>
  <c r="D261" i="111"/>
  <c r="E261" i="111" s="1"/>
  <c r="Q260" i="111"/>
  <c r="R260" i="111" s="1"/>
  <c r="P260" i="111"/>
  <c r="L260" i="111"/>
  <c r="U260" i="111" s="1"/>
  <c r="K260" i="111"/>
  <c r="S260" i="111" s="1"/>
  <c r="H260" i="111"/>
  <c r="G260" i="111"/>
  <c r="D260" i="111"/>
  <c r="E260" i="111" s="1"/>
  <c r="R259" i="111"/>
  <c r="Q259" i="111"/>
  <c r="P259" i="111"/>
  <c r="L259" i="111"/>
  <c r="U259" i="111" s="1"/>
  <c r="V259" i="111" s="1"/>
  <c r="K259" i="111"/>
  <c r="S259" i="111" s="1"/>
  <c r="T259" i="111" s="1"/>
  <c r="H259" i="111"/>
  <c r="G259" i="111"/>
  <c r="D259" i="111"/>
  <c r="E259" i="111" s="1"/>
  <c r="R258" i="111"/>
  <c r="Q258" i="111"/>
  <c r="P258" i="111"/>
  <c r="L258" i="111"/>
  <c r="U258" i="111" s="1"/>
  <c r="V258" i="111" s="1"/>
  <c r="H258" i="111"/>
  <c r="G258" i="111"/>
  <c r="D258" i="111"/>
  <c r="E258" i="111" s="1"/>
  <c r="Q257" i="111"/>
  <c r="R257" i="111" s="1"/>
  <c r="P257" i="111"/>
  <c r="L257" i="111"/>
  <c r="U257" i="111" s="1"/>
  <c r="K257" i="111"/>
  <c r="S257" i="111" s="1"/>
  <c r="T257" i="111" s="1"/>
  <c r="H257" i="111"/>
  <c r="G257" i="111"/>
  <c r="D257" i="111"/>
  <c r="E257" i="111" s="1"/>
  <c r="R256" i="111"/>
  <c r="Q256" i="111"/>
  <c r="P256" i="111"/>
  <c r="L256" i="111"/>
  <c r="U256" i="111" s="1"/>
  <c r="K256" i="111"/>
  <c r="S256" i="111" s="1"/>
  <c r="H256" i="111"/>
  <c r="G256" i="111"/>
  <c r="D256" i="111"/>
  <c r="E256" i="111" s="1"/>
  <c r="R255" i="111"/>
  <c r="Q255" i="111"/>
  <c r="P255" i="111"/>
  <c r="H255" i="111"/>
  <c r="H266" i="111" s="1"/>
  <c r="G255" i="111"/>
  <c r="K255" i="111" s="1"/>
  <c r="S255" i="111" s="1"/>
  <c r="D255" i="111"/>
  <c r="E255" i="111" s="1"/>
  <c r="Q254" i="111"/>
  <c r="R254" i="111" s="1"/>
  <c r="P254" i="111"/>
  <c r="L254" i="111"/>
  <c r="U254" i="111" s="1"/>
  <c r="K254" i="111"/>
  <c r="S254" i="111" s="1"/>
  <c r="H254" i="111"/>
  <c r="G254" i="111"/>
  <c r="D254" i="111"/>
  <c r="E254" i="111" s="1"/>
  <c r="R253" i="111"/>
  <c r="Q253" i="111"/>
  <c r="P253" i="111"/>
  <c r="J253" i="111"/>
  <c r="L253" i="111" s="1"/>
  <c r="K253" i="111"/>
  <c r="S253" i="111" s="1"/>
  <c r="H253" i="111"/>
  <c r="G253" i="111"/>
  <c r="D253" i="111"/>
  <c r="E253" i="111" s="1"/>
  <c r="C247" i="111"/>
  <c r="D247" i="111" s="1"/>
  <c r="E247" i="111" s="1"/>
  <c r="D246" i="111"/>
  <c r="E246" i="111" s="1"/>
  <c r="C246" i="111"/>
  <c r="C245" i="111"/>
  <c r="D245" i="111" s="1"/>
  <c r="E245" i="111" s="1"/>
  <c r="D244" i="111"/>
  <c r="E244" i="111" s="1"/>
  <c r="C244" i="111"/>
  <c r="C243" i="111"/>
  <c r="D243" i="111" s="1"/>
  <c r="E243" i="111" s="1"/>
  <c r="Q242" i="111"/>
  <c r="R242" i="111" s="1"/>
  <c r="P242" i="111"/>
  <c r="L242" i="111"/>
  <c r="U242" i="111" s="1"/>
  <c r="V242" i="111" s="1"/>
  <c r="K242" i="111"/>
  <c r="S242" i="111" s="1"/>
  <c r="H242" i="111"/>
  <c r="G242" i="111"/>
  <c r="D242" i="111"/>
  <c r="E242" i="111" s="1"/>
  <c r="R241" i="111"/>
  <c r="Q241" i="111"/>
  <c r="P241" i="111"/>
  <c r="L241" i="111"/>
  <c r="U241" i="111" s="1"/>
  <c r="K241" i="111"/>
  <c r="S241" i="111" s="1"/>
  <c r="H241" i="111"/>
  <c r="G241" i="111"/>
  <c r="D241" i="111"/>
  <c r="E241" i="111" s="1"/>
  <c r="R240" i="111"/>
  <c r="Q240" i="111"/>
  <c r="P240" i="111"/>
  <c r="H240" i="111"/>
  <c r="G240" i="111"/>
  <c r="D240" i="111"/>
  <c r="E240" i="111" s="1"/>
  <c r="Q239" i="111"/>
  <c r="R239" i="111" s="1"/>
  <c r="P239" i="111"/>
  <c r="L239" i="111"/>
  <c r="U239" i="111" s="1"/>
  <c r="K239" i="111"/>
  <c r="S239" i="111" s="1"/>
  <c r="H239" i="111"/>
  <c r="G239" i="111"/>
  <c r="D239" i="111"/>
  <c r="E239" i="111" s="1"/>
  <c r="R238" i="111"/>
  <c r="Q238" i="111"/>
  <c r="P238" i="111"/>
  <c r="L238" i="111"/>
  <c r="U238" i="111" s="1"/>
  <c r="K238" i="111"/>
  <c r="S238" i="111" s="1"/>
  <c r="H238" i="111"/>
  <c r="G238" i="111"/>
  <c r="D238" i="111"/>
  <c r="E238" i="111" s="1"/>
  <c r="R237" i="111"/>
  <c r="Q237" i="111"/>
  <c r="P237" i="111"/>
  <c r="L237" i="111"/>
  <c r="U237" i="111" s="1"/>
  <c r="V237" i="111" s="1"/>
  <c r="H237" i="111"/>
  <c r="G237" i="111"/>
  <c r="K237" i="111" s="1"/>
  <c r="S237" i="111" s="1"/>
  <c r="T237" i="111" s="1"/>
  <c r="D237" i="111"/>
  <c r="E237" i="111" s="1"/>
  <c r="Q236" i="111"/>
  <c r="R236" i="111" s="1"/>
  <c r="P236" i="111"/>
  <c r="L236" i="111"/>
  <c r="U236" i="111" s="1"/>
  <c r="K236" i="111"/>
  <c r="S236" i="111" s="1"/>
  <c r="H236" i="111"/>
  <c r="G236" i="111"/>
  <c r="D236" i="111"/>
  <c r="E236" i="111" s="1"/>
  <c r="R235" i="111"/>
  <c r="Q235" i="111"/>
  <c r="P235" i="111"/>
  <c r="L235" i="111"/>
  <c r="U235" i="111" s="1"/>
  <c r="K235" i="111"/>
  <c r="S235" i="111" s="1"/>
  <c r="T235" i="111" s="1"/>
  <c r="H235" i="111"/>
  <c r="G235" i="111"/>
  <c r="D235" i="111"/>
  <c r="E235" i="111" s="1"/>
  <c r="R234" i="111"/>
  <c r="Q234" i="111"/>
  <c r="P234" i="111"/>
  <c r="H234" i="111"/>
  <c r="G234" i="111"/>
  <c r="K234" i="111" s="1"/>
  <c r="S234" i="111" s="1"/>
  <c r="T234" i="111" s="1"/>
  <c r="D234" i="111"/>
  <c r="E234" i="111" s="1"/>
  <c r="Q233" i="111"/>
  <c r="R233" i="111" s="1"/>
  <c r="P233" i="111"/>
  <c r="L233" i="111"/>
  <c r="U233" i="111" s="1"/>
  <c r="V233" i="111" s="1"/>
  <c r="K233" i="111"/>
  <c r="S233" i="111" s="1"/>
  <c r="H233" i="111"/>
  <c r="G233" i="111"/>
  <c r="D233" i="111"/>
  <c r="E233" i="111" s="1"/>
  <c r="R232" i="111"/>
  <c r="Q232" i="111"/>
  <c r="P232" i="111"/>
  <c r="L232" i="111"/>
  <c r="U232" i="111" s="1"/>
  <c r="V232" i="111" s="1"/>
  <c r="K232" i="111"/>
  <c r="S232" i="111" s="1"/>
  <c r="H232" i="111"/>
  <c r="G232" i="111"/>
  <c r="D232" i="111"/>
  <c r="E232" i="111" s="1"/>
  <c r="R231" i="111"/>
  <c r="Q231" i="111"/>
  <c r="P231" i="111"/>
  <c r="J231" i="111"/>
  <c r="I244" i="111"/>
  <c r="H231" i="111"/>
  <c r="G231" i="111"/>
  <c r="D231" i="111"/>
  <c r="E231" i="111" s="1"/>
  <c r="E225" i="111"/>
  <c r="C225" i="111"/>
  <c r="D225" i="111" s="1"/>
  <c r="D224" i="111"/>
  <c r="E224" i="111" s="1"/>
  <c r="C224" i="111"/>
  <c r="C223" i="111"/>
  <c r="D223" i="111" s="1"/>
  <c r="E223" i="111" s="1"/>
  <c r="C222" i="111"/>
  <c r="D222" i="111" s="1"/>
  <c r="E222" i="111" s="1"/>
  <c r="C221" i="111"/>
  <c r="D221" i="111" s="1"/>
  <c r="E221" i="111" s="1"/>
  <c r="R220" i="111"/>
  <c r="Q220" i="111"/>
  <c r="P220" i="111"/>
  <c r="L220" i="111"/>
  <c r="U220" i="111" s="1"/>
  <c r="H220" i="111"/>
  <c r="G220" i="111"/>
  <c r="K220" i="111" s="1"/>
  <c r="S220" i="111" s="1"/>
  <c r="D220" i="111"/>
  <c r="E220" i="111" s="1"/>
  <c r="R219" i="111"/>
  <c r="Q219" i="111"/>
  <c r="P219" i="111"/>
  <c r="H219" i="111"/>
  <c r="L219" i="111" s="1"/>
  <c r="U219" i="111" s="1"/>
  <c r="V219" i="111" s="1"/>
  <c r="G219" i="111"/>
  <c r="D219" i="111"/>
  <c r="E219" i="111" s="1"/>
  <c r="R218" i="111"/>
  <c r="Q218" i="111"/>
  <c r="P218" i="111"/>
  <c r="L218" i="111"/>
  <c r="U218" i="111" s="1"/>
  <c r="K218" i="111"/>
  <c r="S218" i="111" s="1"/>
  <c r="H218" i="111"/>
  <c r="G218" i="111"/>
  <c r="D218" i="111"/>
  <c r="E218" i="111" s="1"/>
  <c r="S217" i="111"/>
  <c r="R217" i="111"/>
  <c r="Q217" i="111"/>
  <c r="P217" i="111"/>
  <c r="L217" i="111"/>
  <c r="U217" i="111" s="1"/>
  <c r="V217" i="111" s="1"/>
  <c r="H217" i="111"/>
  <c r="G217" i="111"/>
  <c r="K217" i="111" s="1"/>
  <c r="D217" i="111"/>
  <c r="E217" i="111" s="1"/>
  <c r="R216" i="111"/>
  <c r="Q216" i="111"/>
  <c r="P216" i="111"/>
  <c r="H216" i="111"/>
  <c r="L216" i="111" s="1"/>
  <c r="U216" i="111" s="1"/>
  <c r="G216" i="111"/>
  <c r="K216" i="111" s="1"/>
  <c r="S216" i="111" s="1"/>
  <c r="T216" i="111" s="1"/>
  <c r="D216" i="111"/>
  <c r="E216" i="111" s="1"/>
  <c r="R215" i="111"/>
  <c r="Q215" i="111"/>
  <c r="P215" i="111"/>
  <c r="K215" i="111"/>
  <c r="S215" i="111" s="1"/>
  <c r="H215" i="111"/>
  <c r="L215" i="111" s="1"/>
  <c r="U215" i="111" s="1"/>
  <c r="G215" i="111"/>
  <c r="D215" i="111"/>
  <c r="E215" i="111" s="1"/>
  <c r="R214" i="111"/>
  <c r="Q214" i="111"/>
  <c r="P214" i="111"/>
  <c r="H214" i="111"/>
  <c r="L214" i="111" s="1"/>
  <c r="U214" i="111" s="1"/>
  <c r="G214" i="111"/>
  <c r="D214" i="111"/>
  <c r="E214" i="111" s="1"/>
  <c r="R213" i="111"/>
  <c r="Q213" i="111"/>
  <c r="P213" i="111"/>
  <c r="T213" i="111" s="1"/>
  <c r="H213" i="111"/>
  <c r="L213" i="111" s="1"/>
  <c r="U213" i="111" s="1"/>
  <c r="G213" i="111"/>
  <c r="K213" i="111" s="1"/>
  <c r="S213" i="111" s="1"/>
  <c r="D213" i="111"/>
  <c r="E213" i="111" s="1"/>
  <c r="R212" i="111"/>
  <c r="Q212" i="111"/>
  <c r="P212" i="111"/>
  <c r="K212" i="111"/>
  <c r="S212" i="111" s="1"/>
  <c r="H212" i="111"/>
  <c r="L212" i="111" s="1"/>
  <c r="U212" i="111" s="1"/>
  <c r="G212" i="111"/>
  <c r="D212" i="111"/>
  <c r="E212" i="111" s="1"/>
  <c r="R211" i="111"/>
  <c r="Q211" i="111"/>
  <c r="P211" i="111"/>
  <c r="L211" i="111"/>
  <c r="U211" i="111" s="1"/>
  <c r="H211" i="111"/>
  <c r="G211" i="111"/>
  <c r="K211" i="111" s="1"/>
  <c r="S211" i="111" s="1"/>
  <c r="D211" i="111"/>
  <c r="E211" i="111" s="1"/>
  <c r="R210" i="111"/>
  <c r="Q210" i="111"/>
  <c r="P210" i="111"/>
  <c r="L210" i="111"/>
  <c r="U210" i="111" s="1"/>
  <c r="V210" i="111" s="1"/>
  <c r="K210" i="111"/>
  <c r="S210" i="111" s="1"/>
  <c r="T210" i="111" s="1"/>
  <c r="H210" i="111"/>
  <c r="G210" i="111"/>
  <c r="D210" i="111"/>
  <c r="E210" i="111" s="1"/>
  <c r="R209" i="111"/>
  <c r="Q209" i="111"/>
  <c r="P209" i="111"/>
  <c r="L209" i="111"/>
  <c r="J209" i="111"/>
  <c r="J222" i="111" s="1"/>
  <c r="K209" i="111"/>
  <c r="H209" i="111"/>
  <c r="G209" i="111"/>
  <c r="D209" i="111"/>
  <c r="E209" i="111" s="1"/>
  <c r="C202" i="111"/>
  <c r="D202" i="111" s="1"/>
  <c r="E202" i="111" s="1"/>
  <c r="D201" i="111"/>
  <c r="E201" i="111" s="1"/>
  <c r="C201" i="111"/>
  <c r="C200" i="111"/>
  <c r="D200" i="111" s="1"/>
  <c r="E200" i="111" s="1"/>
  <c r="D199" i="111"/>
  <c r="E199" i="111" s="1"/>
  <c r="C199" i="111"/>
  <c r="E198" i="111"/>
  <c r="C198" i="111"/>
  <c r="D198" i="111" s="1"/>
  <c r="R197" i="111"/>
  <c r="Q197" i="111"/>
  <c r="P197" i="111"/>
  <c r="L197" i="111"/>
  <c r="U197" i="111" s="1"/>
  <c r="V197" i="111" s="1"/>
  <c r="W197" i="111" s="1"/>
  <c r="H197" i="111"/>
  <c r="G197" i="111"/>
  <c r="K197" i="111" s="1"/>
  <c r="S197" i="111" s="1"/>
  <c r="T197" i="111" s="1"/>
  <c r="D197" i="111"/>
  <c r="E197" i="111" s="1"/>
  <c r="R196" i="111"/>
  <c r="Q196" i="111"/>
  <c r="P196" i="111"/>
  <c r="L196" i="111"/>
  <c r="U196" i="111" s="1"/>
  <c r="K196" i="111"/>
  <c r="S196" i="111" s="1"/>
  <c r="H196" i="111"/>
  <c r="G196" i="111"/>
  <c r="D196" i="111"/>
  <c r="E196" i="111" s="1"/>
  <c r="R195" i="111"/>
  <c r="Q195" i="111"/>
  <c r="P195" i="111"/>
  <c r="K195" i="111"/>
  <c r="S195" i="111" s="1"/>
  <c r="H195" i="111"/>
  <c r="L195" i="111" s="1"/>
  <c r="U195" i="111" s="1"/>
  <c r="V195" i="111" s="1"/>
  <c r="G195" i="111"/>
  <c r="D195" i="111"/>
  <c r="E195" i="111" s="1"/>
  <c r="R194" i="111"/>
  <c r="Q194" i="111"/>
  <c r="P194" i="111"/>
  <c r="H194" i="111"/>
  <c r="L194" i="111" s="1"/>
  <c r="U194" i="111" s="1"/>
  <c r="G194" i="111"/>
  <c r="K194" i="111" s="1"/>
  <c r="S194" i="111" s="1"/>
  <c r="D194" i="111"/>
  <c r="E194" i="111" s="1"/>
  <c r="R193" i="111"/>
  <c r="Q193" i="111"/>
  <c r="P193" i="111"/>
  <c r="L193" i="111"/>
  <c r="U193" i="111" s="1"/>
  <c r="H193" i="111"/>
  <c r="G193" i="111"/>
  <c r="K193" i="111" s="1"/>
  <c r="S193" i="111" s="1"/>
  <c r="T193" i="111" s="1"/>
  <c r="D193" i="111"/>
  <c r="E193" i="111" s="1"/>
  <c r="R192" i="111"/>
  <c r="Q192" i="111"/>
  <c r="P192" i="111"/>
  <c r="H192" i="111"/>
  <c r="L192" i="111" s="1"/>
  <c r="U192" i="111" s="1"/>
  <c r="G192" i="111"/>
  <c r="K192" i="111" s="1"/>
  <c r="S192" i="111" s="1"/>
  <c r="T192" i="111" s="1"/>
  <c r="D192" i="111"/>
  <c r="E192" i="111" s="1"/>
  <c r="R191" i="111"/>
  <c r="Q191" i="111"/>
  <c r="P191" i="111"/>
  <c r="L191" i="111"/>
  <c r="U191" i="111" s="1"/>
  <c r="H191" i="111"/>
  <c r="G191" i="111"/>
  <c r="K191" i="111" s="1"/>
  <c r="S191" i="111" s="1"/>
  <c r="D191" i="111"/>
  <c r="E191" i="111" s="1"/>
  <c r="R190" i="111"/>
  <c r="Q190" i="111"/>
  <c r="P190" i="111"/>
  <c r="L190" i="111"/>
  <c r="U190" i="111" s="1"/>
  <c r="K190" i="111"/>
  <c r="S190" i="111" s="1"/>
  <c r="T190" i="111" s="1"/>
  <c r="H190" i="111"/>
  <c r="G190" i="111"/>
  <c r="D190" i="111"/>
  <c r="E190" i="111" s="1"/>
  <c r="R189" i="111"/>
  <c r="Q189" i="111"/>
  <c r="P189" i="111"/>
  <c r="K189" i="111"/>
  <c r="S189" i="111" s="1"/>
  <c r="T189" i="111" s="1"/>
  <c r="H189" i="111"/>
  <c r="L189" i="111" s="1"/>
  <c r="U189" i="111" s="1"/>
  <c r="V189" i="111" s="1"/>
  <c r="G189" i="111"/>
  <c r="D189" i="111"/>
  <c r="E189" i="111" s="1"/>
  <c r="R188" i="111"/>
  <c r="Q188" i="111"/>
  <c r="P188" i="111"/>
  <c r="H188" i="111"/>
  <c r="L188" i="111" s="1"/>
  <c r="U188" i="111" s="1"/>
  <c r="G188" i="111"/>
  <c r="K188" i="111" s="1"/>
  <c r="S188" i="111" s="1"/>
  <c r="T188" i="111" s="1"/>
  <c r="D188" i="111"/>
  <c r="E188" i="111" s="1"/>
  <c r="R187" i="111"/>
  <c r="Q187" i="111"/>
  <c r="P187" i="111"/>
  <c r="L187" i="111"/>
  <c r="U187" i="111" s="1"/>
  <c r="J199" i="111"/>
  <c r="H187" i="111"/>
  <c r="G187" i="111"/>
  <c r="K187" i="111" s="1"/>
  <c r="S187" i="111" s="1"/>
  <c r="D187" i="111"/>
  <c r="E187" i="111" s="1"/>
  <c r="R186" i="111"/>
  <c r="Q186" i="111"/>
  <c r="P186" i="111"/>
  <c r="J186" i="111"/>
  <c r="H186" i="111"/>
  <c r="H199" i="111" s="1"/>
  <c r="G186" i="111"/>
  <c r="G199" i="111" s="1"/>
  <c r="E186" i="111"/>
  <c r="D186" i="111"/>
  <c r="C179" i="111"/>
  <c r="D179" i="111" s="1"/>
  <c r="E179" i="111" s="1"/>
  <c r="C178" i="111"/>
  <c r="D178" i="111" s="1"/>
  <c r="E178" i="111" s="1"/>
  <c r="D177" i="111"/>
  <c r="E177" i="111" s="1"/>
  <c r="C177" i="111"/>
  <c r="C176" i="111"/>
  <c r="D176" i="111" s="1"/>
  <c r="E176" i="111" s="1"/>
  <c r="C175" i="111"/>
  <c r="D175" i="111" s="1"/>
  <c r="E175" i="111" s="1"/>
  <c r="Q174" i="111"/>
  <c r="R174" i="111" s="1"/>
  <c r="P174" i="111"/>
  <c r="K174" i="111"/>
  <c r="S174" i="111" s="1"/>
  <c r="H174" i="111"/>
  <c r="L174" i="111" s="1"/>
  <c r="U174" i="111" s="1"/>
  <c r="V174" i="111" s="1"/>
  <c r="G174" i="111"/>
  <c r="D174" i="111"/>
  <c r="E174" i="111" s="1"/>
  <c r="R173" i="111"/>
  <c r="Q173" i="111"/>
  <c r="P173" i="111"/>
  <c r="K173" i="111"/>
  <c r="S173" i="111" s="1"/>
  <c r="T173" i="111" s="1"/>
  <c r="H173" i="111"/>
  <c r="L173" i="111" s="1"/>
  <c r="U173" i="111" s="1"/>
  <c r="V173" i="111" s="1"/>
  <c r="G173" i="111"/>
  <c r="D173" i="111"/>
  <c r="E173" i="111" s="1"/>
  <c r="R172" i="111"/>
  <c r="Q172" i="111"/>
  <c r="P172" i="111"/>
  <c r="L172" i="111"/>
  <c r="U172" i="111" s="1"/>
  <c r="K172" i="111"/>
  <c r="S172" i="111" s="1"/>
  <c r="H172" i="111"/>
  <c r="G172" i="111"/>
  <c r="D172" i="111"/>
  <c r="E172" i="111" s="1"/>
  <c r="R171" i="111"/>
  <c r="Q171" i="111"/>
  <c r="P171" i="111"/>
  <c r="K171" i="111"/>
  <c r="S171" i="111" s="1"/>
  <c r="T171" i="111" s="1"/>
  <c r="H171" i="111"/>
  <c r="L171" i="111" s="1"/>
  <c r="U171" i="111" s="1"/>
  <c r="V171" i="111" s="1"/>
  <c r="G171" i="111"/>
  <c r="D171" i="111"/>
  <c r="E171" i="111" s="1"/>
  <c r="R170" i="111"/>
  <c r="Q170" i="111"/>
  <c r="P170" i="111"/>
  <c r="L170" i="111"/>
  <c r="U170" i="111" s="1"/>
  <c r="V170" i="111" s="1"/>
  <c r="H170" i="111"/>
  <c r="G170" i="111"/>
  <c r="K170" i="111" s="1"/>
  <c r="S170" i="111" s="1"/>
  <c r="T170" i="111" s="1"/>
  <c r="E170" i="111"/>
  <c r="D170" i="111"/>
  <c r="R169" i="111"/>
  <c r="Q169" i="111"/>
  <c r="P169" i="111"/>
  <c r="L169" i="111"/>
  <c r="U169" i="111" s="1"/>
  <c r="V169" i="111" s="1"/>
  <c r="H169" i="111"/>
  <c r="G169" i="111"/>
  <c r="K169" i="111" s="1"/>
  <c r="S169" i="111" s="1"/>
  <c r="T169" i="111" s="1"/>
  <c r="D169" i="111"/>
  <c r="E169" i="111" s="1"/>
  <c r="Q168" i="111"/>
  <c r="R168" i="111" s="1"/>
  <c r="P168" i="111"/>
  <c r="L168" i="111"/>
  <c r="U168" i="111" s="1"/>
  <c r="H168" i="111"/>
  <c r="G168" i="111"/>
  <c r="K168" i="111" s="1"/>
  <c r="S168" i="111" s="1"/>
  <c r="D168" i="111"/>
  <c r="E168" i="111" s="1"/>
  <c r="R167" i="111"/>
  <c r="Q167" i="111"/>
  <c r="P167" i="111"/>
  <c r="L167" i="111"/>
  <c r="U167" i="111" s="1"/>
  <c r="H167" i="111"/>
  <c r="G167" i="111"/>
  <c r="K167" i="111" s="1"/>
  <c r="S167" i="111" s="1"/>
  <c r="D167" i="111"/>
  <c r="E167" i="111" s="1"/>
  <c r="R166" i="111"/>
  <c r="Q166" i="111"/>
  <c r="P166" i="111"/>
  <c r="K166" i="111"/>
  <c r="S166" i="111" s="1"/>
  <c r="T166" i="111" s="1"/>
  <c r="H166" i="111"/>
  <c r="L166" i="111" s="1"/>
  <c r="U166" i="111" s="1"/>
  <c r="G166" i="111"/>
  <c r="D166" i="111"/>
  <c r="E166" i="111" s="1"/>
  <c r="Q165" i="111"/>
  <c r="R165" i="111" s="1"/>
  <c r="P165" i="111"/>
  <c r="K165" i="111"/>
  <c r="S165" i="111" s="1"/>
  <c r="H165" i="111"/>
  <c r="L165" i="111" s="1"/>
  <c r="U165" i="111" s="1"/>
  <c r="V165" i="111" s="1"/>
  <c r="G165" i="111"/>
  <c r="D165" i="111"/>
  <c r="E165" i="111" s="1"/>
  <c r="R164" i="111"/>
  <c r="Q164" i="111"/>
  <c r="P164" i="111"/>
  <c r="K164" i="111"/>
  <c r="S164" i="111" s="1"/>
  <c r="H164" i="111"/>
  <c r="L164" i="111" s="1"/>
  <c r="U164" i="111" s="1"/>
  <c r="V164" i="111" s="1"/>
  <c r="G164" i="111"/>
  <c r="D164" i="111"/>
  <c r="E164" i="111" s="1"/>
  <c r="R163" i="111"/>
  <c r="Q163" i="111"/>
  <c r="P163" i="111"/>
  <c r="K163" i="111"/>
  <c r="S163" i="111" s="1"/>
  <c r="J163" i="111"/>
  <c r="I176" i="111"/>
  <c r="H163" i="111"/>
  <c r="H176" i="111" s="1"/>
  <c r="G163" i="111"/>
  <c r="E163" i="111"/>
  <c r="D155" i="111"/>
  <c r="E155" i="111" s="1"/>
  <c r="C155" i="111"/>
  <c r="D154" i="111"/>
  <c r="E154" i="111" s="1"/>
  <c r="C154" i="111"/>
  <c r="C153" i="111"/>
  <c r="D153" i="111" s="1"/>
  <c r="E153" i="111" s="1"/>
  <c r="E152" i="111"/>
  <c r="D152" i="111"/>
  <c r="C152" i="111"/>
  <c r="E151" i="111"/>
  <c r="C151" i="111"/>
  <c r="D151" i="111" s="1"/>
  <c r="R150" i="111"/>
  <c r="Q150" i="111"/>
  <c r="P150" i="111"/>
  <c r="K150" i="111"/>
  <c r="S150" i="111" s="1"/>
  <c r="L150" i="111"/>
  <c r="U150" i="111" s="1"/>
  <c r="V150" i="111" s="1"/>
  <c r="E150" i="111"/>
  <c r="D150" i="111"/>
  <c r="R149" i="111"/>
  <c r="Q149" i="111"/>
  <c r="P149" i="111"/>
  <c r="L149" i="111"/>
  <c r="U149" i="111" s="1"/>
  <c r="V149" i="111" s="1"/>
  <c r="K149" i="111"/>
  <c r="S149" i="111" s="1"/>
  <c r="T149" i="111" s="1"/>
  <c r="D149" i="111"/>
  <c r="E149" i="111" s="1"/>
  <c r="R148" i="111"/>
  <c r="Q148" i="111"/>
  <c r="P148" i="111"/>
  <c r="L148" i="111"/>
  <c r="U148" i="111" s="1"/>
  <c r="K148" i="111"/>
  <c r="S148" i="111" s="1"/>
  <c r="D148" i="111"/>
  <c r="E148" i="111" s="1"/>
  <c r="R147" i="111"/>
  <c r="Q147" i="111"/>
  <c r="P147" i="111"/>
  <c r="L147" i="111"/>
  <c r="U147" i="111" s="1"/>
  <c r="K147" i="111"/>
  <c r="S147" i="111" s="1"/>
  <c r="E147" i="111"/>
  <c r="D147" i="111"/>
  <c r="R146" i="111"/>
  <c r="Q146" i="111"/>
  <c r="P146" i="111"/>
  <c r="L146" i="111"/>
  <c r="U146" i="111" s="1"/>
  <c r="V146" i="111" s="1"/>
  <c r="K146" i="111"/>
  <c r="S146" i="111" s="1"/>
  <c r="T146" i="111" s="1"/>
  <c r="E146" i="111"/>
  <c r="D146" i="111"/>
  <c r="Q145" i="111"/>
  <c r="R145" i="111" s="1"/>
  <c r="P145" i="111"/>
  <c r="L145" i="111"/>
  <c r="U145" i="111" s="1"/>
  <c r="V145" i="111" s="1"/>
  <c r="K145" i="111"/>
  <c r="S145" i="111" s="1"/>
  <c r="D145" i="111"/>
  <c r="E145" i="111" s="1"/>
  <c r="Q144" i="111"/>
  <c r="R144" i="111" s="1"/>
  <c r="P144" i="111"/>
  <c r="L144" i="111"/>
  <c r="U144" i="111" s="1"/>
  <c r="K144" i="111"/>
  <c r="S144" i="111" s="1"/>
  <c r="D144" i="111"/>
  <c r="E144" i="111" s="1"/>
  <c r="R143" i="111"/>
  <c r="Q143" i="111"/>
  <c r="P143" i="111"/>
  <c r="K143" i="111"/>
  <c r="S143" i="111" s="1"/>
  <c r="T143" i="111" s="1"/>
  <c r="L143" i="111"/>
  <c r="U143" i="111" s="1"/>
  <c r="D143" i="111"/>
  <c r="E143" i="111" s="1"/>
  <c r="Q142" i="111"/>
  <c r="R142" i="111" s="1"/>
  <c r="P142" i="111"/>
  <c r="L142" i="111"/>
  <c r="U142" i="111" s="1"/>
  <c r="K142" i="111"/>
  <c r="S142" i="111" s="1"/>
  <c r="D142" i="111"/>
  <c r="E142" i="111" s="1"/>
  <c r="Q141" i="111"/>
  <c r="R141" i="111" s="1"/>
  <c r="P141" i="111"/>
  <c r="K141" i="111"/>
  <c r="S141" i="111" s="1"/>
  <c r="T141" i="111" s="1"/>
  <c r="L141" i="111"/>
  <c r="U141" i="111" s="1"/>
  <c r="D141" i="111"/>
  <c r="E141" i="111" s="1"/>
  <c r="R140" i="111"/>
  <c r="Q140" i="111"/>
  <c r="P140" i="111"/>
  <c r="L140" i="111"/>
  <c r="U140" i="111" s="1"/>
  <c r="V140" i="111" s="1"/>
  <c r="K140" i="111"/>
  <c r="S140" i="111" s="1"/>
  <c r="T140" i="111" s="1"/>
  <c r="E140" i="111"/>
  <c r="D140" i="111"/>
  <c r="R139" i="111"/>
  <c r="Q139" i="111"/>
  <c r="P139" i="111"/>
  <c r="L139" i="111"/>
  <c r="U139" i="111" s="1"/>
  <c r="J152" i="111"/>
  <c r="I152" i="111"/>
  <c r="H152" i="111"/>
  <c r="G139" i="111"/>
  <c r="G152" i="111" s="1"/>
  <c r="D139" i="111"/>
  <c r="E139" i="111" s="1"/>
  <c r="C132" i="111"/>
  <c r="D132" i="111" s="1"/>
  <c r="E132" i="111" s="1"/>
  <c r="C131" i="111"/>
  <c r="D131" i="111" s="1"/>
  <c r="E131" i="111" s="1"/>
  <c r="C130" i="111"/>
  <c r="D130" i="111" s="1"/>
  <c r="E130" i="111" s="1"/>
  <c r="C129" i="111"/>
  <c r="D129" i="111" s="1"/>
  <c r="E129" i="111" s="1"/>
  <c r="C128" i="111"/>
  <c r="D128" i="111" s="1"/>
  <c r="E128" i="111" s="1"/>
  <c r="R127" i="111"/>
  <c r="Q127" i="111"/>
  <c r="P127" i="111"/>
  <c r="L127" i="111"/>
  <c r="U127" i="111" s="1"/>
  <c r="V127" i="111" s="1"/>
  <c r="K127" i="111"/>
  <c r="S127" i="111" s="1"/>
  <c r="T127" i="111" s="1"/>
  <c r="E127" i="111"/>
  <c r="D127" i="111"/>
  <c r="R126" i="111"/>
  <c r="Q126" i="111"/>
  <c r="P126" i="111"/>
  <c r="L126" i="111"/>
  <c r="U126" i="111" s="1"/>
  <c r="K126" i="111"/>
  <c r="S126" i="111" s="1"/>
  <c r="D126" i="111"/>
  <c r="E126" i="111" s="1"/>
  <c r="Q125" i="111"/>
  <c r="R125" i="111" s="1"/>
  <c r="P125" i="111"/>
  <c r="L125" i="111"/>
  <c r="U125" i="111" s="1"/>
  <c r="K125" i="111"/>
  <c r="S125" i="111" s="1"/>
  <c r="D125" i="111"/>
  <c r="E125" i="111" s="1"/>
  <c r="R124" i="111"/>
  <c r="Q124" i="111"/>
  <c r="P124" i="111"/>
  <c r="L124" i="111"/>
  <c r="U124" i="111" s="1"/>
  <c r="K124" i="111"/>
  <c r="S124" i="111" s="1"/>
  <c r="D124" i="111"/>
  <c r="E124" i="111" s="1"/>
  <c r="R123" i="111"/>
  <c r="Q123" i="111"/>
  <c r="P123" i="111"/>
  <c r="L123" i="111"/>
  <c r="U123" i="111" s="1"/>
  <c r="V123" i="111" s="1"/>
  <c r="K123" i="111"/>
  <c r="S123" i="111" s="1"/>
  <c r="T123" i="111" s="1"/>
  <c r="D123" i="111"/>
  <c r="E123" i="111" s="1"/>
  <c r="Q122" i="111"/>
  <c r="R122" i="111" s="1"/>
  <c r="P122" i="111"/>
  <c r="L122" i="111"/>
  <c r="U122" i="111" s="1"/>
  <c r="K122" i="111"/>
  <c r="S122" i="111" s="1"/>
  <c r="T122" i="111" s="1"/>
  <c r="D122" i="111"/>
  <c r="E122" i="111" s="1"/>
  <c r="R121" i="111"/>
  <c r="Q121" i="111"/>
  <c r="P121" i="111"/>
  <c r="L121" i="111"/>
  <c r="U121" i="111" s="1"/>
  <c r="K121" i="111"/>
  <c r="S121" i="111" s="1"/>
  <c r="D121" i="111"/>
  <c r="E121" i="111" s="1"/>
  <c r="R120" i="111"/>
  <c r="Q120" i="111"/>
  <c r="P120" i="111"/>
  <c r="V120" i="111" s="1"/>
  <c r="L120" i="111"/>
  <c r="U120" i="111" s="1"/>
  <c r="K120" i="111"/>
  <c r="S120" i="111" s="1"/>
  <c r="D120" i="111"/>
  <c r="E120" i="111" s="1"/>
  <c r="Q119" i="111"/>
  <c r="R119" i="111" s="1"/>
  <c r="P119" i="111"/>
  <c r="L119" i="111"/>
  <c r="U119" i="111" s="1"/>
  <c r="V119" i="111" s="1"/>
  <c r="K119" i="111"/>
  <c r="S119" i="111" s="1"/>
  <c r="D119" i="111"/>
  <c r="E119" i="111" s="1"/>
  <c r="R118" i="111"/>
  <c r="Q118" i="111"/>
  <c r="P118" i="111"/>
  <c r="L118" i="111"/>
  <c r="U118" i="111" s="1"/>
  <c r="V118" i="111" s="1"/>
  <c r="K118" i="111"/>
  <c r="S118" i="111" s="1"/>
  <c r="D118" i="111"/>
  <c r="E118" i="111" s="1"/>
  <c r="R117" i="111"/>
  <c r="Q117" i="111"/>
  <c r="P117" i="111"/>
  <c r="D117" i="111"/>
  <c r="E117" i="111" s="1"/>
  <c r="Q116" i="111"/>
  <c r="R116" i="111" s="1"/>
  <c r="P116" i="111"/>
  <c r="K116" i="111"/>
  <c r="J129" i="111"/>
  <c r="I129" i="111"/>
  <c r="H129" i="111"/>
  <c r="G116" i="111"/>
  <c r="G129" i="111" s="1"/>
  <c r="D116" i="111"/>
  <c r="E116" i="111" s="1"/>
  <c r="E133" i="111" s="1"/>
  <c r="E109" i="111"/>
  <c r="D109" i="111"/>
  <c r="C109" i="111"/>
  <c r="C108" i="111"/>
  <c r="D108" i="111" s="1"/>
  <c r="E108" i="111" s="1"/>
  <c r="C107" i="111"/>
  <c r="D107" i="111" s="1"/>
  <c r="E107" i="111" s="1"/>
  <c r="C106" i="111"/>
  <c r="D106" i="111" s="1"/>
  <c r="E106" i="111" s="1"/>
  <c r="C105" i="111"/>
  <c r="D105" i="111" s="1"/>
  <c r="E105" i="111" s="1"/>
  <c r="R104" i="111"/>
  <c r="Q104" i="111"/>
  <c r="P104" i="111"/>
  <c r="L104" i="111"/>
  <c r="U104" i="111" s="1"/>
  <c r="K104" i="111"/>
  <c r="S104" i="111" s="1"/>
  <c r="T104" i="111" s="1"/>
  <c r="D104" i="111"/>
  <c r="E104" i="111" s="1"/>
  <c r="Q103" i="111"/>
  <c r="R103" i="111" s="1"/>
  <c r="P103" i="111"/>
  <c r="L103" i="111"/>
  <c r="U103" i="111" s="1"/>
  <c r="V103" i="111" s="1"/>
  <c r="K103" i="111"/>
  <c r="S103" i="111" s="1"/>
  <c r="T103" i="111" s="1"/>
  <c r="D103" i="111"/>
  <c r="E103" i="111" s="1"/>
  <c r="R102" i="111"/>
  <c r="Q102" i="111"/>
  <c r="P102" i="111"/>
  <c r="L102" i="111"/>
  <c r="U102" i="111" s="1"/>
  <c r="K102" i="111"/>
  <c r="S102" i="111" s="1"/>
  <c r="D102" i="111"/>
  <c r="E102" i="111" s="1"/>
  <c r="R101" i="111"/>
  <c r="Q101" i="111"/>
  <c r="P101" i="111"/>
  <c r="K101" i="111"/>
  <c r="S101" i="111" s="1"/>
  <c r="D101" i="111"/>
  <c r="E101" i="111" s="1"/>
  <c r="Q100" i="111"/>
  <c r="R100" i="111" s="1"/>
  <c r="P100" i="111"/>
  <c r="L100" i="111"/>
  <c r="U100" i="111" s="1"/>
  <c r="K100" i="111"/>
  <c r="S100" i="111" s="1"/>
  <c r="T100" i="111" s="1"/>
  <c r="E100" i="111"/>
  <c r="D100" i="111"/>
  <c r="R99" i="111"/>
  <c r="Q99" i="111"/>
  <c r="P99" i="111"/>
  <c r="K99" i="111"/>
  <c r="S99" i="111" s="1"/>
  <c r="T99" i="111" s="1"/>
  <c r="L99" i="111"/>
  <c r="U99" i="111" s="1"/>
  <c r="V99" i="111" s="1"/>
  <c r="D99" i="111"/>
  <c r="E99" i="111" s="1"/>
  <c r="Q98" i="111"/>
  <c r="R98" i="111" s="1"/>
  <c r="P98" i="111"/>
  <c r="L98" i="111"/>
  <c r="U98" i="111" s="1"/>
  <c r="D98" i="111"/>
  <c r="E98" i="111" s="1"/>
  <c r="U97" i="111"/>
  <c r="V97" i="111" s="1"/>
  <c r="Q97" i="111"/>
  <c r="R97" i="111" s="1"/>
  <c r="P97" i="111"/>
  <c r="L97" i="111"/>
  <c r="K97" i="111"/>
  <c r="S97" i="111" s="1"/>
  <c r="T97" i="111" s="1"/>
  <c r="E97" i="111"/>
  <c r="D97" i="111"/>
  <c r="R96" i="111"/>
  <c r="Q96" i="111"/>
  <c r="P96" i="111"/>
  <c r="L96" i="111"/>
  <c r="U96" i="111" s="1"/>
  <c r="K96" i="111"/>
  <c r="S96" i="111" s="1"/>
  <c r="T96" i="111" s="1"/>
  <c r="D96" i="111"/>
  <c r="E96" i="111" s="1"/>
  <c r="R95" i="111"/>
  <c r="Q95" i="111"/>
  <c r="P95" i="111"/>
  <c r="L95" i="111"/>
  <c r="U95" i="111" s="1"/>
  <c r="K95" i="111"/>
  <c r="S95" i="111" s="1"/>
  <c r="T95" i="111" s="1"/>
  <c r="D95" i="111"/>
  <c r="E95" i="111" s="1"/>
  <c r="Q94" i="111"/>
  <c r="R94" i="111" s="1"/>
  <c r="P94" i="111"/>
  <c r="H106" i="111"/>
  <c r="G106" i="111"/>
  <c r="D94" i="111"/>
  <c r="E94" i="111" s="1"/>
  <c r="R93" i="111"/>
  <c r="Q93" i="111"/>
  <c r="P93" i="111"/>
  <c r="L93" i="111"/>
  <c r="I106" i="111"/>
  <c r="D93" i="111"/>
  <c r="E93" i="111" s="1"/>
  <c r="D87" i="111"/>
  <c r="E87" i="111" s="1"/>
  <c r="C87" i="111"/>
  <c r="D86" i="111"/>
  <c r="E86" i="111" s="1"/>
  <c r="C86" i="111"/>
  <c r="C85" i="111"/>
  <c r="D85" i="111" s="1"/>
  <c r="E85" i="111" s="1"/>
  <c r="E84" i="111"/>
  <c r="D84" i="111"/>
  <c r="C84" i="111"/>
  <c r="L83" i="111"/>
  <c r="K83" i="111"/>
  <c r="E83" i="111"/>
  <c r="C83" i="111"/>
  <c r="D83" i="111" s="1"/>
  <c r="Q82" i="111"/>
  <c r="R82" i="111" s="1"/>
  <c r="P82" i="111"/>
  <c r="L82" i="111"/>
  <c r="U82" i="111" s="1"/>
  <c r="K82" i="111"/>
  <c r="S82" i="111" s="1"/>
  <c r="T82" i="111" s="1"/>
  <c r="E82" i="111"/>
  <c r="D82" i="111"/>
  <c r="R81" i="111"/>
  <c r="Q81" i="111"/>
  <c r="P81" i="111"/>
  <c r="K81" i="111"/>
  <c r="S81" i="111" s="1"/>
  <c r="L81" i="111"/>
  <c r="U81" i="111" s="1"/>
  <c r="V81" i="111" s="1"/>
  <c r="D81" i="111"/>
  <c r="E81" i="111" s="1"/>
  <c r="R80" i="111"/>
  <c r="Q80" i="111"/>
  <c r="P80" i="111"/>
  <c r="L80" i="111"/>
  <c r="U80" i="111" s="1"/>
  <c r="K80" i="111"/>
  <c r="S80" i="111" s="1"/>
  <c r="T80" i="111" s="1"/>
  <c r="D80" i="111"/>
  <c r="E80" i="111" s="1"/>
  <c r="R79" i="111"/>
  <c r="Q79" i="111"/>
  <c r="P79" i="111"/>
  <c r="L79" i="111"/>
  <c r="U79" i="111" s="1"/>
  <c r="V79" i="111" s="1"/>
  <c r="K79" i="111"/>
  <c r="S79" i="111" s="1"/>
  <c r="T79" i="111" s="1"/>
  <c r="E79" i="111"/>
  <c r="D79" i="111"/>
  <c r="R78" i="111"/>
  <c r="Q78" i="111"/>
  <c r="P78" i="111"/>
  <c r="L78" i="111"/>
  <c r="U78" i="111" s="1"/>
  <c r="V78" i="111" s="1"/>
  <c r="K78" i="111"/>
  <c r="S78" i="111" s="1"/>
  <c r="T78" i="111" s="1"/>
  <c r="D78" i="111"/>
  <c r="E78" i="111" s="1"/>
  <c r="R77" i="111"/>
  <c r="Q77" i="111"/>
  <c r="P77" i="111"/>
  <c r="L77" i="111"/>
  <c r="U77" i="111" s="1"/>
  <c r="K77" i="111"/>
  <c r="S77" i="111" s="1"/>
  <c r="T77" i="111" s="1"/>
  <c r="D77" i="111"/>
  <c r="E77" i="111" s="1"/>
  <c r="R76" i="111"/>
  <c r="Q76" i="111"/>
  <c r="P76" i="111"/>
  <c r="L76" i="111"/>
  <c r="U76" i="111" s="1"/>
  <c r="V76" i="111" s="1"/>
  <c r="K76" i="111"/>
  <c r="S76" i="111" s="1"/>
  <c r="T76" i="111" s="1"/>
  <c r="E76" i="111"/>
  <c r="D76" i="111"/>
  <c r="S75" i="111"/>
  <c r="T75" i="111" s="1"/>
  <c r="R75" i="111"/>
  <c r="Q75" i="111"/>
  <c r="P75" i="111"/>
  <c r="L75" i="111"/>
  <c r="U75" i="111" s="1"/>
  <c r="V75" i="111" s="1"/>
  <c r="K75" i="111"/>
  <c r="D75" i="111"/>
  <c r="E75" i="111" s="1"/>
  <c r="Q74" i="111"/>
  <c r="R74" i="111" s="1"/>
  <c r="P74" i="111"/>
  <c r="L74" i="111"/>
  <c r="U74" i="111" s="1"/>
  <c r="K74" i="111"/>
  <c r="S74" i="111" s="1"/>
  <c r="D74" i="111"/>
  <c r="E74" i="111" s="1"/>
  <c r="R73" i="111"/>
  <c r="Q73" i="111"/>
  <c r="P73" i="111"/>
  <c r="L73" i="111"/>
  <c r="U73" i="111" s="1"/>
  <c r="K73" i="111"/>
  <c r="S73" i="111" s="1"/>
  <c r="T73" i="111" s="1"/>
  <c r="D73" i="111"/>
  <c r="E73" i="111" s="1"/>
  <c r="R72" i="111"/>
  <c r="Q72" i="111"/>
  <c r="P72" i="111"/>
  <c r="L72" i="111"/>
  <c r="U72" i="111" s="1"/>
  <c r="V72" i="111" s="1"/>
  <c r="K72" i="111"/>
  <c r="S72" i="111" s="1"/>
  <c r="T72" i="111" s="1"/>
  <c r="D72" i="111"/>
  <c r="E72" i="111" s="1"/>
  <c r="R71" i="111"/>
  <c r="Q71" i="111"/>
  <c r="P71" i="111"/>
  <c r="K71" i="111"/>
  <c r="D71" i="111"/>
  <c r="E71" i="111" s="1"/>
  <c r="D65" i="111"/>
  <c r="E65" i="111" s="1"/>
  <c r="C65" i="111"/>
  <c r="C64" i="111"/>
  <c r="D64" i="111" s="1"/>
  <c r="E64" i="111" s="1"/>
  <c r="D63" i="111"/>
  <c r="E63" i="111" s="1"/>
  <c r="C63" i="111"/>
  <c r="C62" i="111"/>
  <c r="D62" i="111" s="1"/>
  <c r="E62" i="111" s="1"/>
  <c r="D61" i="111"/>
  <c r="E61" i="111" s="1"/>
  <c r="C61" i="111"/>
  <c r="Q60" i="111"/>
  <c r="R60" i="111" s="1"/>
  <c r="P60" i="111"/>
  <c r="K60" i="111"/>
  <c r="S60" i="111" s="1"/>
  <c r="L60" i="111"/>
  <c r="U60" i="111" s="1"/>
  <c r="E60" i="111"/>
  <c r="D60" i="111"/>
  <c r="Q59" i="111"/>
  <c r="R59" i="111" s="1"/>
  <c r="P59" i="111"/>
  <c r="L59" i="111"/>
  <c r="U59" i="111" s="1"/>
  <c r="K59" i="111"/>
  <c r="S59" i="111" s="1"/>
  <c r="E59" i="111"/>
  <c r="D59" i="111"/>
  <c r="Q58" i="111"/>
  <c r="R58" i="111" s="1"/>
  <c r="P58" i="111"/>
  <c r="L58" i="111"/>
  <c r="U58" i="111" s="1"/>
  <c r="K58" i="111"/>
  <c r="S58" i="111" s="1"/>
  <c r="E58" i="111"/>
  <c r="D58" i="111"/>
  <c r="S57" i="111"/>
  <c r="Q57" i="111"/>
  <c r="R57" i="111" s="1"/>
  <c r="P57" i="111"/>
  <c r="K57" i="111"/>
  <c r="L57" i="111"/>
  <c r="U57" i="111" s="1"/>
  <c r="E57" i="111"/>
  <c r="D57" i="111"/>
  <c r="Q56" i="111"/>
  <c r="R56" i="111" s="1"/>
  <c r="P56" i="111"/>
  <c r="L56" i="111"/>
  <c r="U56" i="111" s="1"/>
  <c r="K56" i="111"/>
  <c r="S56" i="111" s="1"/>
  <c r="E56" i="111"/>
  <c r="D56" i="111"/>
  <c r="Q55" i="111"/>
  <c r="R55" i="111" s="1"/>
  <c r="P55" i="111"/>
  <c r="L55" i="111"/>
  <c r="U55" i="111" s="1"/>
  <c r="K55" i="111"/>
  <c r="S55" i="111" s="1"/>
  <c r="E55" i="111"/>
  <c r="D55" i="111"/>
  <c r="Q54" i="111"/>
  <c r="R54" i="111" s="1"/>
  <c r="P54" i="111"/>
  <c r="K54" i="111"/>
  <c r="S54" i="111" s="1"/>
  <c r="L54" i="111"/>
  <c r="U54" i="111" s="1"/>
  <c r="V54" i="111" s="1"/>
  <c r="E54" i="111"/>
  <c r="D54" i="111"/>
  <c r="Q53" i="111"/>
  <c r="R53" i="111" s="1"/>
  <c r="P53" i="111"/>
  <c r="L53" i="111"/>
  <c r="U53" i="111" s="1"/>
  <c r="K53" i="111"/>
  <c r="S53" i="111" s="1"/>
  <c r="E53" i="111"/>
  <c r="D53" i="111"/>
  <c r="Q52" i="111"/>
  <c r="R52" i="111" s="1"/>
  <c r="P52" i="111"/>
  <c r="L52" i="111"/>
  <c r="U52" i="111" s="1"/>
  <c r="K52" i="111"/>
  <c r="S52" i="111" s="1"/>
  <c r="E52" i="111"/>
  <c r="D52" i="111"/>
  <c r="S51" i="111"/>
  <c r="Q51" i="111"/>
  <c r="R51" i="111" s="1"/>
  <c r="P51" i="111"/>
  <c r="K51" i="111"/>
  <c r="L51" i="111"/>
  <c r="U51" i="111" s="1"/>
  <c r="E51" i="111"/>
  <c r="D51" i="111"/>
  <c r="Q50" i="111"/>
  <c r="R50" i="111" s="1"/>
  <c r="P50" i="111"/>
  <c r="L50" i="111"/>
  <c r="U50" i="111" s="1"/>
  <c r="K50" i="111"/>
  <c r="S50" i="111" s="1"/>
  <c r="T50" i="111" s="1"/>
  <c r="H62" i="111"/>
  <c r="E50" i="111"/>
  <c r="D50" i="111"/>
  <c r="Q49" i="111"/>
  <c r="R49" i="111" s="1"/>
  <c r="P49" i="111"/>
  <c r="L49" i="111"/>
  <c r="J62" i="111"/>
  <c r="I62" i="111"/>
  <c r="K49" i="111"/>
  <c r="E49" i="111"/>
  <c r="D49" i="111"/>
  <c r="D42" i="111"/>
  <c r="E42" i="111" s="1"/>
  <c r="C42" i="111"/>
  <c r="E41" i="111"/>
  <c r="D41" i="111"/>
  <c r="C41" i="111"/>
  <c r="D40" i="111"/>
  <c r="E40" i="111" s="1"/>
  <c r="C40" i="111"/>
  <c r="E39" i="111"/>
  <c r="D39" i="111"/>
  <c r="C39" i="111"/>
  <c r="D38" i="111"/>
  <c r="E38" i="111" s="1"/>
  <c r="C38" i="111"/>
  <c r="Q37" i="111"/>
  <c r="R37" i="111" s="1"/>
  <c r="P37" i="111"/>
  <c r="L37" i="111"/>
  <c r="U37" i="111" s="1"/>
  <c r="K37" i="111"/>
  <c r="S37" i="111" s="1"/>
  <c r="E37" i="111"/>
  <c r="D37" i="111"/>
  <c r="Q36" i="111"/>
  <c r="R36" i="111" s="1"/>
  <c r="P36" i="111"/>
  <c r="L36" i="111"/>
  <c r="U36" i="111" s="1"/>
  <c r="V36" i="111" s="1"/>
  <c r="K36" i="111"/>
  <c r="S36" i="111" s="1"/>
  <c r="T36" i="111" s="1"/>
  <c r="E36" i="111"/>
  <c r="D36" i="111"/>
  <c r="Q35" i="111"/>
  <c r="R35" i="111" s="1"/>
  <c r="P35" i="111"/>
  <c r="K35" i="111"/>
  <c r="S35" i="111" s="1"/>
  <c r="L35" i="111"/>
  <c r="U35" i="111" s="1"/>
  <c r="E35" i="111"/>
  <c r="D35" i="111"/>
  <c r="Q34" i="111"/>
  <c r="R34" i="111" s="1"/>
  <c r="P34" i="111"/>
  <c r="L34" i="111"/>
  <c r="U34" i="111" s="1"/>
  <c r="V34" i="111" s="1"/>
  <c r="K34" i="111"/>
  <c r="S34" i="111" s="1"/>
  <c r="T34" i="111" s="1"/>
  <c r="E34" i="111"/>
  <c r="D34" i="111"/>
  <c r="Q33" i="111"/>
  <c r="R33" i="111" s="1"/>
  <c r="P33" i="111"/>
  <c r="L33" i="111"/>
  <c r="U33" i="111" s="1"/>
  <c r="V33" i="111" s="1"/>
  <c r="K33" i="111"/>
  <c r="S33" i="111" s="1"/>
  <c r="E33" i="111"/>
  <c r="D33" i="111"/>
  <c r="Q32" i="111"/>
  <c r="R32" i="111" s="1"/>
  <c r="P32" i="111"/>
  <c r="K32" i="111"/>
  <c r="S32" i="111" s="1"/>
  <c r="L32" i="111"/>
  <c r="U32" i="111" s="1"/>
  <c r="V32" i="111" s="1"/>
  <c r="E32" i="111"/>
  <c r="D32" i="111"/>
  <c r="Q31" i="111"/>
  <c r="R31" i="111" s="1"/>
  <c r="P31" i="111"/>
  <c r="L31" i="111"/>
  <c r="U31" i="111" s="1"/>
  <c r="K31" i="111"/>
  <c r="S31" i="111" s="1"/>
  <c r="E31" i="111"/>
  <c r="D31" i="111"/>
  <c r="Q30" i="111"/>
  <c r="R30" i="111" s="1"/>
  <c r="P30" i="111"/>
  <c r="L30" i="111"/>
  <c r="U30" i="111" s="1"/>
  <c r="K30" i="111"/>
  <c r="S30" i="111" s="1"/>
  <c r="E30" i="111"/>
  <c r="D30" i="111"/>
  <c r="Q29" i="111"/>
  <c r="R29" i="111" s="1"/>
  <c r="P29" i="111"/>
  <c r="K29" i="111"/>
  <c r="S29" i="111" s="1"/>
  <c r="L29" i="111"/>
  <c r="U29" i="111" s="1"/>
  <c r="E29" i="111"/>
  <c r="D29" i="111"/>
  <c r="Q28" i="111"/>
  <c r="R28" i="111" s="1"/>
  <c r="P28" i="111"/>
  <c r="J39" i="111"/>
  <c r="K28" i="111"/>
  <c r="S28" i="111" s="1"/>
  <c r="T28" i="111" s="1"/>
  <c r="E28" i="111"/>
  <c r="D28" i="111"/>
  <c r="Q27" i="111"/>
  <c r="R27" i="111" s="1"/>
  <c r="P27" i="111"/>
  <c r="L27" i="111"/>
  <c r="U27" i="111" s="1"/>
  <c r="V27" i="111" s="1"/>
  <c r="K27" i="111"/>
  <c r="S27" i="111" s="1"/>
  <c r="T27" i="111" s="1"/>
  <c r="E27" i="111"/>
  <c r="D27" i="111"/>
  <c r="Q26" i="111"/>
  <c r="R26" i="111" s="1"/>
  <c r="P26" i="111"/>
  <c r="K26" i="111"/>
  <c r="L26" i="111"/>
  <c r="I39" i="111"/>
  <c r="H39" i="111"/>
  <c r="G39" i="111"/>
  <c r="E26" i="111"/>
  <c r="D26" i="111"/>
  <c r="H21" i="111"/>
  <c r="D20" i="111"/>
  <c r="E20" i="111" s="1"/>
  <c r="R19" i="111"/>
  <c r="Q19" i="111"/>
  <c r="P19" i="111"/>
  <c r="L19" i="111"/>
  <c r="U19" i="111" s="1"/>
  <c r="K19" i="111"/>
  <c r="S19" i="111" s="1"/>
  <c r="D19" i="111"/>
  <c r="E19" i="111" s="1"/>
  <c r="R18" i="111"/>
  <c r="Q18" i="111"/>
  <c r="P18" i="111"/>
  <c r="L18" i="111"/>
  <c r="U18" i="111" s="1"/>
  <c r="V18" i="111" s="1"/>
  <c r="K18" i="111"/>
  <c r="S18" i="111" s="1"/>
  <c r="T18" i="111" s="1"/>
  <c r="D18" i="111"/>
  <c r="E18" i="111" s="1"/>
  <c r="Q17" i="111"/>
  <c r="R17" i="111" s="1"/>
  <c r="P17" i="111"/>
  <c r="L17" i="111"/>
  <c r="I21" i="111"/>
  <c r="G21" i="111"/>
  <c r="E17" i="111"/>
  <c r="E21" i="111" s="1"/>
  <c r="D5" i="111"/>
  <c r="D13" i="66"/>
  <c r="D12" i="66"/>
  <c r="R14" i="66"/>
  <c r="R13" i="66"/>
  <c r="R12" i="66"/>
  <c r="G23" i="68"/>
  <c r="G24" i="68"/>
  <c r="G25" i="68"/>
  <c r="G26" i="68"/>
  <c r="G27" i="68"/>
  <c r="G28" i="68"/>
  <c r="G29" i="68"/>
  <c r="I10" i="54"/>
  <c r="G260" i="56"/>
  <c r="G261" i="56"/>
  <c r="G262" i="56"/>
  <c r="G263" i="56"/>
  <c r="G264" i="56"/>
  <c r="G265" i="56"/>
  <c r="G266" i="56"/>
  <c r="G267" i="56"/>
  <c r="D12" i="56"/>
  <c r="E12" i="56" s="1"/>
  <c r="B66" i="104"/>
  <c r="B67" i="104"/>
  <c r="G33" i="104"/>
  <c r="G34" i="104"/>
  <c r="G35" i="104"/>
  <c r="G36" i="104"/>
  <c r="G37" i="104"/>
  <c r="G38" i="104"/>
  <c r="G39" i="104"/>
  <c r="G40" i="104"/>
  <c r="G41" i="104"/>
  <c r="G42" i="104"/>
  <c r="G43" i="104"/>
  <c r="G44" i="104"/>
  <c r="G45" i="104"/>
  <c r="G46" i="104"/>
  <c r="G47" i="104"/>
  <c r="G48" i="104"/>
  <c r="G49" i="104"/>
  <c r="G50" i="104"/>
  <c r="G51" i="104"/>
  <c r="G52" i="104"/>
  <c r="G53" i="104"/>
  <c r="G54" i="104"/>
  <c r="G55" i="104"/>
  <c r="H33" i="104"/>
  <c r="H34" i="104"/>
  <c r="H35" i="104"/>
  <c r="H36" i="104"/>
  <c r="H37" i="104"/>
  <c r="H38" i="104"/>
  <c r="H39" i="104"/>
  <c r="H40" i="104"/>
  <c r="H41" i="104"/>
  <c r="H42" i="104"/>
  <c r="H43" i="104"/>
  <c r="H44" i="104"/>
  <c r="H45" i="104"/>
  <c r="H46" i="104"/>
  <c r="H47" i="104"/>
  <c r="H48" i="104"/>
  <c r="H49" i="104"/>
  <c r="H50" i="104"/>
  <c r="H51" i="104"/>
  <c r="H52" i="104"/>
  <c r="H53" i="104"/>
  <c r="H54" i="104"/>
  <c r="H55" i="104"/>
  <c r="H32" i="104"/>
  <c r="E42" i="104"/>
  <c r="F42" i="104" s="1"/>
  <c r="E43" i="104"/>
  <c r="F43" i="104" s="1"/>
  <c r="E44" i="104"/>
  <c r="F44" i="104" s="1"/>
  <c r="E45" i="104"/>
  <c r="F45" i="104" s="1"/>
  <c r="E46" i="104"/>
  <c r="F46" i="104" s="1"/>
  <c r="E47" i="104"/>
  <c r="F47" i="104" s="1"/>
  <c r="E48" i="104"/>
  <c r="F48" i="104" s="1"/>
  <c r="E49" i="104"/>
  <c r="F49" i="104" s="1"/>
  <c r="E50" i="104"/>
  <c r="F50" i="104" s="1"/>
  <c r="E51" i="104"/>
  <c r="F51" i="104" s="1"/>
  <c r="E52" i="104"/>
  <c r="F52" i="104" s="1"/>
  <c r="E53" i="104"/>
  <c r="F53" i="104" s="1"/>
  <c r="E54" i="104"/>
  <c r="F54" i="104" s="1"/>
  <c r="E55" i="104"/>
  <c r="F55" i="104" s="1"/>
  <c r="G32" i="104"/>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18" i="19"/>
  <c r="H19" i="19"/>
  <c r="H20" i="19"/>
  <c r="H21" i="19"/>
  <c r="E18" i="19"/>
  <c r="F18" i="19" s="1"/>
  <c r="E19" i="19"/>
  <c r="F19" i="19" s="1"/>
  <c r="E20" i="19"/>
  <c r="F20" i="19" s="1"/>
  <c r="E21" i="19"/>
  <c r="F21" i="19" s="1"/>
  <c r="E22" i="19"/>
  <c r="F22" i="19" s="1"/>
  <c r="E23" i="19"/>
  <c r="F23" i="19" s="1"/>
  <c r="E24" i="19"/>
  <c r="F24" i="19" s="1"/>
  <c r="E25" i="19"/>
  <c r="F25" i="19" s="1"/>
  <c r="E26" i="19"/>
  <c r="F26" i="19" s="1"/>
  <c r="E27" i="19"/>
  <c r="F27" i="19" s="1"/>
  <c r="E28" i="19"/>
  <c r="F28" i="19" s="1"/>
  <c r="E29" i="19"/>
  <c r="F29" i="19" s="1"/>
  <c r="E30" i="19"/>
  <c r="F30" i="19" s="1"/>
  <c r="E31" i="19"/>
  <c r="F31" i="19" s="1"/>
  <c r="E32" i="19"/>
  <c r="F32" i="19" s="1"/>
  <c r="E33" i="19"/>
  <c r="F33" i="19" s="1"/>
  <c r="E34" i="19"/>
  <c r="F34" i="19" s="1"/>
  <c r="E35" i="19"/>
  <c r="F35" i="19" s="1"/>
  <c r="E36" i="19"/>
  <c r="F36" i="19" s="1"/>
  <c r="E37" i="19"/>
  <c r="F37" i="19" s="1"/>
  <c r="E38" i="19"/>
  <c r="F38" i="19" s="1"/>
  <c r="E39" i="19"/>
  <c r="F39" i="19" s="1"/>
  <c r="E40" i="19"/>
  <c r="F40" i="19" s="1"/>
  <c r="E41" i="19"/>
  <c r="F41" i="19" s="1"/>
  <c r="E42" i="19"/>
  <c r="F42" i="19" s="1"/>
  <c r="E43" i="19"/>
  <c r="F43" i="19" s="1"/>
  <c r="E44" i="19"/>
  <c r="F44" i="19" s="1"/>
  <c r="E45" i="19"/>
  <c r="F45" i="19" s="1"/>
  <c r="E46" i="19"/>
  <c r="F46" i="19" s="1"/>
  <c r="E47" i="19"/>
  <c r="F47" i="19" s="1"/>
  <c r="E48" i="19"/>
  <c r="F48" i="19" s="1"/>
  <c r="E49" i="19"/>
  <c r="F49" i="19" s="1"/>
  <c r="E50" i="19"/>
  <c r="F50" i="19" s="1"/>
  <c r="E51" i="19"/>
  <c r="F51" i="19" s="1"/>
  <c r="E52" i="19"/>
  <c r="F52" i="19" s="1"/>
  <c r="E53" i="19"/>
  <c r="F53" i="19" s="1"/>
  <c r="E54" i="19"/>
  <c r="F54" i="19" s="1"/>
  <c r="E55" i="19"/>
  <c r="F55" i="19" s="1"/>
  <c r="E56" i="19"/>
  <c r="F56" i="19" s="1"/>
  <c r="E57" i="19"/>
  <c r="F57" i="19" s="1"/>
  <c r="E58" i="19"/>
  <c r="F58" i="19" s="1"/>
  <c r="E59" i="19"/>
  <c r="F59" i="19" s="1"/>
  <c r="E60" i="19"/>
  <c r="F60" i="19" s="1"/>
  <c r="E61" i="19"/>
  <c r="F61" i="19" s="1"/>
  <c r="E62" i="19"/>
  <c r="F62" i="19" s="1"/>
  <c r="E63" i="19"/>
  <c r="F63" i="19" s="1"/>
  <c r="E64" i="19"/>
  <c r="F64" i="19" s="1"/>
  <c r="E65" i="19"/>
  <c r="F65" i="19" s="1"/>
  <c r="E66" i="19"/>
  <c r="F66" i="19" s="1"/>
  <c r="E67" i="19"/>
  <c r="F67" i="19" s="1"/>
  <c r="E68" i="19"/>
  <c r="F68" i="19" s="1"/>
  <c r="E69" i="19"/>
  <c r="F69" i="19" s="1"/>
  <c r="E70" i="19"/>
  <c r="F70" i="19" s="1"/>
  <c r="E71" i="19"/>
  <c r="F71" i="19" s="1"/>
  <c r="E72" i="19"/>
  <c r="F72" i="19" s="1"/>
  <c r="E73" i="19"/>
  <c r="F73" i="19" s="1"/>
  <c r="E74" i="19"/>
  <c r="F74" i="19" s="1"/>
  <c r="E75" i="19"/>
  <c r="F75" i="19" s="1"/>
  <c r="E76" i="19"/>
  <c r="F76" i="19" s="1"/>
  <c r="E77" i="19"/>
  <c r="F77" i="19" s="1"/>
  <c r="E78" i="19"/>
  <c r="F78" i="19" s="1"/>
  <c r="H17" i="19"/>
  <c r="E17" i="19"/>
  <c r="F17" i="19" s="1"/>
  <c r="C12" i="19"/>
  <c r="C28" i="105"/>
  <c r="I36" i="104" l="1"/>
  <c r="I22" i="99"/>
  <c r="I48" i="104"/>
  <c r="C11" i="54"/>
  <c r="G11" i="54" s="1"/>
  <c r="G82" i="19"/>
  <c r="I82" i="19" s="1"/>
  <c r="G83" i="19"/>
  <c r="I83" i="19" s="1"/>
  <c r="I26" i="102"/>
  <c r="I27" i="102"/>
  <c r="G119" i="101"/>
  <c r="I119" i="101" s="1"/>
  <c r="G121" i="101"/>
  <c r="I121" i="101" s="1"/>
  <c r="G120" i="101"/>
  <c r="I120" i="101" s="1"/>
  <c r="N44" i="21"/>
  <c r="P44" i="21" s="1"/>
  <c r="N46" i="21"/>
  <c r="P46" i="21" s="1"/>
  <c r="N50" i="21"/>
  <c r="P50" i="21" s="1"/>
  <c r="N52" i="21"/>
  <c r="P52" i="21" s="1"/>
  <c r="N56" i="21"/>
  <c r="P56" i="21" s="1"/>
  <c r="N58" i="21"/>
  <c r="P58" i="21" s="1"/>
  <c r="N62" i="21"/>
  <c r="P62" i="21" s="1"/>
  <c r="N64" i="21"/>
  <c r="P64" i="21" s="1"/>
  <c r="I40" i="104"/>
  <c r="I52" i="104"/>
  <c r="P23" i="21"/>
  <c r="P30" i="21"/>
  <c r="P36" i="21"/>
  <c r="P42" i="21"/>
  <c r="P48" i="21"/>
  <c r="P54" i="21"/>
  <c r="P60" i="21"/>
  <c r="P66" i="21"/>
  <c r="P24" i="21"/>
  <c r="P26" i="21"/>
  <c r="P28" i="21"/>
  <c r="P31" i="21"/>
  <c r="P33" i="21"/>
  <c r="P35" i="21"/>
  <c r="P37" i="21"/>
  <c r="P39" i="21"/>
  <c r="P41" i="21"/>
  <c r="P43" i="21"/>
  <c r="P45" i="21"/>
  <c r="P47" i="21"/>
  <c r="P49" i="21"/>
  <c r="P51" i="21"/>
  <c r="P53" i="21"/>
  <c r="P55" i="21"/>
  <c r="P57" i="21"/>
  <c r="P59" i="21"/>
  <c r="P61" i="21"/>
  <c r="P63" i="21"/>
  <c r="P65" i="21"/>
  <c r="P67" i="21"/>
  <c r="G35" i="19"/>
  <c r="I35" i="19" s="1"/>
  <c r="G81" i="19"/>
  <c r="I81" i="19" s="1"/>
  <c r="G17" i="19"/>
  <c r="I17" i="19"/>
  <c r="G71" i="19"/>
  <c r="G67" i="19"/>
  <c r="G55" i="19"/>
  <c r="G51" i="19"/>
  <c r="G39" i="19"/>
  <c r="G31" i="19"/>
  <c r="I31" i="19" s="1"/>
  <c r="G80" i="19"/>
  <c r="I80" i="19" s="1"/>
  <c r="C20" i="105"/>
  <c r="G118" i="101"/>
  <c r="I118" i="101" s="1"/>
  <c r="P68" i="21"/>
  <c r="W149" i="111"/>
  <c r="E157" i="111"/>
  <c r="E22" i="111"/>
  <c r="E23" i="111" s="1"/>
  <c r="V308" i="111"/>
  <c r="T286" i="111"/>
  <c r="T262" i="111"/>
  <c r="T255" i="111"/>
  <c r="W210" i="111"/>
  <c r="T217" i="111"/>
  <c r="W217" i="111" s="1"/>
  <c r="W170" i="111"/>
  <c r="W173" i="111"/>
  <c r="T119" i="111"/>
  <c r="T125" i="111"/>
  <c r="W97" i="111"/>
  <c r="W99" i="111"/>
  <c r="V104" i="111"/>
  <c r="K84" i="111"/>
  <c r="V73" i="111"/>
  <c r="W73" i="111" s="1"/>
  <c r="K39" i="111"/>
  <c r="S26" i="111"/>
  <c r="T26" i="111" s="1"/>
  <c r="T308" i="111"/>
  <c r="T303" i="111"/>
  <c r="T307" i="111"/>
  <c r="W307" i="111" s="1"/>
  <c r="T309" i="111"/>
  <c r="T306" i="111"/>
  <c r="T300" i="111"/>
  <c r="W300" i="111" s="1"/>
  <c r="T301" i="111"/>
  <c r="W301" i="111" s="1"/>
  <c r="T304" i="111"/>
  <c r="V306" i="111"/>
  <c r="W278" i="111"/>
  <c r="T285" i="111"/>
  <c r="W282" i="111"/>
  <c r="V284" i="111"/>
  <c r="W284" i="111" s="1"/>
  <c r="V283" i="111"/>
  <c r="W283" i="111" s="1"/>
  <c r="W259" i="111"/>
  <c r="T260" i="111"/>
  <c r="T254" i="111"/>
  <c r="V262" i="111"/>
  <c r="T263" i="111"/>
  <c r="W263" i="111" s="1"/>
  <c r="T264" i="111"/>
  <c r="T256" i="111"/>
  <c r="V260" i="111"/>
  <c r="T236" i="111"/>
  <c r="T232" i="111"/>
  <c r="W232" i="111" s="1"/>
  <c r="T233" i="111"/>
  <c r="W233" i="111" s="1"/>
  <c r="W237" i="111"/>
  <c r="T238" i="111"/>
  <c r="T239" i="111"/>
  <c r="T241" i="111"/>
  <c r="T242" i="111"/>
  <c r="W242" i="111" s="1"/>
  <c r="V212" i="111"/>
  <c r="V213" i="111"/>
  <c r="W213" i="111" s="1"/>
  <c r="T212" i="111"/>
  <c r="V214" i="111"/>
  <c r="V215" i="111"/>
  <c r="V216" i="111"/>
  <c r="W216" i="111" s="1"/>
  <c r="T211" i="111"/>
  <c r="V211" i="111"/>
  <c r="W211" i="111" s="1"/>
  <c r="T215" i="111"/>
  <c r="W215" i="111" s="1"/>
  <c r="T218" i="111"/>
  <c r="V193" i="111"/>
  <c r="T196" i="111"/>
  <c r="V188" i="111"/>
  <c r="W188" i="111" s="1"/>
  <c r="V190" i="111"/>
  <c r="W190" i="111" s="1"/>
  <c r="V192" i="111"/>
  <c r="W192" i="111" s="1"/>
  <c r="T195" i="111"/>
  <c r="T191" i="111"/>
  <c r="V191" i="111"/>
  <c r="V196" i="111"/>
  <c r="T164" i="111"/>
  <c r="W164" i="111" s="1"/>
  <c r="T174" i="111"/>
  <c r="W174" i="111" s="1"/>
  <c r="T165" i="111"/>
  <c r="W165" i="111" s="1"/>
  <c r="V167" i="111"/>
  <c r="T172" i="111"/>
  <c r="V166" i="111"/>
  <c r="W166" i="111" s="1"/>
  <c r="T168" i="111"/>
  <c r="V168" i="111"/>
  <c r="V172" i="111"/>
  <c r="T142" i="111"/>
  <c r="T144" i="111"/>
  <c r="V144" i="111"/>
  <c r="W146" i="111"/>
  <c r="T148" i="111"/>
  <c r="V143" i="111"/>
  <c r="T147" i="111"/>
  <c r="V147" i="111"/>
  <c r="V148" i="111"/>
  <c r="T150" i="111"/>
  <c r="W150" i="111" s="1"/>
  <c r="T118" i="111"/>
  <c r="W118" i="111" s="1"/>
  <c r="V121" i="111"/>
  <c r="W123" i="111"/>
  <c r="V124" i="111"/>
  <c r="V125" i="111"/>
  <c r="W125" i="111" s="1"/>
  <c r="T121" i="111"/>
  <c r="W121" i="111" s="1"/>
  <c r="V122" i="111"/>
  <c r="W122" i="111" s="1"/>
  <c r="T124" i="111"/>
  <c r="V95" i="111"/>
  <c r="W95" i="111" s="1"/>
  <c r="T101" i="111"/>
  <c r="T102" i="111"/>
  <c r="V96" i="111"/>
  <c r="W96" i="111" s="1"/>
  <c r="V100" i="111"/>
  <c r="W100" i="111" s="1"/>
  <c r="V102" i="111"/>
  <c r="W72" i="111"/>
  <c r="V77" i="111"/>
  <c r="W77" i="111" s="1"/>
  <c r="T81" i="111"/>
  <c r="T74" i="111"/>
  <c r="W76" i="111"/>
  <c r="V80" i="111"/>
  <c r="W80" i="111" s="1"/>
  <c r="V51" i="111"/>
  <c r="T59" i="111"/>
  <c r="T58" i="111"/>
  <c r="V59" i="111"/>
  <c r="T55" i="111"/>
  <c r="V55" i="111"/>
  <c r="W36" i="111"/>
  <c r="V29" i="111"/>
  <c r="T35" i="111"/>
  <c r="V19" i="111"/>
  <c r="T19" i="111"/>
  <c r="I49" i="104"/>
  <c r="I45" i="104"/>
  <c r="I37" i="104"/>
  <c r="G18" i="19"/>
  <c r="I18" i="19" s="1"/>
  <c r="G63" i="19"/>
  <c r="I63" i="19" s="1"/>
  <c r="G47" i="19"/>
  <c r="I47" i="19" s="1"/>
  <c r="G79" i="19"/>
  <c r="I79" i="19" s="1"/>
  <c r="G24" i="19"/>
  <c r="I24" i="19" s="1"/>
  <c r="G28" i="19"/>
  <c r="I28" i="19" s="1"/>
  <c r="G32" i="19"/>
  <c r="I32" i="19" s="1"/>
  <c r="G36" i="19"/>
  <c r="I36" i="19" s="1"/>
  <c r="G40" i="19"/>
  <c r="I40" i="19" s="1"/>
  <c r="G44" i="19"/>
  <c r="I44" i="19" s="1"/>
  <c r="G48" i="19"/>
  <c r="I48" i="19" s="1"/>
  <c r="G52" i="19"/>
  <c r="I52" i="19" s="1"/>
  <c r="G56" i="19"/>
  <c r="I56" i="19" s="1"/>
  <c r="G60" i="19"/>
  <c r="I60" i="19" s="1"/>
  <c r="G64" i="19"/>
  <c r="I64" i="19" s="1"/>
  <c r="G68" i="19"/>
  <c r="I68" i="19" s="1"/>
  <c r="G72" i="19"/>
  <c r="I72" i="19" s="1"/>
  <c r="G76" i="19"/>
  <c r="I76" i="19" s="1"/>
  <c r="G19" i="19"/>
  <c r="I19" i="19" s="1"/>
  <c r="G22" i="19"/>
  <c r="I22" i="19" s="1"/>
  <c r="G26" i="19"/>
  <c r="I26" i="19" s="1"/>
  <c r="G30" i="19"/>
  <c r="I30" i="19" s="1"/>
  <c r="G34" i="19"/>
  <c r="I34" i="19" s="1"/>
  <c r="G42" i="19"/>
  <c r="I42" i="19" s="1"/>
  <c r="G50" i="19"/>
  <c r="I50" i="19" s="1"/>
  <c r="G58" i="19"/>
  <c r="I58" i="19" s="1"/>
  <c r="G66" i="19"/>
  <c r="I66" i="19" s="1"/>
  <c r="G74" i="19"/>
  <c r="I74" i="19" s="1"/>
  <c r="G21" i="19"/>
  <c r="I21" i="19" s="1"/>
  <c r="G23" i="19"/>
  <c r="I23" i="19" s="1"/>
  <c r="G25" i="19"/>
  <c r="I25" i="19" s="1"/>
  <c r="G29" i="19"/>
  <c r="I29" i="19" s="1"/>
  <c r="G33" i="19"/>
  <c r="I33" i="19" s="1"/>
  <c r="G37" i="19"/>
  <c r="I37" i="19" s="1"/>
  <c r="G41" i="19"/>
  <c r="I41" i="19" s="1"/>
  <c r="G45" i="19"/>
  <c r="I45" i="19" s="1"/>
  <c r="G49" i="19"/>
  <c r="I49" i="19" s="1"/>
  <c r="G53" i="19"/>
  <c r="I53" i="19" s="1"/>
  <c r="G57" i="19"/>
  <c r="I57" i="19" s="1"/>
  <c r="G61" i="19"/>
  <c r="I61" i="19" s="1"/>
  <c r="G65" i="19"/>
  <c r="I65" i="19" s="1"/>
  <c r="G69" i="19"/>
  <c r="I69" i="19" s="1"/>
  <c r="G73" i="19"/>
  <c r="I73" i="19" s="1"/>
  <c r="G77" i="19"/>
  <c r="I77" i="19" s="1"/>
  <c r="G20" i="19"/>
  <c r="I20" i="19" s="1"/>
  <c r="G38" i="19"/>
  <c r="I38" i="19" s="1"/>
  <c r="G46" i="19"/>
  <c r="I46" i="19" s="1"/>
  <c r="G54" i="19"/>
  <c r="I54" i="19" s="1"/>
  <c r="G62" i="19"/>
  <c r="I62" i="19" s="1"/>
  <c r="G70" i="19"/>
  <c r="I70" i="19" s="1"/>
  <c r="G78" i="19"/>
  <c r="I78" i="19" s="1"/>
  <c r="I71" i="19"/>
  <c r="I67" i="19"/>
  <c r="I55" i="19"/>
  <c r="I51" i="19"/>
  <c r="I39" i="19"/>
  <c r="G75" i="19"/>
  <c r="I75" i="19" s="1"/>
  <c r="G59" i="19"/>
  <c r="I59" i="19" s="1"/>
  <c r="G43" i="19"/>
  <c r="I43" i="19" s="1"/>
  <c r="G27" i="19"/>
  <c r="I27" i="19" s="1"/>
  <c r="G82" i="101"/>
  <c r="I82" i="101" s="1"/>
  <c r="G86" i="101"/>
  <c r="I86" i="101" s="1"/>
  <c r="G90" i="101"/>
  <c r="I90" i="101" s="1"/>
  <c r="G94" i="101"/>
  <c r="I94" i="101" s="1"/>
  <c r="G98" i="101"/>
  <c r="I98" i="101" s="1"/>
  <c r="G102" i="101"/>
  <c r="I102" i="101" s="1"/>
  <c r="G106" i="101"/>
  <c r="I106" i="101" s="1"/>
  <c r="G110" i="101"/>
  <c r="I110" i="101" s="1"/>
  <c r="G114" i="101"/>
  <c r="I114" i="101" s="1"/>
  <c r="G79" i="101"/>
  <c r="I79" i="101" s="1"/>
  <c r="G83" i="101"/>
  <c r="I83" i="101" s="1"/>
  <c r="G87" i="101"/>
  <c r="I87" i="101" s="1"/>
  <c r="G91" i="101"/>
  <c r="I91" i="101" s="1"/>
  <c r="G95" i="101"/>
  <c r="I95" i="101" s="1"/>
  <c r="G99" i="101"/>
  <c r="I99" i="101" s="1"/>
  <c r="G103" i="101"/>
  <c r="I103" i="101" s="1"/>
  <c r="G107" i="101"/>
  <c r="I107" i="101" s="1"/>
  <c r="G111" i="101"/>
  <c r="I111" i="101" s="1"/>
  <c r="G115" i="101"/>
  <c r="I115" i="101" s="1"/>
  <c r="G80" i="101"/>
  <c r="I80" i="101" s="1"/>
  <c r="G84" i="101"/>
  <c r="I84" i="101" s="1"/>
  <c r="G88" i="101"/>
  <c r="I88" i="101" s="1"/>
  <c r="G92" i="101"/>
  <c r="I92" i="101" s="1"/>
  <c r="G96" i="101"/>
  <c r="I96" i="101" s="1"/>
  <c r="G100" i="101"/>
  <c r="I100" i="101" s="1"/>
  <c r="G104" i="101"/>
  <c r="I104" i="101" s="1"/>
  <c r="G108" i="101"/>
  <c r="I108" i="101" s="1"/>
  <c r="G112" i="101"/>
  <c r="I112" i="101" s="1"/>
  <c r="G116" i="101"/>
  <c r="I116" i="101" s="1"/>
  <c r="G85" i="101"/>
  <c r="I85" i="101" s="1"/>
  <c r="G101" i="101"/>
  <c r="I101" i="101" s="1"/>
  <c r="G117" i="101"/>
  <c r="I117" i="101" s="1"/>
  <c r="G81" i="101"/>
  <c r="I81" i="101" s="1"/>
  <c r="G113" i="101"/>
  <c r="I113" i="101" s="1"/>
  <c r="G89" i="101"/>
  <c r="I89" i="101" s="1"/>
  <c r="G105" i="101"/>
  <c r="I105" i="101" s="1"/>
  <c r="G93" i="101"/>
  <c r="I93" i="101" s="1"/>
  <c r="G109" i="101"/>
  <c r="I109" i="101" s="1"/>
  <c r="G97" i="101"/>
  <c r="I97" i="101" s="1"/>
  <c r="T56" i="111"/>
  <c r="V60" i="111"/>
  <c r="W19" i="111"/>
  <c r="T33" i="111"/>
  <c r="W33" i="111" s="1"/>
  <c r="T37" i="111"/>
  <c r="V56" i="111"/>
  <c r="T57" i="111"/>
  <c r="W18" i="111"/>
  <c r="U26" i="111"/>
  <c r="V30" i="111"/>
  <c r="V37" i="111"/>
  <c r="V52" i="111"/>
  <c r="E89" i="111"/>
  <c r="V98" i="111"/>
  <c r="E110" i="111"/>
  <c r="W78" i="111"/>
  <c r="W103" i="111"/>
  <c r="E66" i="111"/>
  <c r="W79" i="111"/>
  <c r="K62" i="111"/>
  <c r="S49" i="111"/>
  <c r="V50" i="111"/>
  <c r="W50" i="111" s="1"/>
  <c r="T51" i="111"/>
  <c r="T29" i="111"/>
  <c r="W29" i="111" s="1"/>
  <c r="V35" i="111"/>
  <c r="W35" i="111" s="1"/>
  <c r="V58" i="111"/>
  <c r="U93" i="111"/>
  <c r="V74" i="111"/>
  <c r="W74" i="111" s="1"/>
  <c r="T60" i="111"/>
  <c r="W27" i="111"/>
  <c r="T31" i="111"/>
  <c r="T53" i="111"/>
  <c r="V57" i="111"/>
  <c r="U17" i="111"/>
  <c r="L21" i="111"/>
  <c r="E43" i="111"/>
  <c r="V31" i="111"/>
  <c r="T32" i="111"/>
  <c r="W32" i="111" s="1"/>
  <c r="T52" i="111"/>
  <c r="V53" i="111"/>
  <c r="T54" i="111"/>
  <c r="W54" i="111" s="1"/>
  <c r="W75" i="111"/>
  <c r="E44" i="111"/>
  <c r="T30" i="111"/>
  <c r="W34" i="111"/>
  <c r="L62" i="111"/>
  <c r="W81" i="111"/>
  <c r="W104" i="111"/>
  <c r="W119" i="111"/>
  <c r="V82" i="111"/>
  <c r="W82" i="111" s="1"/>
  <c r="E111" i="111"/>
  <c r="G62" i="111"/>
  <c r="E67" i="111" s="1"/>
  <c r="L71" i="111"/>
  <c r="J106" i="111"/>
  <c r="L117" i="111"/>
  <c r="U117" i="111" s="1"/>
  <c r="V117" i="111" s="1"/>
  <c r="T126" i="111"/>
  <c r="W193" i="111"/>
  <c r="K17" i="111"/>
  <c r="J21" i="111"/>
  <c r="L28" i="111"/>
  <c r="U28" i="111" s="1"/>
  <c r="V28" i="111" s="1"/>
  <c r="W28" i="111" s="1"/>
  <c r="S38" i="111"/>
  <c r="S116" i="111"/>
  <c r="T253" i="111"/>
  <c r="L116" i="111"/>
  <c r="W147" i="111"/>
  <c r="G176" i="111"/>
  <c r="E181" i="111" s="1"/>
  <c r="T167" i="111"/>
  <c r="W167" i="111" s="1"/>
  <c r="W172" i="111"/>
  <c r="U49" i="111"/>
  <c r="L101" i="111"/>
  <c r="U101" i="111" s="1"/>
  <c r="V101" i="111" s="1"/>
  <c r="V126" i="111"/>
  <c r="W189" i="111"/>
  <c r="S71" i="111"/>
  <c r="K93" i="111"/>
  <c r="U151" i="111"/>
  <c r="W308" i="111"/>
  <c r="E88" i="111"/>
  <c r="V142" i="111"/>
  <c r="W142" i="111" s="1"/>
  <c r="K176" i="111"/>
  <c r="T187" i="111"/>
  <c r="K94" i="111"/>
  <c r="S94" i="111" s="1"/>
  <c r="T94" i="111" s="1"/>
  <c r="T145" i="111"/>
  <c r="W145" i="111" s="1"/>
  <c r="W169" i="111"/>
  <c r="S209" i="111"/>
  <c r="L94" i="111"/>
  <c r="U94" i="111" s="1"/>
  <c r="V94" i="111" s="1"/>
  <c r="K98" i="111"/>
  <c r="S98" i="111" s="1"/>
  <c r="T98" i="111" s="1"/>
  <c r="W98" i="111" s="1"/>
  <c r="T120" i="111"/>
  <c r="W120" i="111" s="1"/>
  <c r="W124" i="111"/>
  <c r="E203" i="111"/>
  <c r="E205" i="111" s="1"/>
  <c r="T220" i="111"/>
  <c r="W264" i="111"/>
  <c r="E134" i="111"/>
  <c r="E135" i="111" s="1"/>
  <c r="K117" i="111"/>
  <c r="S117" i="111" s="1"/>
  <c r="T117" i="111" s="1"/>
  <c r="W117" i="111" s="1"/>
  <c r="V141" i="111"/>
  <c r="W141" i="111" s="1"/>
  <c r="W143" i="111"/>
  <c r="E204" i="111"/>
  <c r="T194" i="111"/>
  <c r="W195" i="111"/>
  <c r="W262" i="111"/>
  <c r="S175" i="111"/>
  <c r="W171" i="111"/>
  <c r="V187" i="111"/>
  <c r="V194" i="111"/>
  <c r="W127" i="111"/>
  <c r="W140" i="111"/>
  <c r="I199" i="111"/>
  <c r="E156" i="111"/>
  <c r="E158" i="111" s="1"/>
  <c r="V139" i="111"/>
  <c r="T163" i="111"/>
  <c r="E248" i="111"/>
  <c r="V241" i="111"/>
  <c r="W241" i="111" s="1"/>
  <c r="U253" i="111"/>
  <c r="V254" i="111"/>
  <c r="K258" i="111"/>
  <c r="S258" i="111" s="1"/>
  <c r="T258" i="111" s="1"/>
  <c r="W258" i="111" s="1"/>
  <c r="E293" i="111"/>
  <c r="E295" i="111" s="1"/>
  <c r="V279" i="111"/>
  <c r="W279" i="111" s="1"/>
  <c r="V285" i="111"/>
  <c r="W285" i="111" s="1"/>
  <c r="E316" i="111"/>
  <c r="E180" i="111"/>
  <c r="K214" i="111"/>
  <c r="S214" i="111" s="1"/>
  <c r="T214" i="111" s="1"/>
  <c r="G244" i="111"/>
  <c r="K231" i="111"/>
  <c r="L240" i="111"/>
  <c r="U240" i="111" s="1"/>
  <c r="V240" i="111" s="1"/>
  <c r="G289" i="111"/>
  <c r="E294" i="111" s="1"/>
  <c r="K299" i="111"/>
  <c r="G312" i="111"/>
  <c r="E317" i="111" s="1"/>
  <c r="L152" i="111"/>
  <c r="K186" i="111"/>
  <c r="H244" i="111"/>
  <c r="L277" i="111"/>
  <c r="U277" i="111" s="1"/>
  <c r="V277" i="111" s="1"/>
  <c r="W277" i="111" s="1"/>
  <c r="L186" i="111"/>
  <c r="G266" i="111"/>
  <c r="E271" i="111" s="1"/>
  <c r="I312" i="111"/>
  <c r="K219" i="111"/>
  <c r="S219" i="111" s="1"/>
  <c r="T219" i="111" s="1"/>
  <c r="W219" i="111" s="1"/>
  <c r="L231" i="111"/>
  <c r="L299" i="111"/>
  <c r="L305" i="111"/>
  <c r="U305" i="111" s="1"/>
  <c r="V305" i="111" s="1"/>
  <c r="W305" i="111" s="1"/>
  <c r="K139" i="111"/>
  <c r="J176" i="111"/>
  <c r="E226" i="111"/>
  <c r="E228" i="111" s="1"/>
  <c r="I222" i="111"/>
  <c r="V238" i="111"/>
  <c r="V239" i="111"/>
  <c r="W239" i="111" s="1"/>
  <c r="L264" i="111"/>
  <c r="U264" i="111" s="1"/>
  <c r="V264" i="111" s="1"/>
  <c r="I266" i="111"/>
  <c r="K276" i="111"/>
  <c r="V311" i="111"/>
  <c r="G222" i="111"/>
  <c r="E227" i="111" s="1"/>
  <c r="V220" i="111"/>
  <c r="U276" i="111"/>
  <c r="V281" i="111"/>
  <c r="W281" i="111" s="1"/>
  <c r="V287" i="111"/>
  <c r="W287" i="111" s="1"/>
  <c r="L163" i="111"/>
  <c r="H222" i="111"/>
  <c r="V256" i="111"/>
  <c r="V257" i="111"/>
  <c r="W257" i="111" s="1"/>
  <c r="K261" i="111"/>
  <c r="S261" i="111" s="1"/>
  <c r="T261" i="111" s="1"/>
  <c r="K302" i="111"/>
  <c r="S302" i="111" s="1"/>
  <c r="T302" i="111" s="1"/>
  <c r="S312" i="111"/>
  <c r="T312" i="111" s="1"/>
  <c r="S310" i="111"/>
  <c r="T310" i="111" s="1"/>
  <c r="S311" i="111"/>
  <c r="T311" i="111" s="1"/>
  <c r="E270" i="111"/>
  <c r="E272" i="111" s="1"/>
  <c r="L255" i="111"/>
  <c r="U255" i="111" s="1"/>
  <c r="V255" i="111" s="1"/>
  <c r="W255" i="111" s="1"/>
  <c r="L280" i="111"/>
  <c r="U280" i="111" s="1"/>
  <c r="V280" i="111" s="1"/>
  <c r="W280" i="111" s="1"/>
  <c r="L286" i="111"/>
  <c r="U286" i="111" s="1"/>
  <c r="V286" i="111" s="1"/>
  <c r="W286" i="111" s="1"/>
  <c r="V303" i="111"/>
  <c r="W303" i="111" s="1"/>
  <c r="V304" i="111"/>
  <c r="W304" i="111" s="1"/>
  <c r="V309" i="111"/>
  <c r="U310" i="111"/>
  <c r="V310" i="111" s="1"/>
  <c r="U312" i="111"/>
  <c r="V312" i="111" s="1"/>
  <c r="V218" i="111"/>
  <c r="W218" i="111" s="1"/>
  <c r="V235" i="111"/>
  <c r="W235" i="111" s="1"/>
  <c r="V236" i="111"/>
  <c r="K240" i="111"/>
  <c r="S240" i="111" s="1"/>
  <c r="T240" i="111" s="1"/>
  <c r="L261" i="111"/>
  <c r="U261" i="111" s="1"/>
  <c r="V261" i="111" s="1"/>
  <c r="L302" i="111"/>
  <c r="U302" i="111" s="1"/>
  <c r="V302" i="111" s="1"/>
  <c r="L222" i="111"/>
  <c r="U209" i="111"/>
  <c r="L234" i="111"/>
  <c r="U234" i="111" s="1"/>
  <c r="V234" i="111" s="1"/>
  <c r="W234" i="111" s="1"/>
  <c r="J244" i="111"/>
  <c r="J266" i="111"/>
  <c r="J312" i="111"/>
  <c r="I50" i="104"/>
  <c r="I38" i="104"/>
  <c r="I51" i="104"/>
  <c r="I32" i="104"/>
  <c r="I35" i="104"/>
  <c r="I53" i="104"/>
  <c r="I41" i="104"/>
  <c r="I39" i="104"/>
  <c r="I47" i="104"/>
  <c r="I54" i="104"/>
  <c r="I42" i="104"/>
  <c r="I46" i="104"/>
  <c r="I34" i="104"/>
  <c r="I33" i="104"/>
  <c r="I44" i="104"/>
  <c r="I55" i="104"/>
  <c r="I43" i="104"/>
  <c r="G122" i="105"/>
  <c r="G121" i="105"/>
  <c r="G120" i="105"/>
  <c r="G119" i="105"/>
  <c r="G118" i="105"/>
  <c r="G117" i="105"/>
  <c r="G116" i="105"/>
  <c r="G115" i="105"/>
  <c r="G114" i="105"/>
  <c r="G113" i="105"/>
  <c r="G112" i="105"/>
  <c r="G111" i="105"/>
  <c r="G110" i="105"/>
  <c r="G109" i="105"/>
  <c r="G108" i="105"/>
  <c r="G107" i="105"/>
  <c r="G106" i="105"/>
  <c r="G105" i="105"/>
  <c r="G104" i="105"/>
  <c r="G103" i="105"/>
  <c r="G102" i="105"/>
  <c r="G101" i="105"/>
  <c r="G100" i="105"/>
  <c r="G99" i="105"/>
  <c r="G98" i="105"/>
  <c r="G97" i="105"/>
  <c r="G96" i="105"/>
  <c r="G95" i="105"/>
  <c r="G94" i="105"/>
  <c r="G93" i="105"/>
  <c r="G92" i="105"/>
  <c r="G91" i="105"/>
  <c r="G90" i="105"/>
  <c r="G89" i="105"/>
  <c r="G88" i="105"/>
  <c r="G87" i="105"/>
  <c r="G86" i="105"/>
  <c r="G85" i="105"/>
  <c r="G84" i="105"/>
  <c r="C52" i="105"/>
  <c r="S120" i="66"/>
  <c r="S119" i="66"/>
  <c r="R120" i="66"/>
  <c r="U120" i="66" s="1"/>
  <c r="R119" i="66"/>
  <c r="U119" i="66" s="1"/>
  <c r="H17" i="102"/>
  <c r="H18" i="102"/>
  <c r="H19" i="102"/>
  <c r="H20" i="102"/>
  <c r="I20" i="102" s="1"/>
  <c r="H21" i="102"/>
  <c r="H23" i="102"/>
  <c r="H24" i="102"/>
  <c r="H25" i="102"/>
  <c r="H15" i="102"/>
  <c r="H16" i="102"/>
  <c r="G13" i="102"/>
  <c r="G14" i="102"/>
  <c r="G15" i="102"/>
  <c r="G16" i="102"/>
  <c r="G17" i="102"/>
  <c r="G18" i="102"/>
  <c r="G19" i="102"/>
  <c r="G20" i="102"/>
  <c r="G21" i="102"/>
  <c r="G23" i="102"/>
  <c r="I23" i="102" s="1"/>
  <c r="G24" i="102"/>
  <c r="G25" i="102"/>
  <c r="F24" i="102"/>
  <c r="F25" i="102"/>
  <c r="H14" i="102"/>
  <c r="H13" i="102"/>
  <c r="H13" i="99"/>
  <c r="H14" i="99"/>
  <c r="H15" i="99"/>
  <c r="H16" i="99"/>
  <c r="H18" i="99"/>
  <c r="H19" i="99"/>
  <c r="H20" i="99"/>
  <c r="H21" i="99"/>
  <c r="H12" i="99"/>
  <c r="F13" i="99"/>
  <c r="F14" i="99"/>
  <c r="F15" i="99"/>
  <c r="F16" i="99"/>
  <c r="F12" i="99"/>
  <c r="H26" i="98"/>
  <c r="H27" i="98"/>
  <c r="H28" i="98"/>
  <c r="H29" i="98"/>
  <c r="G65" i="97"/>
  <c r="G64" i="97"/>
  <c r="G63" i="97"/>
  <c r="G62" i="97"/>
  <c r="G61" i="97"/>
  <c r="G60" i="97"/>
  <c r="G59" i="97"/>
  <c r="G58" i="97"/>
  <c r="G57" i="97"/>
  <c r="G56" i="97"/>
  <c r="G54" i="97"/>
  <c r="G53" i="97"/>
  <c r="G52" i="97"/>
  <c r="G51" i="97"/>
  <c r="G50" i="97"/>
  <c r="G49" i="97"/>
  <c r="G48" i="97"/>
  <c r="G47" i="97"/>
  <c r="G46" i="97"/>
  <c r="G45" i="97"/>
  <c r="G44" i="97"/>
  <c r="G43" i="97"/>
  <c r="G42" i="97"/>
  <c r="G41" i="97"/>
  <c r="G40" i="97"/>
  <c r="G39" i="97"/>
  <c r="G38" i="97"/>
  <c r="G37" i="97"/>
  <c r="G36" i="97"/>
  <c r="G35" i="97"/>
  <c r="G34" i="97"/>
  <c r="G31" i="97"/>
  <c r="G30" i="97"/>
  <c r="G55" i="97"/>
  <c r="G66" i="97"/>
  <c r="G67" i="97"/>
  <c r="G68" i="97"/>
  <c r="G69" i="97"/>
  <c r="G70" i="97"/>
  <c r="G71" i="97"/>
  <c r="G72" i="97"/>
  <c r="G73" i="97"/>
  <c r="G74" i="97"/>
  <c r="G75" i="97"/>
  <c r="G76" i="97"/>
  <c r="G77" i="97"/>
  <c r="G78" i="97"/>
  <c r="G79" i="97"/>
  <c r="G80" i="97"/>
  <c r="G81" i="97"/>
  <c r="G82" i="97"/>
  <c r="G83" i="97"/>
  <c r="G84" i="97"/>
  <c r="G85" i="97"/>
  <c r="G86" i="97"/>
  <c r="G87" i="97"/>
  <c r="G88" i="97"/>
  <c r="G89" i="97"/>
  <c r="G90" i="97"/>
  <c r="G91" i="97"/>
  <c r="G92" i="97"/>
  <c r="G93" i="97"/>
  <c r="G94" i="97"/>
  <c r="G95" i="97"/>
  <c r="G96" i="97"/>
  <c r="G97" i="97"/>
  <c r="G98" i="97"/>
  <c r="G99" i="97"/>
  <c r="G100" i="97"/>
  <c r="G101" i="97"/>
  <c r="G102" i="97"/>
  <c r="G103" i="97"/>
  <c r="G104" i="97"/>
  <c r="G105" i="97"/>
  <c r="G106" i="97"/>
  <c r="G107" i="97"/>
  <c r="G108" i="97"/>
  <c r="G109" i="97"/>
  <c r="G110" i="97"/>
  <c r="H35" i="97"/>
  <c r="H36" i="97"/>
  <c r="H37" i="97"/>
  <c r="H38" i="97"/>
  <c r="H39" i="97"/>
  <c r="H40" i="97"/>
  <c r="H41" i="97"/>
  <c r="H42" i="97"/>
  <c r="H43" i="97"/>
  <c r="H44" i="97"/>
  <c r="H45" i="97"/>
  <c r="H46" i="97"/>
  <c r="H47" i="97"/>
  <c r="H48" i="97"/>
  <c r="H49" i="97"/>
  <c r="H50" i="97"/>
  <c r="H51" i="97"/>
  <c r="H52" i="97"/>
  <c r="H53" i="97"/>
  <c r="H54" i="97"/>
  <c r="H55" i="97"/>
  <c r="H56" i="97"/>
  <c r="H57" i="97"/>
  <c r="H58" i="97"/>
  <c r="H59" i="97"/>
  <c r="H60" i="97"/>
  <c r="H61" i="97"/>
  <c r="H62" i="97"/>
  <c r="H63" i="97"/>
  <c r="H64" i="97"/>
  <c r="H65" i="97"/>
  <c r="H66" i="97"/>
  <c r="H67" i="97"/>
  <c r="H68" i="97"/>
  <c r="H69" i="97"/>
  <c r="H70" i="97"/>
  <c r="H71" i="97"/>
  <c r="H72" i="97"/>
  <c r="H73" i="97"/>
  <c r="H74" i="97"/>
  <c r="H75" i="97"/>
  <c r="H76" i="97"/>
  <c r="H77" i="97"/>
  <c r="H78" i="97"/>
  <c r="H79" i="97"/>
  <c r="H80" i="97"/>
  <c r="H81" i="97"/>
  <c r="H82" i="97"/>
  <c r="H83" i="97"/>
  <c r="H84" i="97"/>
  <c r="H85" i="97"/>
  <c r="H86" i="97"/>
  <c r="H87" i="97"/>
  <c r="H88" i="97"/>
  <c r="H89" i="97"/>
  <c r="H90" i="97"/>
  <c r="H91" i="97"/>
  <c r="H92" i="97"/>
  <c r="H93" i="97"/>
  <c r="H94" i="97"/>
  <c r="H95" i="97"/>
  <c r="H96" i="97"/>
  <c r="H97" i="97"/>
  <c r="H98" i="97"/>
  <c r="H99" i="97"/>
  <c r="H100" i="97"/>
  <c r="H101" i="97"/>
  <c r="H102" i="97"/>
  <c r="H103" i="97"/>
  <c r="H104" i="97"/>
  <c r="H105" i="97"/>
  <c r="H106" i="97"/>
  <c r="H107" i="97"/>
  <c r="H108" i="97"/>
  <c r="H109" i="97"/>
  <c r="H110" i="97"/>
  <c r="H31" i="97"/>
  <c r="H34" i="97"/>
  <c r="O63" i="37"/>
  <c r="R63" i="37" s="1"/>
  <c r="G29" i="97"/>
  <c r="G28" i="97"/>
  <c r="G27" i="97"/>
  <c r="H29" i="97"/>
  <c r="H30" i="97"/>
  <c r="C22" i="97"/>
  <c r="H28" i="97"/>
  <c r="H27" i="97"/>
  <c r="H26" i="97"/>
  <c r="E19" i="97"/>
  <c r="C18" i="97" s="1"/>
  <c r="C5" i="19"/>
  <c r="B60" i="96"/>
  <c r="D56" i="96"/>
  <c r="D41" i="96"/>
  <c r="D42" i="96"/>
  <c r="D43" i="96"/>
  <c r="D44" i="96"/>
  <c r="D45" i="96"/>
  <c r="D46" i="96"/>
  <c r="D47" i="96"/>
  <c r="D48" i="96"/>
  <c r="D49" i="96"/>
  <c r="D50" i="96"/>
  <c r="D51" i="96"/>
  <c r="D36" i="96"/>
  <c r="D40" i="96"/>
  <c r="C69" i="96"/>
  <c r="C68" i="96"/>
  <c r="C67" i="96"/>
  <c r="C66" i="96"/>
  <c r="C65" i="96"/>
  <c r="C64" i="96"/>
  <c r="C63" i="96"/>
  <c r="B51" i="96"/>
  <c r="B50" i="96"/>
  <c r="B49" i="96"/>
  <c r="B48" i="96"/>
  <c r="B47" i="96"/>
  <c r="B46" i="96"/>
  <c r="B45" i="96"/>
  <c r="B44" i="96"/>
  <c r="B43" i="96"/>
  <c r="B42" i="96"/>
  <c r="B41" i="96"/>
  <c r="B40" i="96"/>
  <c r="B32" i="96"/>
  <c r="B25" i="96"/>
  <c r="B23" i="96"/>
  <c r="C10" i="96"/>
  <c r="B10" i="96"/>
  <c r="B56" i="96" s="1"/>
  <c r="C59" i="43"/>
  <c r="E88" i="43"/>
  <c r="G88" i="43"/>
  <c r="G87" i="43"/>
  <c r="E86" i="43"/>
  <c r="G86" i="43"/>
  <c r="E85" i="43"/>
  <c r="G85" i="43"/>
  <c r="E84" i="43"/>
  <c r="G84" i="43"/>
  <c r="E83" i="43"/>
  <c r="G83" i="43"/>
  <c r="E82" i="43"/>
  <c r="G82" i="43"/>
  <c r="E81" i="43"/>
  <c r="G81" i="43"/>
  <c r="E80" i="43"/>
  <c r="G80" i="43"/>
  <c r="E79" i="43"/>
  <c r="G79" i="43"/>
  <c r="E78" i="43"/>
  <c r="G78" i="43"/>
  <c r="E77" i="43"/>
  <c r="G77" i="43"/>
  <c r="E76" i="43"/>
  <c r="G76" i="43"/>
  <c r="E75" i="43"/>
  <c r="G75" i="43"/>
  <c r="E74" i="43"/>
  <c r="G74" i="43"/>
  <c r="E73" i="43"/>
  <c r="G73" i="43"/>
  <c r="E72" i="43"/>
  <c r="G72" i="43"/>
  <c r="E71" i="43"/>
  <c r="G71" i="43"/>
  <c r="E70" i="43"/>
  <c r="G70" i="43"/>
  <c r="E69" i="43"/>
  <c r="G69" i="43"/>
  <c r="E68" i="43"/>
  <c r="G68" i="43"/>
  <c r="E67" i="43"/>
  <c r="G67" i="43"/>
  <c r="E66" i="43"/>
  <c r="G66" i="43"/>
  <c r="G65" i="43"/>
  <c r="G64" i="43"/>
  <c r="E56" i="43"/>
  <c r="E52" i="43"/>
  <c r="E51" i="43"/>
  <c r="E50" i="43"/>
  <c r="E49" i="43"/>
  <c r="E48" i="43"/>
  <c r="E47" i="43"/>
  <c r="E46" i="43"/>
  <c r="E45" i="43"/>
  <c r="E44" i="43"/>
  <c r="E43" i="43"/>
  <c r="E42" i="43"/>
  <c r="E41" i="43"/>
  <c r="C33" i="43"/>
  <c r="D10" i="43"/>
  <c r="C10" i="43"/>
  <c r="G13" i="94"/>
  <c r="G14" i="94"/>
  <c r="G15" i="94"/>
  <c r="G18" i="94"/>
  <c r="G19" i="94"/>
  <c r="G20" i="94"/>
  <c r="G21" i="94"/>
  <c r="G22" i="94"/>
  <c r="G23" i="94"/>
  <c r="G24" i="94"/>
  <c r="G25" i="94"/>
  <c r="G26" i="94"/>
  <c r="G27" i="94"/>
  <c r="G28" i="94"/>
  <c r="G29" i="94"/>
  <c r="G30" i="94"/>
  <c r="G31" i="94"/>
  <c r="G32" i="94"/>
  <c r="G33" i="94"/>
  <c r="G34" i="94"/>
  <c r="G35" i="94"/>
  <c r="G36" i="94"/>
  <c r="G37" i="94"/>
  <c r="G38" i="94"/>
  <c r="G39" i="94"/>
  <c r="G40" i="94"/>
  <c r="G41" i="94"/>
  <c r="G12" i="94"/>
  <c r="F12" i="94"/>
  <c r="E41" i="94"/>
  <c r="F41" i="94" s="1"/>
  <c r="E40" i="94"/>
  <c r="F40" i="94" s="1"/>
  <c r="E39" i="94"/>
  <c r="F39" i="94" s="1"/>
  <c r="E38" i="94"/>
  <c r="F38" i="94" s="1"/>
  <c r="E37" i="94"/>
  <c r="F37" i="94" s="1"/>
  <c r="E36" i="94"/>
  <c r="F36" i="94" s="1"/>
  <c r="I36" i="94" s="1"/>
  <c r="E35" i="94"/>
  <c r="F35" i="94" s="1"/>
  <c r="E34" i="94"/>
  <c r="F34" i="94" s="1"/>
  <c r="E33" i="94"/>
  <c r="F33" i="94" s="1"/>
  <c r="E32" i="94"/>
  <c r="F32" i="94" s="1"/>
  <c r="I32" i="94" s="1"/>
  <c r="E31" i="94"/>
  <c r="F31" i="94" s="1"/>
  <c r="E30" i="94"/>
  <c r="F30" i="94" s="1"/>
  <c r="E29" i="94"/>
  <c r="F29" i="94" s="1"/>
  <c r="E28" i="94"/>
  <c r="F28" i="94" s="1"/>
  <c r="I28" i="94" s="1"/>
  <c r="E27" i="94"/>
  <c r="F27" i="94" s="1"/>
  <c r="E26" i="94"/>
  <c r="F26" i="94" s="1"/>
  <c r="E25" i="94"/>
  <c r="F25" i="94" s="1"/>
  <c r="E24" i="94"/>
  <c r="F24" i="94" s="1"/>
  <c r="I24" i="94" s="1"/>
  <c r="F23" i="94"/>
  <c r="F22" i="94"/>
  <c r="F21" i="94"/>
  <c r="F20" i="94"/>
  <c r="I20" i="94" s="1"/>
  <c r="F19" i="94"/>
  <c r="F18" i="94"/>
  <c r="F15" i="94"/>
  <c r="F14" i="94"/>
  <c r="I14" i="94" s="1"/>
  <c r="F13" i="94"/>
  <c r="H18" i="59"/>
  <c r="H19" i="59"/>
  <c r="H20" i="59"/>
  <c r="H21" i="59"/>
  <c r="H22" i="59"/>
  <c r="H23" i="59"/>
  <c r="H24" i="59"/>
  <c r="H25" i="59"/>
  <c r="H26" i="59"/>
  <c r="H29" i="59"/>
  <c r="H30" i="59"/>
  <c r="H31" i="59"/>
  <c r="H32" i="59"/>
  <c r="H33" i="59"/>
  <c r="H34" i="59"/>
  <c r="H35" i="59"/>
  <c r="H36" i="59"/>
  <c r="H37" i="59"/>
  <c r="H38" i="59"/>
  <c r="H39" i="59"/>
  <c r="H40" i="59"/>
  <c r="C10" i="85"/>
  <c r="G42" i="85" s="1"/>
  <c r="I42" i="85" s="1"/>
  <c r="I43" i="85" s="1"/>
  <c r="H12" i="85"/>
  <c r="F15" i="85"/>
  <c r="F16" i="85"/>
  <c r="F17" i="85"/>
  <c r="F18" i="85"/>
  <c r="F19" i="85"/>
  <c r="F20" i="85"/>
  <c r="F21" i="85"/>
  <c r="E24" i="85"/>
  <c r="F24" i="85" s="1"/>
  <c r="E25" i="85"/>
  <c r="F25" i="85" s="1"/>
  <c r="E26" i="85"/>
  <c r="F26" i="85" s="1"/>
  <c r="E27" i="85"/>
  <c r="F27" i="85" s="1"/>
  <c r="E28" i="85"/>
  <c r="F28" i="85" s="1"/>
  <c r="E29" i="85"/>
  <c r="F29" i="85" s="1"/>
  <c r="E30" i="85"/>
  <c r="F30" i="85" s="1"/>
  <c r="E31" i="85"/>
  <c r="F31" i="85" s="1"/>
  <c r="E32" i="85"/>
  <c r="F32" i="85" s="1"/>
  <c r="E33" i="85"/>
  <c r="F33" i="85" s="1"/>
  <c r="E34" i="85"/>
  <c r="F34" i="85" s="1"/>
  <c r="E35" i="85"/>
  <c r="F35" i="85" s="1"/>
  <c r="E36" i="85"/>
  <c r="F36" i="85" s="1"/>
  <c r="E37" i="85"/>
  <c r="F37" i="85" s="1"/>
  <c r="E38" i="85"/>
  <c r="F38" i="85" s="1"/>
  <c r="E39" i="85"/>
  <c r="F39" i="85" s="1"/>
  <c r="F13" i="85"/>
  <c r="F14" i="85"/>
  <c r="F13" i="59"/>
  <c r="F14" i="59"/>
  <c r="F15" i="59"/>
  <c r="F16" i="59"/>
  <c r="F18" i="59"/>
  <c r="F19" i="59"/>
  <c r="F20" i="59"/>
  <c r="F21" i="59"/>
  <c r="F22" i="59"/>
  <c r="F23" i="59"/>
  <c r="F24" i="59"/>
  <c r="F25" i="59"/>
  <c r="F26" i="59"/>
  <c r="E28" i="59"/>
  <c r="F28" i="59" s="1"/>
  <c r="E29" i="59"/>
  <c r="F29" i="59" s="1"/>
  <c r="E30" i="59"/>
  <c r="F30" i="59" s="1"/>
  <c r="E31" i="59"/>
  <c r="F31" i="59" s="1"/>
  <c r="E32" i="59"/>
  <c r="F32" i="59" s="1"/>
  <c r="E33" i="59"/>
  <c r="F33" i="59" s="1"/>
  <c r="E34" i="59"/>
  <c r="F34" i="59" s="1"/>
  <c r="E35" i="59"/>
  <c r="F35" i="59" s="1"/>
  <c r="E36" i="59"/>
  <c r="F36" i="59" s="1"/>
  <c r="E37" i="59"/>
  <c r="F37" i="59" s="1"/>
  <c r="E38" i="59"/>
  <c r="F38" i="59" s="1"/>
  <c r="E39" i="59"/>
  <c r="F39" i="59" s="1"/>
  <c r="E40" i="59"/>
  <c r="F40" i="59" s="1"/>
  <c r="H41" i="24"/>
  <c r="E41" i="24"/>
  <c r="F41" i="24" s="1"/>
  <c r="H40" i="24"/>
  <c r="E40" i="24"/>
  <c r="F40" i="24" s="1"/>
  <c r="H39" i="24"/>
  <c r="E39" i="24"/>
  <c r="F39" i="24" s="1"/>
  <c r="H38" i="24"/>
  <c r="E38" i="24"/>
  <c r="F38" i="24" s="1"/>
  <c r="H37" i="24"/>
  <c r="E37" i="24"/>
  <c r="F37" i="24" s="1"/>
  <c r="H36" i="24"/>
  <c r="E36" i="24"/>
  <c r="F36" i="24" s="1"/>
  <c r="H35" i="24"/>
  <c r="E35" i="24"/>
  <c r="F35" i="24" s="1"/>
  <c r="H34" i="24"/>
  <c r="E34" i="24"/>
  <c r="F34" i="24" s="1"/>
  <c r="H33" i="24"/>
  <c r="E33" i="24"/>
  <c r="F33" i="24" s="1"/>
  <c r="H32" i="24"/>
  <c r="E32" i="24"/>
  <c r="F32" i="24" s="1"/>
  <c r="H31" i="24"/>
  <c r="E31" i="24"/>
  <c r="F31" i="24" s="1"/>
  <c r="H30" i="24"/>
  <c r="E30" i="24"/>
  <c r="F30" i="24" s="1"/>
  <c r="H29" i="24"/>
  <c r="E29" i="24"/>
  <c r="F29" i="24" s="1"/>
  <c r="H28" i="24"/>
  <c r="E28" i="24"/>
  <c r="F28" i="24" s="1"/>
  <c r="H27" i="24"/>
  <c r="E27" i="24"/>
  <c r="F27" i="24" s="1"/>
  <c r="H26" i="24"/>
  <c r="E26" i="24"/>
  <c r="F26" i="24" s="1"/>
  <c r="H25" i="24"/>
  <c r="E25" i="24"/>
  <c r="F25" i="24" s="1"/>
  <c r="H24" i="24"/>
  <c r="E24" i="24"/>
  <c r="F24" i="24" s="1"/>
  <c r="H23" i="24"/>
  <c r="E23" i="24"/>
  <c r="F23" i="24" s="1"/>
  <c r="H22" i="24"/>
  <c r="E22" i="24"/>
  <c r="F22" i="24" s="1"/>
  <c r="H20" i="24"/>
  <c r="F20" i="24"/>
  <c r="H19" i="24"/>
  <c r="F19" i="24"/>
  <c r="H18" i="24"/>
  <c r="F18" i="24"/>
  <c r="H17" i="24"/>
  <c r="F17" i="24"/>
  <c r="H16" i="24"/>
  <c r="F16" i="24"/>
  <c r="H15" i="24"/>
  <c r="F15" i="24"/>
  <c r="H14" i="24"/>
  <c r="F14" i="24"/>
  <c r="H13" i="24"/>
  <c r="F13" i="24"/>
  <c r="C10" i="59"/>
  <c r="H17" i="92"/>
  <c r="H18" i="92"/>
  <c r="H19" i="92"/>
  <c r="H20" i="92"/>
  <c r="H21" i="92"/>
  <c r="H22" i="92"/>
  <c r="H23" i="92"/>
  <c r="H24" i="92"/>
  <c r="H25" i="92"/>
  <c r="H26" i="92"/>
  <c r="H29" i="92"/>
  <c r="H30" i="92"/>
  <c r="H31" i="92"/>
  <c r="H32" i="92"/>
  <c r="H33" i="92"/>
  <c r="H34" i="92"/>
  <c r="H35" i="92"/>
  <c r="H36" i="92"/>
  <c r="H37" i="92"/>
  <c r="H38" i="92"/>
  <c r="H39" i="92"/>
  <c r="H40" i="92"/>
  <c r="H41" i="92"/>
  <c r="H42" i="92"/>
  <c r="H43" i="92"/>
  <c r="G13" i="92"/>
  <c r="G14" i="92"/>
  <c r="G15" i="92"/>
  <c r="G17" i="92"/>
  <c r="G18" i="92"/>
  <c r="G19" i="92"/>
  <c r="G20" i="92"/>
  <c r="G21" i="92"/>
  <c r="G22" i="92"/>
  <c r="G23" i="92"/>
  <c r="G24" i="92"/>
  <c r="G25" i="92"/>
  <c r="G26" i="92"/>
  <c r="G27" i="92"/>
  <c r="G30" i="92"/>
  <c r="G31" i="92"/>
  <c r="G32" i="92"/>
  <c r="G33" i="92"/>
  <c r="G34" i="92"/>
  <c r="G35" i="92"/>
  <c r="G36" i="92"/>
  <c r="G37" i="92"/>
  <c r="G38" i="92"/>
  <c r="G39" i="92"/>
  <c r="G40" i="92"/>
  <c r="G41" i="92"/>
  <c r="G42" i="92"/>
  <c r="G43" i="92"/>
  <c r="G12" i="92"/>
  <c r="F13" i="92"/>
  <c r="I13" i="92" s="1"/>
  <c r="F14" i="92"/>
  <c r="F15" i="92"/>
  <c r="F17" i="92"/>
  <c r="F18" i="92"/>
  <c r="F19" i="92"/>
  <c r="F20" i="92"/>
  <c r="F21" i="92"/>
  <c r="E30" i="92"/>
  <c r="E31" i="92"/>
  <c r="E32" i="92"/>
  <c r="E33" i="92"/>
  <c r="E34" i="92"/>
  <c r="E35" i="92"/>
  <c r="E36" i="92"/>
  <c r="E37" i="92"/>
  <c r="E38" i="92"/>
  <c r="E39" i="92"/>
  <c r="E40" i="92"/>
  <c r="E41" i="92"/>
  <c r="E42" i="92"/>
  <c r="E43" i="92"/>
  <c r="G74" i="26"/>
  <c r="H74" i="26"/>
  <c r="G75" i="26"/>
  <c r="H75" i="26"/>
  <c r="E74" i="26"/>
  <c r="F74" i="26" s="1"/>
  <c r="E75" i="26"/>
  <c r="F75" i="26" s="1"/>
  <c r="G12" i="26"/>
  <c r="G13" i="26"/>
  <c r="I13" i="26" s="1"/>
  <c r="G14" i="26"/>
  <c r="I14" i="26" s="1"/>
  <c r="G15" i="26"/>
  <c r="I15" i="26" s="1"/>
  <c r="G16" i="26"/>
  <c r="I16" i="26" s="1"/>
  <c r="G17" i="26"/>
  <c r="I17" i="26" s="1"/>
  <c r="G18" i="26"/>
  <c r="I18" i="26" s="1"/>
  <c r="G19" i="26"/>
  <c r="I19" i="26" s="1"/>
  <c r="G20" i="26"/>
  <c r="I20" i="26" s="1"/>
  <c r="G21" i="26"/>
  <c r="I21" i="26" s="1"/>
  <c r="G22" i="26"/>
  <c r="I22" i="26" s="1"/>
  <c r="G23" i="26"/>
  <c r="I23" i="26" s="1"/>
  <c r="G24" i="26"/>
  <c r="I24" i="26" s="1"/>
  <c r="G25" i="26"/>
  <c r="I25" i="26" s="1"/>
  <c r="G26" i="26"/>
  <c r="I26" i="26" s="1"/>
  <c r="G27" i="26"/>
  <c r="I27" i="26" s="1"/>
  <c r="G28" i="26"/>
  <c r="I28" i="26" s="1"/>
  <c r="G29" i="26"/>
  <c r="I29" i="26" s="1"/>
  <c r="G30" i="26"/>
  <c r="I30" i="26" s="1"/>
  <c r="G31" i="26"/>
  <c r="I31" i="26" s="1"/>
  <c r="G32" i="26"/>
  <c r="I32" i="26" s="1"/>
  <c r="G33" i="26"/>
  <c r="I33" i="26" s="1"/>
  <c r="G34" i="26"/>
  <c r="I34" i="26" s="1"/>
  <c r="G35" i="26"/>
  <c r="I35" i="26" s="1"/>
  <c r="G36" i="26"/>
  <c r="I36" i="26" s="1"/>
  <c r="G37" i="26"/>
  <c r="I37" i="26" s="1"/>
  <c r="G38" i="26"/>
  <c r="I38" i="26" s="1"/>
  <c r="G39" i="26"/>
  <c r="I39" i="26" s="1"/>
  <c r="G40" i="26"/>
  <c r="I40" i="26" s="1"/>
  <c r="G44" i="26"/>
  <c r="G45" i="26"/>
  <c r="G46" i="26"/>
  <c r="G47" i="26"/>
  <c r="G48" i="26"/>
  <c r="G49" i="26"/>
  <c r="G51" i="26"/>
  <c r="G52" i="26"/>
  <c r="G53" i="26"/>
  <c r="G54" i="26"/>
  <c r="G55" i="26"/>
  <c r="G56" i="26"/>
  <c r="G57" i="26"/>
  <c r="G58" i="26"/>
  <c r="G59" i="26"/>
  <c r="G60" i="26"/>
  <c r="G61" i="26"/>
  <c r="G62" i="26"/>
  <c r="G63" i="26"/>
  <c r="G64" i="26"/>
  <c r="G65" i="26"/>
  <c r="G66" i="26"/>
  <c r="G67" i="26"/>
  <c r="G68" i="26"/>
  <c r="G69" i="26"/>
  <c r="G70" i="26"/>
  <c r="G71" i="26"/>
  <c r="G72" i="26"/>
  <c r="G73" i="26"/>
  <c r="G11" i="26"/>
  <c r="G26" i="91"/>
  <c r="G27" i="91"/>
  <c r="G28" i="91"/>
  <c r="G29" i="91"/>
  <c r="G30" i="91"/>
  <c r="G31" i="91"/>
  <c r="G32" i="91"/>
  <c r="G33" i="91"/>
  <c r="G34" i="91"/>
  <c r="G35" i="91"/>
  <c r="G36" i="91"/>
  <c r="G37" i="91"/>
  <c r="G38" i="91"/>
  <c r="G39" i="91"/>
  <c r="G40" i="91"/>
  <c r="G41" i="91"/>
  <c r="G42" i="91"/>
  <c r="G43" i="91"/>
  <c r="G44" i="91"/>
  <c r="G45" i="91"/>
  <c r="E14" i="91"/>
  <c r="E16" i="91"/>
  <c r="E17" i="91"/>
  <c r="E18" i="91"/>
  <c r="E19" i="91"/>
  <c r="E20" i="91"/>
  <c r="E21" i="91"/>
  <c r="E22" i="91"/>
  <c r="E23" i="91"/>
  <c r="E24" i="91"/>
  <c r="C11" i="91"/>
  <c r="D10" i="91"/>
  <c r="E10" i="91" s="1"/>
  <c r="H22" i="64"/>
  <c r="H23" i="64"/>
  <c r="H24" i="64"/>
  <c r="H25" i="64"/>
  <c r="H26" i="64"/>
  <c r="H27" i="64"/>
  <c r="H36" i="64"/>
  <c r="H37" i="64"/>
  <c r="H38" i="64"/>
  <c r="H39" i="64"/>
  <c r="H40" i="64"/>
  <c r="H41" i="64"/>
  <c r="H42" i="64"/>
  <c r="H43" i="64"/>
  <c r="H44" i="64"/>
  <c r="H45" i="64"/>
  <c r="H46" i="64"/>
  <c r="H47" i="64"/>
  <c r="H48" i="64"/>
  <c r="H49" i="64"/>
  <c r="H50" i="64"/>
  <c r="H51" i="64"/>
  <c r="H52" i="64"/>
  <c r="H53" i="64"/>
  <c r="H54" i="64"/>
  <c r="H21" i="64"/>
  <c r="E22" i="64"/>
  <c r="F22" i="64" s="1"/>
  <c r="E23" i="64"/>
  <c r="F23" i="64" s="1"/>
  <c r="E24" i="64"/>
  <c r="F24" i="64" s="1"/>
  <c r="E25" i="64"/>
  <c r="F25" i="64" s="1"/>
  <c r="E26" i="64"/>
  <c r="F26" i="64" s="1"/>
  <c r="E27" i="64"/>
  <c r="F27" i="64" s="1"/>
  <c r="E35" i="64"/>
  <c r="F35" i="64" s="1"/>
  <c r="E36" i="64"/>
  <c r="F36" i="64" s="1"/>
  <c r="E37" i="64"/>
  <c r="F37" i="64" s="1"/>
  <c r="E38" i="64"/>
  <c r="F38" i="64" s="1"/>
  <c r="E39" i="64"/>
  <c r="F39" i="64" s="1"/>
  <c r="E40" i="64"/>
  <c r="F40" i="64" s="1"/>
  <c r="E41" i="64"/>
  <c r="F41" i="64" s="1"/>
  <c r="E42" i="64"/>
  <c r="F42" i="64" s="1"/>
  <c r="E43" i="64"/>
  <c r="F43" i="64" s="1"/>
  <c r="E44" i="64"/>
  <c r="F44" i="64" s="1"/>
  <c r="E45" i="64"/>
  <c r="F45" i="64" s="1"/>
  <c r="E46" i="64"/>
  <c r="F46" i="64" s="1"/>
  <c r="E47" i="64"/>
  <c r="F47" i="64" s="1"/>
  <c r="E48" i="64"/>
  <c r="F48" i="64" s="1"/>
  <c r="E49" i="64"/>
  <c r="F49" i="64" s="1"/>
  <c r="E50" i="64"/>
  <c r="F50" i="64" s="1"/>
  <c r="E51" i="64"/>
  <c r="F51" i="64" s="1"/>
  <c r="E52" i="64"/>
  <c r="F52" i="64" s="1"/>
  <c r="E53" i="64"/>
  <c r="F53" i="64" s="1"/>
  <c r="E54" i="64"/>
  <c r="F54" i="64" s="1"/>
  <c r="E21" i="64"/>
  <c r="C2" i="55"/>
  <c r="G91" i="62"/>
  <c r="G92" i="62"/>
  <c r="G98" i="62"/>
  <c r="G99" i="62"/>
  <c r="G100" i="62"/>
  <c r="G101" i="62"/>
  <c r="G103" i="62"/>
  <c r="G104" i="62"/>
  <c r="G105" i="62"/>
  <c r="G106" i="62"/>
  <c r="G107" i="62"/>
  <c r="G108" i="62"/>
  <c r="G109" i="62"/>
  <c r="G110" i="62"/>
  <c r="G111" i="62"/>
  <c r="G112" i="62"/>
  <c r="G113" i="62"/>
  <c r="G114" i="62"/>
  <c r="G115" i="62"/>
  <c r="G116" i="62"/>
  <c r="G117" i="62"/>
  <c r="G118" i="62"/>
  <c r="G119" i="62"/>
  <c r="G120" i="62"/>
  <c r="G121" i="62"/>
  <c r="G122" i="62"/>
  <c r="G123" i="62"/>
  <c r="G124" i="62"/>
  <c r="G125" i="62"/>
  <c r="G126" i="62"/>
  <c r="G127" i="62"/>
  <c r="G128" i="62"/>
  <c r="G129" i="62"/>
  <c r="G130" i="62"/>
  <c r="G131" i="62"/>
  <c r="G132" i="62"/>
  <c r="G133" i="62"/>
  <c r="G134" i="62"/>
  <c r="G135" i="62"/>
  <c r="G136" i="62"/>
  <c r="G137" i="62"/>
  <c r="G90" i="62"/>
  <c r="E91" i="62"/>
  <c r="E92" i="62"/>
  <c r="E93" i="62"/>
  <c r="E95" i="62"/>
  <c r="E96" i="62"/>
  <c r="E98" i="62"/>
  <c r="E99" i="62"/>
  <c r="E100" i="62"/>
  <c r="E101" i="62"/>
  <c r="E103" i="62"/>
  <c r="E104" i="62"/>
  <c r="E105" i="62"/>
  <c r="E106" i="62"/>
  <c r="E107" i="62"/>
  <c r="E108" i="62"/>
  <c r="E109" i="62"/>
  <c r="E110" i="62"/>
  <c r="E111" i="62"/>
  <c r="E112" i="62"/>
  <c r="E113" i="62"/>
  <c r="E114" i="62"/>
  <c r="E115" i="62"/>
  <c r="E116" i="62"/>
  <c r="E117" i="62"/>
  <c r="E118" i="62"/>
  <c r="E119" i="62"/>
  <c r="E120" i="62"/>
  <c r="E121" i="62"/>
  <c r="E122" i="62"/>
  <c r="E123" i="62"/>
  <c r="E124" i="62"/>
  <c r="E125" i="62"/>
  <c r="E126" i="62"/>
  <c r="E127" i="62"/>
  <c r="E128" i="62"/>
  <c r="E129" i="62"/>
  <c r="E130" i="62"/>
  <c r="E131" i="62"/>
  <c r="E132" i="62"/>
  <c r="E133" i="62"/>
  <c r="E134" i="62"/>
  <c r="E135" i="62"/>
  <c r="E136" i="62"/>
  <c r="E137" i="62"/>
  <c r="E90" i="62"/>
  <c r="K59" i="62"/>
  <c r="J59" i="62"/>
  <c r="I59" i="62"/>
  <c r="H59" i="62"/>
  <c r="K58" i="62"/>
  <c r="J58" i="62"/>
  <c r="I58" i="62"/>
  <c r="H58" i="62"/>
  <c r="K57" i="62"/>
  <c r="J57" i="62"/>
  <c r="I57" i="62"/>
  <c r="H57" i="62"/>
  <c r="K56" i="62"/>
  <c r="J56" i="62"/>
  <c r="I56" i="62"/>
  <c r="H56" i="62"/>
  <c r="K55" i="62"/>
  <c r="J55" i="62"/>
  <c r="I55" i="62"/>
  <c r="M55" i="62" s="1"/>
  <c r="H55" i="62"/>
  <c r="K54" i="62"/>
  <c r="J54" i="62"/>
  <c r="I54" i="62"/>
  <c r="M54" i="62" s="1"/>
  <c r="H54" i="62"/>
  <c r="K53" i="62"/>
  <c r="J53" i="62"/>
  <c r="I53" i="62"/>
  <c r="M53" i="62" s="1"/>
  <c r="H53" i="62"/>
  <c r="K52" i="62"/>
  <c r="J52" i="62"/>
  <c r="I52" i="62"/>
  <c r="M52" i="62" s="1"/>
  <c r="H52" i="62"/>
  <c r="K51" i="62"/>
  <c r="J51" i="62"/>
  <c r="I51" i="62"/>
  <c r="M51" i="62" s="1"/>
  <c r="H51" i="62"/>
  <c r="K50" i="62"/>
  <c r="J50" i="62"/>
  <c r="I50" i="62"/>
  <c r="M50" i="62" s="1"/>
  <c r="H50" i="62"/>
  <c r="K49" i="62"/>
  <c r="J49" i="62"/>
  <c r="I49" i="62"/>
  <c r="M49" i="62" s="1"/>
  <c r="H49" i="62"/>
  <c r="K48" i="62"/>
  <c r="J48" i="62"/>
  <c r="I48" i="62"/>
  <c r="M48" i="62" s="1"/>
  <c r="H48" i="62"/>
  <c r="E60" i="62"/>
  <c r="E61" i="62"/>
  <c r="E62" i="62"/>
  <c r="E63" i="62"/>
  <c r="E64" i="62"/>
  <c r="E65" i="62"/>
  <c r="E49" i="62"/>
  <c r="E50" i="62"/>
  <c r="E51" i="62"/>
  <c r="E52" i="62"/>
  <c r="E53" i="62"/>
  <c r="E54" i="62"/>
  <c r="E55" i="62"/>
  <c r="E56" i="62"/>
  <c r="E57" i="62"/>
  <c r="E58" i="62"/>
  <c r="E59" i="62"/>
  <c r="E48" i="62"/>
  <c r="J31" i="62"/>
  <c r="K31" i="62"/>
  <c r="J32" i="62"/>
  <c r="K32" i="62"/>
  <c r="J33" i="62"/>
  <c r="K33" i="62"/>
  <c r="J34" i="62"/>
  <c r="K34" i="62"/>
  <c r="J35" i="62"/>
  <c r="K35" i="62"/>
  <c r="J36" i="62"/>
  <c r="L36" i="62" s="1"/>
  <c r="K36" i="62"/>
  <c r="I31" i="62"/>
  <c r="M31" i="62" s="1"/>
  <c r="I32" i="62"/>
  <c r="M32" i="62" s="1"/>
  <c r="I33" i="62"/>
  <c r="M33" i="62" s="1"/>
  <c r="I34" i="62"/>
  <c r="M34" i="62" s="1"/>
  <c r="I35" i="62"/>
  <c r="M35" i="62" s="1"/>
  <c r="I36" i="62"/>
  <c r="M36" i="62" s="1"/>
  <c r="H31" i="62"/>
  <c r="H32" i="62"/>
  <c r="H33" i="62"/>
  <c r="L33" i="62" s="1"/>
  <c r="H34" i="62"/>
  <c r="H35" i="62"/>
  <c r="H25" i="62"/>
  <c r="L25" i="62" s="1"/>
  <c r="K30" i="62"/>
  <c r="J30" i="62"/>
  <c r="I30" i="62"/>
  <c r="H30" i="62"/>
  <c r="L30" i="62" s="1"/>
  <c r="K29" i="62"/>
  <c r="J29" i="62"/>
  <c r="I29" i="62"/>
  <c r="H29" i="62"/>
  <c r="L29" i="62" s="1"/>
  <c r="K28" i="62"/>
  <c r="J28" i="62"/>
  <c r="I28" i="62"/>
  <c r="H28" i="62"/>
  <c r="L28" i="62" s="1"/>
  <c r="K27" i="62"/>
  <c r="J27" i="62"/>
  <c r="I27" i="62"/>
  <c r="H27" i="62"/>
  <c r="L27" i="62" s="1"/>
  <c r="K26" i="62"/>
  <c r="J26" i="62"/>
  <c r="I26" i="62"/>
  <c r="H26" i="62"/>
  <c r="L26" i="62" s="1"/>
  <c r="K25" i="62"/>
  <c r="J25" i="62"/>
  <c r="I25" i="62"/>
  <c r="E25" i="62"/>
  <c r="F25" i="62" s="1"/>
  <c r="E26" i="62"/>
  <c r="E27" i="62"/>
  <c r="E28" i="62"/>
  <c r="E29" i="62"/>
  <c r="E30" i="62"/>
  <c r="E31" i="62"/>
  <c r="E32" i="62"/>
  <c r="E33" i="62"/>
  <c r="E34" i="62"/>
  <c r="E35" i="62"/>
  <c r="E36" i="62"/>
  <c r="K15" i="62"/>
  <c r="K16" i="62"/>
  <c r="K17" i="62"/>
  <c r="K18" i="62"/>
  <c r="K14" i="62"/>
  <c r="J15" i="62"/>
  <c r="L15" i="62" s="1"/>
  <c r="J16" i="62"/>
  <c r="J17" i="62"/>
  <c r="J18" i="62"/>
  <c r="J14" i="62"/>
  <c r="L14" i="62" s="1"/>
  <c r="I15" i="62"/>
  <c r="I16" i="62"/>
  <c r="I17" i="62"/>
  <c r="M17" i="62" s="1"/>
  <c r="I18" i="62"/>
  <c r="M18" i="62" s="1"/>
  <c r="I14" i="62"/>
  <c r="H16" i="62"/>
  <c r="L16" i="62" s="1"/>
  <c r="H17" i="62"/>
  <c r="L17" i="62" s="1"/>
  <c r="H18" i="62"/>
  <c r="L18" i="62" s="1"/>
  <c r="E15" i="62"/>
  <c r="E16" i="62"/>
  <c r="E17" i="62"/>
  <c r="E18" i="62"/>
  <c r="E19" i="62"/>
  <c r="E14" i="62"/>
  <c r="F14" i="62" s="1"/>
  <c r="D27" i="22"/>
  <c r="D26" i="22"/>
  <c r="E14" i="47"/>
  <c r="F14" i="47" s="1"/>
  <c r="E15" i="47"/>
  <c r="F15" i="47" s="1"/>
  <c r="E16" i="47"/>
  <c r="F16" i="47" s="1"/>
  <c r="E17" i="47"/>
  <c r="F17" i="47" s="1"/>
  <c r="E18" i="47"/>
  <c r="F18" i="47" s="1"/>
  <c r="E19" i="47"/>
  <c r="F19" i="47" s="1"/>
  <c r="E13" i="47"/>
  <c r="E20" i="46"/>
  <c r="F20" i="46" s="1"/>
  <c r="E21" i="46"/>
  <c r="F21" i="46" s="1"/>
  <c r="E22" i="46"/>
  <c r="F22" i="46" s="1"/>
  <c r="E23" i="46"/>
  <c r="F23" i="46" s="1"/>
  <c r="E24" i="46"/>
  <c r="F24" i="46" s="1"/>
  <c r="E25" i="46"/>
  <c r="F25" i="46" s="1"/>
  <c r="E19" i="46"/>
  <c r="F19" i="46" s="1"/>
  <c r="C13" i="61"/>
  <c r="H22" i="22"/>
  <c r="D96" i="58"/>
  <c r="D97" i="58"/>
  <c r="D98" i="58"/>
  <c r="D99" i="58"/>
  <c r="D100" i="58"/>
  <c r="D101" i="58"/>
  <c r="D102" i="58"/>
  <c r="D103" i="58"/>
  <c r="D104" i="58"/>
  <c r="D105" i="58"/>
  <c r="D106" i="58"/>
  <c r="D107" i="58"/>
  <c r="D108" i="58"/>
  <c r="D109" i="58"/>
  <c r="D110" i="58"/>
  <c r="D111" i="58"/>
  <c r="D112" i="58"/>
  <c r="D113" i="58"/>
  <c r="D114" i="58"/>
  <c r="D115" i="58"/>
  <c r="D116" i="58"/>
  <c r="D117" i="58"/>
  <c r="D118" i="58"/>
  <c r="D95" i="58"/>
  <c r="I85" i="58"/>
  <c r="I86" i="58"/>
  <c r="I87" i="58"/>
  <c r="I88" i="58"/>
  <c r="I89" i="58"/>
  <c r="I90" i="58"/>
  <c r="I91" i="58"/>
  <c r="I92" i="58"/>
  <c r="D69" i="58"/>
  <c r="D70" i="58"/>
  <c r="D68" i="58"/>
  <c r="D86" i="89"/>
  <c r="D87" i="89"/>
  <c r="D85" i="89"/>
  <c r="H46" i="89"/>
  <c r="H57" i="89"/>
  <c r="H58" i="89"/>
  <c r="H59" i="89"/>
  <c r="H60" i="89"/>
  <c r="H47" i="89"/>
  <c r="H48" i="89"/>
  <c r="H51" i="89"/>
  <c r="H52" i="89"/>
  <c r="H53" i="89"/>
  <c r="H54" i="89"/>
  <c r="H55" i="89"/>
  <c r="H56" i="89"/>
  <c r="H49" i="89"/>
  <c r="H50" i="89"/>
  <c r="G28" i="89"/>
  <c r="H28" i="89" s="1"/>
  <c r="G29" i="89"/>
  <c r="H29" i="89" s="1"/>
  <c r="G30" i="89"/>
  <c r="H30" i="89" s="1"/>
  <c r="G31" i="89"/>
  <c r="H31" i="89" s="1"/>
  <c r="G32" i="89"/>
  <c r="H32" i="89" s="1"/>
  <c r="G33" i="89"/>
  <c r="H33" i="89" s="1"/>
  <c r="G34" i="89"/>
  <c r="H34" i="89" s="1"/>
  <c r="G35" i="89"/>
  <c r="H35" i="89" s="1"/>
  <c r="G36" i="89"/>
  <c r="H36" i="89" s="1"/>
  <c r="G37" i="89"/>
  <c r="H37" i="89" s="1"/>
  <c r="G38" i="89"/>
  <c r="H38" i="89" s="1"/>
  <c r="G39" i="89"/>
  <c r="H39" i="89" s="1"/>
  <c r="G18" i="89"/>
  <c r="H18" i="89" s="1"/>
  <c r="G19" i="89"/>
  <c r="H19" i="89" s="1"/>
  <c r="G20" i="89"/>
  <c r="H20" i="89" s="1"/>
  <c r="G21" i="89"/>
  <c r="H21" i="89" s="1"/>
  <c r="G22" i="89"/>
  <c r="H22" i="89" s="1"/>
  <c r="G23" i="89"/>
  <c r="H23" i="89" s="1"/>
  <c r="G24" i="89"/>
  <c r="H24" i="89" s="1"/>
  <c r="G25" i="89"/>
  <c r="H25" i="89" s="1"/>
  <c r="G26" i="89"/>
  <c r="H26" i="89" s="1"/>
  <c r="G27" i="89"/>
  <c r="H27" i="89" s="1"/>
  <c r="H17" i="89"/>
  <c r="H16" i="89"/>
  <c r="G47" i="58"/>
  <c r="H47" i="58" s="1"/>
  <c r="G48" i="58"/>
  <c r="G49" i="58"/>
  <c r="G50" i="58"/>
  <c r="G51" i="58"/>
  <c r="G52" i="58"/>
  <c r="G53" i="58"/>
  <c r="G54" i="58"/>
  <c r="G55" i="58"/>
  <c r="G56" i="58"/>
  <c r="G57" i="58"/>
  <c r="G58" i="58"/>
  <c r="E33" i="58"/>
  <c r="E34" i="58"/>
  <c r="F34" i="58" s="1"/>
  <c r="E35" i="58"/>
  <c r="F35" i="58" s="1"/>
  <c r="E36" i="58"/>
  <c r="F36" i="58" s="1"/>
  <c r="C21" i="58"/>
  <c r="C22" i="58" s="1"/>
  <c r="F13" i="44"/>
  <c r="F14" i="44"/>
  <c r="F15" i="44"/>
  <c r="F16" i="44"/>
  <c r="F17" i="44"/>
  <c r="F18" i="44"/>
  <c r="F19" i="44"/>
  <c r="F20" i="44"/>
  <c r="F21" i="44"/>
  <c r="F22" i="44"/>
  <c r="F23" i="44"/>
  <c r="F24" i="44"/>
  <c r="F25" i="44"/>
  <c r="F26" i="44"/>
  <c r="F27" i="44"/>
  <c r="F28" i="44"/>
  <c r="F29" i="44"/>
  <c r="F30" i="44"/>
  <c r="F31" i="44"/>
  <c r="F32" i="44"/>
  <c r="F33" i="44"/>
  <c r="F34" i="44"/>
  <c r="F35" i="44"/>
  <c r="F36" i="44"/>
  <c r="F37" i="44"/>
  <c r="F38" i="44"/>
  <c r="F39" i="44"/>
  <c r="F40" i="44"/>
  <c r="F41" i="44"/>
  <c r="F42" i="44"/>
  <c r="F43" i="44"/>
  <c r="F44" i="44"/>
  <c r="F45" i="44"/>
  <c r="F46" i="44"/>
  <c r="F47" i="44"/>
  <c r="F48" i="44"/>
  <c r="F49" i="44"/>
  <c r="F50" i="44"/>
  <c r="F51" i="44"/>
  <c r="F52" i="44"/>
  <c r="F53" i="44"/>
  <c r="F54" i="44"/>
  <c r="F55" i="44"/>
  <c r="F56" i="44"/>
  <c r="F57" i="44"/>
  <c r="F58" i="44"/>
  <c r="F59" i="44"/>
  <c r="F60" i="44"/>
  <c r="F61" i="44"/>
  <c r="F62" i="44"/>
  <c r="F63" i="44"/>
  <c r="F64" i="44"/>
  <c r="F65" i="44"/>
  <c r="F66" i="44"/>
  <c r="F67" i="44"/>
  <c r="F68" i="44"/>
  <c r="F69" i="44"/>
  <c r="F70" i="44"/>
  <c r="F71" i="44"/>
  <c r="F72" i="44"/>
  <c r="F73" i="44"/>
  <c r="F74" i="44"/>
  <c r="F75" i="44"/>
  <c r="F76" i="44"/>
  <c r="F77" i="44"/>
  <c r="F78" i="44"/>
  <c r="F79" i="44"/>
  <c r="F80" i="44"/>
  <c r="F81" i="44"/>
  <c r="F82" i="44"/>
  <c r="F83" i="44"/>
  <c r="F84" i="44"/>
  <c r="F85" i="44"/>
  <c r="F86" i="44"/>
  <c r="F87" i="44"/>
  <c r="F88" i="44"/>
  <c r="D10" i="22"/>
  <c r="G30" i="22" s="1"/>
  <c r="H43" i="47"/>
  <c r="H44" i="47"/>
  <c r="H45" i="47"/>
  <c r="H46" i="47"/>
  <c r="H47" i="47"/>
  <c r="H48" i="47"/>
  <c r="H49" i="47"/>
  <c r="H50" i="47"/>
  <c r="H51" i="47"/>
  <c r="H52" i="47"/>
  <c r="H53" i="47"/>
  <c r="H54" i="47"/>
  <c r="H55" i="47"/>
  <c r="H56" i="47"/>
  <c r="H57" i="47"/>
  <c r="H58" i="47"/>
  <c r="H59" i="47"/>
  <c r="H60" i="47"/>
  <c r="H61" i="47"/>
  <c r="H62" i="47"/>
  <c r="H63" i="47"/>
  <c r="H64" i="47"/>
  <c r="E33" i="47"/>
  <c r="F33" i="47" s="1"/>
  <c r="I33" i="47" s="1"/>
  <c r="E34" i="47"/>
  <c r="F34" i="47" s="1"/>
  <c r="I34" i="47" s="1"/>
  <c r="E35" i="47"/>
  <c r="F35" i="47" s="1"/>
  <c r="I35" i="47" s="1"/>
  <c r="E36" i="47"/>
  <c r="F36" i="47" s="1"/>
  <c r="I36" i="47" s="1"/>
  <c r="E37" i="47"/>
  <c r="F37" i="47" s="1"/>
  <c r="I37" i="47" s="1"/>
  <c r="E38" i="47"/>
  <c r="F38" i="47" s="1"/>
  <c r="I38" i="47" s="1"/>
  <c r="E39" i="47"/>
  <c r="F39" i="47" s="1"/>
  <c r="I39" i="47" s="1"/>
  <c r="E41" i="47"/>
  <c r="F41" i="47" s="1"/>
  <c r="E42" i="47"/>
  <c r="F42" i="47" s="1"/>
  <c r="E43" i="47"/>
  <c r="F43" i="47" s="1"/>
  <c r="E44" i="47"/>
  <c r="F44" i="47" s="1"/>
  <c r="E45" i="47"/>
  <c r="F45" i="47" s="1"/>
  <c r="E46" i="47"/>
  <c r="F46" i="47" s="1"/>
  <c r="E47" i="47"/>
  <c r="F47" i="47" s="1"/>
  <c r="E48" i="47"/>
  <c r="F48" i="47" s="1"/>
  <c r="E49" i="47"/>
  <c r="F49" i="47" s="1"/>
  <c r="E50" i="47"/>
  <c r="F50" i="47" s="1"/>
  <c r="E51" i="47"/>
  <c r="F51" i="47" s="1"/>
  <c r="E52" i="47"/>
  <c r="F52" i="47" s="1"/>
  <c r="E53" i="47"/>
  <c r="F53" i="47" s="1"/>
  <c r="E54" i="47"/>
  <c r="F54" i="47" s="1"/>
  <c r="E55" i="47"/>
  <c r="F55" i="47" s="1"/>
  <c r="E56" i="47"/>
  <c r="F56" i="47" s="1"/>
  <c r="E57" i="47"/>
  <c r="F57" i="47" s="1"/>
  <c r="E58" i="47"/>
  <c r="F58" i="47" s="1"/>
  <c r="E59" i="47"/>
  <c r="F59" i="47" s="1"/>
  <c r="E60" i="47"/>
  <c r="F60" i="47" s="1"/>
  <c r="E61" i="47"/>
  <c r="F61" i="47" s="1"/>
  <c r="E62" i="47"/>
  <c r="F62" i="47" s="1"/>
  <c r="E63" i="47"/>
  <c r="F63" i="47" s="1"/>
  <c r="E64" i="47"/>
  <c r="F64" i="47" s="1"/>
  <c r="E32" i="47"/>
  <c r="F32" i="47" s="1"/>
  <c r="I32" i="47" s="1"/>
  <c r="A21" i="29"/>
  <c r="A22" i="29" s="1"/>
  <c r="A23" i="29" s="1"/>
  <c r="A24" i="29" s="1"/>
  <c r="A25" i="29" s="1"/>
  <c r="A26" i="29" s="1"/>
  <c r="A27" i="29" s="1"/>
  <c r="A28" i="29" s="1"/>
  <c r="A29" i="29" s="1"/>
  <c r="A30" i="29" s="1"/>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A69" i="29" s="1"/>
  <c r="A70" i="29" s="1"/>
  <c r="A71" i="29" s="1"/>
  <c r="A72" i="29" s="1"/>
  <c r="A73" i="29" s="1"/>
  <c r="A74" i="29" s="1"/>
  <c r="A75" i="29" s="1"/>
  <c r="A76" i="29" s="1"/>
  <c r="A77" i="29" s="1"/>
  <c r="A78" i="29" s="1"/>
  <c r="A79" i="29" s="1"/>
  <c r="A80" i="29" s="1"/>
  <c r="A81" i="29" s="1"/>
  <c r="A82" i="29" s="1"/>
  <c r="A83" i="29" s="1"/>
  <c r="O6" i="37"/>
  <c r="G87" i="44"/>
  <c r="G88" i="44"/>
  <c r="E51" i="96" l="1"/>
  <c r="H34" i="68"/>
  <c r="H35" i="68"/>
  <c r="I63" i="104"/>
  <c r="D68" i="104" s="1"/>
  <c r="I11" i="54"/>
  <c r="E45" i="96"/>
  <c r="H36" i="65"/>
  <c r="C40" i="65" s="1"/>
  <c r="C41" i="65" s="1"/>
  <c r="H33" i="68"/>
  <c r="L32" i="62"/>
  <c r="M16" i="62"/>
  <c r="M25" i="62"/>
  <c r="M26" i="62"/>
  <c r="M27" i="62"/>
  <c r="M28" i="62"/>
  <c r="M29" i="62"/>
  <c r="M30" i="62"/>
  <c r="L35" i="62"/>
  <c r="L31" i="62"/>
  <c r="M14" i="62"/>
  <c r="M21" i="62" s="1"/>
  <c r="M15" i="62"/>
  <c r="L34" i="62"/>
  <c r="L48" i="62"/>
  <c r="H61" i="89"/>
  <c r="H40" i="89"/>
  <c r="P25" i="37"/>
  <c r="L49" i="62"/>
  <c r="L52" i="62"/>
  <c r="I17" i="102"/>
  <c r="I19" i="102"/>
  <c r="I18" i="102"/>
  <c r="C52" i="91"/>
  <c r="F25" i="91"/>
  <c r="H25" i="91" s="1"/>
  <c r="F26" i="91"/>
  <c r="H26" i="91" s="1"/>
  <c r="E50" i="96"/>
  <c r="E48" i="96"/>
  <c r="C22" i="43"/>
  <c r="C17" i="43"/>
  <c r="C15" i="43"/>
  <c r="H87" i="44"/>
  <c r="H88" i="44"/>
  <c r="P73" i="21"/>
  <c r="I18" i="59"/>
  <c r="G17" i="59"/>
  <c r="I17" i="59" s="1"/>
  <c r="G43" i="59"/>
  <c r="I43" i="59" s="1"/>
  <c r="I44" i="59" s="1"/>
  <c r="I45" i="59" s="1"/>
  <c r="I25" i="59"/>
  <c r="I21" i="59"/>
  <c r="I40" i="94"/>
  <c r="I15" i="94"/>
  <c r="I34" i="94"/>
  <c r="I38" i="94"/>
  <c r="I12" i="94"/>
  <c r="E43" i="96"/>
  <c r="I13" i="94"/>
  <c r="I27" i="94"/>
  <c r="I31" i="94"/>
  <c r="I21" i="94"/>
  <c r="I25" i="94"/>
  <c r="I29" i="94"/>
  <c r="F21" i="64"/>
  <c r="I21" i="64" s="1"/>
  <c r="G13" i="85"/>
  <c r="I13" i="85" s="1"/>
  <c r="G14" i="85"/>
  <c r="I14" i="85" s="1"/>
  <c r="G15" i="85"/>
  <c r="I15" i="85" s="1"/>
  <c r="G16" i="85"/>
  <c r="I16" i="85" s="1"/>
  <c r="G17" i="85"/>
  <c r="I17" i="85" s="1"/>
  <c r="G18" i="85"/>
  <c r="I18" i="85" s="1"/>
  <c r="G19" i="85"/>
  <c r="I19" i="85" s="1"/>
  <c r="G20" i="85"/>
  <c r="I20" i="85" s="1"/>
  <c r="G21" i="85"/>
  <c r="I21" i="85" s="1"/>
  <c r="G22" i="85"/>
  <c r="I22" i="85" s="1"/>
  <c r="G24" i="85"/>
  <c r="I24" i="85" s="1"/>
  <c r="G25" i="85"/>
  <c r="I25" i="85" s="1"/>
  <c r="G26" i="85"/>
  <c r="I26" i="85" s="1"/>
  <c r="G27" i="85"/>
  <c r="I27" i="85" s="1"/>
  <c r="G28" i="85"/>
  <c r="I28" i="85" s="1"/>
  <c r="G29" i="85"/>
  <c r="I29" i="85" s="1"/>
  <c r="G30" i="85"/>
  <c r="I30" i="85" s="1"/>
  <c r="G31" i="85"/>
  <c r="I31" i="85" s="1"/>
  <c r="G32" i="85"/>
  <c r="I32" i="85" s="1"/>
  <c r="G33" i="85"/>
  <c r="I33" i="85" s="1"/>
  <c r="G34" i="85"/>
  <c r="I34" i="85" s="1"/>
  <c r="G35" i="85"/>
  <c r="I35" i="85" s="1"/>
  <c r="G36" i="85"/>
  <c r="I36" i="85" s="1"/>
  <c r="G37" i="85"/>
  <c r="I37" i="85" s="1"/>
  <c r="G38" i="85"/>
  <c r="I38" i="85" s="1"/>
  <c r="G39" i="85"/>
  <c r="I39" i="85" s="1"/>
  <c r="G40" i="85"/>
  <c r="I40" i="85" s="1"/>
  <c r="G41" i="85"/>
  <c r="I41" i="85" s="1"/>
  <c r="G12" i="85"/>
  <c r="I12" i="85" s="1"/>
  <c r="E25" i="43"/>
  <c r="E24" i="43"/>
  <c r="E23" i="43"/>
  <c r="C13" i="43"/>
  <c r="C56" i="43"/>
  <c r="F56" i="43" s="1"/>
  <c r="C37" i="43"/>
  <c r="F37" i="43" s="1"/>
  <c r="E12" i="43"/>
  <c r="E14" i="43"/>
  <c r="C50" i="43"/>
  <c r="F50" i="43" s="1"/>
  <c r="I39" i="94"/>
  <c r="I18" i="94"/>
  <c r="I22" i="94"/>
  <c r="I19" i="94"/>
  <c r="I23" i="94"/>
  <c r="I26" i="94"/>
  <c r="I30" i="94"/>
  <c r="I33" i="94"/>
  <c r="I37" i="94"/>
  <c r="I41" i="94"/>
  <c r="I35" i="94"/>
  <c r="O30" i="37"/>
  <c r="G31" i="59"/>
  <c r="I31" i="59" s="1"/>
  <c r="I16" i="59"/>
  <c r="G33" i="59"/>
  <c r="I33" i="59" s="1"/>
  <c r="G24" i="59"/>
  <c r="I24" i="59" s="1"/>
  <c r="G42" i="59"/>
  <c r="I42" i="59" s="1"/>
  <c r="I12" i="92"/>
  <c r="L55" i="62"/>
  <c r="L58" i="62"/>
  <c r="F33" i="58"/>
  <c r="F41" i="58" s="1"/>
  <c r="O29" i="37"/>
  <c r="R29" i="37" s="1"/>
  <c r="H28" i="68"/>
  <c r="H32" i="68"/>
  <c r="I21" i="102"/>
  <c r="I15" i="102"/>
  <c r="I25" i="102"/>
  <c r="I24" i="102"/>
  <c r="E41" i="96"/>
  <c r="E36" i="96"/>
  <c r="E37" i="96" s="1"/>
  <c r="G29" i="59"/>
  <c r="I29" i="59" s="1"/>
  <c r="G26" i="59"/>
  <c r="I26" i="59" s="1"/>
  <c r="G21" i="59"/>
  <c r="G41" i="59"/>
  <c r="I41" i="59" s="1"/>
  <c r="G22" i="59"/>
  <c r="I22" i="59" s="1"/>
  <c r="G20" i="59"/>
  <c r="I20" i="59" s="1"/>
  <c r="G18" i="59"/>
  <c r="G39" i="59"/>
  <c r="I39" i="59" s="1"/>
  <c r="G37" i="59"/>
  <c r="I37" i="59" s="1"/>
  <c r="G35" i="59"/>
  <c r="I35" i="59" s="1"/>
  <c r="I31" i="92"/>
  <c r="I18" i="92"/>
  <c r="I39" i="92"/>
  <c r="I26" i="92"/>
  <c r="I42" i="92"/>
  <c r="I41" i="92"/>
  <c r="I29" i="92"/>
  <c r="I15" i="92"/>
  <c r="I40" i="92"/>
  <c r="I27" i="92"/>
  <c r="I14" i="92"/>
  <c r="I38" i="92"/>
  <c r="I25" i="92"/>
  <c r="I37" i="92"/>
  <c r="I24" i="92"/>
  <c r="I36" i="92"/>
  <c r="I23" i="92"/>
  <c r="I35" i="92"/>
  <c r="I22" i="92"/>
  <c r="I34" i="92"/>
  <c r="I21" i="92"/>
  <c r="I33" i="92"/>
  <c r="I20" i="92"/>
  <c r="I32" i="92"/>
  <c r="I19" i="92"/>
  <c r="I30" i="92"/>
  <c r="I17" i="92"/>
  <c r="I43" i="92"/>
  <c r="L51" i="62"/>
  <c r="L54" i="62"/>
  <c r="L57" i="62"/>
  <c r="J61" i="62"/>
  <c r="L50" i="62"/>
  <c r="L53" i="62"/>
  <c r="L56" i="62"/>
  <c r="L59" i="62"/>
  <c r="P8" i="37"/>
  <c r="C101" i="46"/>
  <c r="G19" i="46"/>
  <c r="H31" i="68"/>
  <c r="I16" i="102"/>
  <c r="I14" i="102"/>
  <c r="I13" i="102"/>
  <c r="I33" i="102" s="1"/>
  <c r="C57" i="105"/>
  <c r="F57" i="105" s="1"/>
  <c r="G34" i="22"/>
  <c r="G26" i="22"/>
  <c r="G18" i="22"/>
  <c r="G33" i="22"/>
  <c r="G29" i="22"/>
  <c r="H26" i="22"/>
  <c r="G21" i="22"/>
  <c r="G32" i="22"/>
  <c r="G28" i="22"/>
  <c r="G17" i="22"/>
  <c r="G31" i="22"/>
  <c r="G27" i="22"/>
  <c r="H27" i="22" s="1"/>
  <c r="G66" i="47"/>
  <c r="I66" i="47" s="1"/>
  <c r="G67" i="47"/>
  <c r="I67" i="47" s="1"/>
  <c r="O7" i="37"/>
  <c r="R7" i="37" s="1"/>
  <c r="W144" i="111"/>
  <c r="W101" i="111"/>
  <c r="W94" i="111"/>
  <c r="W102" i="111"/>
  <c r="E90" i="111"/>
  <c r="W52" i="111"/>
  <c r="W58" i="111"/>
  <c r="E68" i="111"/>
  <c r="W312" i="111"/>
  <c r="W309" i="111"/>
  <c r="W254" i="111"/>
  <c r="K266" i="111"/>
  <c r="W256" i="111"/>
  <c r="S265" i="111"/>
  <c r="W238" i="111"/>
  <c r="W236" i="111"/>
  <c r="W214" i="111"/>
  <c r="W191" i="111"/>
  <c r="W168" i="111"/>
  <c r="W60" i="111"/>
  <c r="W51" i="111"/>
  <c r="L39" i="111"/>
  <c r="W37" i="111"/>
  <c r="W311" i="111"/>
  <c r="W306" i="111"/>
  <c r="W260" i="111"/>
  <c r="W240" i="111"/>
  <c r="W212" i="111"/>
  <c r="W196" i="111"/>
  <c r="W148" i="111"/>
  <c r="W126" i="111"/>
  <c r="W59" i="111"/>
  <c r="W53" i="111"/>
  <c r="W55" i="111"/>
  <c r="W31" i="111"/>
  <c r="H27" i="68"/>
  <c r="H26" i="68"/>
  <c r="H30" i="68"/>
  <c r="H29" i="68"/>
  <c r="H25" i="68"/>
  <c r="O8" i="37"/>
  <c r="G65" i="47"/>
  <c r="I65" i="47" s="1"/>
  <c r="G63" i="47"/>
  <c r="G62" i="47"/>
  <c r="G57" i="47"/>
  <c r="G50" i="47"/>
  <c r="G45" i="47"/>
  <c r="G51" i="47"/>
  <c r="G19" i="47"/>
  <c r="G60" i="47"/>
  <c r="G48" i="47"/>
  <c r="G49" i="47"/>
  <c r="G59" i="47"/>
  <c r="G47" i="47"/>
  <c r="G61" i="47"/>
  <c r="G58" i="47"/>
  <c r="G46" i="47"/>
  <c r="G56" i="47"/>
  <c r="G44" i="47"/>
  <c r="G18" i="47"/>
  <c r="G55" i="47"/>
  <c r="G54" i="47"/>
  <c r="G42" i="47"/>
  <c r="G16" i="47"/>
  <c r="G43" i="47"/>
  <c r="G53" i="47"/>
  <c r="G41" i="47"/>
  <c r="G15" i="47"/>
  <c r="G17" i="47"/>
  <c r="G64" i="47"/>
  <c r="G52" i="47"/>
  <c r="G14" i="47"/>
  <c r="W187" i="111"/>
  <c r="K199" i="111"/>
  <c r="S186" i="111"/>
  <c r="U61" i="111"/>
  <c r="V49" i="111"/>
  <c r="V17" i="111"/>
  <c r="U21" i="111"/>
  <c r="V276" i="111"/>
  <c r="U288" i="111"/>
  <c r="U38" i="111"/>
  <c r="V26" i="111"/>
  <c r="W26" i="111" s="1"/>
  <c r="L289" i="111"/>
  <c r="S139" i="111"/>
  <c r="K152" i="111"/>
  <c r="S221" i="111"/>
  <c r="T209" i="111"/>
  <c r="S128" i="111"/>
  <c r="T116" i="111"/>
  <c r="U71" i="111"/>
  <c r="L84" i="111"/>
  <c r="W30" i="111"/>
  <c r="W310" i="111"/>
  <c r="S299" i="111"/>
  <c r="K312" i="111"/>
  <c r="K222" i="111"/>
  <c r="K129" i="111"/>
  <c r="W57" i="111"/>
  <c r="L312" i="111"/>
  <c r="U299" i="111"/>
  <c r="V253" i="111"/>
  <c r="W253" i="111" s="1"/>
  <c r="U265" i="111"/>
  <c r="W220" i="111"/>
  <c r="S61" i="111"/>
  <c r="T49" i="111"/>
  <c r="W302" i="111"/>
  <c r="U231" i="111"/>
  <c r="L244" i="111"/>
  <c r="L266" i="111"/>
  <c r="E112" i="111"/>
  <c r="W261" i="111"/>
  <c r="K289" i="111"/>
  <c r="S276" i="111"/>
  <c r="S231" i="111"/>
  <c r="K244" i="111"/>
  <c r="K106" i="111"/>
  <c r="S93" i="111"/>
  <c r="E249" i="111"/>
  <c r="E250" i="111" s="1"/>
  <c r="T71" i="111"/>
  <c r="S83" i="111"/>
  <c r="S17" i="111"/>
  <c r="K21" i="111"/>
  <c r="W194" i="111"/>
  <c r="V209" i="111"/>
  <c r="U221" i="111"/>
  <c r="L199" i="111"/>
  <c r="U186" i="111"/>
  <c r="E182" i="111"/>
  <c r="U116" i="111"/>
  <c r="L129" i="111"/>
  <c r="V93" i="111"/>
  <c r="U105" i="111"/>
  <c r="W56" i="111"/>
  <c r="U163" i="111"/>
  <c r="L176" i="111"/>
  <c r="E318" i="111"/>
  <c r="E45" i="111"/>
  <c r="L106" i="111"/>
  <c r="C66" i="105"/>
  <c r="C70" i="105"/>
  <c r="C44" i="105"/>
  <c r="C67" i="105"/>
  <c r="C71" i="105"/>
  <c r="C63" i="105"/>
  <c r="C65" i="105"/>
  <c r="C73" i="105"/>
  <c r="C36" i="105"/>
  <c r="C64" i="105"/>
  <c r="C68" i="105"/>
  <c r="C72" i="105"/>
  <c r="C42" i="105"/>
  <c r="C69" i="105"/>
  <c r="C58" i="105"/>
  <c r="F58" i="105" s="1"/>
  <c r="C59" i="105"/>
  <c r="F59" i="105" s="1"/>
  <c r="V119" i="66"/>
  <c r="C23" i="97"/>
  <c r="D112" i="97" s="1"/>
  <c r="I112" i="97" s="1"/>
  <c r="G40" i="59"/>
  <c r="I40" i="59" s="1"/>
  <c r="G36" i="59"/>
  <c r="I36" i="59" s="1"/>
  <c r="G32" i="59"/>
  <c r="I32" i="59" s="1"/>
  <c r="G28" i="59"/>
  <c r="G23" i="59"/>
  <c r="I23" i="59" s="1"/>
  <c r="G19" i="59"/>
  <c r="I19" i="59" s="1"/>
  <c r="G38" i="59"/>
  <c r="I38" i="59" s="1"/>
  <c r="G34" i="59"/>
  <c r="I34" i="59" s="1"/>
  <c r="G30" i="59"/>
  <c r="I30" i="59" s="1"/>
  <c r="G25" i="59"/>
  <c r="E40" i="96"/>
  <c r="E49" i="96"/>
  <c r="E42" i="96"/>
  <c r="E46" i="96"/>
  <c r="E44" i="96"/>
  <c r="B13" i="96"/>
  <c r="E56" i="96"/>
  <c r="E47" i="96"/>
  <c r="B21" i="96"/>
  <c r="B22" i="96"/>
  <c r="B14" i="96"/>
  <c r="B24" i="96"/>
  <c r="C41" i="43"/>
  <c r="F41" i="43" s="1"/>
  <c r="C45" i="43"/>
  <c r="F45" i="43" s="1"/>
  <c r="C49" i="43"/>
  <c r="F49" i="43" s="1"/>
  <c r="C44" i="43"/>
  <c r="F44" i="43" s="1"/>
  <c r="C48" i="43"/>
  <c r="F48" i="43" s="1"/>
  <c r="C52" i="43"/>
  <c r="F52" i="43" s="1"/>
  <c r="C43" i="43"/>
  <c r="F43" i="43" s="1"/>
  <c r="C47" i="43"/>
  <c r="F47" i="43" s="1"/>
  <c r="C51" i="43"/>
  <c r="F51" i="43" s="1"/>
  <c r="C42" i="43"/>
  <c r="F42" i="43" s="1"/>
  <c r="C46" i="43"/>
  <c r="F46" i="43" s="1"/>
  <c r="I61" i="62"/>
  <c r="H61" i="62"/>
  <c r="M56" i="62"/>
  <c r="M57" i="62"/>
  <c r="M61" i="62" s="1"/>
  <c r="M58" i="62"/>
  <c r="M59" i="62"/>
  <c r="K61" i="62"/>
  <c r="K38" i="62"/>
  <c r="K21" i="62"/>
  <c r="I38" i="62"/>
  <c r="J21" i="62"/>
  <c r="J38" i="62"/>
  <c r="H38" i="62"/>
  <c r="H21" i="62"/>
  <c r="I21" i="62"/>
  <c r="G23" i="22"/>
  <c r="G20" i="22"/>
  <c r="G16" i="22"/>
  <c r="G19" i="22"/>
  <c r="G15" i="22"/>
  <c r="C76" i="22" s="1"/>
  <c r="H55" i="58"/>
  <c r="H49" i="58"/>
  <c r="I71" i="47"/>
  <c r="P124" i="37" l="1"/>
  <c r="H36" i="68"/>
  <c r="C40" i="68" s="1"/>
  <c r="C104" i="68" s="1"/>
  <c r="D69" i="104"/>
  <c r="C27" i="105"/>
  <c r="C23" i="105" s="1"/>
  <c r="E88" i="89"/>
  <c r="H88" i="89" s="1"/>
  <c r="D36" i="102"/>
  <c r="D37" i="102" s="1"/>
  <c r="C14" i="43"/>
  <c r="F39" i="91"/>
  <c r="H39" i="91" s="1"/>
  <c r="F48" i="91"/>
  <c r="H48" i="91" s="1"/>
  <c r="C118" i="97"/>
  <c r="D111" i="97"/>
  <c r="I111" i="97" s="1"/>
  <c r="Q26" i="37"/>
  <c r="R26" i="37" s="1"/>
  <c r="F29" i="91"/>
  <c r="H29" i="91" s="1"/>
  <c r="F32" i="91"/>
  <c r="H32" i="91" s="1"/>
  <c r="F43" i="91"/>
  <c r="H43" i="91" s="1"/>
  <c r="F41" i="91"/>
  <c r="H41" i="91" s="1"/>
  <c r="F45" i="91"/>
  <c r="H45" i="91" s="1"/>
  <c r="F28" i="91"/>
  <c r="H28" i="91" s="1"/>
  <c r="F15" i="91"/>
  <c r="H15" i="91" s="1"/>
  <c r="O24" i="37"/>
  <c r="F47" i="91"/>
  <c r="H47" i="91" s="1"/>
  <c r="F37" i="91"/>
  <c r="H37" i="91" s="1"/>
  <c r="F40" i="91"/>
  <c r="H40" i="91" s="1"/>
  <c r="F31" i="91"/>
  <c r="H31" i="91" s="1"/>
  <c r="F33" i="91"/>
  <c r="H33" i="91" s="1"/>
  <c r="F36" i="91"/>
  <c r="H36" i="91" s="1"/>
  <c r="F12" i="43"/>
  <c r="F67" i="62"/>
  <c r="L21" i="62"/>
  <c r="F24" i="91"/>
  <c r="H24" i="91" s="1"/>
  <c r="F23" i="91"/>
  <c r="H23" i="91" s="1"/>
  <c r="F27" i="91"/>
  <c r="H27" i="91" s="1"/>
  <c r="F20" i="91"/>
  <c r="H20" i="91" s="1"/>
  <c r="F19" i="91"/>
  <c r="H19" i="91" s="1"/>
  <c r="F22" i="91"/>
  <c r="H22" i="91" s="1"/>
  <c r="F38" i="91"/>
  <c r="H38" i="91" s="1"/>
  <c r="F16" i="91"/>
  <c r="H16" i="91" s="1"/>
  <c r="F14" i="91"/>
  <c r="H14" i="91" s="1"/>
  <c r="F30" i="91"/>
  <c r="H30" i="91" s="1"/>
  <c r="F21" i="91"/>
  <c r="H21" i="91" s="1"/>
  <c r="F42" i="91"/>
  <c r="H42" i="91" s="1"/>
  <c r="F34" i="91"/>
  <c r="H34" i="91" s="1"/>
  <c r="M78" i="21"/>
  <c r="L61" i="62"/>
  <c r="F46" i="91"/>
  <c r="H46" i="91" s="1"/>
  <c r="F17" i="91"/>
  <c r="H17" i="91" s="1"/>
  <c r="F35" i="91"/>
  <c r="H35" i="91" s="1"/>
  <c r="F18" i="91"/>
  <c r="H18" i="91" s="1"/>
  <c r="F44" i="91"/>
  <c r="H44" i="91" s="1"/>
  <c r="Q19" i="37"/>
  <c r="R19" i="37" s="1"/>
  <c r="V120" i="66"/>
  <c r="C29" i="105"/>
  <c r="C22" i="105" s="1"/>
  <c r="W265" i="111"/>
  <c r="Q72" i="37"/>
  <c r="R72" i="37" s="1"/>
  <c r="X265" i="111"/>
  <c r="S288" i="111"/>
  <c r="T276" i="111"/>
  <c r="W276" i="111" s="1"/>
  <c r="W288" i="111" s="1"/>
  <c r="V71" i="111"/>
  <c r="U83" i="111"/>
  <c r="V163" i="111"/>
  <c r="W163" i="111" s="1"/>
  <c r="W175" i="111" s="1"/>
  <c r="U175" i="111"/>
  <c r="U313" i="111"/>
  <c r="V299" i="111"/>
  <c r="T231" i="111"/>
  <c r="S243" i="111"/>
  <c r="T17" i="111"/>
  <c r="W17" i="111" s="1"/>
  <c r="W21" i="111" s="1"/>
  <c r="S21" i="111"/>
  <c r="W209" i="111"/>
  <c r="W221" i="111" s="1"/>
  <c r="X221" i="111" s="1"/>
  <c r="W71" i="111"/>
  <c r="W83" i="111" s="1"/>
  <c r="X83" i="111" s="1"/>
  <c r="U128" i="111"/>
  <c r="V116" i="111"/>
  <c r="W116" i="111" s="1"/>
  <c r="W128" i="111" s="1"/>
  <c r="U243" i="111"/>
  <c r="V231" i="111"/>
  <c r="T139" i="111"/>
  <c r="W139" i="111" s="1"/>
  <c r="W151" i="111" s="1"/>
  <c r="S151" i="111"/>
  <c r="T186" i="111"/>
  <c r="S198" i="111"/>
  <c r="V186" i="111"/>
  <c r="U198" i="111"/>
  <c r="S105" i="111"/>
  <c r="T93" i="111"/>
  <c r="W93" i="111" s="1"/>
  <c r="W105" i="111" s="1"/>
  <c r="W49" i="111"/>
  <c r="W61" i="111" s="1"/>
  <c r="X61" i="111" s="1"/>
  <c r="T299" i="111"/>
  <c r="W38" i="111"/>
  <c r="X38" i="111" s="1"/>
  <c r="D30" i="97"/>
  <c r="I30" i="97" s="1"/>
  <c r="D37" i="97"/>
  <c r="I37" i="97" s="1"/>
  <c r="D41" i="97"/>
  <c r="I41" i="97" s="1"/>
  <c r="D45" i="97"/>
  <c r="I45" i="97" s="1"/>
  <c r="D49" i="97"/>
  <c r="I49" i="97" s="1"/>
  <c r="D53" i="97"/>
  <c r="I53" i="97" s="1"/>
  <c r="D57" i="97"/>
  <c r="I57" i="97" s="1"/>
  <c r="D61" i="97"/>
  <c r="I61" i="97" s="1"/>
  <c r="D65" i="97"/>
  <c r="I65" i="97" s="1"/>
  <c r="D69" i="97"/>
  <c r="I69" i="97" s="1"/>
  <c r="D73" i="97"/>
  <c r="I73" i="97" s="1"/>
  <c r="D77" i="97"/>
  <c r="I77" i="97" s="1"/>
  <c r="D81" i="97"/>
  <c r="I81" i="97" s="1"/>
  <c r="D85" i="97"/>
  <c r="I85" i="97" s="1"/>
  <c r="D89" i="97"/>
  <c r="I89" i="97" s="1"/>
  <c r="D93" i="97"/>
  <c r="I93" i="97" s="1"/>
  <c r="D97" i="97"/>
  <c r="I97" i="97" s="1"/>
  <c r="D101" i="97"/>
  <c r="I101" i="97" s="1"/>
  <c r="D105" i="97"/>
  <c r="I105" i="97" s="1"/>
  <c r="D109" i="97"/>
  <c r="I109" i="97" s="1"/>
  <c r="D27" i="97"/>
  <c r="I27" i="97" s="1"/>
  <c r="D36" i="97"/>
  <c r="I36" i="97" s="1"/>
  <c r="D44" i="97"/>
  <c r="I44" i="97" s="1"/>
  <c r="D52" i="97"/>
  <c r="I52" i="97" s="1"/>
  <c r="D60" i="97"/>
  <c r="I60" i="97" s="1"/>
  <c r="D68" i="97"/>
  <c r="I68" i="97" s="1"/>
  <c r="D76" i="97"/>
  <c r="I76" i="97" s="1"/>
  <c r="D84" i="97"/>
  <c r="I84" i="97" s="1"/>
  <c r="D92" i="97"/>
  <c r="I92" i="97" s="1"/>
  <c r="D100" i="97"/>
  <c r="I100" i="97" s="1"/>
  <c r="D108" i="97"/>
  <c r="I108" i="97" s="1"/>
  <c r="D26" i="97"/>
  <c r="I26" i="97" s="1"/>
  <c r="D25" i="97"/>
  <c r="I25" i="97" s="1"/>
  <c r="D31" i="97"/>
  <c r="I31" i="97" s="1"/>
  <c r="D34" i="97"/>
  <c r="I34" i="97" s="1"/>
  <c r="D38" i="97"/>
  <c r="I38" i="97" s="1"/>
  <c r="D42" i="97"/>
  <c r="I42" i="97" s="1"/>
  <c r="D46" i="97"/>
  <c r="I46" i="97" s="1"/>
  <c r="D50" i="97"/>
  <c r="I50" i="97" s="1"/>
  <c r="D54" i="97"/>
  <c r="I54" i="97" s="1"/>
  <c r="D58" i="97"/>
  <c r="I58" i="97" s="1"/>
  <c r="D62" i="97"/>
  <c r="I62" i="97" s="1"/>
  <c r="D66" i="97"/>
  <c r="I66" i="97" s="1"/>
  <c r="D70" i="97"/>
  <c r="I70" i="97" s="1"/>
  <c r="D74" i="97"/>
  <c r="I74" i="97" s="1"/>
  <c r="D78" i="97"/>
  <c r="I78" i="97" s="1"/>
  <c r="D82" i="97"/>
  <c r="I82" i="97" s="1"/>
  <c r="D86" i="97"/>
  <c r="I86" i="97" s="1"/>
  <c r="D90" i="97"/>
  <c r="I90" i="97" s="1"/>
  <c r="D94" i="97"/>
  <c r="I94" i="97" s="1"/>
  <c r="D98" i="97"/>
  <c r="I98" i="97" s="1"/>
  <c r="D102" i="97"/>
  <c r="I102" i="97" s="1"/>
  <c r="D106" i="97"/>
  <c r="I106" i="97" s="1"/>
  <c r="D110" i="97"/>
  <c r="I110" i="97" s="1"/>
  <c r="D28" i="97"/>
  <c r="I28" i="97" s="1"/>
  <c r="D35" i="97"/>
  <c r="I35" i="97" s="1"/>
  <c r="D39" i="97"/>
  <c r="I39" i="97" s="1"/>
  <c r="D43" i="97"/>
  <c r="I43" i="97" s="1"/>
  <c r="D47" i="97"/>
  <c r="I47" i="97" s="1"/>
  <c r="D51" i="97"/>
  <c r="I51" i="97" s="1"/>
  <c r="D55" i="97"/>
  <c r="I55" i="97" s="1"/>
  <c r="D59" i="97"/>
  <c r="I59" i="97" s="1"/>
  <c r="D63" i="97"/>
  <c r="I63" i="97" s="1"/>
  <c r="D67" i="97"/>
  <c r="I67" i="97" s="1"/>
  <c r="D71" i="97"/>
  <c r="I71" i="97" s="1"/>
  <c r="D75" i="97"/>
  <c r="I75" i="97" s="1"/>
  <c r="D79" i="97"/>
  <c r="I79" i="97" s="1"/>
  <c r="D83" i="97"/>
  <c r="I83" i="97" s="1"/>
  <c r="D87" i="97"/>
  <c r="I87" i="97" s="1"/>
  <c r="D91" i="97"/>
  <c r="I91" i="97" s="1"/>
  <c r="D95" i="97"/>
  <c r="I95" i="97" s="1"/>
  <c r="D99" i="97"/>
  <c r="I99" i="97" s="1"/>
  <c r="D103" i="97"/>
  <c r="I103" i="97" s="1"/>
  <c r="D107" i="97"/>
  <c r="I107" i="97" s="1"/>
  <c r="D29" i="97"/>
  <c r="I29" i="97" s="1"/>
  <c r="D40" i="97"/>
  <c r="I40" i="97" s="1"/>
  <c r="D48" i="97"/>
  <c r="I48" i="97" s="1"/>
  <c r="D56" i="97"/>
  <c r="I56" i="97" s="1"/>
  <c r="D64" i="97"/>
  <c r="I64" i="97" s="1"/>
  <c r="D72" i="97"/>
  <c r="I72" i="97" s="1"/>
  <c r="D80" i="97"/>
  <c r="I80" i="97" s="1"/>
  <c r="D88" i="97"/>
  <c r="I88" i="97" s="1"/>
  <c r="D96" i="97"/>
  <c r="I96" i="97" s="1"/>
  <c r="D104" i="97"/>
  <c r="I104" i="97" s="1"/>
  <c r="B18" i="96"/>
  <c r="E52" i="96"/>
  <c r="E57" i="96" s="1"/>
  <c r="B26" i="96"/>
  <c r="F44" i="62"/>
  <c r="F21" i="62"/>
  <c r="M38" i="62"/>
  <c r="L38" i="62"/>
  <c r="H23" i="22"/>
  <c r="G24" i="22" s="1"/>
  <c r="H52" i="58"/>
  <c r="H56" i="58"/>
  <c r="H48" i="58"/>
  <c r="H57" i="58"/>
  <c r="H50" i="58"/>
  <c r="H51" i="58"/>
  <c r="H58" i="58"/>
  <c r="H53" i="58"/>
  <c r="H54" i="58"/>
  <c r="D135" i="86"/>
  <c r="D134" i="86"/>
  <c r="E130" i="86"/>
  <c r="E129" i="86"/>
  <c r="C135" i="86" s="1"/>
  <c r="C145" i="86" s="1"/>
  <c r="G120" i="86"/>
  <c r="F120" i="86"/>
  <c r="G119" i="86"/>
  <c r="F119" i="86"/>
  <c r="G118" i="86"/>
  <c r="F118" i="86"/>
  <c r="G117" i="86"/>
  <c r="F117" i="86"/>
  <c r="G116" i="86"/>
  <c r="F116" i="86"/>
  <c r="G115" i="86"/>
  <c r="F115" i="86"/>
  <c r="G114" i="86"/>
  <c r="F114" i="86"/>
  <c r="G113" i="86"/>
  <c r="F113" i="86"/>
  <c r="G112" i="86"/>
  <c r="F112" i="86"/>
  <c r="G111" i="86"/>
  <c r="F111" i="86"/>
  <c r="G110" i="86"/>
  <c r="F110" i="86"/>
  <c r="G109" i="86"/>
  <c r="F109" i="86"/>
  <c r="G108" i="86"/>
  <c r="F108" i="86"/>
  <c r="G107" i="86"/>
  <c r="F107" i="86"/>
  <c r="G106" i="86"/>
  <c r="F106" i="86"/>
  <c r="G105" i="86"/>
  <c r="F105" i="86"/>
  <c r="G104" i="86"/>
  <c r="F104" i="86"/>
  <c r="G103" i="86"/>
  <c r="F103" i="86"/>
  <c r="G102" i="86"/>
  <c r="F102" i="86"/>
  <c r="G101" i="86"/>
  <c r="F101" i="86"/>
  <c r="G100" i="86"/>
  <c r="F100" i="86"/>
  <c r="G99" i="86"/>
  <c r="F99" i="86"/>
  <c r="G98" i="86"/>
  <c r="F98" i="86"/>
  <c r="G97" i="86"/>
  <c r="F97" i="86"/>
  <c r="G96" i="86"/>
  <c r="F96" i="86"/>
  <c r="G95" i="86"/>
  <c r="F95" i="86"/>
  <c r="G94" i="86"/>
  <c r="F94" i="86"/>
  <c r="G93" i="86"/>
  <c r="F93" i="86"/>
  <c r="G92" i="86"/>
  <c r="F92" i="86"/>
  <c r="G91" i="86"/>
  <c r="F91" i="86"/>
  <c r="G90" i="86"/>
  <c r="F90" i="86"/>
  <c r="G89" i="86"/>
  <c r="F89" i="86"/>
  <c r="G88" i="86"/>
  <c r="F88" i="86"/>
  <c r="G87" i="86"/>
  <c r="F87" i="86"/>
  <c r="G86" i="86"/>
  <c r="F86" i="86"/>
  <c r="G85" i="86"/>
  <c r="F85" i="86"/>
  <c r="G84" i="86"/>
  <c r="F84" i="86"/>
  <c r="G83" i="86"/>
  <c r="F83" i="86"/>
  <c r="G82" i="86"/>
  <c r="F82" i="86"/>
  <c r="G81" i="86"/>
  <c r="F81" i="86"/>
  <c r="G80" i="86"/>
  <c r="F80" i="86"/>
  <c r="G79" i="86"/>
  <c r="F79" i="86"/>
  <c r="G78" i="86"/>
  <c r="F78" i="86"/>
  <c r="G77" i="86"/>
  <c r="F77" i="86"/>
  <c r="F76" i="86"/>
  <c r="D76" i="86"/>
  <c r="G76" i="86" s="1"/>
  <c r="G75" i="86"/>
  <c r="F75" i="86"/>
  <c r="G74" i="86"/>
  <c r="F74" i="86"/>
  <c r="G73" i="86"/>
  <c r="F73" i="86"/>
  <c r="G72" i="86"/>
  <c r="F72" i="86"/>
  <c r="G71" i="86"/>
  <c r="F71" i="86"/>
  <c r="G70" i="86"/>
  <c r="F70" i="86"/>
  <c r="G69" i="86"/>
  <c r="F69" i="86"/>
  <c r="G68" i="86"/>
  <c r="F68" i="86"/>
  <c r="G67" i="86"/>
  <c r="F67" i="86"/>
  <c r="G66" i="86"/>
  <c r="F66" i="86"/>
  <c r="G65" i="86"/>
  <c r="F65" i="86"/>
  <c r="G64" i="86"/>
  <c r="F64" i="86"/>
  <c r="G63" i="86"/>
  <c r="F63" i="86"/>
  <c r="G62" i="86"/>
  <c r="F62" i="86"/>
  <c r="G61" i="86"/>
  <c r="F61" i="86"/>
  <c r="G60" i="86"/>
  <c r="F60" i="86"/>
  <c r="G59" i="86"/>
  <c r="F59" i="86"/>
  <c r="F58" i="86"/>
  <c r="M37" i="86"/>
  <c r="Q37" i="86" s="1"/>
  <c r="L37" i="86"/>
  <c r="P37" i="86" s="1"/>
  <c r="E37" i="86"/>
  <c r="F37" i="86" s="1"/>
  <c r="M36" i="86"/>
  <c r="Q36" i="86" s="1"/>
  <c r="L36" i="86"/>
  <c r="P36" i="86" s="1"/>
  <c r="E36" i="86"/>
  <c r="F36" i="86" s="1"/>
  <c r="M35" i="86"/>
  <c r="Q35" i="86" s="1"/>
  <c r="L35" i="86"/>
  <c r="P35" i="86" s="1"/>
  <c r="E35" i="86"/>
  <c r="F35" i="86" s="1"/>
  <c r="M34" i="86"/>
  <c r="Q34" i="86" s="1"/>
  <c r="L34" i="86"/>
  <c r="P34" i="86" s="1"/>
  <c r="E34" i="86"/>
  <c r="F34" i="86" s="1"/>
  <c r="L33" i="86"/>
  <c r="P33" i="86" s="1"/>
  <c r="E33" i="86"/>
  <c r="F33" i="86" s="1"/>
  <c r="D24" i="86"/>
  <c r="E24" i="86" s="1"/>
  <c r="F24" i="86" s="1"/>
  <c r="D23" i="86"/>
  <c r="E23" i="86" s="1"/>
  <c r="F23" i="86" s="1"/>
  <c r="D22" i="86"/>
  <c r="E22" i="86" s="1"/>
  <c r="F22" i="86" s="1"/>
  <c r="D21" i="86"/>
  <c r="E21" i="86" s="1"/>
  <c r="F21" i="86" s="1"/>
  <c r="D20" i="86"/>
  <c r="E20" i="86" s="1"/>
  <c r="F20" i="86" s="1"/>
  <c r="D19" i="86"/>
  <c r="E18" i="86"/>
  <c r="C18" i="86"/>
  <c r="E17" i="86"/>
  <c r="C17" i="86"/>
  <c r="E16" i="86"/>
  <c r="C16" i="86"/>
  <c r="E15" i="86"/>
  <c r="C15" i="86"/>
  <c r="E14" i="86"/>
  <c r="C14" i="86"/>
  <c r="E13" i="86"/>
  <c r="C13" i="86"/>
  <c r="E12" i="86"/>
  <c r="C12" i="86"/>
  <c r="Q70" i="37" l="1"/>
  <c r="R70" i="37" s="1"/>
  <c r="C105" i="68"/>
  <c r="C100" i="68"/>
  <c r="C41" i="68"/>
  <c r="V121" i="66"/>
  <c r="Q57" i="37"/>
  <c r="R57" i="37" s="1"/>
  <c r="O11" i="37"/>
  <c r="B61" i="96"/>
  <c r="Q56" i="37"/>
  <c r="R56" i="37" s="1"/>
  <c r="E136" i="86"/>
  <c r="E135" i="86"/>
  <c r="F135" i="86" s="1"/>
  <c r="Q60" i="37"/>
  <c r="R60" i="37" s="1"/>
  <c r="I116" i="97"/>
  <c r="C120" i="97" s="1"/>
  <c r="H60" i="58"/>
  <c r="H61" i="58" s="1"/>
  <c r="E141" i="58" s="1"/>
  <c r="I141" i="58" s="1"/>
  <c r="D50" i="94"/>
  <c r="D51" i="94" s="1"/>
  <c r="Q30" i="37"/>
  <c r="R30" i="37" s="1"/>
  <c r="H49" i="91"/>
  <c r="E15" i="43"/>
  <c r="F23" i="43"/>
  <c r="C47" i="85"/>
  <c r="C48" i="85" s="1"/>
  <c r="C52" i="92"/>
  <c r="C53" i="92" s="1"/>
  <c r="C72" i="62"/>
  <c r="D145" i="86"/>
  <c r="C136" i="86"/>
  <c r="C146" i="86" s="1"/>
  <c r="F13" i="86"/>
  <c r="M18" i="86"/>
  <c r="N18" i="86"/>
  <c r="O18" i="86"/>
  <c r="M12" i="86"/>
  <c r="O12" i="86"/>
  <c r="N12" i="86"/>
  <c r="M13" i="86"/>
  <c r="O13" i="86"/>
  <c r="N13" i="86"/>
  <c r="M15" i="86"/>
  <c r="O15" i="86"/>
  <c r="N15" i="86"/>
  <c r="O17" i="86"/>
  <c r="N17" i="86"/>
  <c r="M14" i="86"/>
  <c r="N14" i="86"/>
  <c r="O14" i="86"/>
  <c r="M16" i="86"/>
  <c r="O16" i="86"/>
  <c r="N16" i="86"/>
  <c r="M17" i="86"/>
  <c r="Q17" i="86" s="1"/>
  <c r="M38" i="86"/>
  <c r="N38" i="86"/>
  <c r="N46" i="86" s="1"/>
  <c r="O38" i="86"/>
  <c r="O46" i="86" s="1"/>
  <c r="X151" i="111"/>
  <c r="X128" i="111"/>
  <c r="L18" i="86"/>
  <c r="W299" i="111"/>
  <c r="W313" i="111" s="1"/>
  <c r="X313" i="111" s="1"/>
  <c r="X288" i="111"/>
  <c r="F16" i="86"/>
  <c r="F38" i="86"/>
  <c r="F12" i="86"/>
  <c r="L12" i="86"/>
  <c r="L14" i="86"/>
  <c r="L16" i="86"/>
  <c r="L38" i="86"/>
  <c r="L46" i="86" s="1"/>
  <c r="Q31" i="37"/>
  <c r="R31" i="37" s="1"/>
  <c r="X105" i="111"/>
  <c r="X175" i="111"/>
  <c r="X21" i="111"/>
  <c r="W186" i="111"/>
  <c r="W198" i="111" s="1"/>
  <c r="X198" i="111" s="1"/>
  <c r="W231" i="111"/>
  <c r="W243" i="111" s="1"/>
  <c r="X243" i="111" s="1"/>
  <c r="H24" i="22"/>
  <c r="G25" i="22" s="1"/>
  <c r="H25" i="22" s="1"/>
  <c r="E19" i="86"/>
  <c r="F19" i="86" s="1"/>
  <c r="L15" i="86"/>
  <c r="L17" i="86"/>
  <c r="L13" i="86"/>
  <c r="F15" i="86"/>
  <c r="F17" i="86"/>
  <c r="F14" i="86"/>
  <c r="F18" i="86"/>
  <c r="D143" i="86"/>
  <c r="C30" i="105" l="1"/>
  <c r="C21" i="105" s="1"/>
  <c r="D92" i="96"/>
  <c r="H92" i="96" s="1"/>
  <c r="D70" i="96"/>
  <c r="H70" i="96" s="1"/>
  <c r="E146" i="86"/>
  <c r="F146" i="86" s="1"/>
  <c r="E145" i="86"/>
  <c r="F145" i="86" s="1"/>
  <c r="D65" i="96"/>
  <c r="H65" i="96" s="1"/>
  <c r="D69" i="96"/>
  <c r="H69" i="96" s="1"/>
  <c r="D74" i="96"/>
  <c r="H74" i="96" s="1"/>
  <c r="D78" i="96"/>
  <c r="H78" i="96" s="1"/>
  <c r="D82" i="96"/>
  <c r="H82" i="96" s="1"/>
  <c r="D86" i="96"/>
  <c r="H86" i="96" s="1"/>
  <c r="D90" i="96"/>
  <c r="H90" i="96" s="1"/>
  <c r="D71" i="96"/>
  <c r="H71" i="96" s="1"/>
  <c r="D79" i="96"/>
  <c r="H79" i="96" s="1"/>
  <c r="D83" i="96"/>
  <c r="H83" i="96" s="1"/>
  <c r="D91" i="96"/>
  <c r="H91" i="96" s="1"/>
  <c r="D68" i="96"/>
  <c r="H68" i="96" s="1"/>
  <c r="D85" i="96"/>
  <c r="H85" i="96" s="1"/>
  <c r="D66" i="96"/>
  <c r="H66" i="96" s="1"/>
  <c r="D75" i="96"/>
  <c r="H75" i="96" s="1"/>
  <c r="D87" i="96"/>
  <c r="H87" i="96" s="1"/>
  <c r="D67" i="96"/>
  <c r="H67" i="96" s="1"/>
  <c r="D72" i="96"/>
  <c r="H72" i="96" s="1"/>
  <c r="D76" i="96"/>
  <c r="H76" i="96" s="1"/>
  <c r="D80" i="96"/>
  <c r="H80" i="96" s="1"/>
  <c r="D84" i="96"/>
  <c r="H84" i="96" s="1"/>
  <c r="D88" i="96"/>
  <c r="H88" i="96" s="1"/>
  <c r="D63" i="96"/>
  <c r="H63" i="96" s="1"/>
  <c r="D64" i="96"/>
  <c r="H64" i="96" s="1"/>
  <c r="D73" i="96"/>
  <c r="H73" i="96" s="1"/>
  <c r="D77" i="96"/>
  <c r="H77" i="96" s="1"/>
  <c r="D81" i="96"/>
  <c r="H81" i="96" s="1"/>
  <c r="D89" i="96"/>
  <c r="H89" i="96" s="1"/>
  <c r="C97" i="96"/>
  <c r="E68" i="58"/>
  <c r="I68" i="58" s="1"/>
  <c r="E72" i="58"/>
  <c r="I72" i="58" s="1"/>
  <c r="E74" i="58"/>
  <c r="I74" i="58" s="1"/>
  <c r="E73" i="58"/>
  <c r="I73" i="58" s="1"/>
  <c r="C53" i="91"/>
  <c r="C54" i="91" s="1"/>
  <c r="Q24" i="37"/>
  <c r="R24" i="37" s="1"/>
  <c r="E26" i="43"/>
  <c r="F13" i="43"/>
  <c r="E16" i="43" s="1"/>
  <c r="C16" i="43" s="1"/>
  <c r="C19" i="43" s="1"/>
  <c r="C60" i="43" s="1"/>
  <c r="Q12" i="86"/>
  <c r="P14" i="86"/>
  <c r="F136" i="86"/>
  <c r="F138" i="86" s="1"/>
  <c r="Q18" i="86"/>
  <c r="P38" i="86"/>
  <c r="P46" i="86" s="1"/>
  <c r="M46" i="86"/>
  <c r="Q38" i="86"/>
  <c r="Q46" i="86" s="1"/>
  <c r="Q15" i="86"/>
  <c r="Q16" i="86"/>
  <c r="Q14" i="86"/>
  <c r="M26" i="86"/>
  <c r="P16" i="86"/>
  <c r="P18" i="86"/>
  <c r="P12" i="86"/>
  <c r="E86" i="89"/>
  <c r="H86" i="89" s="1"/>
  <c r="E87" i="89"/>
  <c r="H87" i="89" s="1"/>
  <c r="E85" i="89"/>
  <c r="H85" i="89" s="1"/>
  <c r="L26" i="86"/>
  <c r="N26" i="86"/>
  <c r="P17" i="86"/>
  <c r="W315" i="111"/>
  <c r="E94" i="58"/>
  <c r="I94" i="58" s="1"/>
  <c r="E107" i="58"/>
  <c r="I107" i="58" s="1"/>
  <c r="E123" i="58"/>
  <c r="I123" i="58" s="1"/>
  <c r="E96" i="58"/>
  <c r="I96" i="58" s="1"/>
  <c r="E112" i="58"/>
  <c r="I112" i="58" s="1"/>
  <c r="E128" i="58"/>
  <c r="I128" i="58" s="1"/>
  <c r="E106" i="58"/>
  <c r="I106" i="58" s="1"/>
  <c r="E97" i="58"/>
  <c r="I97" i="58" s="1"/>
  <c r="E113" i="58"/>
  <c r="I113" i="58" s="1"/>
  <c r="E129" i="58"/>
  <c r="I129" i="58" s="1"/>
  <c r="E126" i="58"/>
  <c r="I126" i="58" s="1"/>
  <c r="I80" i="58"/>
  <c r="I84" i="58"/>
  <c r="I78" i="58"/>
  <c r="I82" i="58"/>
  <c r="I81" i="58"/>
  <c r="E70" i="58"/>
  <c r="I70" i="58" s="1"/>
  <c r="I79" i="58"/>
  <c r="I83" i="58"/>
  <c r="P15" i="86"/>
  <c r="O26" i="86"/>
  <c r="P13" i="86"/>
  <c r="Q13" i="86"/>
  <c r="F63" i="43" l="1"/>
  <c r="D96" i="43"/>
  <c r="C31" i="105"/>
  <c r="H93" i="96"/>
  <c r="H89" i="89"/>
  <c r="F147" i="86"/>
  <c r="C154" i="86" s="1"/>
  <c r="C153" i="86"/>
  <c r="O33" i="37"/>
  <c r="E140" i="58"/>
  <c r="I140" i="58" s="1"/>
  <c r="I142" i="58" s="1"/>
  <c r="E139" i="58"/>
  <c r="I139" i="58" s="1"/>
  <c r="F26" i="43"/>
  <c r="E27" i="43" s="1"/>
  <c r="E28" i="43" s="1"/>
  <c r="E136" i="58"/>
  <c r="I136" i="58" s="1"/>
  <c r="E125" i="58"/>
  <c r="I125" i="58" s="1"/>
  <c r="E109" i="58"/>
  <c r="I109" i="58" s="1"/>
  <c r="E102" i="58"/>
  <c r="I102" i="58" s="1"/>
  <c r="E135" i="58"/>
  <c r="I135" i="58" s="1"/>
  <c r="E103" i="58"/>
  <c r="I103" i="58" s="1"/>
  <c r="E137" i="58"/>
  <c r="I137" i="58" s="1"/>
  <c r="E69" i="58"/>
  <c r="I69" i="58" s="1"/>
  <c r="E71" i="58"/>
  <c r="I71" i="58" s="1"/>
  <c r="E110" i="58"/>
  <c r="I110" i="58" s="1"/>
  <c r="E121" i="58"/>
  <c r="I121" i="58" s="1"/>
  <c r="E105" i="58"/>
  <c r="I105" i="58" s="1"/>
  <c r="E122" i="58"/>
  <c r="I122" i="58" s="1"/>
  <c r="E98" i="58"/>
  <c r="I98" i="58" s="1"/>
  <c r="E120" i="58"/>
  <c r="I120" i="58" s="1"/>
  <c r="E104" i="58"/>
  <c r="I104" i="58" s="1"/>
  <c r="E131" i="58"/>
  <c r="I131" i="58" s="1"/>
  <c r="E115" i="58"/>
  <c r="I115" i="58" s="1"/>
  <c r="E99" i="58"/>
  <c r="I99" i="58" s="1"/>
  <c r="E138" i="58"/>
  <c r="I138" i="58" s="1"/>
  <c r="E118" i="58"/>
  <c r="I118" i="58" s="1"/>
  <c r="E130" i="58"/>
  <c r="I130" i="58" s="1"/>
  <c r="E124" i="58"/>
  <c r="I124" i="58" s="1"/>
  <c r="E108" i="58"/>
  <c r="I108" i="58" s="1"/>
  <c r="E119" i="58"/>
  <c r="I119" i="58" s="1"/>
  <c r="E134" i="58"/>
  <c r="I134" i="58" s="1"/>
  <c r="E133" i="58"/>
  <c r="I133" i="58" s="1"/>
  <c r="E117" i="58"/>
  <c r="I117" i="58" s="1"/>
  <c r="E101" i="58"/>
  <c r="I101" i="58" s="1"/>
  <c r="E114" i="58"/>
  <c r="I114" i="58" s="1"/>
  <c r="E132" i="58"/>
  <c r="I132" i="58" s="1"/>
  <c r="E116" i="58"/>
  <c r="I116" i="58" s="1"/>
  <c r="E100" i="58"/>
  <c r="I100" i="58" s="1"/>
  <c r="E127" i="58"/>
  <c r="I127" i="58" s="1"/>
  <c r="E111" i="58"/>
  <c r="I111" i="58" s="1"/>
  <c r="E95" i="58"/>
  <c r="I95" i="58" s="1"/>
  <c r="C145" i="58"/>
  <c r="Q26" i="86"/>
  <c r="P26" i="86"/>
  <c r="C18" i="105" l="1"/>
  <c r="C32" i="105"/>
  <c r="C19" i="105" s="1"/>
  <c r="O12" i="37"/>
  <c r="C98" i="96"/>
  <c r="C100" i="96" s="1"/>
  <c r="D111" i="163" s="1"/>
  <c r="Q33" i="37"/>
  <c r="R33" i="37" s="1"/>
  <c r="C146" i="58"/>
  <c r="C147" i="58" s="1"/>
  <c r="F16" i="43"/>
  <c r="E17" i="43" s="1"/>
  <c r="E18" i="43" s="1"/>
  <c r="Q11" i="37"/>
  <c r="R11" i="37" s="1"/>
  <c r="C24" i="105" l="1"/>
  <c r="F92" i="43"/>
  <c r="Q12" i="37"/>
  <c r="R12" i="37" s="1"/>
  <c r="G22" i="46"/>
  <c r="G23" i="46"/>
  <c r="G21" i="46"/>
  <c r="G24" i="46"/>
  <c r="G25" i="46"/>
  <c r="G20" i="46"/>
  <c r="F91" i="43" l="1"/>
  <c r="F66" i="43"/>
  <c r="F70" i="43"/>
  <c r="F74" i="43"/>
  <c r="F78" i="43"/>
  <c r="F82" i="43"/>
  <c r="F86" i="43"/>
  <c r="F90" i="43"/>
  <c r="F64" i="43"/>
  <c r="F68" i="43"/>
  <c r="F72" i="43"/>
  <c r="F80" i="43"/>
  <c r="F88" i="43"/>
  <c r="F65" i="43"/>
  <c r="F77" i="43"/>
  <c r="F85" i="43"/>
  <c r="F67" i="43"/>
  <c r="F71" i="43"/>
  <c r="F75" i="43"/>
  <c r="F79" i="43"/>
  <c r="F83" i="43"/>
  <c r="F87" i="43"/>
  <c r="F76" i="43"/>
  <c r="F84" i="43"/>
  <c r="F69" i="43"/>
  <c r="F73" i="43"/>
  <c r="F81" i="43"/>
  <c r="F89" i="43"/>
  <c r="O32" i="37"/>
  <c r="Q73" i="66"/>
  <c r="U77" i="66"/>
  <c r="U88" i="66"/>
  <c r="R87" i="66"/>
  <c r="U87" i="66" s="1"/>
  <c r="Z93" i="66"/>
  <c r="Z92" i="66"/>
  <c r="Z85" i="66"/>
  <c r="Z84" i="66"/>
  <c r="U86" i="66"/>
  <c r="U89" i="66"/>
  <c r="U90" i="66"/>
  <c r="U91" i="66"/>
  <c r="U92" i="66"/>
  <c r="U93" i="66"/>
  <c r="U94" i="66"/>
  <c r="U78" i="66"/>
  <c r="U79" i="66"/>
  <c r="U80" i="66"/>
  <c r="U81" i="66"/>
  <c r="U82" i="66"/>
  <c r="U83" i="66"/>
  <c r="U84" i="66"/>
  <c r="U85" i="66"/>
  <c r="H93" i="43" l="1"/>
  <c r="D97" i="43" l="1"/>
  <c r="D98" i="43" s="1"/>
  <c r="E110" i="162" s="1"/>
  <c r="E111" i="162" s="1"/>
  <c r="Q32" i="37"/>
  <c r="R32" i="37" s="1"/>
  <c r="R115" i="66" l="1"/>
  <c r="R97" i="66"/>
  <c r="U97" i="66" s="1"/>
  <c r="R96" i="66"/>
  <c r="U96" i="66" s="1"/>
  <c r="R95" i="66"/>
  <c r="U95" i="66" s="1"/>
  <c r="AA34" i="66"/>
  <c r="Y46" i="66"/>
  <c r="Y47" i="66"/>
  <c r="Y48" i="66"/>
  <c r="Y49" i="66"/>
  <c r="Y50" i="66"/>
  <c r="Y51" i="66"/>
  <c r="Y52" i="66"/>
  <c r="Y53" i="66"/>
  <c r="Y54" i="66"/>
  <c r="Y55" i="66"/>
  <c r="Y56" i="66"/>
  <c r="Y45" i="66"/>
  <c r="X46" i="66"/>
  <c r="X47" i="66"/>
  <c r="X48" i="66"/>
  <c r="X49" i="66"/>
  <c r="X50" i="66"/>
  <c r="X51" i="66"/>
  <c r="X52" i="66"/>
  <c r="X53" i="66"/>
  <c r="X54" i="66"/>
  <c r="X55" i="66"/>
  <c r="X56" i="66"/>
  <c r="X45" i="66"/>
  <c r="W55" i="66"/>
  <c r="W56" i="66"/>
  <c r="W46" i="66"/>
  <c r="W47" i="66"/>
  <c r="W48" i="66"/>
  <c r="W49" i="66"/>
  <c r="W50" i="66"/>
  <c r="W51" i="66"/>
  <c r="W52" i="66"/>
  <c r="W53" i="66"/>
  <c r="W54" i="66"/>
  <c r="W45" i="66"/>
  <c r="V46" i="66"/>
  <c r="AA46" i="66" s="1"/>
  <c r="V47" i="66"/>
  <c r="AA47" i="66" s="1"/>
  <c r="V48" i="66"/>
  <c r="AA48" i="66" s="1"/>
  <c r="V49" i="66"/>
  <c r="AA49" i="66" s="1"/>
  <c r="V50" i="66"/>
  <c r="AA50" i="66" s="1"/>
  <c r="V51" i="66"/>
  <c r="AA51" i="66" s="1"/>
  <c r="V52" i="66"/>
  <c r="AA52" i="66" s="1"/>
  <c r="V53" i="66"/>
  <c r="AA53" i="66" s="1"/>
  <c r="V54" i="66"/>
  <c r="AA54" i="66" s="1"/>
  <c r="V55" i="66"/>
  <c r="AA55" i="66" s="1"/>
  <c r="V56" i="66"/>
  <c r="AA56" i="66" s="1"/>
  <c r="V45" i="66"/>
  <c r="U46" i="66"/>
  <c r="Z46" i="66" s="1"/>
  <c r="U47" i="66"/>
  <c r="Z47" i="66" s="1"/>
  <c r="U48" i="66"/>
  <c r="Z48" i="66" s="1"/>
  <c r="U49" i="66"/>
  <c r="Z49" i="66" s="1"/>
  <c r="U50" i="66"/>
  <c r="Z50" i="66" s="1"/>
  <c r="U51" i="66"/>
  <c r="Z51" i="66" s="1"/>
  <c r="U52" i="66"/>
  <c r="Z52" i="66" s="1"/>
  <c r="U53" i="66"/>
  <c r="Z53" i="66" s="1"/>
  <c r="U54" i="66"/>
  <c r="Z54" i="66" s="1"/>
  <c r="U55" i="66"/>
  <c r="Z55" i="66" s="1"/>
  <c r="U56" i="66"/>
  <c r="Z56" i="66" s="1"/>
  <c r="U45" i="66"/>
  <c r="S47" i="66"/>
  <c r="R46" i="66"/>
  <c r="S46" i="66" s="1"/>
  <c r="R47" i="66"/>
  <c r="R48" i="66"/>
  <c r="S48" i="66" s="1"/>
  <c r="R49" i="66"/>
  <c r="S49" i="66" s="1"/>
  <c r="R50" i="66"/>
  <c r="S50" i="66" s="1"/>
  <c r="R51" i="66"/>
  <c r="S51" i="66" s="1"/>
  <c r="R52" i="66"/>
  <c r="S52" i="66" s="1"/>
  <c r="R53" i="66"/>
  <c r="S53" i="66" s="1"/>
  <c r="R54" i="66"/>
  <c r="S54" i="66" s="1"/>
  <c r="R55" i="66"/>
  <c r="R56" i="66"/>
  <c r="R57" i="66"/>
  <c r="R58" i="66"/>
  <c r="R59" i="66"/>
  <c r="R60" i="66"/>
  <c r="R61" i="66"/>
  <c r="R45" i="66"/>
  <c r="S45" i="66" s="1"/>
  <c r="Y33" i="66"/>
  <c r="Y23" i="66"/>
  <c r="Y24" i="66"/>
  <c r="Y25" i="66"/>
  <c r="Y26" i="66"/>
  <c r="Y27" i="66"/>
  <c r="Y28" i="66"/>
  <c r="Y29" i="66"/>
  <c r="Y30" i="66"/>
  <c r="Y31" i="66"/>
  <c r="Y32" i="66"/>
  <c r="Y22" i="66"/>
  <c r="X22" i="66"/>
  <c r="X23" i="66"/>
  <c r="X24" i="66"/>
  <c r="X25" i="66"/>
  <c r="X26" i="66"/>
  <c r="X27" i="66"/>
  <c r="X28" i="66"/>
  <c r="X29" i="66"/>
  <c r="X30" i="66"/>
  <c r="X31" i="66"/>
  <c r="X32" i="66"/>
  <c r="X33" i="66"/>
  <c r="W23" i="66"/>
  <c r="W24" i="66"/>
  <c r="W25" i="66"/>
  <c r="W26" i="66"/>
  <c r="W27" i="66"/>
  <c r="W28" i="66"/>
  <c r="W29" i="66"/>
  <c r="W30" i="66"/>
  <c r="W31" i="66"/>
  <c r="W32" i="66"/>
  <c r="W33" i="66"/>
  <c r="V23" i="66"/>
  <c r="V24" i="66"/>
  <c r="V25" i="66"/>
  <c r="AA25" i="66" s="1"/>
  <c r="V26" i="66"/>
  <c r="AA26" i="66" s="1"/>
  <c r="V27" i="66"/>
  <c r="V28" i="66"/>
  <c r="V29" i="66"/>
  <c r="AA29" i="66" s="1"/>
  <c r="V30" i="66"/>
  <c r="AA30" i="66" s="1"/>
  <c r="V31" i="66"/>
  <c r="V32" i="66"/>
  <c r="V33" i="66"/>
  <c r="AA33" i="66" s="1"/>
  <c r="W22" i="66"/>
  <c r="V22" i="66"/>
  <c r="AA22" i="66" s="1"/>
  <c r="U23" i="66"/>
  <c r="U24" i="66"/>
  <c r="U25" i="66"/>
  <c r="Z25" i="66" s="1"/>
  <c r="U26" i="66"/>
  <c r="Z26" i="66" s="1"/>
  <c r="U27" i="66"/>
  <c r="U28" i="66"/>
  <c r="U29" i="66"/>
  <c r="U30" i="66"/>
  <c r="Z30" i="66" s="1"/>
  <c r="U31" i="66"/>
  <c r="U32" i="66"/>
  <c r="U33" i="66"/>
  <c r="Z33" i="66" s="1"/>
  <c r="U22" i="66"/>
  <c r="Z22" i="66" s="1"/>
  <c r="R23" i="66"/>
  <c r="S23" i="66" s="1"/>
  <c r="R24" i="66"/>
  <c r="S24" i="66" s="1"/>
  <c r="R25" i="66"/>
  <c r="S25" i="66" s="1"/>
  <c r="R26" i="66"/>
  <c r="S26" i="66" s="1"/>
  <c r="R27" i="66"/>
  <c r="S27" i="66" s="1"/>
  <c r="R28" i="66"/>
  <c r="S28" i="66" s="1"/>
  <c r="R29" i="66"/>
  <c r="S29" i="66" s="1"/>
  <c r="R30" i="66"/>
  <c r="S30" i="66" s="1"/>
  <c r="R31" i="66"/>
  <c r="S31" i="66" s="1"/>
  <c r="R32" i="66"/>
  <c r="S32" i="66" s="1"/>
  <c r="R33" i="66"/>
  <c r="S33" i="66" s="1"/>
  <c r="R22" i="66"/>
  <c r="S22" i="66" s="1"/>
  <c r="Q38" i="66"/>
  <c r="R38" i="66" s="1"/>
  <c r="S38" i="66" s="1"/>
  <c r="Q35" i="66"/>
  <c r="R35" i="66" s="1"/>
  <c r="S35" i="66" s="1"/>
  <c r="Q34" i="66"/>
  <c r="R34" i="66" s="1"/>
  <c r="S34" i="66" s="1"/>
  <c r="Y14" i="66"/>
  <c r="Y13" i="66"/>
  <c r="H7" i="66"/>
  <c r="X14" i="66"/>
  <c r="X13" i="66"/>
  <c r="J8" i="66"/>
  <c r="W13" i="66"/>
  <c r="V14" i="66"/>
  <c r="V13" i="66"/>
  <c r="AA13" i="66" s="1"/>
  <c r="U14" i="66"/>
  <c r="U13" i="66"/>
  <c r="Q15" i="66"/>
  <c r="S12" i="66"/>
  <c r="P12" i="66"/>
  <c r="W14" i="66"/>
  <c r="W17" i="66" s="1"/>
  <c r="S14" i="66"/>
  <c r="S13" i="66"/>
  <c r="H42" i="47"/>
  <c r="G86" i="44"/>
  <c r="H86" i="44" s="1"/>
  <c r="D118" i="32"/>
  <c r="E118" i="32" s="1"/>
  <c r="F118" i="32" s="1"/>
  <c r="H118" i="32"/>
  <c r="D118" i="30"/>
  <c r="E118" i="30" s="1"/>
  <c r="F118" i="30" s="1"/>
  <c r="H118" i="30"/>
  <c r="D80" i="29"/>
  <c r="E80" i="29" s="1"/>
  <c r="F80" i="29" s="1"/>
  <c r="E73" i="26"/>
  <c r="F73" i="26" s="1"/>
  <c r="R15" i="66" l="1"/>
  <c r="S15" i="66" s="1"/>
  <c r="S16" i="66" s="1"/>
  <c r="Z32" i="66"/>
  <c r="Y63" i="66"/>
  <c r="Z14" i="66"/>
  <c r="Z31" i="66"/>
  <c r="Z27" i="66"/>
  <c r="Z23" i="66"/>
  <c r="AA32" i="66"/>
  <c r="AA28" i="66"/>
  <c r="AA24" i="66"/>
  <c r="Z24" i="66"/>
  <c r="U63" i="66"/>
  <c r="V63" i="66"/>
  <c r="W63" i="66"/>
  <c r="X63" i="66"/>
  <c r="AA31" i="66"/>
  <c r="AA27" i="66"/>
  <c r="AA23" i="66"/>
  <c r="AA40" i="66" s="1"/>
  <c r="X40" i="66"/>
  <c r="AA14" i="66"/>
  <c r="AA17" i="66" s="1"/>
  <c r="X17" i="66"/>
  <c r="V40" i="66"/>
  <c r="Z29" i="66"/>
  <c r="Y40" i="66"/>
  <c r="Z13" i="66"/>
  <c r="Z17" i="66" s="1"/>
  <c r="W40" i="66"/>
  <c r="Z28" i="66"/>
  <c r="Y17" i="66"/>
  <c r="Z40" i="66"/>
  <c r="S62" i="66"/>
  <c r="Q36" i="66"/>
  <c r="Z45" i="66"/>
  <c r="Z63" i="66" s="1"/>
  <c r="U40" i="66"/>
  <c r="S40" i="66" s="1"/>
  <c r="AA45" i="66"/>
  <c r="AA63" i="66" s="1"/>
  <c r="U17" i="66"/>
  <c r="V17" i="66"/>
  <c r="S17" i="66" l="1"/>
  <c r="R68" i="66" s="1"/>
  <c r="S63" i="66"/>
  <c r="R36" i="66"/>
  <c r="S36" i="66" s="1"/>
  <c r="Q37" i="66"/>
  <c r="R37" i="66" s="1"/>
  <c r="S37" i="66" s="1"/>
  <c r="S64" i="66"/>
  <c r="G11" i="30"/>
  <c r="S18" i="66" l="1"/>
  <c r="S39" i="66"/>
  <c r="R67" i="66" s="1"/>
  <c r="E30" i="82"/>
  <c r="F30" i="82" s="1"/>
  <c r="G30" i="82" s="1"/>
  <c r="E31" i="82"/>
  <c r="F31" i="82" s="1"/>
  <c r="G31" i="82" s="1"/>
  <c r="E32" i="82"/>
  <c r="F32" i="82" s="1"/>
  <c r="G32" i="82" s="1"/>
  <c r="E33" i="82"/>
  <c r="F33" i="82" s="1"/>
  <c r="G33" i="82" s="1"/>
  <c r="E34" i="82"/>
  <c r="E29" i="82"/>
  <c r="F29" i="82" s="1"/>
  <c r="G29" i="82" s="1"/>
  <c r="H11" i="82"/>
  <c r="I34" i="82"/>
  <c r="F34" i="82"/>
  <c r="G34" i="82" s="1"/>
  <c r="I33" i="82"/>
  <c r="I32" i="82"/>
  <c r="I31" i="82"/>
  <c r="I30" i="82"/>
  <c r="I29" i="82"/>
  <c r="I28" i="82"/>
  <c r="F28" i="82"/>
  <c r="G28" i="82" s="1"/>
  <c r="I27" i="82"/>
  <c r="F27" i="82"/>
  <c r="G27" i="82" s="1"/>
  <c r="I26" i="82"/>
  <c r="F26" i="82"/>
  <c r="G26" i="82" s="1"/>
  <c r="I25" i="82"/>
  <c r="F25" i="82"/>
  <c r="G25" i="82" s="1"/>
  <c r="I24" i="82"/>
  <c r="F24" i="82"/>
  <c r="G24" i="82" s="1"/>
  <c r="I23" i="82"/>
  <c r="F23" i="82"/>
  <c r="G23" i="82" s="1"/>
  <c r="I22" i="82"/>
  <c r="F22" i="82"/>
  <c r="G22" i="82" s="1"/>
  <c r="I21" i="82"/>
  <c r="F21" i="82"/>
  <c r="G21" i="82" s="1"/>
  <c r="I20" i="82"/>
  <c r="F20" i="82"/>
  <c r="G20" i="82" s="1"/>
  <c r="I19" i="82"/>
  <c r="F19" i="82"/>
  <c r="G19" i="82" s="1"/>
  <c r="I18" i="82"/>
  <c r="F18" i="82"/>
  <c r="G18" i="82" s="1"/>
  <c r="I17" i="82"/>
  <c r="F17" i="82"/>
  <c r="G17" i="82" s="1"/>
  <c r="I16" i="82"/>
  <c r="F16" i="82"/>
  <c r="G16" i="82" s="1"/>
  <c r="I15" i="82"/>
  <c r="F15" i="82"/>
  <c r="G15" i="82" s="1"/>
  <c r="I14" i="82"/>
  <c r="F14" i="82"/>
  <c r="G14" i="82" s="1"/>
  <c r="I13" i="82"/>
  <c r="F13" i="82"/>
  <c r="G13" i="82" s="1"/>
  <c r="I12" i="82"/>
  <c r="F12" i="82"/>
  <c r="G12" i="82" s="1"/>
  <c r="I11" i="82"/>
  <c r="F11" i="82"/>
  <c r="G11" i="82" s="1"/>
  <c r="J11" i="82" s="1"/>
  <c r="S41" i="66" l="1"/>
  <c r="R69" i="66"/>
  <c r="R71" i="66" s="1"/>
  <c r="R104" i="66" s="1"/>
  <c r="H12" i="82"/>
  <c r="J12" i="82" s="1"/>
  <c r="S77" i="66" l="1"/>
  <c r="V77" i="66" l="1"/>
  <c r="H13" i="82"/>
  <c r="J13" i="82" s="1"/>
  <c r="S78" i="66" l="1"/>
  <c r="V78" i="66"/>
  <c r="S79" i="66" s="1"/>
  <c r="H14" i="82"/>
  <c r="J14" i="82" s="1"/>
  <c r="V79" i="66" l="1"/>
  <c r="S80" i="66" s="1"/>
  <c r="H15" i="82"/>
  <c r="J15" i="82" s="1"/>
  <c r="V80" i="66" l="1"/>
  <c r="S81" i="66" s="1"/>
  <c r="V81" i="66" s="1"/>
  <c r="S82" i="66" s="1"/>
  <c r="H16" i="82"/>
  <c r="J16" i="82" s="1"/>
  <c r="H41" i="47"/>
  <c r="G84" i="44"/>
  <c r="H84" i="44" s="1"/>
  <c r="G85" i="44"/>
  <c r="H85" i="44" s="1"/>
  <c r="D116" i="32"/>
  <c r="E116" i="32" s="1"/>
  <c r="F116" i="32" s="1"/>
  <c r="H116" i="32"/>
  <c r="D117" i="32"/>
  <c r="E117" i="32" s="1"/>
  <c r="F117" i="32" s="1"/>
  <c r="H117" i="32"/>
  <c r="D116" i="30"/>
  <c r="E116" i="30" s="1"/>
  <c r="F116" i="30" s="1"/>
  <c r="H116" i="30"/>
  <c r="D117" i="30"/>
  <c r="E117" i="30" s="1"/>
  <c r="F117" i="30" s="1"/>
  <c r="H117" i="30"/>
  <c r="D78" i="29"/>
  <c r="E78" i="29" s="1"/>
  <c r="F78" i="29" s="1"/>
  <c r="D79" i="29"/>
  <c r="E79" i="29" s="1"/>
  <c r="F79" i="29" s="1"/>
  <c r="E71" i="26"/>
  <c r="F71" i="26" s="1"/>
  <c r="E72" i="26"/>
  <c r="F72" i="26" s="1"/>
  <c r="H107" i="75"/>
  <c r="G107" i="75"/>
  <c r="E101" i="75"/>
  <c r="F101" i="75" s="1"/>
  <c r="F102" i="75" s="1"/>
  <c r="F104" i="75" s="1"/>
  <c r="E75" i="75"/>
  <c r="F75" i="75" s="1"/>
  <c r="E95" i="75"/>
  <c r="D95" i="75"/>
  <c r="C95" i="75"/>
  <c r="B95" i="75"/>
  <c r="E74" i="75"/>
  <c r="F74" i="75" s="1"/>
  <c r="E73" i="75"/>
  <c r="F73" i="75" s="1"/>
  <c r="E72" i="75"/>
  <c r="F72" i="75" s="1"/>
  <c r="E71" i="75"/>
  <c r="F71" i="75" s="1"/>
  <c r="G93" i="75"/>
  <c r="F93" i="75"/>
  <c r="E70" i="75"/>
  <c r="F70" i="75" s="1"/>
  <c r="G92" i="75"/>
  <c r="F92" i="75"/>
  <c r="E69" i="75"/>
  <c r="F69" i="75" s="1"/>
  <c r="G91" i="75"/>
  <c r="F91" i="75"/>
  <c r="E68" i="75"/>
  <c r="F68" i="75" s="1"/>
  <c r="G90" i="75"/>
  <c r="F90" i="75"/>
  <c r="E67" i="75"/>
  <c r="F67" i="75" s="1"/>
  <c r="G89" i="75"/>
  <c r="F89" i="75"/>
  <c r="E66" i="75"/>
  <c r="F66" i="75" s="1"/>
  <c r="G88" i="75"/>
  <c r="F88" i="75"/>
  <c r="E65" i="75"/>
  <c r="F65" i="75" s="1"/>
  <c r="G87" i="75"/>
  <c r="F87" i="75"/>
  <c r="E64" i="75"/>
  <c r="F64" i="75" s="1"/>
  <c r="G86" i="75"/>
  <c r="F86" i="75"/>
  <c r="E63" i="75"/>
  <c r="F63" i="75" s="1"/>
  <c r="G85" i="75"/>
  <c r="F85" i="75"/>
  <c r="E62" i="75"/>
  <c r="F62" i="75" s="1"/>
  <c r="G84" i="75"/>
  <c r="F84" i="75"/>
  <c r="E61" i="75"/>
  <c r="F61" i="75" s="1"/>
  <c r="G83" i="75"/>
  <c r="F83" i="75"/>
  <c r="E60" i="75"/>
  <c r="F60" i="75" s="1"/>
  <c r="G82" i="75"/>
  <c r="F82" i="75"/>
  <c r="F59" i="75"/>
  <c r="E29" i="75"/>
  <c r="F29" i="75" s="1"/>
  <c r="E52" i="75"/>
  <c r="D52" i="75"/>
  <c r="C52" i="75"/>
  <c r="B52" i="75"/>
  <c r="E28" i="75"/>
  <c r="F28" i="75" s="1"/>
  <c r="E27" i="75"/>
  <c r="F27" i="75" s="1"/>
  <c r="E26" i="75"/>
  <c r="F26" i="75" s="1"/>
  <c r="G49" i="75"/>
  <c r="F49" i="75"/>
  <c r="E25" i="75"/>
  <c r="F25" i="75" s="1"/>
  <c r="G48" i="75"/>
  <c r="F48" i="75"/>
  <c r="E24" i="75"/>
  <c r="F24" i="75" s="1"/>
  <c r="G47" i="75"/>
  <c r="F47" i="75"/>
  <c r="E23" i="75"/>
  <c r="F23" i="75" s="1"/>
  <c r="G46" i="75"/>
  <c r="F46" i="75"/>
  <c r="E22" i="75"/>
  <c r="F22" i="75" s="1"/>
  <c r="G45" i="75"/>
  <c r="F45" i="75"/>
  <c r="E21" i="75"/>
  <c r="F21" i="75" s="1"/>
  <c r="G44" i="75"/>
  <c r="F44" i="75"/>
  <c r="E20" i="75"/>
  <c r="F20" i="75" s="1"/>
  <c r="G43" i="75"/>
  <c r="F43" i="75"/>
  <c r="E19" i="75"/>
  <c r="F19" i="75" s="1"/>
  <c r="G42" i="75"/>
  <c r="F42" i="75"/>
  <c r="E18" i="75"/>
  <c r="F18" i="75" s="1"/>
  <c r="G41" i="75"/>
  <c r="F41" i="75"/>
  <c r="E17" i="75"/>
  <c r="F17" i="75" s="1"/>
  <c r="G40" i="75"/>
  <c r="F40" i="75"/>
  <c r="E16" i="75"/>
  <c r="F16" i="75" s="1"/>
  <c r="G39" i="75"/>
  <c r="F39" i="75"/>
  <c r="E15" i="75"/>
  <c r="F15" i="75" s="1"/>
  <c r="G38" i="75"/>
  <c r="F38" i="75"/>
  <c r="E14" i="75"/>
  <c r="F14" i="75" s="1"/>
  <c r="F78" i="75" l="1"/>
  <c r="F31" i="75"/>
  <c r="V82" i="66"/>
  <c r="S83" i="66" s="1"/>
  <c r="V83" i="66" s="1"/>
  <c r="S84" i="66" s="1"/>
  <c r="V84" i="66" s="1"/>
  <c r="S85" i="66" s="1"/>
  <c r="F52" i="75"/>
  <c r="G52" i="75"/>
  <c r="F95" i="75"/>
  <c r="G95" i="75"/>
  <c r="H17" i="82"/>
  <c r="J17" i="82" s="1"/>
  <c r="F30" i="75"/>
  <c r="F77" i="75"/>
  <c r="E124" i="75" l="1"/>
  <c r="E123" i="75"/>
  <c r="F79" i="75"/>
  <c r="V85" i="66"/>
  <c r="S86" i="66" s="1"/>
  <c r="H18" i="82"/>
  <c r="J18" i="82" s="1"/>
  <c r="F32" i="75"/>
  <c r="D14" i="66"/>
  <c r="E14" i="66" s="1"/>
  <c r="B17" i="72"/>
  <c r="B11" i="72"/>
  <c r="G11" i="32"/>
  <c r="I13" i="66"/>
  <c r="I12" i="66"/>
  <c r="G12" i="66"/>
  <c r="G13" i="66"/>
  <c r="E13" i="66"/>
  <c r="E12" i="66"/>
  <c r="C3" i="58"/>
  <c r="G82" i="44"/>
  <c r="H82" i="44" s="1"/>
  <c r="G83" i="44"/>
  <c r="H83" i="44" s="1"/>
  <c r="H114" i="32"/>
  <c r="H115" i="32"/>
  <c r="D115" i="32"/>
  <c r="E115" i="32" s="1"/>
  <c r="F115" i="32" s="1"/>
  <c r="D114" i="32"/>
  <c r="E114" i="32" s="1"/>
  <c r="F114" i="32" s="1"/>
  <c r="H114" i="30"/>
  <c r="H115" i="30"/>
  <c r="D115" i="30"/>
  <c r="E115" i="30" s="1"/>
  <c r="F115" i="30" s="1"/>
  <c r="D114" i="30"/>
  <c r="E114" i="30" s="1"/>
  <c r="F114" i="30" s="1"/>
  <c r="D77" i="29"/>
  <c r="E77" i="29" s="1"/>
  <c r="F77" i="29" s="1"/>
  <c r="D76" i="29"/>
  <c r="E76" i="29" s="1"/>
  <c r="F76" i="29" s="1"/>
  <c r="E69" i="26"/>
  <c r="F69" i="26" s="1"/>
  <c r="E70" i="26"/>
  <c r="F70" i="26" s="1"/>
  <c r="H69" i="26"/>
  <c r="K10" i="67"/>
  <c r="I11" i="67"/>
  <c r="J11" i="67" s="1"/>
  <c r="L10" i="67"/>
  <c r="K11" i="67"/>
  <c r="L11" i="67"/>
  <c r="G11" i="67"/>
  <c r="F11" i="67"/>
  <c r="G10" i="67"/>
  <c r="F10" i="67"/>
  <c r="D13" i="67"/>
  <c r="D11" i="67"/>
  <c r="H11" i="67" s="1"/>
  <c r="D10" i="67"/>
  <c r="I10" i="67" s="1"/>
  <c r="G81" i="44"/>
  <c r="H81" i="44" s="1"/>
  <c r="D113" i="32"/>
  <c r="E113" i="32" s="1"/>
  <c r="F113" i="32" s="1"/>
  <c r="H113" i="32"/>
  <c r="D113" i="30"/>
  <c r="E113" i="30" s="1"/>
  <c r="F113" i="30" s="1"/>
  <c r="H113" i="30"/>
  <c r="D75" i="29"/>
  <c r="E75" i="29" s="1"/>
  <c r="F75" i="29" s="1"/>
  <c r="E14" i="28"/>
  <c r="E68" i="26"/>
  <c r="F68" i="26" s="1"/>
  <c r="E67" i="26"/>
  <c r="F67" i="26" s="1"/>
  <c r="E66" i="26"/>
  <c r="F66" i="26" s="1"/>
  <c r="E65" i="26"/>
  <c r="F65" i="26" s="1"/>
  <c r="B215" i="62"/>
  <c r="E188" i="62"/>
  <c r="D211" i="62" s="1"/>
  <c r="D177" i="62"/>
  <c r="D178" i="62"/>
  <c r="D179" i="62"/>
  <c r="D180" i="62"/>
  <c r="D181" i="62"/>
  <c r="D182" i="62"/>
  <c r="D183" i="62"/>
  <c r="D184" i="62"/>
  <c r="D185" i="62"/>
  <c r="D176" i="62"/>
  <c r="J84" i="62"/>
  <c r="K84" i="62" s="1"/>
  <c r="K83" i="62"/>
  <c r="K82" i="62"/>
  <c r="K75" i="62"/>
  <c r="K76" i="62"/>
  <c r="K74" i="62"/>
  <c r="F35" i="62"/>
  <c r="D42" i="62"/>
  <c r="E42" i="62" s="1"/>
  <c r="D41" i="62"/>
  <c r="E41" i="62" s="1"/>
  <c r="D39" i="62"/>
  <c r="D38" i="62"/>
  <c r="E38" i="62" s="1"/>
  <c r="D37" i="62"/>
  <c r="E37" i="62" s="1"/>
  <c r="F15" i="62"/>
  <c r="F16" i="62"/>
  <c r="F17" i="62"/>
  <c r="F18" i="62"/>
  <c r="F19" i="62"/>
  <c r="B16" i="49"/>
  <c r="B14" i="49"/>
  <c r="C17" i="49"/>
  <c r="B15" i="49"/>
  <c r="B17" i="49" s="1"/>
  <c r="D11" i="49"/>
  <c r="C2" i="49"/>
  <c r="B3" i="49"/>
  <c r="B4" i="49"/>
  <c r="B5" i="49" s="1"/>
  <c r="H14" i="47"/>
  <c r="H15" i="47"/>
  <c r="H16" i="47"/>
  <c r="H17" i="47"/>
  <c r="H18" i="47"/>
  <c r="H19" i="47"/>
  <c r="H13" i="47"/>
  <c r="I13" i="47" s="1"/>
  <c r="I20" i="46"/>
  <c r="I19" i="46"/>
  <c r="G11" i="44"/>
  <c r="H11" i="44" s="1"/>
  <c r="G80" i="44"/>
  <c r="H80" i="44" s="1"/>
  <c r="G79" i="44"/>
  <c r="H79" i="44" s="1"/>
  <c r="G78" i="44"/>
  <c r="H78" i="44" s="1"/>
  <c r="G77" i="44"/>
  <c r="H77" i="44" s="1"/>
  <c r="G76" i="44"/>
  <c r="H76" i="44" s="1"/>
  <c r="G75" i="44"/>
  <c r="H75" i="44" s="1"/>
  <c r="G74" i="44"/>
  <c r="H74" i="44" s="1"/>
  <c r="G73" i="44"/>
  <c r="H73" i="44" s="1"/>
  <c r="G72" i="44"/>
  <c r="H72" i="44" s="1"/>
  <c r="G71" i="44"/>
  <c r="H71" i="44" s="1"/>
  <c r="G70" i="44"/>
  <c r="H70" i="44" s="1"/>
  <c r="G69" i="44"/>
  <c r="H69" i="44" s="1"/>
  <c r="G68" i="44"/>
  <c r="H68" i="44" s="1"/>
  <c r="G67" i="44"/>
  <c r="H67" i="44" s="1"/>
  <c r="G66" i="44"/>
  <c r="H66" i="44" s="1"/>
  <c r="G65" i="44"/>
  <c r="H65" i="44" s="1"/>
  <c r="G64" i="44"/>
  <c r="H64" i="44" s="1"/>
  <c r="G63" i="44"/>
  <c r="H63" i="44" s="1"/>
  <c r="G62" i="44"/>
  <c r="H62" i="44" s="1"/>
  <c r="G61" i="44"/>
  <c r="H61" i="44" s="1"/>
  <c r="G60" i="44"/>
  <c r="H60" i="44" s="1"/>
  <c r="G59" i="44"/>
  <c r="H59" i="44" s="1"/>
  <c r="G58" i="44"/>
  <c r="H58" i="44" s="1"/>
  <c r="G57" i="44"/>
  <c r="H57" i="44" s="1"/>
  <c r="G56" i="44"/>
  <c r="H56" i="44" s="1"/>
  <c r="G55" i="44"/>
  <c r="H55" i="44" s="1"/>
  <c r="G54" i="44"/>
  <c r="H54" i="44" s="1"/>
  <c r="G53" i="44"/>
  <c r="H53" i="44" s="1"/>
  <c r="G52" i="44"/>
  <c r="H52" i="44" s="1"/>
  <c r="G51" i="44"/>
  <c r="H51" i="44" s="1"/>
  <c r="G50" i="44"/>
  <c r="H50" i="44" s="1"/>
  <c r="G49" i="44"/>
  <c r="H49" i="44" s="1"/>
  <c r="G48" i="44"/>
  <c r="H48" i="44" s="1"/>
  <c r="G47" i="44"/>
  <c r="H47" i="44" s="1"/>
  <c r="G46" i="44"/>
  <c r="H46" i="44" s="1"/>
  <c r="G45" i="44"/>
  <c r="H45" i="44" s="1"/>
  <c r="G44" i="44"/>
  <c r="H44" i="44" s="1"/>
  <c r="G43" i="44"/>
  <c r="H43" i="44" s="1"/>
  <c r="G42" i="44"/>
  <c r="H42" i="44" s="1"/>
  <c r="G41" i="44"/>
  <c r="H41" i="44" s="1"/>
  <c r="G40" i="44"/>
  <c r="H40" i="44" s="1"/>
  <c r="G39" i="44"/>
  <c r="H39" i="44" s="1"/>
  <c r="G38" i="44"/>
  <c r="H38" i="44" s="1"/>
  <c r="G37" i="44"/>
  <c r="H37" i="44" s="1"/>
  <c r="G36" i="44"/>
  <c r="H36" i="44" s="1"/>
  <c r="G35" i="44"/>
  <c r="H35" i="44" s="1"/>
  <c r="G34" i="44"/>
  <c r="H34" i="44" s="1"/>
  <c r="G33" i="44"/>
  <c r="H33" i="44" s="1"/>
  <c r="G32" i="44"/>
  <c r="H32" i="44" s="1"/>
  <c r="G31" i="44"/>
  <c r="H31" i="44" s="1"/>
  <c r="G30" i="44"/>
  <c r="H30" i="44" s="1"/>
  <c r="G29" i="44"/>
  <c r="H29" i="44" s="1"/>
  <c r="G28" i="44"/>
  <c r="H28" i="44" s="1"/>
  <c r="G27" i="44"/>
  <c r="H27" i="44" s="1"/>
  <c r="G26" i="44"/>
  <c r="H26" i="44" s="1"/>
  <c r="G25" i="44"/>
  <c r="H25" i="44" s="1"/>
  <c r="G24" i="44"/>
  <c r="H24" i="44" s="1"/>
  <c r="G23" i="44"/>
  <c r="H23" i="44" s="1"/>
  <c r="G22" i="44"/>
  <c r="H22" i="44" s="1"/>
  <c r="G21" i="44"/>
  <c r="H21" i="44" s="1"/>
  <c r="G20" i="44"/>
  <c r="H20" i="44" s="1"/>
  <c r="G19" i="44"/>
  <c r="H19" i="44" s="1"/>
  <c r="G18" i="44"/>
  <c r="H18" i="44" s="1"/>
  <c r="G17" i="44"/>
  <c r="H17" i="44" s="1"/>
  <c r="G16" i="44"/>
  <c r="H16" i="44" s="1"/>
  <c r="G15" i="44"/>
  <c r="H15" i="44" s="1"/>
  <c r="G14" i="44"/>
  <c r="H14" i="44" s="1"/>
  <c r="G13" i="44"/>
  <c r="H13" i="44" s="1"/>
  <c r="G14" i="41"/>
  <c r="E14" i="41"/>
  <c r="G13" i="41"/>
  <c r="E13" i="41"/>
  <c r="G12" i="41"/>
  <c r="E12" i="41"/>
  <c r="G11" i="41"/>
  <c r="E11" i="41"/>
  <c r="E10" i="41"/>
  <c r="G10" i="41"/>
  <c r="F14" i="41"/>
  <c r="H11" i="32"/>
  <c r="H12" i="32"/>
  <c r="H14" i="32"/>
  <c r="H15" i="32"/>
  <c r="H16" i="32"/>
  <c r="H17" i="32"/>
  <c r="H18" i="32"/>
  <c r="H19" i="32"/>
  <c r="H20" i="32"/>
  <c r="H21" i="32"/>
  <c r="H22" i="32"/>
  <c r="H23" i="32"/>
  <c r="H24" i="32"/>
  <c r="H25" i="32"/>
  <c r="H26" i="32"/>
  <c r="H27" i="32"/>
  <c r="H28" i="32"/>
  <c r="H29" i="32"/>
  <c r="H30" i="32"/>
  <c r="H31" i="32"/>
  <c r="H32" i="32"/>
  <c r="H33" i="32"/>
  <c r="H34" i="32"/>
  <c r="H35" i="32"/>
  <c r="H36" i="32"/>
  <c r="H37" i="32"/>
  <c r="H38" i="32"/>
  <c r="H39" i="32"/>
  <c r="H40" i="32"/>
  <c r="H41" i="32"/>
  <c r="H42" i="32"/>
  <c r="H43" i="32"/>
  <c r="H44" i="32"/>
  <c r="H45" i="32"/>
  <c r="H46" i="32"/>
  <c r="H47" i="32"/>
  <c r="H48" i="32"/>
  <c r="H49" i="32"/>
  <c r="H50" i="32"/>
  <c r="H51" i="32"/>
  <c r="H52" i="32"/>
  <c r="H53" i="32"/>
  <c r="H54" i="32"/>
  <c r="H55" i="32"/>
  <c r="H56" i="32"/>
  <c r="H57" i="32"/>
  <c r="H58" i="32"/>
  <c r="H59" i="32"/>
  <c r="H60" i="32"/>
  <c r="H61" i="32"/>
  <c r="H62" i="32"/>
  <c r="H63" i="32"/>
  <c r="H64" i="32"/>
  <c r="H65" i="32"/>
  <c r="H66" i="32"/>
  <c r="H67" i="32"/>
  <c r="H68" i="32"/>
  <c r="H69" i="32"/>
  <c r="H70" i="32"/>
  <c r="H71" i="32"/>
  <c r="H72" i="32"/>
  <c r="H73" i="32"/>
  <c r="H74" i="32"/>
  <c r="H75" i="32"/>
  <c r="H76" i="32"/>
  <c r="H77" i="32"/>
  <c r="H78" i="32"/>
  <c r="H79" i="32"/>
  <c r="H80" i="32"/>
  <c r="H81" i="32"/>
  <c r="H82" i="32"/>
  <c r="H83" i="32"/>
  <c r="H84" i="32"/>
  <c r="H85" i="32"/>
  <c r="H86" i="32"/>
  <c r="H87" i="32"/>
  <c r="H88" i="32"/>
  <c r="H89" i="32"/>
  <c r="H90" i="32"/>
  <c r="H91" i="32"/>
  <c r="H92" i="32"/>
  <c r="H93" i="32"/>
  <c r="H94" i="32"/>
  <c r="H95" i="32"/>
  <c r="H96" i="32"/>
  <c r="H97" i="32"/>
  <c r="H98" i="32"/>
  <c r="H99" i="32"/>
  <c r="H100" i="32"/>
  <c r="H101" i="32"/>
  <c r="H102" i="32"/>
  <c r="H103" i="32"/>
  <c r="H104" i="32"/>
  <c r="H105" i="32"/>
  <c r="H106" i="32"/>
  <c r="H107" i="32"/>
  <c r="H108" i="32"/>
  <c r="H109" i="32"/>
  <c r="H110" i="32"/>
  <c r="H111" i="32"/>
  <c r="H112" i="32"/>
  <c r="H13" i="32"/>
  <c r="D104" i="32"/>
  <c r="E104" i="32" s="1"/>
  <c r="F104" i="32" s="1"/>
  <c r="D105" i="32"/>
  <c r="E105" i="32"/>
  <c r="F105" i="32" s="1"/>
  <c r="D106" i="32"/>
  <c r="E106" i="32" s="1"/>
  <c r="F106" i="32" s="1"/>
  <c r="D107" i="32"/>
  <c r="E107" i="32" s="1"/>
  <c r="F107" i="32" s="1"/>
  <c r="D108" i="32"/>
  <c r="E108" i="32" s="1"/>
  <c r="F108" i="32" s="1"/>
  <c r="D109" i="32"/>
  <c r="E109" i="32" s="1"/>
  <c r="F109" i="32" s="1"/>
  <c r="D110" i="32"/>
  <c r="E110" i="32" s="1"/>
  <c r="F110" i="32" s="1"/>
  <c r="D111" i="32"/>
  <c r="E111" i="32" s="1"/>
  <c r="F111" i="32" s="1"/>
  <c r="D112" i="32"/>
  <c r="E112" i="32" s="1"/>
  <c r="F112" i="32" s="1"/>
  <c r="H105" i="30"/>
  <c r="H106" i="30"/>
  <c r="H107" i="30"/>
  <c r="H108" i="30"/>
  <c r="H109" i="30"/>
  <c r="H110" i="30"/>
  <c r="H111" i="30"/>
  <c r="H112" i="30"/>
  <c r="D105" i="30"/>
  <c r="E105" i="30" s="1"/>
  <c r="F105" i="30" s="1"/>
  <c r="D106" i="30"/>
  <c r="E106" i="30" s="1"/>
  <c r="F106" i="30" s="1"/>
  <c r="D107" i="30"/>
  <c r="E107" i="30" s="1"/>
  <c r="F107" i="30" s="1"/>
  <c r="D108" i="30"/>
  <c r="E108" i="30" s="1"/>
  <c r="F108" i="30" s="1"/>
  <c r="D109" i="30"/>
  <c r="E109" i="30" s="1"/>
  <c r="F109" i="30" s="1"/>
  <c r="D110" i="30"/>
  <c r="E110" i="30" s="1"/>
  <c r="F110" i="30" s="1"/>
  <c r="D111" i="30"/>
  <c r="E111" i="30" s="1"/>
  <c r="F111" i="30" s="1"/>
  <c r="D112" i="30"/>
  <c r="E112" i="30" s="1"/>
  <c r="F112" i="30" s="1"/>
  <c r="D67" i="29"/>
  <c r="E67" i="29" s="1"/>
  <c r="F67" i="29" s="1"/>
  <c r="D68" i="29"/>
  <c r="E68" i="29" s="1"/>
  <c r="F68" i="29" s="1"/>
  <c r="D69" i="29"/>
  <c r="E69" i="29" s="1"/>
  <c r="F69" i="29" s="1"/>
  <c r="D70" i="29"/>
  <c r="E70" i="29" s="1"/>
  <c r="F70" i="29" s="1"/>
  <c r="D71" i="29"/>
  <c r="E71" i="29" s="1"/>
  <c r="F71" i="29" s="1"/>
  <c r="D72" i="29"/>
  <c r="E72" i="29" s="1"/>
  <c r="F72" i="29" s="1"/>
  <c r="D73" i="29"/>
  <c r="E73" i="29" s="1"/>
  <c r="F73" i="29" s="1"/>
  <c r="D74" i="29"/>
  <c r="E74" i="29" s="1"/>
  <c r="F74" i="29" s="1"/>
  <c r="B19" i="28"/>
  <c r="E59" i="26"/>
  <c r="F59" i="26" s="1"/>
  <c r="E60" i="26"/>
  <c r="F60" i="26" s="1"/>
  <c r="E61" i="26"/>
  <c r="F61" i="26" s="1"/>
  <c r="E62" i="26"/>
  <c r="F62" i="26" s="1"/>
  <c r="E63" i="26"/>
  <c r="F63" i="26" s="1"/>
  <c r="E64" i="26"/>
  <c r="F64" i="26" s="1"/>
  <c r="C5" i="24"/>
  <c r="H11" i="30"/>
  <c r="H13" i="30"/>
  <c r="H14" i="30"/>
  <c r="H15" i="30"/>
  <c r="H16" i="30"/>
  <c r="H17" i="30"/>
  <c r="H18" i="30"/>
  <c r="H19" i="30"/>
  <c r="H20" i="30"/>
  <c r="H21" i="30"/>
  <c r="H22" i="30"/>
  <c r="H23" i="30"/>
  <c r="H24" i="30"/>
  <c r="H25" i="30"/>
  <c r="H26" i="30"/>
  <c r="H27" i="30"/>
  <c r="H28" i="30"/>
  <c r="H29" i="30"/>
  <c r="H30" i="30"/>
  <c r="H31" i="30"/>
  <c r="H32" i="30"/>
  <c r="H33" i="30"/>
  <c r="H34" i="30"/>
  <c r="H35" i="30"/>
  <c r="H36" i="30"/>
  <c r="H37" i="30"/>
  <c r="H38" i="30"/>
  <c r="H39" i="30"/>
  <c r="H40" i="30"/>
  <c r="H41" i="30"/>
  <c r="H42" i="30"/>
  <c r="H43" i="30"/>
  <c r="H44" i="30"/>
  <c r="H45" i="30"/>
  <c r="H46" i="30"/>
  <c r="H47" i="30"/>
  <c r="H48" i="30"/>
  <c r="H49" i="30"/>
  <c r="H50" i="30"/>
  <c r="H51" i="30"/>
  <c r="H52" i="30"/>
  <c r="H53" i="30"/>
  <c r="H54" i="30"/>
  <c r="H55" i="30"/>
  <c r="H56" i="30"/>
  <c r="H57" i="30"/>
  <c r="H58" i="30"/>
  <c r="H59" i="30"/>
  <c r="H60" i="30"/>
  <c r="H61" i="30"/>
  <c r="H62" i="30"/>
  <c r="H63" i="30"/>
  <c r="H64" i="30"/>
  <c r="H65" i="30"/>
  <c r="H66" i="30"/>
  <c r="H67" i="30"/>
  <c r="H68" i="30"/>
  <c r="H69" i="30"/>
  <c r="H70" i="30"/>
  <c r="H71" i="30"/>
  <c r="H72" i="30"/>
  <c r="H73" i="30"/>
  <c r="H74" i="30"/>
  <c r="H75" i="30"/>
  <c r="H76" i="30"/>
  <c r="H77" i="30"/>
  <c r="H78" i="30"/>
  <c r="H79" i="30"/>
  <c r="H80" i="30"/>
  <c r="H81" i="30"/>
  <c r="H82" i="30"/>
  <c r="H83" i="30"/>
  <c r="H84" i="30"/>
  <c r="H85" i="30"/>
  <c r="H86" i="30"/>
  <c r="H87" i="30"/>
  <c r="H88" i="30"/>
  <c r="H89" i="30"/>
  <c r="H90" i="30"/>
  <c r="H91" i="30"/>
  <c r="H92" i="30"/>
  <c r="H93" i="30"/>
  <c r="H94" i="30"/>
  <c r="H95" i="30"/>
  <c r="H96" i="30"/>
  <c r="H97" i="30"/>
  <c r="H98" i="30"/>
  <c r="H99" i="30"/>
  <c r="H100" i="30"/>
  <c r="H101" i="30"/>
  <c r="H102" i="30"/>
  <c r="H103" i="30"/>
  <c r="H104" i="30"/>
  <c r="H12" i="30"/>
  <c r="D104" i="30"/>
  <c r="E104" i="30" s="1"/>
  <c r="F104" i="30" s="1"/>
  <c r="B4" i="29"/>
  <c r="F10" i="28"/>
  <c r="H10" i="28" s="1"/>
  <c r="B3" i="23"/>
  <c r="E12" i="32"/>
  <c r="F12" i="32" s="1"/>
  <c r="E13" i="32"/>
  <c r="F13" i="32" s="1"/>
  <c r="E14" i="32"/>
  <c r="F14" i="32" s="1"/>
  <c r="E15" i="32"/>
  <c r="F15" i="32" s="1"/>
  <c r="E16" i="32"/>
  <c r="F16" i="32" s="1"/>
  <c r="E17" i="32"/>
  <c r="F17" i="32" s="1"/>
  <c r="E18" i="32"/>
  <c r="F18" i="32" s="1"/>
  <c r="E19" i="32"/>
  <c r="F19" i="32" s="1"/>
  <c r="E20" i="32"/>
  <c r="F20" i="32" s="1"/>
  <c r="F11" i="32"/>
  <c r="D21" i="32"/>
  <c r="E21" i="32" s="1"/>
  <c r="F21" i="32" s="1"/>
  <c r="D22" i="32"/>
  <c r="E22" i="32" s="1"/>
  <c r="F22" i="32" s="1"/>
  <c r="D23" i="32"/>
  <c r="E23" i="32" s="1"/>
  <c r="F23" i="32" s="1"/>
  <c r="D24" i="32"/>
  <c r="E24" i="32" s="1"/>
  <c r="F24" i="32" s="1"/>
  <c r="D25" i="32"/>
  <c r="E25" i="32" s="1"/>
  <c r="F25" i="32" s="1"/>
  <c r="D26" i="32"/>
  <c r="E26" i="32" s="1"/>
  <c r="F26" i="32" s="1"/>
  <c r="D27" i="32"/>
  <c r="E27" i="32" s="1"/>
  <c r="F27" i="32" s="1"/>
  <c r="D28" i="32"/>
  <c r="E28" i="32" s="1"/>
  <c r="F28" i="32" s="1"/>
  <c r="D29" i="32"/>
  <c r="E29" i="32" s="1"/>
  <c r="F29" i="32" s="1"/>
  <c r="D30" i="32"/>
  <c r="E30" i="32" s="1"/>
  <c r="F30" i="32" s="1"/>
  <c r="D31" i="32"/>
  <c r="E31" i="32" s="1"/>
  <c r="F31" i="32" s="1"/>
  <c r="D32" i="32"/>
  <c r="E32" i="32" s="1"/>
  <c r="F32" i="32" s="1"/>
  <c r="D33" i="32"/>
  <c r="E33" i="32" s="1"/>
  <c r="F33" i="32" s="1"/>
  <c r="D34" i="32"/>
  <c r="E34" i="32" s="1"/>
  <c r="F34" i="32" s="1"/>
  <c r="D35" i="32"/>
  <c r="E35" i="32" s="1"/>
  <c r="F35" i="32" s="1"/>
  <c r="D36" i="32"/>
  <c r="E36" i="32" s="1"/>
  <c r="F36" i="32" s="1"/>
  <c r="D37" i="32"/>
  <c r="E37" i="32" s="1"/>
  <c r="F37" i="32" s="1"/>
  <c r="D38" i="32"/>
  <c r="E38" i="32" s="1"/>
  <c r="F38" i="32" s="1"/>
  <c r="D39" i="32"/>
  <c r="E39" i="32" s="1"/>
  <c r="F39" i="32" s="1"/>
  <c r="D40" i="32"/>
  <c r="E40" i="32" s="1"/>
  <c r="F40" i="32" s="1"/>
  <c r="D41" i="32"/>
  <c r="E41" i="32" s="1"/>
  <c r="F41" i="32" s="1"/>
  <c r="D42" i="32"/>
  <c r="E42" i="32" s="1"/>
  <c r="F42" i="32" s="1"/>
  <c r="D43" i="32"/>
  <c r="E43" i="32" s="1"/>
  <c r="F43" i="32" s="1"/>
  <c r="D44" i="32"/>
  <c r="E44" i="32" s="1"/>
  <c r="F44" i="32" s="1"/>
  <c r="D45" i="32"/>
  <c r="E45" i="32" s="1"/>
  <c r="F45" i="32" s="1"/>
  <c r="D46" i="32"/>
  <c r="E46" i="32" s="1"/>
  <c r="F46" i="32" s="1"/>
  <c r="D47" i="32"/>
  <c r="E47" i="32" s="1"/>
  <c r="F47" i="32" s="1"/>
  <c r="D48" i="32"/>
  <c r="E48" i="32" s="1"/>
  <c r="F48" i="32" s="1"/>
  <c r="D49" i="32"/>
  <c r="E49" i="32" s="1"/>
  <c r="F49" i="32" s="1"/>
  <c r="D50" i="32"/>
  <c r="E50" i="32" s="1"/>
  <c r="F50" i="32" s="1"/>
  <c r="D51" i="32"/>
  <c r="E51" i="32" s="1"/>
  <c r="F51" i="32" s="1"/>
  <c r="D52" i="32"/>
  <c r="E52" i="32" s="1"/>
  <c r="F52" i="32" s="1"/>
  <c r="D53" i="32"/>
  <c r="E53" i="32" s="1"/>
  <c r="F53" i="32" s="1"/>
  <c r="D54" i="32"/>
  <c r="E54" i="32" s="1"/>
  <c r="F54" i="32" s="1"/>
  <c r="D55" i="32"/>
  <c r="E55" i="32" s="1"/>
  <c r="F55" i="32" s="1"/>
  <c r="D56" i="32"/>
  <c r="E56" i="32" s="1"/>
  <c r="F56" i="32" s="1"/>
  <c r="D57" i="32"/>
  <c r="E57" i="32" s="1"/>
  <c r="F57" i="32" s="1"/>
  <c r="D58" i="32"/>
  <c r="E58" i="32" s="1"/>
  <c r="F58" i="32" s="1"/>
  <c r="D59" i="32"/>
  <c r="E59" i="32" s="1"/>
  <c r="F59" i="32" s="1"/>
  <c r="D60" i="32"/>
  <c r="E60" i="32" s="1"/>
  <c r="F60" i="32" s="1"/>
  <c r="D61" i="32"/>
  <c r="E61" i="32" s="1"/>
  <c r="F61" i="32" s="1"/>
  <c r="D62" i="32"/>
  <c r="E62" i="32" s="1"/>
  <c r="F62" i="32" s="1"/>
  <c r="D63" i="32"/>
  <c r="E63" i="32" s="1"/>
  <c r="F63" i="32" s="1"/>
  <c r="D64" i="32"/>
  <c r="E64" i="32" s="1"/>
  <c r="F64" i="32" s="1"/>
  <c r="D65" i="32"/>
  <c r="E65" i="32" s="1"/>
  <c r="F65" i="32" s="1"/>
  <c r="D66" i="32"/>
  <c r="E66" i="32" s="1"/>
  <c r="F66" i="32" s="1"/>
  <c r="D67" i="32"/>
  <c r="E67" i="32" s="1"/>
  <c r="F67" i="32" s="1"/>
  <c r="D68" i="32"/>
  <c r="E68" i="32" s="1"/>
  <c r="F68" i="32" s="1"/>
  <c r="D69" i="32"/>
  <c r="E69" i="32" s="1"/>
  <c r="F69" i="32" s="1"/>
  <c r="D70" i="32"/>
  <c r="E70" i="32" s="1"/>
  <c r="F70" i="32" s="1"/>
  <c r="D71" i="32"/>
  <c r="E71" i="32" s="1"/>
  <c r="F71" i="32" s="1"/>
  <c r="D72" i="32"/>
  <c r="E72" i="32" s="1"/>
  <c r="F72" i="32" s="1"/>
  <c r="D73" i="32"/>
  <c r="E73" i="32" s="1"/>
  <c r="F73" i="32" s="1"/>
  <c r="D74" i="32"/>
  <c r="E74" i="32" s="1"/>
  <c r="F74" i="32" s="1"/>
  <c r="D75" i="32"/>
  <c r="E75" i="32" s="1"/>
  <c r="F75" i="32" s="1"/>
  <c r="D76" i="32"/>
  <c r="E76" i="32" s="1"/>
  <c r="F76" i="32" s="1"/>
  <c r="D77" i="32"/>
  <c r="E77" i="32" s="1"/>
  <c r="F77" i="32" s="1"/>
  <c r="D78" i="32"/>
  <c r="E78" i="32" s="1"/>
  <c r="F78" i="32" s="1"/>
  <c r="D79" i="32"/>
  <c r="E79" i="32" s="1"/>
  <c r="F79" i="32" s="1"/>
  <c r="D80" i="32"/>
  <c r="E80" i="32" s="1"/>
  <c r="F80" i="32" s="1"/>
  <c r="D81" i="32"/>
  <c r="E81" i="32" s="1"/>
  <c r="F81" i="32" s="1"/>
  <c r="D82" i="32"/>
  <c r="E82" i="32" s="1"/>
  <c r="F82" i="32" s="1"/>
  <c r="D83" i="32"/>
  <c r="E83" i="32" s="1"/>
  <c r="F83" i="32" s="1"/>
  <c r="D84" i="32"/>
  <c r="E84" i="32" s="1"/>
  <c r="F84" i="32" s="1"/>
  <c r="D85" i="32"/>
  <c r="E85" i="32" s="1"/>
  <c r="F85" i="32" s="1"/>
  <c r="D86" i="32"/>
  <c r="E86" i="32" s="1"/>
  <c r="F86" i="32" s="1"/>
  <c r="D87" i="32"/>
  <c r="E87" i="32" s="1"/>
  <c r="F87" i="32" s="1"/>
  <c r="D88" i="32"/>
  <c r="E88" i="32" s="1"/>
  <c r="F88" i="32" s="1"/>
  <c r="D89" i="32"/>
  <c r="E89" i="32" s="1"/>
  <c r="F89" i="32" s="1"/>
  <c r="D90" i="32"/>
  <c r="E90" i="32" s="1"/>
  <c r="F90" i="32" s="1"/>
  <c r="D91" i="32"/>
  <c r="E91" i="32" s="1"/>
  <c r="F91" i="32" s="1"/>
  <c r="D92" i="32"/>
  <c r="E92" i="32" s="1"/>
  <c r="F92" i="32" s="1"/>
  <c r="D93" i="32"/>
  <c r="E93" i="32" s="1"/>
  <c r="F93" i="32" s="1"/>
  <c r="D94" i="32"/>
  <c r="E94" i="32" s="1"/>
  <c r="F94" i="32" s="1"/>
  <c r="D95" i="32"/>
  <c r="E95" i="32" s="1"/>
  <c r="F95" i="32" s="1"/>
  <c r="D96" i="32"/>
  <c r="E96" i="32" s="1"/>
  <c r="F96" i="32" s="1"/>
  <c r="D97" i="32"/>
  <c r="E97" i="32" s="1"/>
  <c r="F97" i="32" s="1"/>
  <c r="D98" i="32"/>
  <c r="E98" i="32" s="1"/>
  <c r="F98" i="32" s="1"/>
  <c r="D99" i="32"/>
  <c r="E99" i="32" s="1"/>
  <c r="F99" i="32" s="1"/>
  <c r="D100" i="32"/>
  <c r="E100" i="32"/>
  <c r="F100" i="32" s="1"/>
  <c r="D101" i="32"/>
  <c r="E101" i="32" s="1"/>
  <c r="F101" i="32" s="1"/>
  <c r="D102" i="32"/>
  <c r="E102" i="32" s="1"/>
  <c r="F102" i="32" s="1"/>
  <c r="D103" i="32"/>
  <c r="E103" i="32" s="1"/>
  <c r="F103" i="32" s="1"/>
  <c r="D65" i="29"/>
  <c r="E65" i="29" s="1"/>
  <c r="F65" i="29" s="1"/>
  <c r="D66" i="29"/>
  <c r="E66" i="29" s="1"/>
  <c r="F66" i="29" s="1"/>
  <c r="E45" i="26"/>
  <c r="F45" i="26" s="1"/>
  <c r="E58" i="26"/>
  <c r="F58" i="26" s="1"/>
  <c r="D99" i="30"/>
  <c r="E99" i="30" s="1"/>
  <c r="F99" i="30" s="1"/>
  <c r="D100" i="30"/>
  <c r="E100" i="30" s="1"/>
  <c r="F100" i="30" s="1"/>
  <c r="D101" i="30"/>
  <c r="E101" i="30" s="1"/>
  <c r="F101" i="30" s="1"/>
  <c r="D102" i="30"/>
  <c r="E102" i="30" s="1"/>
  <c r="F102" i="30" s="1"/>
  <c r="D103" i="30"/>
  <c r="E103" i="30" s="1"/>
  <c r="F103" i="30" s="1"/>
  <c r="D35" i="30"/>
  <c r="E35" i="30" s="1"/>
  <c r="F35" i="30" s="1"/>
  <c r="D36" i="30"/>
  <c r="E36" i="30" s="1"/>
  <c r="F36" i="30" s="1"/>
  <c r="D37" i="30"/>
  <c r="E37" i="30" s="1"/>
  <c r="F37" i="30" s="1"/>
  <c r="D38" i="30"/>
  <c r="E38" i="30" s="1"/>
  <c r="F38" i="30" s="1"/>
  <c r="D39" i="30"/>
  <c r="E39" i="30" s="1"/>
  <c r="F39" i="30" s="1"/>
  <c r="D40" i="30"/>
  <c r="E40" i="30" s="1"/>
  <c r="F40" i="30" s="1"/>
  <c r="D41" i="30"/>
  <c r="E41" i="30" s="1"/>
  <c r="F41" i="30" s="1"/>
  <c r="D42" i="30"/>
  <c r="E42" i="30" s="1"/>
  <c r="F42" i="30" s="1"/>
  <c r="D43" i="30"/>
  <c r="E43" i="30" s="1"/>
  <c r="F43" i="30" s="1"/>
  <c r="D44" i="30"/>
  <c r="E44" i="30" s="1"/>
  <c r="F44" i="30" s="1"/>
  <c r="D45" i="30"/>
  <c r="E45" i="30" s="1"/>
  <c r="F45" i="30" s="1"/>
  <c r="D46" i="30"/>
  <c r="E46" i="30" s="1"/>
  <c r="F46" i="30" s="1"/>
  <c r="D47" i="30"/>
  <c r="E47" i="30" s="1"/>
  <c r="F47" i="30" s="1"/>
  <c r="D48" i="30"/>
  <c r="E48" i="30" s="1"/>
  <c r="F48" i="30" s="1"/>
  <c r="D49" i="30"/>
  <c r="E49" i="30" s="1"/>
  <c r="F49" i="30" s="1"/>
  <c r="D50" i="30"/>
  <c r="E50" i="30" s="1"/>
  <c r="F50" i="30" s="1"/>
  <c r="D51" i="30"/>
  <c r="E51" i="30" s="1"/>
  <c r="F51" i="30" s="1"/>
  <c r="D52" i="30"/>
  <c r="E52" i="30" s="1"/>
  <c r="F52" i="30" s="1"/>
  <c r="D53" i="30"/>
  <c r="E53" i="30" s="1"/>
  <c r="F53" i="30" s="1"/>
  <c r="D54" i="30"/>
  <c r="E54" i="30" s="1"/>
  <c r="F54" i="30"/>
  <c r="D55" i="30"/>
  <c r="E55" i="30" s="1"/>
  <c r="F55" i="30" s="1"/>
  <c r="D56" i="30"/>
  <c r="E56" i="30" s="1"/>
  <c r="F56" i="30" s="1"/>
  <c r="D57" i="30"/>
  <c r="E57" i="30" s="1"/>
  <c r="F57" i="30" s="1"/>
  <c r="D58" i="30"/>
  <c r="E58" i="30" s="1"/>
  <c r="F58" i="30" s="1"/>
  <c r="D59" i="30"/>
  <c r="E59" i="30"/>
  <c r="F59" i="30" s="1"/>
  <c r="D60" i="30"/>
  <c r="E60" i="30" s="1"/>
  <c r="F60" i="30" s="1"/>
  <c r="D61" i="30"/>
  <c r="E61" i="30" s="1"/>
  <c r="F61" i="30" s="1"/>
  <c r="D62" i="30"/>
  <c r="E62" i="30" s="1"/>
  <c r="F62" i="30" s="1"/>
  <c r="D63" i="30"/>
  <c r="E63" i="30" s="1"/>
  <c r="F63" i="30" s="1"/>
  <c r="D64" i="30"/>
  <c r="E64" i="30" s="1"/>
  <c r="F64" i="30" s="1"/>
  <c r="D65" i="30"/>
  <c r="E65" i="30" s="1"/>
  <c r="F65" i="30" s="1"/>
  <c r="D66" i="30"/>
  <c r="E66" i="30" s="1"/>
  <c r="F66" i="30" s="1"/>
  <c r="D67" i="30"/>
  <c r="E67" i="30" s="1"/>
  <c r="F67" i="30" s="1"/>
  <c r="D68" i="30"/>
  <c r="E68" i="30" s="1"/>
  <c r="F68" i="30" s="1"/>
  <c r="D69" i="30"/>
  <c r="E69" i="30" s="1"/>
  <c r="F69" i="30" s="1"/>
  <c r="D70" i="30"/>
  <c r="E70" i="30" s="1"/>
  <c r="F70" i="30" s="1"/>
  <c r="D71" i="30"/>
  <c r="E71" i="30" s="1"/>
  <c r="F71" i="30" s="1"/>
  <c r="D72" i="30"/>
  <c r="E72" i="30" s="1"/>
  <c r="F72" i="30" s="1"/>
  <c r="D73" i="30"/>
  <c r="E73" i="30" s="1"/>
  <c r="F73" i="30" s="1"/>
  <c r="D74" i="30"/>
  <c r="E74" i="30" s="1"/>
  <c r="F74" i="30" s="1"/>
  <c r="D75" i="30"/>
  <c r="E75" i="30" s="1"/>
  <c r="F75" i="30" s="1"/>
  <c r="D76" i="30"/>
  <c r="E76" i="30" s="1"/>
  <c r="F76" i="30" s="1"/>
  <c r="D77" i="30"/>
  <c r="E77" i="30" s="1"/>
  <c r="F77" i="30" s="1"/>
  <c r="D78" i="30"/>
  <c r="E78" i="30" s="1"/>
  <c r="F78" i="30" s="1"/>
  <c r="D79" i="30"/>
  <c r="E79" i="30" s="1"/>
  <c r="F79" i="30" s="1"/>
  <c r="D80" i="30"/>
  <c r="E80" i="30" s="1"/>
  <c r="F80" i="30" s="1"/>
  <c r="D81" i="30"/>
  <c r="E81" i="30" s="1"/>
  <c r="F81" i="30" s="1"/>
  <c r="D82" i="30"/>
  <c r="E82" i="30" s="1"/>
  <c r="F82" i="30" s="1"/>
  <c r="D83" i="30"/>
  <c r="E83" i="30" s="1"/>
  <c r="F83" i="30" s="1"/>
  <c r="D84" i="30"/>
  <c r="E84" i="30" s="1"/>
  <c r="F84" i="30" s="1"/>
  <c r="D85" i="30"/>
  <c r="E85" i="30" s="1"/>
  <c r="F85" i="30" s="1"/>
  <c r="D86" i="30"/>
  <c r="E86" i="30" s="1"/>
  <c r="F86" i="30" s="1"/>
  <c r="D87" i="30"/>
  <c r="E87" i="30" s="1"/>
  <c r="F87" i="30" s="1"/>
  <c r="D88" i="30"/>
  <c r="E88" i="30" s="1"/>
  <c r="F88" i="30" s="1"/>
  <c r="D89" i="30"/>
  <c r="E89" i="30" s="1"/>
  <c r="F89" i="30" s="1"/>
  <c r="D90" i="30"/>
  <c r="E90" i="30" s="1"/>
  <c r="F90" i="30" s="1"/>
  <c r="D91" i="30"/>
  <c r="E91" i="30" s="1"/>
  <c r="F91" i="30" s="1"/>
  <c r="D92" i="30"/>
  <c r="E92" i="30" s="1"/>
  <c r="F92" i="30" s="1"/>
  <c r="D93" i="30"/>
  <c r="E93" i="30" s="1"/>
  <c r="F93" i="30" s="1"/>
  <c r="D94" i="30"/>
  <c r="E94" i="30" s="1"/>
  <c r="F94" i="30" s="1"/>
  <c r="D95" i="30"/>
  <c r="E95" i="30" s="1"/>
  <c r="F95" i="30" s="1"/>
  <c r="D96" i="30"/>
  <c r="E96" i="30" s="1"/>
  <c r="F96" i="30" s="1"/>
  <c r="D97" i="30"/>
  <c r="E97" i="30" s="1"/>
  <c r="F97" i="30" s="1"/>
  <c r="D98" i="30"/>
  <c r="E98" i="30" s="1"/>
  <c r="F98" i="30" s="1"/>
  <c r="D34" i="30"/>
  <c r="E34" i="30" s="1"/>
  <c r="F34" i="30" s="1"/>
  <c r="D33" i="30"/>
  <c r="E33" i="30" s="1"/>
  <c r="F33" i="30" s="1"/>
  <c r="D32" i="30"/>
  <c r="E32" i="30" s="1"/>
  <c r="F32" i="30" s="1"/>
  <c r="D31" i="30"/>
  <c r="E31" i="30" s="1"/>
  <c r="F31" i="30"/>
  <c r="D30" i="30"/>
  <c r="E30" i="30" s="1"/>
  <c r="F30" i="30" s="1"/>
  <c r="D12" i="30"/>
  <c r="E12" i="30" s="1"/>
  <c r="F12" i="30" s="1"/>
  <c r="D13" i="30"/>
  <c r="E13" i="30" s="1"/>
  <c r="F13" i="30" s="1"/>
  <c r="D14" i="30"/>
  <c r="E14" i="30" s="1"/>
  <c r="F14" i="30" s="1"/>
  <c r="D15" i="30"/>
  <c r="E15" i="30" s="1"/>
  <c r="F15" i="30" s="1"/>
  <c r="D16" i="30"/>
  <c r="E16" i="30" s="1"/>
  <c r="F16" i="30" s="1"/>
  <c r="D17" i="30"/>
  <c r="E17" i="30" s="1"/>
  <c r="F17" i="30" s="1"/>
  <c r="D18" i="30"/>
  <c r="E18" i="30" s="1"/>
  <c r="F18" i="30" s="1"/>
  <c r="D19" i="30"/>
  <c r="E19" i="30" s="1"/>
  <c r="F19" i="30" s="1"/>
  <c r="D20" i="30"/>
  <c r="E20" i="30" s="1"/>
  <c r="F20" i="30" s="1"/>
  <c r="D21" i="30"/>
  <c r="E21" i="30" s="1"/>
  <c r="F21" i="30"/>
  <c r="D22" i="30"/>
  <c r="E22" i="30"/>
  <c r="F22" i="30" s="1"/>
  <c r="D23" i="30"/>
  <c r="E23" i="30" s="1"/>
  <c r="F23" i="30" s="1"/>
  <c r="D24" i="30"/>
  <c r="E24" i="30" s="1"/>
  <c r="F24" i="30" s="1"/>
  <c r="D25" i="30"/>
  <c r="E25" i="30" s="1"/>
  <c r="F25" i="30" s="1"/>
  <c r="D26" i="30"/>
  <c r="E26" i="30" s="1"/>
  <c r="F26" i="30" s="1"/>
  <c r="D27" i="30"/>
  <c r="E27" i="30" s="1"/>
  <c r="F27" i="30" s="1"/>
  <c r="D28" i="30"/>
  <c r="E28" i="30" s="1"/>
  <c r="F28" i="30" s="1"/>
  <c r="D29" i="30"/>
  <c r="E29" i="30" s="1"/>
  <c r="F29" i="30" s="1"/>
  <c r="D11" i="30"/>
  <c r="E11" i="30" s="1"/>
  <c r="F11" i="30" s="1"/>
  <c r="I11" i="30" s="1"/>
  <c r="D64" i="29"/>
  <c r="E64" i="29" s="1"/>
  <c r="F64" i="29" s="1"/>
  <c r="D63" i="29"/>
  <c r="E63" i="29" s="1"/>
  <c r="F63" i="29" s="1"/>
  <c r="D62" i="29"/>
  <c r="E62" i="29" s="1"/>
  <c r="F62" i="29" s="1"/>
  <c r="D61" i="29"/>
  <c r="E61" i="29" s="1"/>
  <c r="F61" i="29" s="1"/>
  <c r="D60" i="29"/>
  <c r="E60" i="29" s="1"/>
  <c r="F60" i="29" s="1"/>
  <c r="D59" i="29"/>
  <c r="E59" i="29" s="1"/>
  <c r="F59" i="29" s="1"/>
  <c r="D58" i="29"/>
  <c r="E58" i="29" s="1"/>
  <c r="F58" i="29" s="1"/>
  <c r="D57" i="29"/>
  <c r="E57" i="29" s="1"/>
  <c r="F57" i="29" s="1"/>
  <c r="D56" i="29"/>
  <c r="E56" i="29" s="1"/>
  <c r="F56" i="29" s="1"/>
  <c r="D55" i="29"/>
  <c r="E55" i="29" s="1"/>
  <c r="F55" i="29" s="1"/>
  <c r="D54" i="29"/>
  <c r="E54" i="29" s="1"/>
  <c r="F54" i="29" s="1"/>
  <c r="D53" i="29"/>
  <c r="E53" i="29" s="1"/>
  <c r="F53" i="29" s="1"/>
  <c r="D52" i="29"/>
  <c r="E52" i="29" s="1"/>
  <c r="F52" i="29" s="1"/>
  <c r="D51" i="29"/>
  <c r="E51" i="29" s="1"/>
  <c r="F51" i="29" s="1"/>
  <c r="D50" i="29"/>
  <c r="E50" i="29" s="1"/>
  <c r="F50" i="29" s="1"/>
  <c r="D49" i="29"/>
  <c r="E49" i="29" s="1"/>
  <c r="F49" i="29" s="1"/>
  <c r="D48" i="29"/>
  <c r="E48" i="29" s="1"/>
  <c r="F48" i="29" s="1"/>
  <c r="D47" i="29"/>
  <c r="E47" i="29" s="1"/>
  <c r="F47" i="29" s="1"/>
  <c r="D46" i="29"/>
  <c r="E46" i="29" s="1"/>
  <c r="F46" i="29" s="1"/>
  <c r="D45" i="29"/>
  <c r="E45" i="29" s="1"/>
  <c r="F45" i="29" s="1"/>
  <c r="D44" i="29"/>
  <c r="E44" i="29" s="1"/>
  <c r="F44" i="29" s="1"/>
  <c r="D43" i="29"/>
  <c r="E43" i="29" s="1"/>
  <c r="F43" i="29" s="1"/>
  <c r="D42" i="29"/>
  <c r="E42" i="29" s="1"/>
  <c r="F42" i="29" s="1"/>
  <c r="D41" i="29"/>
  <c r="E41" i="29" s="1"/>
  <c r="F41" i="29" s="1"/>
  <c r="D40" i="29"/>
  <c r="E40" i="29" s="1"/>
  <c r="F40" i="29" s="1"/>
  <c r="D39" i="29"/>
  <c r="E39" i="29" s="1"/>
  <c r="F39" i="29" s="1"/>
  <c r="D38" i="29"/>
  <c r="E38" i="29" s="1"/>
  <c r="F38" i="29" s="1"/>
  <c r="D37" i="29"/>
  <c r="E37" i="29" s="1"/>
  <c r="F37" i="29" s="1"/>
  <c r="D36" i="29"/>
  <c r="E36" i="29" s="1"/>
  <c r="F36" i="29" s="1"/>
  <c r="D35" i="29"/>
  <c r="E35" i="29" s="1"/>
  <c r="F35" i="29" s="1"/>
  <c r="D34" i="29"/>
  <c r="E34" i="29" s="1"/>
  <c r="F34" i="29" s="1"/>
  <c r="D33" i="29"/>
  <c r="E33" i="29" s="1"/>
  <c r="F33" i="29" s="1"/>
  <c r="D32" i="29"/>
  <c r="E32" i="29" s="1"/>
  <c r="F32" i="29" s="1"/>
  <c r="D31" i="29"/>
  <c r="E31" i="29"/>
  <c r="F31" i="29" s="1"/>
  <c r="D30" i="29"/>
  <c r="E30" i="29" s="1"/>
  <c r="F30" i="29" s="1"/>
  <c r="D29" i="29"/>
  <c r="E29" i="29" s="1"/>
  <c r="F29" i="29" s="1"/>
  <c r="D28" i="29"/>
  <c r="E28" i="29" s="1"/>
  <c r="F28" i="29" s="1"/>
  <c r="D27" i="29"/>
  <c r="E27" i="29" s="1"/>
  <c r="F27" i="29" s="1"/>
  <c r="D26" i="29"/>
  <c r="E26" i="29" s="1"/>
  <c r="F26" i="29" s="1"/>
  <c r="D25" i="29"/>
  <c r="E25" i="29" s="1"/>
  <c r="F25" i="29" s="1"/>
  <c r="D24" i="29"/>
  <c r="E24" i="29" s="1"/>
  <c r="F24" i="29" s="1"/>
  <c r="H19" i="29"/>
  <c r="D23" i="29"/>
  <c r="E23" i="29" s="1"/>
  <c r="F23" i="29" s="1"/>
  <c r="D22" i="29"/>
  <c r="E22" i="29" s="1"/>
  <c r="F22" i="29" s="1"/>
  <c r="D21" i="29"/>
  <c r="E21" i="29" s="1"/>
  <c r="F21" i="29" s="1"/>
  <c r="D20" i="29"/>
  <c r="E20" i="29" s="1"/>
  <c r="F20" i="29" s="1"/>
  <c r="D19" i="29"/>
  <c r="E19" i="29" s="1"/>
  <c r="F19" i="29" s="1"/>
  <c r="D13" i="29"/>
  <c r="B12" i="29" s="1"/>
  <c r="E13" i="28"/>
  <c r="E57" i="26"/>
  <c r="F57" i="26" s="1"/>
  <c r="E56" i="26"/>
  <c r="F56" i="26" s="1"/>
  <c r="E55" i="26"/>
  <c r="F55" i="26" s="1"/>
  <c r="E54" i="26"/>
  <c r="F54" i="26" s="1"/>
  <c r="E53" i="26"/>
  <c r="F53" i="26" s="1"/>
  <c r="E52" i="26"/>
  <c r="F52" i="26" s="1"/>
  <c r="E51" i="26"/>
  <c r="F51" i="26" s="1"/>
  <c r="E49" i="26"/>
  <c r="F49" i="26" s="1"/>
  <c r="E48" i="26"/>
  <c r="F48" i="26" s="1"/>
  <c r="E47" i="26"/>
  <c r="F47" i="26" s="1"/>
  <c r="E46" i="26"/>
  <c r="F46" i="26" s="1"/>
  <c r="E44" i="26"/>
  <c r="F44" i="26" s="1"/>
  <c r="D15" i="22"/>
  <c r="H15" i="22" s="1"/>
  <c r="H14" i="41"/>
  <c r="F10" i="41"/>
  <c r="H10" i="41"/>
  <c r="F11" i="41"/>
  <c r="H11" i="41"/>
  <c r="F12" i="41"/>
  <c r="H12" i="41" s="1"/>
  <c r="F13" i="41"/>
  <c r="H13" i="41"/>
  <c r="H45" i="26"/>
  <c r="H46" i="26"/>
  <c r="H47" i="26"/>
  <c r="H48" i="26"/>
  <c r="H49" i="26"/>
  <c r="H51" i="26"/>
  <c r="H52" i="26"/>
  <c r="H53" i="26"/>
  <c r="H54" i="26"/>
  <c r="H55" i="26"/>
  <c r="H56" i="26"/>
  <c r="H57" i="26"/>
  <c r="H58" i="26"/>
  <c r="H59" i="26"/>
  <c r="H60" i="26"/>
  <c r="H61" i="26"/>
  <c r="H62" i="26"/>
  <c r="H63" i="26"/>
  <c r="H64" i="26"/>
  <c r="H65" i="26"/>
  <c r="H66" i="26"/>
  <c r="H67" i="26"/>
  <c r="H68" i="26"/>
  <c r="E15" i="66" l="1"/>
  <c r="D206" i="62"/>
  <c r="D196" i="62"/>
  <c r="G44" i="24"/>
  <c r="I44" i="24" s="1"/>
  <c r="G21" i="24"/>
  <c r="I21" i="24" s="1"/>
  <c r="H92" i="44"/>
  <c r="G43" i="24"/>
  <c r="I43" i="24" s="1"/>
  <c r="G12" i="24"/>
  <c r="I12" i="24" s="1"/>
  <c r="C49" i="24"/>
  <c r="O27" i="37" s="1"/>
  <c r="K85" i="62"/>
  <c r="C75" i="62" s="1"/>
  <c r="K77" i="62"/>
  <c r="C74" i="62" s="1"/>
  <c r="G42" i="24"/>
  <c r="I42" i="24" s="1"/>
  <c r="B11" i="28"/>
  <c r="F11" i="28" s="1"/>
  <c r="H11" i="28" s="1"/>
  <c r="B21" i="28"/>
  <c r="D212" i="62"/>
  <c r="E212" i="62" s="1"/>
  <c r="D203" i="62"/>
  <c r="B19" i="72"/>
  <c r="B20" i="72" s="1"/>
  <c r="I30" i="47"/>
  <c r="I26" i="47"/>
  <c r="I27" i="47"/>
  <c r="I11" i="32"/>
  <c r="E125" i="75"/>
  <c r="E128" i="75" s="1"/>
  <c r="I29" i="47"/>
  <c r="I28" i="47"/>
  <c r="I31" i="47"/>
  <c r="I25" i="47"/>
  <c r="I24" i="47"/>
  <c r="G37" i="24"/>
  <c r="I37" i="24" s="1"/>
  <c r="G36" i="24"/>
  <c r="I36" i="24" s="1"/>
  <c r="G29" i="24"/>
  <c r="I29" i="24" s="1"/>
  <c r="G28" i="24"/>
  <c r="I28" i="24" s="1"/>
  <c r="G20" i="24"/>
  <c r="I20" i="24" s="1"/>
  <c r="G13" i="24"/>
  <c r="I13" i="24" s="1"/>
  <c r="G26" i="24"/>
  <c r="I26" i="24" s="1"/>
  <c r="G19" i="24"/>
  <c r="I19" i="24" s="1"/>
  <c r="G39" i="24"/>
  <c r="I39" i="24" s="1"/>
  <c r="G38" i="24"/>
  <c r="I38" i="24" s="1"/>
  <c r="G31" i="24"/>
  <c r="I31" i="24" s="1"/>
  <c r="G30" i="24"/>
  <c r="I30" i="24" s="1"/>
  <c r="G23" i="24"/>
  <c r="I23" i="24" s="1"/>
  <c r="G22" i="24"/>
  <c r="I22" i="24" s="1"/>
  <c r="G15" i="24"/>
  <c r="I15" i="24" s="1"/>
  <c r="G14" i="24"/>
  <c r="I14" i="24" s="1"/>
  <c r="G27" i="24"/>
  <c r="I27" i="24" s="1"/>
  <c r="G41" i="24"/>
  <c r="I41" i="24" s="1"/>
  <c r="G40" i="24"/>
  <c r="I40" i="24" s="1"/>
  <c r="G33" i="24"/>
  <c r="I33" i="24" s="1"/>
  <c r="G32" i="24"/>
  <c r="I32" i="24" s="1"/>
  <c r="G25" i="24"/>
  <c r="I25" i="24" s="1"/>
  <c r="G24" i="24"/>
  <c r="I24" i="24" s="1"/>
  <c r="G17" i="24"/>
  <c r="I17" i="24" s="1"/>
  <c r="G16" i="24"/>
  <c r="I16" i="24" s="1"/>
  <c r="G35" i="24"/>
  <c r="I35" i="24" s="1"/>
  <c r="G34" i="24"/>
  <c r="I34" i="24" s="1"/>
  <c r="G18" i="24"/>
  <c r="I18" i="24" s="1"/>
  <c r="D40" i="62"/>
  <c r="E40" i="62" s="1"/>
  <c r="F40" i="62" s="1"/>
  <c r="E39" i="62"/>
  <c r="F39" i="62" s="1"/>
  <c r="F20" i="62"/>
  <c r="D194" i="62"/>
  <c r="D200" i="62"/>
  <c r="D207" i="62"/>
  <c r="D202" i="62"/>
  <c r="D192" i="62"/>
  <c r="D208" i="62"/>
  <c r="D199" i="62"/>
  <c r="D189" i="62"/>
  <c r="D190" i="62"/>
  <c r="D210" i="62"/>
  <c r="D191" i="62"/>
  <c r="D186" i="62"/>
  <c r="D198" i="62"/>
  <c r="D214" i="62"/>
  <c r="E214" i="62" s="1"/>
  <c r="D204" i="62"/>
  <c r="D195" i="62"/>
  <c r="F33" i="62"/>
  <c r="G12" i="30"/>
  <c r="I12" i="30" s="1"/>
  <c r="F48" i="62"/>
  <c r="D205" i="62"/>
  <c r="D209" i="62"/>
  <c r="D213" i="62"/>
  <c r="E213" i="62" s="1"/>
  <c r="D193" i="62"/>
  <c r="D201" i="62"/>
  <c r="D197" i="62"/>
  <c r="O13" i="37"/>
  <c r="H71" i="26"/>
  <c r="H10" i="67"/>
  <c r="J10" i="67" s="1"/>
  <c r="H70" i="26"/>
  <c r="V86" i="66"/>
  <c r="S87" i="66" s="1"/>
  <c r="V87" i="66" s="1"/>
  <c r="F42" i="62"/>
  <c r="F30" i="62"/>
  <c r="F28" i="62"/>
  <c r="F26" i="62"/>
  <c r="F41" i="62"/>
  <c r="F50" i="62"/>
  <c r="F52" i="62"/>
  <c r="F54" i="62"/>
  <c r="F56" i="62"/>
  <c r="F58" i="62"/>
  <c r="F60" i="62"/>
  <c r="F63" i="62"/>
  <c r="F64" i="62"/>
  <c r="F38" i="62"/>
  <c r="F36" i="62"/>
  <c r="F34" i="62"/>
  <c r="F32" i="62"/>
  <c r="F31" i="62"/>
  <c r="F29" i="62"/>
  <c r="F27" i="62"/>
  <c r="F37" i="62"/>
  <c r="F49" i="62"/>
  <c r="F51" i="62"/>
  <c r="F53" i="62"/>
  <c r="F55" i="62"/>
  <c r="F57" i="62"/>
  <c r="F59" i="62"/>
  <c r="F61" i="62"/>
  <c r="F62" i="62"/>
  <c r="F65" i="62"/>
  <c r="I86" i="29"/>
  <c r="G19" i="29"/>
  <c r="I19" i="29" s="1"/>
  <c r="H19" i="82"/>
  <c r="J19" i="82" s="1"/>
  <c r="C130" i="75" l="1"/>
  <c r="E141" i="75" s="1"/>
  <c r="O17" i="37" s="1"/>
  <c r="G156" i="75"/>
  <c r="I156" i="75" s="1"/>
  <c r="G159" i="75"/>
  <c r="I159" i="75" s="1"/>
  <c r="G155" i="75"/>
  <c r="I155" i="75" s="1"/>
  <c r="G153" i="75"/>
  <c r="I153" i="75" s="1"/>
  <c r="G158" i="75"/>
  <c r="I158" i="75" s="1"/>
  <c r="G154" i="75"/>
  <c r="I154" i="75" s="1"/>
  <c r="G157" i="75"/>
  <c r="I157" i="75" s="1"/>
  <c r="G136" i="75"/>
  <c r="I136" i="75" s="1"/>
  <c r="G152" i="75"/>
  <c r="I152" i="75" s="1"/>
  <c r="G134" i="75"/>
  <c r="I134" i="75" s="1"/>
  <c r="G135" i="75"/>
  <c r="I135" i="75" s="1"/>
  <c r="G137" i="75"/>
  <c r="I137" i="75" s="1"/>
  <c r="G138" i="75"/>
  <c r="I138" i="75" s="1"/>
  <c r="G139" i="75"/>
  <c r="I139" i="75" s="1"/>
  <c r="F260" i="56"/>
  <c r="I260" i="56" s="1"/>
  <c r="F264" i="56"/>
  <c r="F268" i="56"/>
  <c r="C274" i="56"/>
  <c r="F261" i="56"/>
  <c r="F265" i="56"/>
  <c r="F269" i="56"/>
  <c r="F262" i="56"/>
  <c r="F266" i="56"/>
  <c r="F270" i="56"/>
  <c r="F263" i="56"/>
  <c r="F267" i="56"/>
  <c r="F259" i="56"/>
  <c r="I259" i="56" s="1"/>
  <c r="C276" i="56"/>
  <c r="I70" i="47"/>
  <c r="G12" i="32"/>
  <c r="I12" i="32" s="1"/>
  <c r="B12" i="28"/>
  <c r="F12" i="28" s="1"/>
  <c r="H12" i="28" s="1"/>
  <c r="I57" i="64"/>
  <c r="I56" i="64"/>
  <c r="F30" i="72"/>
  <c r="H30" i="72" s="1"/>
  <c r="F32" i="72"/>
  <c r="H32" i="72" s="1"/>
  <c r="F31" i="72"/>
  <c r="H31" i="72" s="1"/>
  <c r="F28" i="72"/>
  <c r="H28" i="72" s="1"/>
  <c r="F37" i="72"/>
  <c r="H37" i="72" s="1"/>
  <c r="F41" i="72"/>
  <c r="H41" i="72" s="1"/>
  <c r="F45" i="72"/>
  <c r="H45" i="72" s="1"/>
  <c r="F49" i="72"/>
  <c r="H49" i="72" s="1"/>
  <c r="F53" i="72"/>
  <c r="H53" i="72" s="1"/>
  <c r="F57" i="72"/>
  <c r="H57" i="72" s="1"/>
  <c r="F61" i="72"/>
  <c r="H61" i="72" s="1"/>
  <c r="F65" i="72"/>
  <c r="H65" i="72" s="1"/>
  <c r="F69" i="72"/>
  <c r="H69" i="72" s="1"/>
  <c r="F73" i="72"/>
  <c r="H73" i="72" s="1"/>
  <c r="F77" i="72"/>
  <c r="H77" i="72" s="1"/>
  <c r="F81" i="72"/>
  <c r="H81" i="72" s="1"/>
  <c r="B21" i="72"/>
  <c r="F43" i="72"/>
  <c r="H43" i="72" s="1"/>
  <c r="F51" i="72"/>
  <c r="H51" i="72" s="1"/>
  <c r="F59" i="72"/>
  <c r="H59" i="72" s="1"/>
  <c r="F67" i="72"/>
  <c r="H67" i="72" s="1"/>
  <c r="F71" i="72"/>
  <c r="H71" i="72" s="1"/>
  <c r="F79" i="72"/>
  <c r="H79" i="72" s="1"/>
  <c r="F26" i="72"/>
  <c r="H26" i="72" s="1"/>
  <c r="F36" i="72"/>
  <c r="H36" i="72" s="1"/>
  <c r="F44" i="72"/>
  <c r="H44" i="72" s="1"/>
  <c r="F52" i="72"/>
  <c r="H52" i="72" s="1"/>
  <c r="F60" i="72"/>
  <c r="H60" i="72" s="1"/>
  <c r="F68" i="72"/>
  <c r="H68" i="72" s="1"/>
  <c r="F76" i="72"/>
  <c r="H76" i="72" s="1"/>
  <c r="F29" i="72"/>
  <c r="H29" i="72" s="1"/>
  <c r="F38" i="72"/>
  <c r="H38" i="72" s="1"/>
  <c r="F42" i="72"/>
  <c r="H42" i="72" s="1"/>
  <c r="F46" i="72"/>
  <c r="H46" i="72" s="1"/>
  <c r="F50" i="72"/>
  <c r="H50" i="72" s="1"/>
  <c r="F54" i="72"/>
  <c r="H54" i="72" s="1"/>
  <c r="F58" i="72"/>
  <c r="H58" i="72" s="1"/>
  <c r="F62" i="72"/>
  <c r="H62" i="72" s="1"/>
  <c r="F66" i="72"/>
  <c r="H66" i="72" s="1"/>
  <c r="F70" i="72"/>
  <c r="H70" i="72" s="1"/>
  <c r="F74" i="72"/>
  <c r="H74" i="72" s="1"/>
  <c r="F78" i="72"/>
  <c r="H78" i="72" s="1"/>
  <c r="F82" i="72"/>
  <c r="H82" i="72" s="1"/>
  <c r="F35" i="72"/>
  <c r="F39" i="72"/>
  <c r="H39" i="72" s="1"/>
  <c r="F47" i="72"/>
  <c r="H47" i="72" s="1"/>
  <c r="F55" i="72"/>
  <c r="H55" i="72" s="1"/>
  <c r="F63" i="72"/>
  <c r="H63" i="72" s="1"/>
  <c r="F75" i="72"/>
  <c r="H75" i="72" s="1"/>
  <c r="F27" i="72"/>
  <c r="H27" i="72" s="1"/>
  <c r="F40" i="72"/>
  <c r="H40" i="72" s="1"/>
  <c r="F48" i="72"/>
  <c r="H48" i="72" s="1"/>
  <c r="F56" i="72"/>
  <c r="H56" i="72" s="1"/>
  <c r="F64" i="72"/>
  <c r="H64" i="72" s="1"/>
  <c r="F72" i="72"/>
  <c r="H72" i="72" s="1"/>
  <c r="F80" i="72"/>
  <c r="H80" i="72" s="1"/>
  <c r="I55" i="64"/>
  <c r="I26" i="64"/>
  <c r="I40" i="64"/>
  <c r="I52" i="64"/>
  <c r="I22" i="64"/>
  <c r="I27" i="64"/>
  <c r="I41" i="64"/>
  <c r="I53" i="64"/>
  <c r="I36" i="64"/>
  <c r="I29" i="64"/>
  <c r="I42" i="64"/>
  <c r="I54" i="64"/>
  <c r="I30" i="64"/>
  <c r="I43" i="64"/>
  <c r="I48" i="64"/>
  <c r="I31" i="64"/>
  <c r="I44" i="64"/>
  <c r="I32" i="64"/>
  <c r="I45" i="64"/>
  <c r="I33" i="64"/>
  <c r="I46" i="64"/>
  <c r="I35" i="64"/>
  <c r="I47" i="64"/>
  <c r="I23" i="64"/>
  <c r="I37" i="64"/>
  <c r="I49" i="64"/>
  <c r="I24" i="64"/>
  <c r="I38" i="64"/>
  <c r="I50" i="64"/>
  <c r="I25" i="64"/>
  <c r="I39" i="64"/>
  <c r="I51" i="64"/>
  <c r="F22" i="62"/>
  <c r="F66" i="62"/>
  <c r="F68" i="62" s="1"/>
  <c r="F43" i="62"/>
  <c r="F45" i="62" s="1"/>
  <c r="D215" i="62"/>
  <c r="I14" i="47"/>
  <c r="B17" i="22"/>
  <c r="B18" i="22" s="1"/>
  <c r="B19" i="22" s="1"/>
  <c r="B20" i="22" s="1"/>
  <c r="B21" i="22" s="1"/>
  <c r="D16" i="22"/>
  <c r="H16" i="22" s="1"/>
  <c r="H73" i="26"/>
  <c r="H72" i="26"/>
  <c r="D86" i="26" s="1"/>
  <c r="I12" i="59"/>
  <c r="G13" i="32"/>
  <c r="I13" i="32" s="1"/>
  <c r="G14" i="32" s="1"/>
  <c r="I14" i="32" s="1"/>
  <c r="G15" i="32" s="1"/>
  <c r="I15" i="32" s="1"/>
  <c r="G16" i="32" s="1"/>
  <c r="G13" i="30"/>
  <c r="I13" i="30" s="1"/>
  <c r="G14" i="30" s="1"/>
  <c r="S88" i="66"/>
  <c r="G20" i="29"/>
  <c r="H20" i="82"/>
  <c r="J20" i="82" s="1"/>
  <c r="D88" i="26" l="1"/>
  <c r="Q25" i="37"/>
  <c r="R25" i="37" s="1"/>
  <c r="G160" i="75"/>
  <c r="I160" i="75" s="1"/>
  <c r="G196" i="75"/>
  <c r="I196" i="75" s="1"/>
  <c r="G197" i="75"/>
  <c r="I197" i="75" s="1"/>
  <c r="C71" i="62"/>
  <c r="C52" i="24"/>
  <c r="C76" i="62"/>
  <c r="G163" i="75"/>
  <c r="I163" i="75" s="1"/>
  <c r="G167" i="75"/>
  <c r="I167" i="75" s="1"/>
  <c r="G171" i="75"/>
  <c r="I171" i="75" s="1"/>
  <c r="G175" i="75"/>
  <c r="I175" i="75" s="1"/>
  <c r="G179" i="75"/>
  <c r="I179" i="75" s="1"/>
  <c r="G183" i="75"/>
  <c r="I183" i="75" s="1"/>
  <c r="G187" i="75"/>
  <c r="I187" i="75" s="1"/>
  <c r="G191" i="75"/>
  <c r="I191" i="75" s="1"/>
  <c r="G195" i="75"/>
  <c r="I195" i="75" s="1"/>
  <c r="G170" i="75"/>
  <c r="I170" i="75" s="1"/>
  <c r="E199" i="75"/>
  <c r="G164" i="75"/>
  <c r="I164" i="75" s="1"/>
  <c r="G168" i="75"/>
  <c r="I168" i="75" s="1"/>
  <c r="G172" i="75"/>
  <c r="I172" i="75" s="1"/>
  <c r="G176" i="75"/>
  <c r="I176" i="75" s="1"/>
  <c r="G180" i="75"/>
  <c r="I180" i="75" s="1"/>
  <c r="G184" i="75"/>
  <c r="I184" i="75" s="1"/>
  <c r="G188" i="75"/>
  <c r="I188" i="75" s="1"/>
  <c r="G192" i="75"/>
  <c r="I192" i="75" s="1"/>
  <c r="G133" i="75"/>
  <c r="I133" i="75" s="1"/>
  <c r="G166" i="75"/>
  <c r="I166" i="75" s="1"/>
  <c r="G174" i="75"/>
  <c r="I174" i="75" s="1"/>
  <c r="G182" i="75"/>
  <c r="I182" i="75" s="1"/>
  <c r="G190" i="75"/>
  <c r="I190" i="75" s="1"/>
  <c r="G161" i="75"/>
  <c r="I161" i="75" s="1"/>
  <c r="G165" i="75"/>
  <c r="I165" i="75" s="1"/>
  <c r="G169" i="75"/>
  <c r="I169" i="75" s="1"/>
  <c r="G173" i="75"/>
  <c r="I173" i="75" s="1"/>
  <c r="G177" i="75"/>
  <c r="I177" i="75" s="1"/>
  <c r="G181" i="75"/>
  <c r="I181" i="75" s="1"/>
  <c r="G185" i="75"/>
  <c r="I185" i="75" s="1"/>
  <c r="G189" i="75"/>
  <c r="I189" i="75" s="1"/>
  <c r="G193" i="75"/>
  <c r="I193" i="75" s="1"/>
  <c r="G162" i="75"/>
  <c r="I162" i="75" s="1"/>
  <c r="G178" i="75"/>
  <c r="I178" i="75" s="1"/>
  <c r="G186" i="75"/>
  <c r="I186" i="75" s="1"/>
  <c r="G194" i="75"/>
  <c r="I194" i="75" s="1"/>
  <c r="B13" i="28"/>
  <c r="F13" i="28" s="1"/>
  <c r="H13" i="28" s="1"/>
  <c r="I21" i="46"/>
  <c r="D17" i="22"/>
  <c r="H17" i="22" s="1"/>
  <c r="I13" i="59"/>
  <c r="I14" i="59" s="1"/>
  <c r="I15" i="59" s="1"/>
  <c r="I14" i="30"/>
  <c r="I15" i="47"/>
  <c r="V88" i="66"/>
  <c r="S89" i="66" s="1"/>
  <c r="I20" i="29"/>
  <c r="I22" i="46"/>
  <c r="I16" i="32"/>
  <c r="H21" i="82"/>
  <c r="J21" i="82" s="1"/>
  <c r="I140" i="75" l="1"/>
  <c r="E142" i="75" s="1"/>
  <c r="C82" i="62"/>
  <c r="D145" i="62" s="1"/>
  <c r="Q27" i="37"/>
  <c r="R27" i="37" s="1"/>
  <c r="C64" i="64"/>
  <c r="B14" i="28"/>
  <c r="F14" i="28" s="1"/>
  <c r="D18" i="22"/>
  <c r="H18" i="22" s="1"/>
  <c r="G15" i="30"/>
  <c r="I23" i="46"/>
  <c r="V89" i="66"/>
  <c r="S90" i="66" s="1"/>
  <c r="G21" i="29"/>
  <c r="G17" i="32"/>
  <c r="H22" i="82"/>
  <c r="J22" i="82" s="1"/>
  <c r="H198" i="75" l="1"/>
  <c r="E200" i="75" s="1"/>
  <c r="E201" i="75" s="1"/>
  <c r="E143" i="75"/>
  <c r="Q17" i="37"/>
  <c r="R17" i="37" s="1"/>
  <c r="C164" i="62"/>
  <c r="C65" i="64"/>
  <c r="C270" i="64"/>
  <c r="C48" i="59"/>
  <c r="C49" i="59" s="1"/>
  <c r="H14" i="28"/>
  <c r="H15" i="28" s="1"/>
  <c r="B20" i="28" s="1"/>
  <c r="D19" i="22"/>
  <c r="H19" i="22" s="1"/>
  <c r="I15" i="30"/>
  <c r="G16" i="30" s="1"/>
  <c r="I16" i="47"/>
  <c r="I24" i="46"/>
  <c r="V90" i="66"/>
  <c r="S91" i="66" s="1"/>
  <c r="I21" i="29"/>
  <c r="I17" i="32"/>
  <c r="H23" i="82"/>
  <c r="J23" i="82" s="1"/>
  <c r="C271" i="64" l="1"/>
  <c r="Q22" i="37"/>
  <c r="R22" i="37" s="1"/>
  <c r="I25" i="46"/>
  <c r="I97" i="46"/>
  <c r="C102" i="46" s="1"/>
  <c r="C103" i="46" s="1"/>
  <c r="B22" i="28"/>
  <c r="D21" i="22"/>
  <c r="H21" i="22" s="1"/>
  <c r="D20" i="22"/>
  <c r="H20" i="22" s="1"/>
  <c r="I17" i="47"/>
  <c r="I18" i="47" s="1"/>
  <c r="I19" i="47" s="1"/>
  <c r="I16" i="30"/>
  <c r="G17" i="30" s="1"/>
  <c r="I17" i="30" s="1"/>
  <c r="G18" i="30" s="1"/>
  <c r="V91" i="66"/>
  <c r="S92" i="66" s="1"/>
  <c r="G22" i="29"/>
  <c r="I22" i="29" s="1"/>
  <c r="G23" i="29" s="1"/>
  <c r="G18" i="32"/>
  <c r="H24" i="82"/>
  <c r="J24" i="82" s="1"/>
  <c r="Q28" i="37" l="1"/>
  <c r="R28" i="37" s="1"/>
  <c r="B22" i="22"/>
  <c r="B23" i="22" s="1"/>
  <c r="B24" i="22" s="1"/>
  <c r="B25" i="22" s="1"/>
  <c r="B28" i="22" s="1"/>
  <c r="C12" i="54"/>
  <c r="G12" i="54" s="1"/>
  <c r="V92" i="66"/>
  <c r="S93" i="66" s="1"/>
  <c r="I23" i="29"/>
  <c r="G24" i="29" s="1"/>
  <c r="I18" i="32"/>
  <c r="G19" i="32" s="1"/>
  <c r="I18" i="30"/>
  <c r="G19" i="30" s="1"/>
  <c r="H25" i="82"/>
  <c r="J25" i="82" s="1"/>
  <c r="C13" i="54" l="1"/>
  <c r="B29" i="22"/>
  <c r="D28" i="22"/>
  <c r="H28" i="22" s="1"/>
  <c r="V93" i="66"/>
  <c r="S94" i="66" s="1"/>
  <c r="I24" i="29"/>
  <c r="G25" i="29" s="1"/>
  <c r="I19" i="32"/>
  <c r="G20" i="32" s="1"/>
  <c r="I19" i="30"/>
  <c r="G20" i="30" s="1"/>
  <c r="H26" i="82"/>
  <c r="J26" i="82" s="1"/>
  <c r="I13" i="54" l="1"/>
  <c r="I12" i="54"/>
  <c r="B30" i="22"/>
  <c r="D29" i="22"/>
  <c r="H29" i="22" s="1"/>
  <c r="I20" i="32"/>
  <c r="G21" i="32" s="1"/>
  <c r="I21" i="32" s="1"/>
  <c r="G22" i="32" s="1"/>
  <c r="V94" i="66"/>
  <c r="S95" i="66" s="1"/>
  <c r="I25" i="29"/>
  <c r="G26" i="29" s="1"/>
  <c r="I26" i="29" s="1"/>
  <c r="G27" i="29" s="1"/>
  <c r="I27" i="29" s="1"/>
  <c r="G28" i="29" s="1"/>
  <c r="I28" i="29" s="1"/>
  <c r="G29" i="29" s="1"/>
  <c r="I20" i="30"/>
  <c r="G21" i="30" s="1"/>
  <c r="H27" i="82"/>
  <c r="J27" i="82" s="1"/>
  <c r="I14" i="54" l="1"/>
  <c r="B22" i="54" s="1"/>
  <c r="B31" i="22"/>
  <c r="D30" i="22"/>
  <c r="H30" i="22" s="1"/>
  <c r="I22" i="32"/>
  <c r="G23" i="32" s="1"/>
  <c r="I23" i="32" s="1"/>
  <c r="G24" i="32" s="1"/>
  <c r="I24" i="32" s="1"/>
  <c r="G25" i="32" s="1"/>
  <c r="I25" i="32" s="1"/>
  <c r="G26" i="32" s="1"/>
  <c r="V95" i="66"/>
  <c r="S96" i="66" s="1"/>
  <c r="I29" i="29"/>
  <c r="G30" i="29" s="1"/>
  <c r="I30" i="29" s="1"/>
  <c r="G31" i="29" s="1"/>
  <c r="I21" i="30"/>
  <c r="G22" i="30" s="1"/>
  <c r="H28" i="82"/>
  <c r="J28" i="82" s="1"/>
  <c r="B32" i="22" l="1"/>
  <c r="D31" i="22"/>
  <c r="H31" i="22" s="1"/>
  <c r="I26" i="32"/>
  <c r="G27" i="32" s="1"/>
  <c r="I27" i="32" s="1"/>
  <c r="G28" i="32" s="1"/>
  <c r="V96" i="66"/>
  <c r="I31" i="29"/>
  <c r="G32" i="29" s="1"/>
  <c r="I32" i="29" s="1"/>
  <c r="G33" i="29" s="1"/>
  <c r="I33" i="29" s="1"/>
  <c r="G34" i="29" s="1"/>
  <c r="I34" i="29" s="1"/>
  <c r="G35" i="29" s="1"/>
  <c r="I22" i="30"/>
  <c r="G23" i="30" s="1"/>
  <c r="H29" i="82"/>
  <c r="J29" i="82" s="1"/>
  <c r="B33" i="22" l="1"/>
  <c r="D32" i="22"/>
  <c r="H32" i="22" s="1"/>
  <c r="I28" i="32"/>
  <c r="G29" i="32" s="1"/>
  <c r="I29" i="32" s="1"/>
  <c r="G30" i="32" s="1"/>
  <c r="S97" i="66"/>
  <c r="I35" i="29"/>
  <c r="G36" i="29" s="1"/>
  <c r="I23" i="30"/>
  <c r="G24" i="30" s="1"/>
  <c r="H30" i="82"/>
  <c r="J30" i="82" s="1"/>
  <c r="V97" i="66" l="1"/>
  <c r="S98" i="66" s="1"/>
  <c r="D33" i="22"/>
  <c r="H33" i="22" s="1"/>
  <c r="B34" i="22"/>
  <c r="I30" i="32"/>
  <c r="G31" i="32" s="1"/>
  <c r="I31" i="32" s="1"/>
  <c r="G32" i="32" s="1"/>
  <c r="I32" i="32" s="1"/>
  <c r="G33" i="32" s="1"/>
  <c r="I33" i="32" s="1"/>
  <c r="G34" i="32" s="1"/>
  <c r="I34" i="32" s="1"/>
  <c r="G35" i="32" s="1"/>
  <c r="I35" i="32" s="1"/>
  <c r="G36" i="32" s="1"/>
  <c r="I36" i="29"/>
  <c r="G37" i="29" s="1"/>
  <c r="I37" i="29" s="1"/>
  <c r="G38" i="29" s="1"/>
  <c r="I24" i="30"/>
  <c r="G25" i="30" s="1"/>
  <c r="H31" i="82"/>
  <c r="J31" i="82" s="1"/>
  <c r="V98" i="66" l="1"/>
  <c r="S99" i="66" s="1"/>
  <c r="B35" i="22"/>
  <c r="D34" i="22"/>
  <c r="H34" i="22" s="1"/>
  <c r="I36" i="32"/>
  <c r="G37" i="32" s="1"/>
  <c r="I37" i="32" s="1"/>
  <c r="G38" i="32" s="1"/>
  <c r="I38" i="32" s="1"/>
  <c r="G39" i="32" s="1"/>
  <c r="I39" i="32" s="1"/>
  <c r="G40" i="32" s="1"/>
  <c r="I40" i="32" s="1"/>
  <c r="G41" i="32" s="1"/>
  <c r="I41" i="32" s="1"/>
  <c r="G42" i="32" s="1"/>
  <c r="I42" i="32" s="1"/>
  <c r="G43" i="32" s="1"/>
  <c r="I43" i="32" s="1"/>
  <c r="G44" i="32" s="1"/>
  <c r="I44" i="32" s="1"/>
  <c r="G45" i="32" s="1"/>
  <c r="I45" i="32" s="1"/>
  <c r="G46" i="32" s="1"/>
  <c r="I46" i="32" s="1"/>
  <c r="G47" i="32" s="1"/>
  <c r="I38" i="29"/>
  <c r="G39" i="29" s="1"/>
  <c r="I39" i="29" s="1"/>
  <c r="G40" i="29" s="1"/>
  <c r="I40" i="29" s="1"/>
  <c r="G41" i="29" s="1"/>
  <c r="I41" i="29" s="1"/>
  <c r="G42" i="29" s="1"/>
  <c r="I42" i="29" s="1"/>
  <c r="G43" i="29" s="1"/>
  <c r="I43" i="29" s="1"/>
  <c r="G44" i="29" s="1"/>
  <c r="I25" i="30"/>
  <c r="G26" i="30" s="1"/>
  <c r="H32" i="82"/>
  <c r="J32" i="82" s="1"/>
  <c r="V99" i="66" l="1"/>
  <c r="S100" i="66" s="1"/>
  <c r="B36" i="22"/>
  <c r="D35" i="22"/>
  <c r="I47" i="32"/>
  <c r="G48" i="32"/>
  <c r="I48" i="32" s="1"/>
  <c r="G49" i="32" s="1"/>
  <c r="I44" i="29"/>
  <c r="G45" i="29" s="1"/>
  <c r="I45" i="29" s="1"/>
  <c r="G46" i="29" s="1"/>
  <c r="I26" i="30"/>
  <c r="G27" i="30" s="1"/>
  <c r="H33" i="82"/>
  <c r="J33" i="82" s="1"/>
  <c r="V100" i="66" l="1"/>
  <c r="S101" i="66"/>
  <c r="V101" i="66" s="1"/>
  <c r="B37" i="22"/>
  <c r="D36" i="22"/>
  <c r="I49" i="32"/>
  <c r="G50" i="32" s="1"/>
  <c r="I46" i="29"/>
  <c r="G47" i="29" s="1"/>
  <c r="I47" i="29" s="1"/>
  <c r="G48" i="29" s="1"/>
  <c r="I48" i="29" s="1"/>
  <c r="G49" i="29" s="1"/>
  <c r="I49" i="29" s="1"/>
  <c r="G50" i="29" s="1"/>
  <c r="I27" i="30"/>
  <c r="G28" i="30" s="1"/>
  <c r="H34" i="82"/>
  <c r="V102" i="66" l="1"/>
  <c r="R105" i="66" s="1"/>
  <c r="R107" i="66" s="1"/>
  <c r="R117" i="66" s="1"/>
  <c r="B38" i="22"/>
  <c r="D37" i="22"/>
  <c r="I50" i="32"/>
  <c r="G51" i="32"/>
  <c r="I51" i="32" s="1"/>
  <c r="G52" i="32" s="1"/>
  <c r="I52" i="32" s="1"/>
  <c r="G53" i="32" s="1"/>
  <c r="I53" i="32" s="1"/>
  <c r="G54" i="32" s="1"/>
  <c r="I54" i="32" s="1"/>
  <c r="G55" i="32" s="1"/>
  <c r="I55" i="32" s="1"/>
  <c r="G56" i="32" s="1"/>
  <c r="I56" i="32" s="1"/>
  <c r="G57" i="32" s="1"/>
  <c r="I57" i="32" s="1"/>
  <c r="G58" i="32" s="1"/>
  <c r="I58" i="32" s="1"/>
  <c r="G59" i="32" s="1"/>
  <c r="I50" i="29"/>
  <c r="G51" i="29" s="1"/>
  <c r="I51" i="29" s="1"/>
  <c r="G52" i="29" s="1"/>
  <c r="I28" i="30"/>
  <c r="G29" i="30" s="1"/>
  <c r="J34" i="82"/>
  <c r="H35" i="82" s="1"/>
  <c r="J35" i="82" l="1"/>
  <c r="H36" i="82"/>
  <c r="J36" i="82" s="1"/>
  <c r="B39" i="22"/>
  <c r="D38" i="22"/>
  <c r="I59" i="32"/>
  <c r="G60" i="32" s="1"/>
  <c r="I60" i="32" s="1"/>
  <c r="G61" i="32" s="1"/>
  <c r="I61" i="32" s="1"/>
  <c r="G62" i="32" s="1"/>
  <c r="I62" i="32" s="1"/>
  <c r="G63" i="32" s="1"/>
  <c r="I63" i="32" s="1"/>
  <c r="G64" i="32" s="1"/>
  <c r="I64" i="32" s="1"/>
  <c r="G65" i="32" s="1"/>
  <c r="I65" i="32" s="1"/>
  <c r="G66" i="32" s="1"/>
  <c r="I66" i="32" s="1"/>
  <c r="G67" i="32" s="1"/>
  <c r="I67" i="32" s="1"/>
  <c r="G68" i="32" s="1"/>
  <c r="I68" i="32" s="1"/>
  <c r="G69" i="32" s="1"/>
  <c r="I69" i="32" s="1"/>
  <c r="G70" i="32" s="1"/>
  <c r="I70" i="32" s="1"/>
  <c r="G71" i="32" s="1"/>
  <c r="I71" i="32" s="1"/>
  <c r="G72" i="32" s="1"/>
  <c r="I52" i="29"/>
  <c r="G53" i="29" s="1"/>
  <c r="I53" i="29" s="1"/>
  <c r="G54" i="29" s="1"/>
  <c r="I54" i="29" s="1"/>
  <c r="G55" i="29" s="1"/>
  <c r="I55" i="29" s="1"/>
  <c r="G56" i="29" s="1"/>
  <c r="I29" i="30"/>
  <c r="G30" i="30" s="1"/>
  <c r="J40" i="82" l="1"/>
  <c r="B40" i="22"/>
  <c r="D39" i="22"/>
  <c r="I72" i="32"/>
  <c r="G73" i="32" s="1"/>
  <c r="I30" i="30"/>
  <c r="G31" i="30" s="1"/>
  <c r="I31" i="30" s="1"/>
  <c r="G32" i="30" s="1"/>
  <c r="I32" i="30" s="1"/>
  <c r="G33" i="30" s="1"/>
  <c r="I33" i="30" s="1"/>
  <c r="G34" i="30" s="1"/>
  <c r="I34" i="30" s="1"/>
  <c r="G35" i="30" s="1"/>
  <c r="I35" i="30" s="1"/>
  <c r="G36" i="30" s="1"/>
  <c r="I36" i="30" s="1"/>
  <c r="G37" i="30" s="1"/>
  <c r="I37" i="30" s="1"/>
  <c r="G38" i="30" s="1"/>
  <c r="I38" i="30" s="1"/>
  <c r="G39" i="30" s="1"/>
  <c r="I39" i="30" s="1"/>
  <c r="G40" i="30" s="1"/>
  <c r="I56" i="29"/>
  <c r="G57" i="29" s="1"/>
  <c r="I57" i="29" s="1"/>
  <c r="G58" i="29" s="1"/>
  <c r="I58" i="29" s="1"/>
  <c r="G59" i="29" s="1"/>
  <c r="I59" i="29" s="1"/>
  <c r="G60" i="29" s="1"/>
  <c r="I60" i="29" s="1"/>
  <c r="G61" i="29" s="1"/>
  <c r="I61" i="29" s="1"/>
  <c r="G62" i="29" s="1"/>
  <c r="I62" i="29" s="1"/>
  <c r="G63" i="29" s="1"/>
  <c r="I63" i="29" s="1"/>
  <c r="G64" i="29" s="1"/>
  <c r="I64" i="29" s="1"/>
  <c r="G65" i="29" s="1"/>
  <c r="I65" i="29" s="1"/>
  <c r="G66" i="29" s="1"/>
  <c r="I66" i="29" s="1"/>
  <c r="G67" i="29" s="1"/>
  <c r="B41" i="22" l="1"/>
  <c r="D40" i="22"/>
  <c r="I40" i="30"/>
  <c r="G41" i="30"/>
  <c r="I41" i="30" s="1"/>
  <c r="G42" i="30" s="1"/>
  <c r="I42" i="30" s="1"/>
  <c r="G43" i="30" s="1"/>
  <c r="I73" i="32"/>
  <c r="G74" i="32" s="1"/>
  <c r="I74" i="32" s="1"/>
  <c r="G75" i="32" s="1"/>
  <c r="I75" i="32" s="1"/>
  <c r="G76" i="32" s="1"/>
  <c r="I76" i="32" s="1"/>
  <c r="G77" i="32" s="1"/>
  <c r="I77" i="32" s="1"/>
  <c r="G78" i="32" s="1"/>
  <c r="I78" i="32" s="1"/>
  <c r="G79" i="32" s="1"/>
  <c r="I67" i="29"/>
  <c r="G68" i="29" s="1"/>
  <c r="B42" i="22" l="1"/>
  <c r="D41" i="22"/>
  <c r="I43" i="30"/>
  <c r="G44" i="30" s="1"/>
  <c r="I44" i="30" s="1"/>
  <c r="G45" i="30" s="1"/>
  <c r="I68" i="29"/>
  <c r="G69" i="29" s="1"/>
  <c r="I69" i="29" s="1"/>
  <c r="G70" i="29" s="1"/>
  <c r="I70" i="29" s="1"/>
  <c r="G71" i="29" s="1"/>
  <c r="I71" i="29" s="1"/>
  <c r="G72" i="29" s="1"/>
  <c r="I72" i="29" s="1"/>
  <c r="G73" i="29" s="1"/>
  <c r="I73" i="29" s="1"/>
  <c r="G74" i="29" s="1"/>
  <c r="I74" i="29" s="1"/>
  <c r="G75" i="29" s="1"/>
  <c r="I75" i="29" s="1"/>
  <c r="G76" i="29" s="1"/>
  <c r="I79" i="32"/>
  <c r="G80" i="32" s="1"/>
  <c r="B43" i="22" l="1"/>
  <c r="D42" i="22"/>
  <c r="I45" i="30"/>
  <c r="G46" i="30" s="1"/>
  <c r="I46" i="30" s="1"/>
  <c r="G47" i="30" s="1"/>
  <c r="I47" i="30" s="1"/>
  <c r="G48" i="30" s="1"/>
  <c r="I48" i="30" s="1"/>
  <c r="G49" i="30" s="1"/>
  <c r="I49" i="30" s="1"/>
  <c r="G50" i="30" s="1"/>
  <c r="I50" i="30" s="1"/>
  <c r="G51" i="30" s="1"/>
  <c r="G35" i="22"/>
  <c r="H35" i="22" s="1"/>
  <c r="I80" i="32"/>
  <c r="G81" i="32" s="1"/>
  <c r="I76" i="29"/>
  <c r="G77" i="29" s="1"/>
  <c r="B44" i="22" l="1"/>
  <c r="D43" i="22"/>
  <c r="I51" i="30"/>
  <c r="I81" i="32"/>
  <c r="G82" i="32" s="1"/>
  <c r="I77" i="29"/>
  <c r="G78" i="29" s="1"/>
  <c r="B45" i="22" l="1"/>
  <c r="D44" i="22"/>
  <c r="G52" i="30"/>
  <c r="G36" i="22"/>
  <c r="H36" i="22" s="1"/>
  <c r="I82" i="32"/>
  <c r="G83" i="32" s="1"/>
  <c r="I78" i="29"/>
  <c r="G79" i="29" s="1"/>
  <c r="B46" i="22" l="1"/>
  <c r="D45" i="22"/>
  <c r="I52" i="30"/>
  <c r="G53" i="30" s="1"/>
  <c r="I53" i="30" s="1"/>
  <c r="G54" i="30" s="1"/>
  <c r="I79" i="29"/>
  <c r="G80" i="29" s="1"/>
  <c r="I80" i="29" s="1"/>
  <c r="I83" i="32"/>
  <c r="G84" i="32" s="1"/>
  <c r="B47" i="22" l="1"/>
  <c r="D46" i="22"/>
  <c r="G81" i="29"/>
  <c r="I54" i="30"/>
  <c r="G55" i="30" s="1"/>
  <c r="I55" i="30" s="1"/>
  <c r="G56" i="30" s="1"/>
  <c r="I56" i="30" s="1"/>
  <c r="G57" i="30" s="1"/>
  <c r="I57" i="30" s="1"/>
  <c r="G58" i="30" s="1"/>
  <c r="G37" i="22"/>
  <c r="I84" i="32"/>
  <c r="G85" i="32" s="1"/>
  <c r="I81" i="29" l="1"/>
  <c r="G82" i="29"/>
  <c r="B48" i="22"/>
  <c r="D47" i="22"/>
  <c r="G38" i="22"/>
  <c r="H37" i="22"/>
  <c r="I58" i="30"/>
  <c r="G59" i="30" s="1"/>
  <c r="I59" i="30" s="1"/>
  <c r="G60" i="30" s="1"/>
  <c r="I85" i="32"/>
  <c r="G86" i="32" s="1"/>
  <c r="I41" i="47"/>
  <c r="I82" i="29" l="1"/>
  <c r="G83" i="29" s="1"/>
  <c r="B49" i="22"/>
  <c r="D48" i="22"/>
  <c r="G39" i="22"/>
  <c r="H38" i="22"/>
  <c r="I42" i="47"/>
  <c r="I43" i="47" s="1"/>
  <c r="I44" i="47" s="1"/>
  <c r="I45" i="47" s="1"/>
  <c r="I46" i="47" s="1"/>
  <c r="I47" i="47" s="1"/>
  <c r="I48" i="47" s="1"/>
  <c r="I49" i="47" s="1"/>
  <c r="I50" i="47" s="1"/>
  <c r="I51" i="47" s="1"/>
  <c r="I52" i="47" s="1"/>
  <c r="I53" i="47" s="1"/>
  <c r="I54" i="47" s="1"/>
  <c r="I55" i="47" s="1"/>
  <c r="I56" i="47" s="1"/>
  <c r="I57" i="47" s="1"/>
  <c r="I58" i="47" s="1"/>
  <c r="I59" i="47" s="1"/>
  <c r="I60" i="47" s="1"/>
  <c r="I61" i="47" s="1"/>
  <c r="I62" i="47" s="1"/>
  <c r="I63" i="47" s="1"/>
  <c r="I64" i="47" s="1"/>
  <c r="I60" i="30"/>
  <c r="G61" i="30" s="1"/>
  <c r="I86" i="32"/>
  <c r="G87" i="32" s="1"/>
  <c r="I87" i="32" s="1"/>
  <c r="G88" i="32" s="1"/>
  <c r="I88" i="32" s="1"/>
  <c r="G89" i="32" s="1"/>
  <c r="I89" i="32" s="1"/>
  <c r="G90" i="32" s="1"/>
  <c r="I90" i="32" s="1"/>
  <c r="G91" i="32" s="1"/>
  <c r="I91" i="32" s="1"/>
  <c r="G92" i="32" s="1"/>
  <c r="I92" i="32" s="1"/>
  <c r="G93" i="32" s="1"/>
  <c r="I93" i="32" s="1"/>
  <c r="G94" i="32" s="1"/>
  <c r="I94" i="32" s="1"/>
  <c r="G95" i="32" s="1"/>
  <c r="I95" i="32" s="1"/>
  <c r="G96" i="32" s="1"/>
  <c r="I96" i="32" s="1"/>
  <c r="G97" i="32" s="1"/>
  <c r="I97" i="32" s="1"/>
  <c r="G98" i="32" s="1"/>
  <c r="I98" i="32" s="1"/>
  <c r="G99" i="32" s="1"/>
  <c r="I99" i="32" s="1"/>
  <c r="G100" i="32" s="1"/>
  <c r="I100" i="32" s="1"/>
  <c r="G101" i="32" s="1"/>
  <c r="I101" i="32" s="1"/>
  <c r="G102" i="32" s="1"/>
  <c r="I102" i="32" s="1"/>
  <c r="G103" i="32" s="1"/>
  <c r="I103" i="32" s="1"/>
  <c r="G104" i="32" s="1"/>
  <c r="I104" i="32" s="1"/>
  <c r="G105" i="32" s="1"/>
  <c r="I105" i="32" s="1"/>
  <c r="G106" i="32" s="1"/>
  <c r="I106" i="32" s="1"/>
  <c r="G107" i="32" s="1"/>
  <c r="I107" i="32" s="1"/>
  <c r="G108" i="32" s="1"/>
  <c r="I108" i="32" s="1"/>
  <c r="G109" i="32" s="1"/>
  <c r="I109" i="32" s="1"/>
  <c r="G110" i="32" s="1"/>
  <c r="I110" i="32" s="1"/>
  <c r="G111" i="32" s="1"/>
  <c r="I111" i="32" s="1"/>
  <c r="G112" i="32" s="1"/>
  <c r="I112" i="32" s="1"/>
  <c r="G113" i="32" s="1"/>
  <c r="I113" i="32" s="1"/>
  <c r="G114" i="32" s="1"/>
  <c r="I114" i="32" s="1"/>
  <c r="G115" i="32" s="1"/>
  <c r="I115" i="32" s="1"/>
  <c r="G116" i="32" s="1"/>
  <c r="C74" i="47" l="1"/>
  <c r="C76" i="47" s="1"/>
  <c r="I83" i="29"/>
  <c r="G84" i="29"/>
  <c r="I84" i="29" s="1"/>
  <c r="J86" i="29" s="1"/>
  <c r="B50" i="22"/>
  <c r="D49" i="22"/>
  <c r="G40" i="22"/>
  <c r="H39" i="22"/>
  <c r="I61" i="30"/>
  <c r="G62" i="30" s="1"/>
  <c r="I62" i="30" s="1"/>
  <c r="G63" i="30" s="1"/>
  <c r="I63" i="30" s="1"/>
  <c r="G64" i="30" s="1"/>
  <c r="I116" i="32"/>
  <c r="G117" i="32" s="1"/>
  <c r="Q8" i="37" l="1"/>
  <c r="R8" i="37" s="1"/>
  <c r="I72" i="47"/>
  <c r="I87" i="29"/>
  <c r="B51" i="22"/>
  <c r="D50" i="22"/>
  <c r="H40" i="22"/>
  <c r="G41" i="22"/>
  <c r="I64" i="30"/>
  <c r="G65" i="30" s="1"/>
  <c r="I65" i="30" s="1"/>
  <c r="G66" i="30" s="1"/>
  <c r="I66" i="30" s="1"/>
  <c r="G67" i="30" s="1"/>
  <c r="I67" i="30" s="1"/>
  <c r="G68" i="30" s="1"/>
  <c r="I68" i="30" s="1"/>
  <c r="G69" i="30" s="1"/>
  <c r="I69" i="30" s="1"/>
  <c r="G70" i="30" s="1"/>
  <c r="I70" i="30" s="1"/>
  <c r="G71" i="30" s="1"/>
  <c r="I71" i="30" s="1"/>
  <c r="G72" i="30" s="1"/>
  <c r="I72" i="30" s="1"/>
  <c r="G73" i="30" s="1"/>
  <c r="I73" i="30" s="1"/>
  <c r="G74" i="30" s="1"/>
  <c r="I74" i="30" s="1"/>
  <c r="G75" i="30" s="1"/>
  <c r="I117" i="32"/>
  <c r="G118" i="32" s="1"/>
  <c r="B52" i="22" l="1"/>
  <c r="D51" i="22"/>
  <c r="I118" i="32"/>
  <c r="G119" i="32"/>
  <c r="H41" i="22"/>
  <c r="G42" i="22"/>
  <c r="I75" i="30"/>
  <c r="G76" i="30" s="1"/>
  <c r="I76" i="30" s="1"/>
  <c r="G77" i="30" s="1"/>
  <c r="I119" i="32" l="1"/>
  <c r="G120" i="32"/>
  <c r="B53" i="22"/>
  <c r="D52" i="22"/>
  <c r="H42" i="22"/>
  <c r="G43" i="22"/>
  <c r="I77" i="30"/>
  <c r="G78" i="30" s="1"/>
  <c r="I78" i="30" s="1"/>
  <c r="G79" i="30" s="1"/>
  <c r="I79" i="30" s="1"/>
  <c r="G80" i="30" s="1"/>
  <c r="I80" i="30" s="1"/>
  <c r="G81" i="30" s="1"/>
  <c r="I81" i="30" s="1"/>
  <c r="G82" i="30" s="1"/>
  <c r="I82" i="30" s="1"/>
  <c r="G83" i="30" s="1"/>
  <c r="I83" i="30" s="1"/>
  <c r="G84" i="30" s="1"/>
  <c r="I84" i="30" s="1"/>
  <c r="G85" i="30" s="1"/>
  <c r="I85" i="30" s="1"/>
  <c r="G86" i="30" s="1"/>
  <c r="I86" i="30" s="1"/>
  <c r="G87" i="30" s="1"/>
  <c r="I87" i="30" s="1"/>
  <c r="G88" i="30" s="1"/>
  <c r="I88" i="30" s="1"/>
  <c r="G89" i="30" s="1"/>
  <c r="I89" i="30" s="1"/>
  <c r="G90" i="30" s="1"/>
  <c r="I90" i="30" s="1"/>
  <c r="G91" i="30" s="1"/>
  <c r="I91" i="30" s="1"/>
  <c r="G92" i="30" s="1"/>
  <c r="I92" i="30" s="1"/>
  <c r="G93" i="30" s="1"/>
  <c r="I93" i="30" s="1"/>
  <c r="G94" i="30" s="1"/>
  <c r="I94" i="30" s="1"/>
  <c r="G95" i="30" s="1"/>
  <c r="I95" i="30" s="1"/>
  <c r="G96" i="30" s="1"/>
  <c r="I120" i="32" l="1"/>
  <c r="G121" i="32" s="1"/>
  <c r="I121" i="32" s="1"/>
  <c r="I125" i="32" s="1"/>
  <c r="B54" i="22"/>
  <c r="D53" i="22"/>
  <c r="G44" i="22"/>
  <c r="H43" i="22"/>
  <c r="I96" i="30"/>
  <c r="G97" i="30" s="1"/>
  <c r="B55" i="22" l="1"/>
  <c r="D54" i="22"/>
  <c r="G45" i="22"/>
  <c r="H44" i="22"/>
  <c r="I97" i="30"/>
  <c r="G98" i="30" s="1"/>
  <c r="I98" i="30" s="1"/>
  <c r="G99" i="30" s="1"/>
  <c r="I99" i="30" s="1"/>
  <c r="G100" i="30" s="1"/>
  <c r="I100" i="30" s="1"/>
  <c r="G101" i="30" s="1"/>
  <c r="I101" i="30" s="1"/>
  <c r="G102" i="30" s="1"/>
  <c r="I102" i="30" s="1"/>
  <c r="G103" i="30" s="1"/>
  <c r="B56" i="22" l="1"/>
  <c r="D55" i="22"/>
  <c r="G46" i="22"/>
  <c r="H45" i="22"/>
  <c r="I103" i="30"/>
  <c r="G104" i="30" s="1"/>
  <c r="I104" i="30" s="1"/>
  <c r="G105" i="30" s="1"/>
  <c r="I105" i="30" s="1"/>
  <c r="G106" i="30" s="1"/>
  <c r="I106" i="30" s="1"/>
  <c r="G107" i="30" s="1"/>
  <c r="B57" i="22" l="1"/>
  <c r="D56" i="22"/>
  <c r="G47" i="22"/>
  <c r="H46" i="22"/>
  <c r="I107" i="30"/>
  <c r="G108" i="30" s="1"/>
  <c r="I108" i="30" s="1"/>
  <c r="G109" i="30" s="1"/>
  <c r="I109" i="30" s="1"/>
  <c r="G110" i="30" s="1"/>
  <c r="I110" i="30" s="1"/>
  <c r="G111" i="30" s="1"/>
  <c r="B58" i="22" l="1"/>
  <c r="D57" i="22"/>
  <c r="G48" i="22"/>
  <c r="H47" i="22"/>
  <c r="I111" i="30"/>
  <c r="G112" i="30" s="1"/>
  <c r="B59" i="22" l="1"/>
  <c r="D58" i="22"/>
  <c r="G49" i="22"/>
  <c r="H48" i="22"/>
  <c r="I112" i="30"/>
  <c r="G113" i="30" s="1"/>
  <c r="B60" i="22" l="1"/>
  <c r="D59" i="22"/>
  <c r="G50" i="22"/>
  <c r="H49" i="22"/>
  <c r="I113" i="30"/>
  <c r="G114" i="30" s="1"/>
  <c r="B61" i="22" l="1"/>
  <c r="D60" i="22"/>
  <c r="G51" i="22"/>
  <c r="H50" i="22"/>
  <c r="I114" i="30"/>
  <c r="G115" i="30" s="1"/>
  <c r="B62" i="22" l="1"/>
  <c r="D61" i="22"/>
  <c r="I261" i="56"/>
  <c r="G52" i="22"/>
  <c r="H51" i="22"/>
  <c r="I115" i="30"/>
  <c r="G116" i="30" s="1"/>
  <c r="B63" i="22" l="1"/>
  <c r="D62" i="22"/>
  <c r="I262" i="56"/>
  <c r="G53" i="22"/>
  <c r="H52" i="22"/>
  <c r="I116" i="30"/>
  <c r="G117" i="30" s="1"/>
  <c r="B64" i="22" l="1"/>
  <c r="D63" i="22"/>
  <c r="I263" i="56"/>
  <c r="G54" i="22"/>
  <c r="H53" i="22"/>
  <c r="I117" i="30"/>
  <c r="G118" i="30"/>
  <c r="B65" i="22" l="1"/>
  <c r="D64" i="22"/>
  <c r="I118" i="30"/>
  <c r="G119" i="30"/>
  <c r="I264" i="56"/>
  <c r="H54" i="22"/>
  <c r="G55" i="22"/>
  <c r="I119" i="30" l="1"/>
  <c r="G120" i="30"/>
  <c r="B66" i="22"/>
  <c r="D65" i="22"/>
  <c r="I265" i="56"/>
  <c r="G56" i="22"/>
  <c r="H55" i="22"/>
  <c r="I120" i="30" l="1"/>
  <c r="G121" i="30"/>
  <c r="I121" i="30" s="1"/>
  <c r="B67" i="22"/>
  <c r="D66" i="22"/>
  <c r="I266" i="56"/>
  <c r="G57" i="22"/>
  <c r="H56" i="22"/>
  <c r="I125" i="30" l="1"/>
  <c r="B68" i="22"/>
  <c r="D67" i="22"/>
  <c r="I267" i="56"/>
  <c r="G58" i="22"/>
  <c r="H57" i="22"/>
  <c r="I126" i="30" l="1"/>
  <c r="I268" i="56"/>
  <c r="D68" i="22"/>
  <c r="B69" i="22"/>
  <c r="G59" i="22"/>
  <c r="H58" i="22"/>
  <c r="I269" i="56" l="1"/>
  <c r="D69" i="22"/>
  <c r="B70" i="22"/>
  <c r="I127" i="30"/>
  <c r="G60" i="22"/>
  <c r="H59" i="22"/>
  <c r="D70" i="22" l="1"/>
  <c r="B71" i="22"/>
  <c r="D71" i="22" s="1"/>
  <c r="G61" i="22"/>
  <c r="H60" i="22"/>
  <c r="I270" i="56" l="1"/>
  <c r="I271" i="56" s="1"/>
  <c r="G62" i="22"/>
  <c r="H61" i="22"/>
  <c r="C275" i="56" l="1"/>
  <c r="C277" i="56" s="1"/>
  <c r="G63" i="22"/>
  <c r="H62" i="22"/>
  <c r="H63" i="22" l="1"/>
  <c r="G64" i="22"/>
  <c r="H64" i="22" l="1"/>
  <c r="G65" i="22"/>
  <c r="H65" i="22" l="1"/>
  <c r="G66" i="22"/>
  <c r="H66" i="22" l="1"/>
  <c r="G67" i="22"/>
  <c r="H67" i="22" s="1"/>
  <c r="G68" i="22" l="1"/>
  <c r="G69" i="22" s="1"/>
  <c r="H69" i="22" l="1"/>
  <c r="G70" i="22"/>
  <c r="H68" i="22"/>
  <c r="H70" i="22" l="1"/>
  <c r="G71" i="22"/>
  <c r="H71" i="22" s="1"/>
  <c r="Q13" i="37" l="1"/>
  <c r="R13" i="37" s="1"/>
  <c r="H74" i="22" l="1"/>
  <c r="C77" i="22"/>
  <c r="C78" i="22" s="1"/>
  <c r="Q6" i="37" l="1"/>
  <c r="R6" i="37" s="1"/>
  <c r="H95" i="44" l="1"/>
  <c r="C97" i="44" l="1"/>
  <c r="C100" i="44" s="1"/>
  <c r="Q5" i="37"/>
  <c r="R5" i="37" l="1"/>
  <c r="X36" i="37"/>
  <c r="G21" i="99" l="1"/>
  <c r="I21" i="99" s="1"/>
  <c r="G20" i="99"/>
  <c r="I20" i="99" s="1"/>
  <c r="G15" i="99"/>
  <c r="I15" i="99" s="1"/>
  <c r="G19" i="99"/>
  <c r="I19" i="99" s="1"/>
  <c r="G14" i="99"/>
  <c r="I14" i="99" s="1"/>
  <c r="G16" i="99"/>
  <c r="I16" i="99" s="1"/>
  <c r="G18" i="99"/>
  <c r="I18" i="99" s="1"/>
  <c r="G12" i="99"/>
  <c r="I12" i="99" s="1"/>
  <c r="E44" i="99" s="1"/>
  <c r="F44" i="99" s="1"/>
  <c r="G13" i="99"/>
  <c r="I13" i="99" s="1"/>
  <c r="D42" i="105"/>
  <c r="D46" i="99" l="1"/>
  <c r="Q59" i="37"/>
  <c r="R59" i="37" s="1"/>
  <c r="C45" i="105"/>
  <c r="C38" i="105" s="1"/>
  <c r="C43" i="105"/>
  <c r="C39" i="105" s="1"/>
  <c r="D43" i="105" l="1"/>
  <c r="C46" i="105" l="1"/>
  <c r="C37" i="105" l="1"/>
  <c r="D46" i="105"/>
  <c r="C47" i="105" l="1"/>
  <c r="C34" i="105" s="1"/>
  <c r="C48" i="105" l="1"/>
  <c r="C35" i="105" s="1"/>
  <c r="C40" i="105" l="1"/>
  <c r="H111" i="105" l="1"/>
  <c r="H98" i="105"/>
  <c r="H83" i="105"/>
  <c r="H103" i="105"/>
  <c r="H122" i="105"/>
  <c r="H90" i="105"/>
  <c r="H89" i="105"/>
  <c r="H123" i="105"/>
  <c r="H99" i="105"/>
  <c r="H110" i="105"/>
  <c r="H125" i="105"/>
  <c r="H120" i="105"/>
  <c r="H126" i="105"/>
  <c r="H105" i="105"/>
  <c r="H119" i="105"/>
  <c r="H87" i="105"/>
  <c r="H106" i="105"/>
  <c r="H109" i="105"/>
  <c r="H100" i="105"/>
  <c r="H121" i="105"/>
  <c r="H101" i="105"/>
  <c r="H116" i="105"/>
  <c r="O45" i="37"/>
  <c r="H115" i="105"/>
  <c r="H95" i="105"/>
  <c r="H114" i="105"/>
  <c r="H94" i="105"/>
  <c r="H117" i="105"/>
  <c r="H93" i="105"/>
  <c r="H112" i="105"/>
  <c r="H96" i="105"/>
  <c r="H88" i="105"/>
  <c r="H85" i="105"/>
  <c r="H104" i="105"/>
  <c r="H84" i="105"/>
  <c r="H107" i="105"/>
  <c r="H91" i="105"/>
  <c r="H118" i="105"/>
  <c r="H102" i="105"/>
  <c r="H86" i="105"/>
  <c r="H113" i="105"/>
  <c r="H97" i="105"/>
  <c r="H124" i="105"/>
  <c r="H108" i="105"/>
  <c r="H92" i="105"/>
  <c r="Q45" i="37" l="1"/>
  <c r="R45" i="37" s="1"/>
  <c r="F141" i="62" l="1"/>
  <c r="H141" i="62" s="1"/>
  <c r="F103" i="62" l="1"/>
  <c r="H103" i="62" s="1"/>
  <c r="F125" i="62"/>
  <c r="H125" i="62" s="1"/>
  <c r="F111" i="62"/>
  <c r="H111" i="62" s="1"/>
  <c r="F105" i="62"/>
  <c r="H105" i="62" s="1"/>
  <c r="F131" i="62"/>
  <c r="H131" i="62" s="1"/>
  <c r="F102" i="62"/>
  <c r="H102" i="62" s="1"/>
  <c r="F95" i="62"/>
  <c r="H95" i="62" s="1"/>
  <c r="F94" i="62"/>
  <c r="H94" i="62" s="1"/>
  <c r="F97" i="62"/>
  <c r="H97" i="62" s="1"/>
  <c r="F96" i="62"/>
  <c r="H96" i="62" s="1"/>
  <c r="F121" i="62"/>
  <c r="H121" i="62" s="1"/>
  <c r="F140" i="62"/>
  <c r="H140" i="62" s="1"/>
  <c r="F124" i="62"/>
  <c r="H124" i="62" s="1"/>
  <c r="F135" i="62"/>
  <c r="H135" i="62" s="1"/>
  <c r="F93" i="62"/>
  <c r="H93" i="62" s="1"/>
  <c r="F101" i="62"/>
  <c r="H101" i="62" s="1"/>
  <c r="F106" i="62"/>
  <c r="H106" i="62" s="1"/>
  <c r="F115" i="62"/>
  <c r="H115" i="62" s="1"/>
  <c r="F100" i="62"/>
  <c r="H100" i="62" s="1"/>
  <c r="F138" i="62"/>
  <c r="H138" i="62" s="1"/>
  <c r="F113" i="62"/>
  <c r="H113" i="62" s="1"/>
  <c r="F137" i="62"/>
  <c r="H137" i="62" s="1"/>
  <c r="F114" i="62"/>
  <c r="H114" i="62" s="1"/>
  <c r="F116" i="62"/>
  <c r="H116" i="62" s="1"/>
  <c r="F132" i="62"/>
  <c r="H132" i="62" s="1"/>
  <c r="F126" i="62"/>
  <c r="H126" i="62" s="1"/>
  <c r="F119" i="62"/>
  <c r="H119" i="62" s="1"/>
  <c r="F109" i="62"/>
  <c r="H109" i="62" s="1"/>
  <c r="F120" i="62"/>
  <c r="H120" i="62" s="1"/>
  <c r="F110" i="62"/>
  <c r="H110" i="62" s="1"/>
  <c r="F122" i="62"/>
  <c r="H122" i="62" s="1"/>
  <c r="F134" i="62"/>
  <c r="H134" i="62" s="1"/>
  <c r="F127" i="62"/>
  <c r="H127" i="62" s="1"/>
  <c r="F133" i="62"/>
  <c r="H133" i="62" s="1"/>
  <c r="F129" i="62"/>
  <c r="H129" i="62" s="1"/>
  <c r="F136" i="62"/>
  <c r="H136" i="62" s="1"/>
  <c r="F99" i="62"/>
  <c r="H99" i="62" s="1"/>
  <c r="F139" i="62"/>
  <c r="H139" i="62" s="1"/>
  <c r="F112" i="62"/>
  <c r="H112" i="62" s="1"/>
  <c r="F123" i="62"/>
  <c r="H123" i="62" s="1"/>
  <c r="F130" i="62"/>
  <c r="H130" i="62" s="1"/>
  <c r="F118" i="62"/>
  <c r="H118" i="62" s="1"/>
  <c r="F108" i="62"/>
  <c r="H108" i="62" s="1"/>
  <c r="F117" i="62"/>
  <c r="H117" i="62" s="1"/>
  <c r="F104" i="62"/>
  <c r="H104" i="62" s="1"/>
  <c r="F98" i="62"/>
  <c r="H98" i="62" s="1"/>
  <c r="F128" i="62"/>
  <c r="H128" i="62" s="1"/>
  <c r="F90" i="62"/>
  <c r="H90" i="62" s="1"/>
  <c r="F92" i="62"/>
  <c r="H92" i="62" s="1"/>
  <c r="F91" i="62"/>
  <c r="H91" i="62" s="1"/>
  <c r="F107" i="62"/>
  <c r="H107" i="62" s="1"/>
  <c r="D146" i="62" l="1"/>
  <c r="J146" i="62" s="1"/>
  <c r="K147" i="62" l="1"/>
  <c r="K146" i="62"/>
  <c r="K148" i="62" s="1"/>
  <c r="D150" i="62"/>
  <c r="C165" i="62"/>
  <c r="C166" i="62" s="1"/>
  <c r="C168" i="62" s="1"/>
  <c r="I156" i="62" l="1"/>
  <c r="O152" i="166"/>
  <c r="C167" i="62"/>
  <c r="E58" i="86" l="1"/>
  <c r="I58" i="86" s="1"/>
  <c r="C151" i="86" l="1"/>
  <c r="P58" i="86" l="1"/>
  <c r="S58" i="86" s="1"/>
  <c r="P123" i="86"/>
  <c r="S123" i="86" s="1"/>
  <c r="P118" i="86"/>
  <c r="S118" i="86" s="1"/>
  <c r="P87" i="86"/>
  <c r="S87" i="86" s="1"/>
  <c r="P113" i="86"/>
  <c r="S113" i="86" s="1"/>
  <c r="P77" i="86"/>
  <c r="S77" i="86" s="1"/>
  <c r="P115" i="86"/>
  <c r="S115" i="86" s="1"/>
  <c r="P66" i="86"/>
  <c r="S66" i="86" s="1"/>
  <c r="P86" i="86"/>
  <c r="S86" i="86" s="1"/>
  <c r="P92" i="86"/>
  <c r="S92" i="86" s="1"/>
  <c r="P82" i="86"/>
  <c r="S82" i="86" s="1"/>
  <c r="P94" i="86"/>
  <c r="S94" i="86" s="1"/>
  <c r="P88" i="86"/>
  <c r="S88" i="86" s="1"/>
  <c r="P64" i="86"/>
  <c r="S64" i="86" s="1"/>
  <c r="P74" i="86"/>
  <c r="S74" i="86" s="1"/>
  <c r="P61" i="86"/>
  <c r="S61" i="86" s="1"/>
  <c r="P62" i="86"/>
  <c r="S62" i="86" s="1"/>
  <c r="P75" i="86"/>
  <c r="S75" i="86" s="1"/>
  <c r="P100" i="86"/>
  <c r="S100" i="86" s="1"/>
  <c r="P93" i="86"/>
  <c r="S93" i="86" s="1"/>
  <c r="P114" i="86"/>
  <c r="S114" i="86" s="1"/>
  <c r="P68" i="86"/>
  <c r="S68" i="86" s="1"/>
  <c r="P90" i="86"/>
  <c r="S90" i="86" s="1"/>
  <c r="P89" i="86"/>
  <c r="S89" i="86" s="1"/>
  <c r="P125" i="86"/>
  <c r="S125" i="86" s="1"/>
  <c r="P79" i="86"/>
  <c r="S79" i="86" s="1"/>
  <c r="P96" i="86"/>
  <c r="S96" i="86" s="1"/>
  <c r="P111" i="86"/>
  <c r="S111" i="86" s="1"/>
  <c r="P99" i="86"/>
  <c r="S99" i="86" s="1"/>
  <c r="P69" i="86"/>
  <c r="S69" i="86" s="1"/>
  <c r="P70" i="86"/>
  <c r="S70" i="86" s="1"/>
  <c r="P76" i="86"/>
  <c r="S76" i="86" s="1"/>
  <c r="P104" i="86"/>
  <c r="S104" i="86" s="1"/>
  <c r="P67" i="86"/>
  <c r="S67" i="86" s="1"/>
  <c r="O9" i="37"/>
  <c r="O124" i="37" s="1"/>
  <c r="P84" i="86"/>
  <c r="S84" i="86" s="1"/>
  <c r="P110" i="86"/>
  <c r="S110" i="86" s="1"/>
  <c r="P108" i="86"/>
  <c r="S108" i="86" s="1"/>
  <c r="P122" i="86"/>
  <c r="S122" i="86" s="1"/>
  <c r="P98" i="86"/>
  <c r="S98" i="86" s="1"/>
  <c r="P97" i="86"/>
  <c r="S97" i="86" s="1"/>
  <c r="P121" i="86"/>
  <c r="S121" i="86" s="1"/>
  <c r="P85" i="86"/>
  <c r="S85" i="86" s="1"/>
  <c r="P120" i="86"/>
  <c r="S120" i="86" s="1"/>
  <c r="P59" i="86"/>
  <c r="S59" i="86" s="1"/>
  <c r="P95" i="86"/>
  <c r="S95" i="86" s="1"/>
  <c r="P116" i="86"/>
  <c r="S116" i="86" s="1"/>
  <c r="P83" i="86"/>
  <c r="S83" i="86" s="1"/>
  <c r="P112" i="86"/>
  <c r="S112" i="86" s="1"/>
  <c r="P117" i="86"/>
  <c r="S117" i="86" s="1"/>
  <c r="P105" i="86"/>
  <c r="S105" i="86" s="1"/>
  <c r="P109" i="86"/>
  <c r="S109" i="86" s="1"/>
  <c r="P60" i="86"/>
  <c r="S60" i="86" s="1"/>
  <c r="P78" i="86"/>
  <c r="S78" i="86" s="1"/>
  <c r="P124" i="86"/>
  <c r="S124" i="86" s="1"/>
  <c r="P81" i="86"/>
  <c r="S81" i="86" s="1"/>
  <c r="P80" i="86"/>
  <c r="S80" i="86" s="1"/>
  <c r="P91" i="86"/>
  <c r="S91" i="86" s="1"/>
  <c r="P102" i="86"/>
  <c r="S102" i="86" s="1"/>
  <c r="P103" i="86"/>
  <c r="S103" i="86" s="1"/>
  <c r="P65" i="86"/>
  <c r="S65" i="86" s="1"/>
  <c r="P107" i="86"/>
  <c r="S107" i="86" s="1"/>
  <c r="P119" i="86"/>
  <c r="S119" i="86" s="1"/>
  <c r="P101" i="86"/>
  <c r="S101" i="86" s="1"/>
  <c r="P73" i="86"/>
  <c r="S73" i="86" s="1"/>
  <c r="P71" i="86"/>
  <c r="S71" i="86" s="1"/>
  <c r="P72" i="86"/>
  <c r="S72" i="86" s="1"/>
  <c r="P106" i="86"/>
  <c r="S106" i="86" s="1"/>
  <c r="P63" i="86"/>
  <c r="S63" i="86" s="1"/>
  <c r="E59" i="86"/>
  <c r="N151" i="86" l="1"/>
  <c r="I59" i="86"/>
  <c r="Q9" i="37" l="1"/>
  <c r="Q124" i="37" s="1"/>
  <c r="E60" i="86"/>
  <c r="R9" i="37" l="1"/>
  <c r="R124" i="37" s="1"/>
  <c r="I60" i="86"/>
  <c r="E61" i="86" l="1"/>
  <c r="I61" i="86" l="1"/>
  <c r="E62" i="86" s="1"/>
  <c r="I62" i="86" l="1"/>
  <c r="E63" i="86" s="1"/>
  <c r="I63" i="86" l="1"/>
  <c r="E64" i="86" s="1"/>
  <c r="I64" i="86" l="1"/>
  <c r="E65" i="86" s="1"/>
  <c r="I65" i="86" l="1"/>
  <c r="E66" i="86" s="1"/>
  <c r="I66" i="86" l="1"/>
  <c r="E67" i="86" s="1"/>
  <c r="I67" i="86" l="1"/>
  <c r="E68" i="86" s="1"/>
  <c r="I68" i="86" l="1"/>
  <c r="E69" i="86" s="1"/>
  <c r="I69" i="86" l="1"/>
  <c r="E70" i="86" s="1"/>
  <c r="I70" i="86" l="1"/>
  <c r="E71" i="86" s="1"/>
  <c r="I71" i="86" l="1"/>
  <c r="E72" i="86" s="1"/>
  <c r="I72" i="86" l="1"/>
  <c r="E73" i="86" s="1"/>
  <c r="I73" i="86" l="1"/>
  <c r="E74" i="86" s="1"/>
  <c r="I74" i="86" l="1"/>
  <c r="E75" i="86" s="1"/>
  <c r="I75" i="86" l="1"/>
  <c r="E76" i="86" s="1"/>
  <c r="I76" i="86" l="1"/>
  <c r="E77" i="86" s="1"/>
  <c r="I77" i="86" l="1"/>
  <c r="E78" i="86" s="1"/>
  <c r="I78" i="86" l="1"/>
  <c r="E79" i="86" s="1"/>
  <c r="I79" i="86" l="1"/>
  <c r="E80" i="86" s="1"/>
  <c r="I80" i="86" l="1"/>
  <c r="E81" i="86" s="1"/>
  <c r="I81" i="86" l="1"/>
  <c r="E82" i="86" s="1"/>
  <c r="I82" i="86" l="1"/>
  <c r="E83" i="86" s="1"/>
  <c r="I83" i="86" l="1"/>
  <c r="E84" i="86" s="1"/>
  <c r="I84" i="86" l="1"/>
  <c r="E85" i="86" s="1"/>
  <c r="I85" i="86" l="1"/>
  <c r="E86" i="86" s="1"/>
  <c r="I86" i="86" l="1"/>
  <c r="E87" i="86" s="1"/>
  <c r="I87" i="86" l="1"/>
  <c r="E88" i="86" s="1"/>
  <c r="I88" i="86" l="1"/>
  <c r="E89" i="86" s="1"/>
  <c r="I89" i="86" l="1"/>
  <c r="E90" i="86" s="1"/>
  <c r="I90" i="86" l="1"/>
  <c r="E91" i="86" s="1"/>
  <c r="I91" i="86" l="1"/>
  <c r="E92" i="86" s="1"/>
  <c r="I92" i="86" l="1"/>
  <c r="E93" i="86" s="1"/>
  <c r="I93" i="86" l="1"/>
  <c r="E94" i="86" s="1"/>
  <c r="I94" i="86" l="1"/>
  <c r="E95" i="86" s="1"/>
  <c r="I95" i="86" l="1"/>
  <c r="E96" i="86" s="1"/>
  <c r="I96" i="86" l="1"/>
  <c r="E97" i="86" s="1"/>
  <c r="I97" i="86" l="1"/>
  <c r="E98" i="86" s="1"/>
  <c r="I98" i="86" l="1"/>
  <c r="E99" i="86" s="1"/>
  <c r="I99" i="86" l="1"/>
  <c r="E100" i="86" s="1"/>
  <c r="I100" i="86" l="1"/>
  <c r="E101" i="86" s="1"/>
  <c r="I101" i="86" l="1"/>
  <c r="E102" i="86" s="1"/>
  <c r="I102" i="86" l="1"/>
  <c r="E103" i="86" s="1"/>
  <c r="I103" i="86" l="1"/>
  <c r="E104" i="86" s="1"/>
  <c r="I104" i="86" l="1"/>
  <c r="E105" i="86" s="1"/>
  <c r="I105" i="86" l="1"/>
  <c r="E106" i="86" s="1"/>
  <c r="I106" i="86" l="1"/>
  <c r="E107" i="86" s="1"/>
  <c r="I107" i="86" l="1"/>
  <c r="E108" i="86" s="1"/>
  <c r="I108" i="86" l="1"/>
  <c r="E109" i="86" s="1"/>
  <c r="I109" i="86" l="1"/>
  <c r="E110" i="86" s="1"/>
  <c r="I110" i="86" l="1"/>
  <c r="E111" i="86" s="1"/>
  <c r="I111" i="86" l="1"/>
  <c r="E112" i="86" s="1"/>
  <c r="I112" i="86" l="1"/>
  <c r="E113" i="86" s="1"/>
  <c r="I113" i="86" l="1"/>
  <c r="E114" i="86" s="1"/>
  <c r="I114" i="86" l="1"/>
  <c r="E115" i="86" s="1"/>
  <c r="I115" i="86" l="1"/>
  <c r="E116" i="86" s="1"/>
  <c r="I116" i="86" l="1"/>
  <c r="E117" i="86" s="1"/>
  <c r="I117" i="86" l="1"/>
  <c r="E118" i="86" s="1"/>
  <c r="I118" i="86" l="1"/>
  <c r="E119" i="86" s="1"/>
  <c r="I119" i="86" l="1"/>
  <c r="E120" i="86" s="1"/>
  <c r="I120" i="86" l="1"/>
  <c r="E121" i="86" s="1"/>
  <c r="I121" i="86" l="1"/>
  <c r="E122" i="86" s="1"/>
  <c r="I122" i="86" s="1"/>
  <c r="I124" i="86" s="1"/>
  <c r="C152" i="86" s="1"/>
  <c r="C155" i="86" s="1"/>
  <c r="M350" i="124"/>
  <c r="D49" i="144" l="1"/>
  <c r="I49" i="144" s="1"/>
  <c r="D53" i="144"/>
  <c r="I53" i="144" s="1"/>
  <c r="D36" i="144"/>
  <c r="I36" i="144" s="1"/>
  <c r="D45" i="144"/>
  <c r="I45" i="144" s="1"/>
  <c r="D30" i="144"/>
  <c r="I30" i="144" s="1"/>
  <c r="D38" i="144"/>
  <c r="I38" i="144" s="1"/>
  <c r="D29" i="144"/>
  <c r="I29" i="144" s="1"/>
  <c r="D55" i="144"/>
  <c r="I55" i="144" s="1"/>
  <c r="D43" i="144"/>
  <c r="I43" i="144" s="1"/>
  <c r="D47" i="144"/>
  <c r="I47" i="144" s="1"/>
  <c r="D28" i="144"/>
  <c r="I28" i="144" s="1"/>
  <c r="D52" i="144"/>
  <c r="I52" i="144" s="1"/>
  <c r="D33" i="144"/>
  <c r="I33" i="144" s="1"/>
  <c r="D23" i="144"/>
  <c r="I23" i="144" s="1"/>
  <c r="D19" i="144"/>
  <c r="I19" i="144" s="1"/>
  <c r="D50" i="144"/>
  <c r="I50" i="144" s="1"/>
  <c r="D42" i="144"/>
  <c r="I42" i="144" s="1"/>
  <c r="D31" i="144"/>
  <c r="I31" i="144" s="1"/>
  <c r="D40" i="144"/>
  <c r="I40" i="144" s="1"/>
  <c r="D51" i="144"/>
  <c r="I51" i="144" s="1"/>
  <c r="D20" i="144"/>
  <c r="I20" i="144" s="1"/>
  <c r="D44" i="144"/>
  <c r="I44" i="144" s="1"/>
  <c r="D35" i="144"/>
  <c r="I35" i="144" s="1"/>
  <c r="D26" i="144"/>
  <c r="I26" i="144" s="1"/>
  <c r="D22" i="144"/>
  <c r="I22" i="144" s="1"/>
  <c r="D48" i="144"/>
  <c r="I48" i="144" s="1"/>
  <c r="D39" i="144"/>
  <c r="I39" i="144" s="1"/>
  <c r="D41" i="144"/>
  <c r="I41" i="144" s="1"/>
  <c r="D56" i="144"/>
  <c r="I56" i="144" s="1"/>
  <c r="D24" i="144"/>
  <c r="I24" i="144" s="1"/>
  <c r="D32" i="144"/>
  <c r="I32" i="144" s="1"/>
  <c r="D25" i="144"/>
  <c r="I25" i="144" s="1"/>
  <c r="D21" i="144"/>
  <c r="I21" i="144" s="1"/>
  <c r="D54" i="144"/>
  <c r="I54" i="144" s="1"/>
  <c r="D46" i="144"/>
  <c r="I46" i="144" s="1"/>
  <c r="D37" i="144"/>
  <c r="I37" i="144" s="1"/>
  <c r="D34" i="144"/>
  <c r="I34" i="144" s="1"/>
  <c r="I64" i="144" l="1"/>
  <c r="D69" i="144" l="1"/>
  <c r="D72" i="144" s="1"/>
  <c r="I65" i="144"/>
  <c r="K351" i="165" l="1"/>
  <c r="X44" i="3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Julio Rosales</author>
  </authors>
  <commentList>
    <comment ref="K38" authorId="0" shapeId="0" xr:uid="{744D5337-109F-4BDA-9D1D-94F2AE43F43E}">
      <text>
        <r>
          <rPr>
            <sz val="9"/>
            <color indexed="81"/>
            <rFont val="Tahoma"/>
            <family val="2"/>
          </rPr>
          <t>ENERO 2014 NO GENERA INTERES EN ENERO YA QUE EL PAGO SE DEBIO REALIZAR A FIN DE MES Y POR TANTO SE GENERA INTERES EN EL SIGUIENTE MES, ES DECIR, FEBRERO Y ASI SUCESIVAMENTE</t>
        </r>
      </text>
    </comment>
    <comment ref="K39" authorId="0" shapeId="0" xr:uid="{178337C0-C98B-4D66-9989-8001172339F0}">
      <text>
        <r>
          <rPr>
            <sz val="9"/>
            <color indexed="81"/>
            <rFont val="Tahoma"/>
            <family val="2"/>
          </rPr>
          <t>EL INTERES SE CALCULA SOBRE EL VALOR ACUMULADO DEL MES ANTERIOR.</t>
        </r>
      </text>
    </comment>
    <comment ref="K75" authorId="0" shapeId="0" xr:uid="{7B7399BD-59E2-4543-AA0D-BE9642822924}">
      <text>
        <r>
          <rPr>
            <sz val="9"/>
            <color indexed="81"/>
            <rFont val="Tahoma"/>
            <family val="2"/>
          </rPr>
          <t>A PARTIR DE ESTA FECHA LOS INTERESES SE GENERAN CON EL VALOR DE OBLIGACIONES ACUMULADO FINAL, AL NO TENER MAS OBLIGACIONES.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tc={211B09B8-640C-46AB-BD4E-E04855AA7D19}</author>
    <author>tc={94110023-9101-4595-BED9-23D426884661}</author>
  </authors>
  <commentList>
    <comment ref="E17" authorId="0" shapeId="0" xr:uid="{211B09B8-640C-46AB-BD4E-E04855AA7D19}">
      <text>
        <t>[Threaded comment]
Your version of Excel allows you to read this threaded comment; however, any edits to it will get removed if the file is opened in a newer version of Excel. Learn more: https://go.microsoft.com/fwlink/?linkid=870924
Comment:
    SE EVIDENCIA TASA DE USURA ERRADA POR LOS MESES DIC 2017,ENERO, FEB DE 2018</t>
      </text>
    </comment>
    <comment ref="E21" authorId="1" shapeId="0" xr:uid="{94110023-9101-4595-BED9-23D426884661}">
      <text>
        <t>[Threaded comment]
Your version of Excel allows you to read this threaded comment; however, any edits to it will get removed if the file is opened in a newer version of Excel. Learn more: https://go.microsoft.com/fwlink/?linkid=870924
Comment:
    SE EVIDENCIA TASA DE USURA ERRADA POR LOS MESES DIC 2017,ENERO, FEB DE 2018</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tc={EE901D13-850B-4EE0-BF90-F6B9F064CCEF}</author>
    <author>tc={0C8BC56D-C7E2-4FB6-ABF4-1AB6E381DC95}</author>
  </authors>
  <commentList>
    <comment ref="E12" authorId="0" shapeId="0" xr:uid="{EE901D13-850B-4EE0-BF90-F6B9F064CCEF}">
      <text>
        <t>[Threaded comment]
Your version of Excel allows you to read this threaded comment; however, any edits to it will get removed if the file is opened in a newer version of Excel. Learn more: https://go.microsoft.com/fwlink/?linkid=870924
Comment:
    SE EVIDENCIA TASA DE USURA ERRADA POR LOS MESES DIC 2017,ENERO, FEB DE 2018</t>
      </text>
    </comment>
    <comment ref="E16" authorId="1" shapeId="0" xr:uid="{0C8BC56D-C7E2-4FB6-ABF4-1AB6E381DC95}">
      <text>
        <t>[Threaded comment]
Your version of Excel allows you to read this threaded comment; however, any edits to it will get removed if the file is opened in a newer version of Excel. Learn more: https://go.microsoft.com/fwlink/?linkid=870924
Comment:
    SE EVIDENCIA TASA DE USURA ERRADA POR LOS MESES DIC 2017,ENERO, FEB DE 2018</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jpimienta</author>
  </authors>
  <commentList>
    <comment ref="T28" authorId="0" shapeId="0" xr:uid="{AE5793CF-1641-46DD-9255-DF9655B201FF}">
      <text>
        <r>
          <rPr>
            <b/>
            <sz val="8"/>
            <color indexed="81"/>
            <rFont val="Tahoma"/>
            <family val="2"/>
          </rPr>
          <t>jpimienta:</t>
        </r>
        <r>
          <rPr>
            <sz val="8"/>
            <color indexed="81"/>
            <rFont val="Tahoma"/>
            <family val="2"/>
          </rPr>
          <t xml:space="preserve">
</t>
        </r>
      </text>
    </comment>
    <comment ref="F52" authorId="0" shapeId="0" xr:uid="{D9DB6D17-2CB6-4A71-AEF5-C9B18CA1D71C}">
      <text>
        <r>
          <rPr>
            <b/>
            <sz val="8"/>
            <color indexed="81"/>
            <rFont val="Tahoma"/>
            <family val="2"/>
          </rPr>
          <t>jpimienta:</t>
        </r>
        <r>
          <rPr>
            <sz val="8"/>
            <color indexed="81"/>
            <rFont val="Tahoma"/>
            <family val="2"/>
          </rPr>
          <t xml:space="preserve">
</t>
        </r>
      </text>
    </comment>
    <comment ref="T74" authorId="0" shapeId="0" xr:uid="{6D8C20D0-0D05-4543-8A2C-900AA9ACD1C1}">
      <text>
        <r>
          <rPr>
            <b/>
            <sz val="8"/>
            <color indexed="81"/>
            <rFont val="Tahoma"/>
            <family val="2"/>
          </rPr>
          <t>jpimienta:</t>
        </r>
        <r>
          <rPr>
            <sz val="8"/>
            <color indexed="81"/>
            <rFont val="Tahoma"/>
            <family val="2"/>
          </rPr>
          <t xml:space="preserve">
</t>
        </r>
      </text>
    </comment>
    <comment ref="F95" authorId="0" shapeId="0" xr:uid="{FCCF4294-718B-44E9-87B0-4674794867E3}">
      <text>
        <r>
          <rPr>
            <b/>
            <sz val="8"/>
            <color indexed="81"/>
            <rFont val="Tahoma"/>
            <family val="2"/>
          </rPr>
          <t>jpimienta:</t>
        </r>
        <r>
          <rPr>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tc={91DD0BF7-199B-42EA-B358-BB47A1A2848B}</author>
  </authors>
  <commentList>
    <comment ref="C7" authorId="0" shapeId="0" xr:uid="{91DD0BF7-199B-42EA-B358-BB47A1A2848B}">
      <text>
        <t>[Threaded comment]
Your version of Excel allows you to read this threaded comment; however, any edits to it will get removed if the file is opened in a newer version of Excel. Learn more: https://go.microsoft.com/fwlink/?linkid=870924
Comment:
    Se verifica la sentencia Analisis critico del material probatorio, PAG 14, confirma ultima asignacion Basica.</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Angélica Isabel Meza Almeida</author>
    <author>tc={90EBF798-CF50-47FA-A8C9-E20BE58C137F}</author>
  </authors>
  <commentList>
    <comment ref="B11" authorId="0" shapeId="0" xr:uid="{0BB5138E-BE5C-415C-B610-DA59D6CE65E2}">
      <text>
        <r>
          <rPr>
            <b/>
            <sz val="9"/>
            <color indexed="81"/>
            <rFont val="Tahoma"/>
            <family val="2"/>
          </rPr>
          <t>Angélica Isabel Meza Almeida:</t>
        </r>
        <r>
          <rPr>
            <sz val="9"/>
            <color indexed="81"/>
            <rFont val="Tahoma"/>
            <family val="2"/>
          </rPr>
          <t xml:space="preserve">
Fecha inicio liquidacion del juzgado</t>
        </r>
      </text>
    </comment>
    <comment ref="B44" authorId="1" shapeId="0" xr:uid="{90EBF798-CF50-47FA-A8C9-E20BE58C137F}">
      <text>
        <t>[Threaded comment]
Your version of Excel allows you to read this threaded comment; however, any edits to it will get removed if the file is opened in a newer version of Excel. Learn more: https://go.microsoft.com/fwlink/?linkid=870924
Comment:
    Inicia un dia despues de la fecha final liquidada por el Juzgado.</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Angélica Isabel Meza Almeida</author>
  </authors>
  <commentList>
    <comment ref="G9" authorId="0" shapeId="0" xr:uid="{1994B06F-C5DB-4744-BD6C-F85256C5DDA6}">
      <text>
        <r>
          <rPr>
            <b/>
            <sz val="9"/>
            <color indexed="81"/>
            <rFont val="Tahoma"/>
            <family val="2"/>
          </rPr>
          <t>Angélica Isabel Meza Almeida:</t>
        </r>
        <r>
          <rPr>
            <sz val="9"/>
            <color indexed="81"/>
            <rFont val="Tahoma"/>
            <family val="2"/>
          </rPr>
          <t xml:space="preserve">
=((1+F12)^(1/30)-1)</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Angélica Isabel Meza Almeida</author>
  </authors>
  <commentList>
    <comment ref="C16" authorId="0" shapeId="0" xr:uid="{9757AF63-6281-4303-90BC-6C82C619E318}">
      <text>
        <r>
          <rPr>
            <b/>
            <sz val="9"/>
            <color indexed="81"/>
            <rFont val="Tahoma"/>
            <family val="2"/>
          </rPr>
          <t>Angélica Isabel Meza Almeida:</t>
        </r>
        <r>
          <rPr>
            <sz val="9"/>
            <color indexed="81"/>
            <rFont val="Tahoma"/>
            <family val="2"/>
          </rPr>
          <t xml:space="preserve">
Intereses por 3 meses por solicitud de cobro incompleta.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Angélica Isabel Meza Almeida</author>
  </authors>
  <commentList>
    <comment ref="T40" authorId="0" shapeId="0" xr:uid="{D892614F-539B-4E15-81A9-2279E54FCFE9}">
      <text>
        <r>
          <rPr>
            <b/>
            <sz val="9"/>
            <color indexed="81"/>
            <rFont val="Tahoma"/>
            <charset val="1"/>
          </rPr>
          <t>Angélica Isabel Meza Almeida:</t>
        </r>
        <r>
          <rPr>
            <sz val="9"/>
            <color indexed="81"/>
            <rFont val="Tahoma"/>
            <charset val="1"/>
          </rPr>
          <t xml:space="preserve">
JUNIO 2022 EL JUZGADO CONSIDERÓ QUE SE DECRETARON PRUEBAS DE OFICIO A AGUSTIN CODAZZI, PORQUE FALTABAN INSUMOS PARA DARLE VIA LIBRE A LIQUIDACION DE LA CONDENA,  NO SE HA RESUELTO.</t>
        </r>
      </text>
    </comment>
    <comment ref="T41" authorId="0" shapeId="0" xr:uid="{18A92E08-4430-4825-8A6E-6E1B5F052BF4}">
      <text>
        <r>
          <rPr>
            <b/>
            <sz val="9"/>
            <color indexed="81"/>
            <rFont val="Tahoma"/>
            <charset val="1"/>
          </rPr>
          <t>Angélica Isabel Meza Almeida:</t>
        </r>
        <r>
          <rPr>
            <sz val="9"/>
            <color indexed="81"/>
            <rFont val="Tahoma"/>
            <charset val="1"/>
          </rPr>
          <t xml:space="preserve">
Se solicita al demandante que aporte los pagos realizados por medio AMC </t>
        </r>
      </text>
    </comment>
    <comment ref="T44" authorId="0" shapeId="0" xr:uid="{C767891F-6202-4048-B437-22F061316CA3}">
      <text>
        <r>
          <rPr>
            <b/>
            <sz val="9"/>
            <color indexed="81"/>
            <rFont val="Tahoma"/>
            <charset val="1"/>
          </rPr>
          <t>Angélica Isabel Meza Almeida:</t>
        </r>
        <r>
          <rPr>
            <sz val="9"/>
            <color indexed="81"/>
            <rFont val="Tahoma"/>
            <charset val="1"/>
          </rPr>
          <t xml:space="preserve">
se solicita link completo al tribunal para el lleno de los requisitos para el pago por saneamiento</t>
        </r>
      </text>
    </comment>
  </commentList>
</comments>
</file>

<file path=xl/sharedStrings.xml><?xml version="1.0" encoding="utf-8"?>
<sst xmlns="http://schemas.openxmlformats.org/spreadsheetml/2006/main" count="12157" uniqueCount="2595">
  <si>
    <t>Nombre del Demandante</t>
  </si>
  <si>
    <t>Nilda Melendez</t>
  </si>
  <si>
    <t>Condena</t>
  </si>
  <si>
    <t xml:space="preserve">DESDE 13/12/2006 HASTA REINTEGRO 19/01/2017 </t>
  </si>
  <si>
    <t>Fecha Ejecutoria</t>
  </si>
  <si>
    <t xml:space="preserve">ORDENA EL REINTEGRO DE LA DEMANDANTE AL CARGO QUE DESEMPEÑABA U OTRO DE IGUAL O SUPERIOR CATEGORÍA. RECONOCIMIENTO Y PAGO DE SALARIOS Y PRESTACIONES </t>
  </si>
  <si>
    <t>DEJADOS DE PERCIBIR DESDE SU DESVINCULACIÓN HASTA SU REINTEGRO, SIN SOLUCIÓN DE CONTINUIDAD.</t>
  </si>
  <si>
    <t>PROFESIONAL UNIVERSITARIO 219 GRADO 35</t>
  </si>
  <si>
    <t>Liquidacion salarios y prestaciones sociales</t>
  </si>
  <si>
    <t>FECHA DE INICIO</t>
  </si>
  <si>
    <t>FECHA FINAL</t>
  </si>
  <si>
    <t>PERIODO</t>
  </si>
  <si>
    <t>SUELDO 2014</t>
  </si>
  <si>
    <t>SUELDO 2015</t>
  </si>
  <si>
    <t>SUELDO 2016</t>
  </si>
  <si>
    <t>SUELDO 2017</t>
  </si>
  <si>
    <t>Enero</t>
  </si>
  <si>
    <t>Febrero</t>
  </si>
  <si>
    <t>Bonificacion x Servicios</t>
  </si>
  <si>
    <t>Marzo</t>
  </si>
  <si>
    <t>Prima vacaciones</t>
  </si>
  <si>
    <t>Abril</t>
  </si>
  <si>
    <t>vacaciones</t>
  </si>
  <si>
    <t>Mayo</t>
  </si>
  <si>
    <t>Bonificacion x Recreacion</t>
  </si>
  <si>
    <t>Junio</t>
  </si>
  <si>
    <t>Prima Navidad</t>
  </si>
  <si>
    <t>Julio</t>
  </si>
  <si>
    <t>Bonificacion x serv. prestados</t>
  </si>
  <si>
    <t>Agosto</t>
  </si>
  <si>
    <t>Cesantias</t>
  </si>
  <si>
    <t>Septiembre</t>
  </si>
  <si>
    <t>Intereses de Cesantias</t>
  </si>
  <si>
    <t xml:space="preserve">Octubre </t>
  </si>
  <si>
    <t>Noviembre</t>
  </si>
  <si>
    <t>Diciembre</t>
  </si>
  <si>
    <t>Prima de Servicio</t>
  </si>
  <si>
    <t>Los intereses se causan desde el dia que se dejó de pagar (01/01/2014)</t>
  </si>
  <si>
    <t>TABLA DE INTERESES  MORATORIOS DE LA CONDENA</t>
  </si>
  <si>
    <t xml:space="preserve">Fecha Inicial </t>
  </si>
  <si>
    <t>Fecha Final</t>
  </si>
  <si>
    <t xml:space="preserve">Tasa </t>
  </si>
  <si>
    <t>Tasa de Usura</t>
  </si>
  <si>
    <t>TASA Diaria</t>
  </si>
  <si>
    <t>CONCEPTO OBLIGACION</t>
  </si>
  <si>
    <t>VALOR OBLIGACION</t>
  </si>
  <si>
    <t>VALOR ACUMULADO</t>
  </si>
  <si>
    <t>DIAS LIQUIDADOS</t>
  </si>
  <si>
    <t>VALOR INT MORATORIOS</t>
  </si>
  <si>
    <t>salario</t>
  </si>
  <si>
    <t>salario + Prima de Servicio</t>
  </si>
  <si>
    <t>salario + Prima vacaciones + vacaciones + Bonificacion x Recreacion + Prima Navidad + Bonificacion x serv. Prestados + Cesantias + intereses de cesantias</t>
  </si>
  <si>
    <t>salario + Bonificacion x Servicios</t>
  </si>
  <si>
    <t>salario + Bonificacion x Servicios + Prima vacaciones + vacaciones + Bonificacion x Recreacion + Prima Navidad + Bonificacion x serv. Prestados + cesantias + intereses de cesantias</t>
  </si>
  <si>
    <t>TOTAL MORA</t>
  </si>
  <si>
    <t>RESUMEN LIQUIDACION</t>
  </si>
  <si>
    <t>CONCEPTO</t>
  </si>
  <si>
    <t>VALOR</t>
  </si>
  <si>
    <t xml:space="preserve">SALARIOS + PRESTACIONES - SEGURIDAD SOCIAL </t>
  </si>
  <si>
    <t>INTERESES MORATORIOS</t>
  </si>
  <si>
    <t>AGENCIAS EN DERECHO 5%</t>
  </si>
  <si>
    <t>TOTAL A PAGAR</t>
  </si>
  <si>
    <t>Suscrito por:</t>
  </si>
  <si>
    <t xml:space="preserve">ANGELICA ISABEL MEZA ALMEIDA </t>
  </si>
  <si>
    <t>CONTRATISTA</t>
  </si>
  <si>
    <t>Contador Publico TP-155428-T</t>
  </si>
  <si>
    <t>Adalberto Diaz Trespalacios</t>
  </si>
  <si>
    <t xml:space="preserve">Capital </t>
  </si>
  <si>
    <t>fecha Inicial (desvinculado)</t>
  </si>
  <si>
    <t>CONDENA</t>
  </si>
  <si>
    <t>DESDE 13/12/2006 HASTA REINTEGRO 09/01/2015</t>
  </si>
  <si>
    <t>Se debe pagar Cotizaciones realizadas al fondo al demandante</t>
  </si>
  <si>
    <t>CARGO</t>
  </si>
  <si>
    <t>Agente transito cod 403 Gardo 03 DATT</t>
  </si>
  <si>
    <t>IPC 9-01-2015</t>
  </si>
  <si>
    <t>SUELDO 2001</t>
  </si>
  <si>
    <t>IPC</t>
  </si>
  <si>
    <t>INDICE</t>
  </si>
  <si>
    <t>Salud Empl</t>
  </si>
  <si>
    <t>Pens. Empl</t>
  </si>
  <si>
    <t>Patr. Salud</t>
  </si>
  <si>
    <t>Patr. Pens</t>
  </si>
  <si>
    <t>Tot. Salud</t>
  </si>
  <si>
    <t>Tot. Pension</t>
  </si>
  <si>
    <t>TABLA INTERESES MORATORIOS</t>
  </si>
  <si>
    <t>FECHA LIMITE DE PAGO</t>
  </si>
  <si>
    <t>DIAS</t>
  </si>
  <si>
    <t>TASA MENSUAL DE USURA</t>
  </si>
  <si>
    <t>TASA DIARIA</t>
  </si>
  <si>
    <t>CAPITAL SALUD</t>
  </si>
  <si>
    <t>INTERES MORA SALUD</t>
  </si>
  <si>
    <t>CAPITAL PENSION</t>
  </si>
  <si>
    <t>INTERES MORA PENSION</t>
  </si>
  <si>
    <t>TOTAL INTERESES</t>
  </si>
  <si>
    <t>Octubre</t>
  </si>
  <si>
    <t>Pr. Navidad</t>
  </si>
  <si>
    <t>Subtotal</t>
  </si>
  <si>
    <t>TOTAL</t>
  </si>
  <si>
    <t>(-) Aportes Seg Social</t>
  </si>
  <si>
    <t>NETO A PAGAR</t>
  </si>
  <si>
    <t>SUELDO 2002</t>
  </si>
  <si>
    <t>Bon x Serv</t>
  </si>
  <si>
    <t>Pr. Vacac</t>
  </si>
  <si>
    <t>Bon x Recr</t>
  </si>
  <si>
    <t>Vacaciones</t>
  </si>
  <si>
    <t>SUELDO 2003</t>
  </si>
  <si>
    <t>SUELDO 2004</t>
  </si>
  <si>
    <t>SUELDO 2005</t>
  </si>
  <si>
    <t>SUELDO 2006</t>
  </si>
  <si>
    <t>SUELDO 2007</t>
  </si>
  <si>
    <t>SUELDO 2008</t>
  </si>
  <si>
    <t>SUELDO 2009</t>
  </si>
  <si>
    <t>SUELDO 2010</t>
  </si>
  <si>
    <t>SUELDO 2011</t>
  </si>
  <si>
    <t>SUELDO 2012</t>
  </si>
  <si>
    <t>SUELDO 2013</t>
  </si>
  <si>
    <t>Valor Capital Salud</t>
  </si>
  <si>
    <t>Total Intereses</t>
  </si>
  <si>
    <t>Valor Capital Pension</t>
  </si>
  <si>
    <t xml:space="preserve">Valor Intereses </t>
  </si>
  <si>
    <t>Total a Pagar</t>
  </si>
  <si>
    <t>Nombre Demandante</t>
  </si>
  <si>
    <t>Bancolombia Conavi</t>
  </si>
  <si>
    <t>Fecha Ejecutoria Segunda Instancia</t>
  </si>
  <si>
    <t>Radicado</t>
  </si>
  <si>
    <t>13001-31-03-008-2001-0291-00</t>
  </si>
  <si>
    <t>Pago 6% Anual de Interes</t>
  </si>
  <si>
    <t>Clase de proceso</t>
  </si>
  <si>
    <t>Ejecutivo</t>
  </si>
  <si>
    <t>CAPITAL</t>
  </si>
  <si>
    <t>LIQUIDACION COSTAS</t>
  </si>
  <si>
    <t>LIQUIDACION COSTAS Ejecutivo; 2 SMLV 2019</t>
  </si>
  <si>
    <t>TOTAL CAPITAL + INTERESES</t>
  </si>
  <si>
    <t xml:space="preserve">CAPITAL ACTUALIZADO </t>
  </si>
  <si>
    <t>INTERESES  MORATORIOS</t>
  </si>
  <si>
    <t>LIQUIDACION COSTAS 1 INST</t>
  </si>
  <si>
    <t>LIQUIDACION COSTAS Ejecutivo;  2SMLV 2019</t>
  </si>
  <si>
    <t xml:space="preserve">Medical Universal Solutions SA </t>
  </si>
  <si>
    <t>13-001-23-31-002-2005-01890-01</t>
  </si>
  <si>
    <t xml:space="preserve">Pago 3% Vr Remate pagado por la actora </t>
  </si>
  <si>
    <t>Solicitud de cobro sin el cumplimientos de requisitos legales.</t>
  </si>
  <si>
    <t>Se suspende intereses</t>
  </si>
  <si>
    <t>ACTUALIZACION INDEXACION</t>
  </si>
  <si>
    <t xml:space="preserve">CAPITAL: </t>
  </si>
  <si>
    <t>IPC final 09-06-2015</t>
  </si>
  <si>
    <t>CAPITAL ACTUALIZADO:</t>
  </si>
  <si>
    <t>IPC inicial 11-02-2004</t>
  </si>
  <si>
    <t>Fecha Inicial</t>
  </si>
  <si>
    <t>Tasa EA</t>
  </si>
  <si>
    <t>(Tasa EA*1,5)</t>
  </si>
  <si>
    <t>TOTAL INTERESE MORA</t>
  </si>
  <si>
    <t>Ricardo   Tapias Morales y Otros</t>
  </si>
  <si>
    <t>13-00001-23-31-000-2002-01938-00</t>
  </si>
  <si>
    <t>Inicio Proceso año 2002, aplica CCA articulo 177</t>
  </si>
  <si>
    <t>Fecha Solicitud de cobro</t>
  </si>
  <si>
    <t xml:space="preserve">10 SALARIOS </t>
  </si>
  <si>
    <t>DIVIDIR 110 PERSONAS CADA UNO 2 SMMLV A FECHA EJECUTORIA AÑO 2016</t>
  </si>
  <si>
    <t>10 SMLV a fecha ejecutoria por cada beneficiario. Se estructura el acto administrativo y la quidacion teniendo en cuenta que son 5 demandados</t>
  </si>
  <si>
    <t xml:space="preserve"> (condena en solidaridad) condenados y por instrucción se de OAJ se pagará el monto correspondiente al DT. </t>
  </si>
  <si>
    <t>SMLV Año 2016</t>
  </si>
  <si>
    <t>TABLA DE INTERESES MORATORIOS</t>
  </si>
  <si>
    <t>Fecha Inicio</t>
  </si>
  <si>
    <t>TOTAL INTERESES MORA</t>
  </si>
  <si>
    <t>VALOR ACTUALIZADO</t>
  </si>
  <si>
    <t xml:space="preserve">CAPITAL </t>
  </si>
  <si>
    <t>,</t>
  </si>
  <si>
    <t>OXIGENO OPTIMO LINDE</t>
  </si>
  <si>
    <t>13-001-33-31-012-2002-1613-00</t>
  </si>
  <si>
    <t>Costas</t>
  </si>
  <si>
    <t>Solicitud de Cobro</t>
  </si>
  <si>
    <t>CAPITAL 50%</t>
  </si>
  <si>
    <t>COSTAS 50%</t>
  </si>
  <si>
    <t xml:space="preserve"> TABLA DE INTERESES MORATORIOS</t>
  </si>
  <si>
    <t>Fecha Incial</t>
  </si>
  <si>
    <t>INTERESES MORATORIOS/ INDEXACION</t>
  </si>
  <si>
    <t>NOMBRE DEL DEMANDANTE:</t>
  </si>
  <si>
    <t>RUBEN VASQUEZ URQUIJO</t>
  </si>
  <si>
    <t xml:space="preserve">CC </t>
  </si>
  <si>
    <t>FECHA DE RETIRO</t>
  </si>
  <si>
    <t>FECHA DE REINTEGRO</t>
  </si>
  <si>
    <t>FECHA EJECUTORIA</t>
  </si>
  <si>
    <t>FECHA DE SOLICITUD COBRO</t>
  </si>
  <si>
    <t xml:space="preserve">LIQUIDAR INTERESES CCA </t>
  </si>
  <si>
    <t>Ipc Fecha Ejecutoria 24 mayo 2016</t>
  </si>
  <si>
    <t>Calculo seguridad social para descuento de porcentaje de empleado</t>
  </si>
  <si>
    <t>Periodo</t>
  </si>
  <si>
    <t>Empleador Salud</t>
  </si>
  <si>
    <t>Empleador Pens</t>
  </si>
  <si>
    <t>Bon Especial por Recreacion</t>
  </si>
  <si>
    <t>Pr. Servicios</t>
  </si>
  <si>
    <t>TOTALES</t>
  </si>
  <si>
    <t xml:space="preserve">Enero </t>
  </si>
  <si>
    <t>Total Salarios y Prestaciones</t>
  </si>
  <si>
    <t>Menos Seg. Social Empleado</t>
  </si>
  <si>
    <t>Valor a Pagar Neto Salarios y Prestaciones</t>
  </si>
  <si>
    <t>Cesantias e Intereses de Cesantias</t>
  </si>
  <si>
    <t>Valor total Capital</t>
  </si>
  <si>
    <t>LIQUIDACION TH</t>
  </si>
  <si>
    <t>VALOR CAPITAL</t>
  </si>
  <si>
    <t>FECHA EN QUE DEBIO PAGAR / ULTIMA LIQUIDACIÓN</t>
  </si>
  <si>
    <t>FECHA CORTE DE INTERES</t>
  </si>
  <si>
    <t>TASA DE INTERES NOMINAL / USURA</t>
  </si>
  <si>
    <t>VALOR DE APORTES O CAPITAL</t>
  </si>
  <si>
    <t>#  DIAS EN MORA</t>
  </si>
  <si>
    <t>TASA EFECTIVA DIARIA</t>
  </si>
  <si>
    <t>INTERES MORATORIO</t>
  </si>
  <si>
    <t>FECHA INICIAL</t>
  </si>
  <si>
    <t>TOTAL INT.</t>
  </si>
  <si>
    <t xml:space="preserve">                CESANTIAS</t>
  </si>
  <si>
    <t xml:space="preserve">        </t>
  </si>
  <si>
    <t xml:space="preserve">     </t>
  </si>
  <si>
    <t xml:space="preserve"> T O T A L </t>
  </si>
  <si>
    <t xml:space="preserve">   INTERESES DE CESANTIAS</t>
  </si>
  <si>
    <t xml:space="preserve">    TOTAL</t>
  </si>
  <si>
    <t xml:space="preserve">NOTA: SE INCREMENTÓ EL VALOR DEL CAPITAL POR AGREGAR CESANTIAS E INTERESES </t>
  </si>
  <si>
    <t>DE CESANTIAS.</t>
  </si>
  <si>
    <t>PENDIENTE: VERIFICAR FECHA DE REINTEGRO</t>
  </si>
  <si>
    <t>MONICA AGAMEZ</t>
  </si>
  <si>
    <t>2010 A 04/2020</t>
  </si>
  <si>
    <t>SENTENCIA QUE ORDENA</t>
  </si>
  <si>
    <t>RADICADO</t>
  </si>
  <si>
    <t>13001-33-33-002-2015-00076-00</t>
  </si>
  <si>
    <t>ACTUALIZACION CAPITAL MAYO 2016</t>
  </si>
  <si>
    <t>IPC FINAL ( SEPT 2016)</t>
  </si>
  <si>
    <t xml:space="preserve">IPC INICIAL MAYO 2016 </t>
  </si>
  <si>
    <t>CAPITAL ACTUALIZADO SEPT 2016</t>
  </si>
  <si>
    <t>ART. 4 NUM 8 Inciso segundo LEY 80 DE 1993</t>
  </si>
  <si>
    <t>Valor Historico</t>
  </si>
  <si>
    <t>Variacion IPC Anual año Inmediatamente anterior</t>
  </si>
  <si>
    <t>N° Meses</t>
  </si>
  <si>
    <t>IPC Aplicar</t>
  </si>
  <si>
    <t>Valor actualizado</t>
  </si>
  <si>
    <t>Tasa Interes</t>
  </si>
  <si>
    <t>Interes</t>
  </si>
  <si>
    <t>x</t>
  </si>
  <si>
    <t>INTERESES MORA A 15 DE SEPT 2016</t>
  </si>
  <si>
    <t>INTERESES MORA DESDE 16 SEPT 2016 A LA FECHA</t>
  </si>
  <si>
    <t>Edgar Meza Canabal</t>
  </si>
  <si>
    <t>CC</t>
  </si>
  <si>
    <t>17 de Enero de 2017</t>
  </si>
  <si>
    <t xml:space="preserve">Devolver el pago seguridad Social que debió pagar el Distrito </t>
  </si>
  <si>
    <t>Intereses Moratorios</t>
  </si>
  <si>
    <t>3 primero meses</t>
  </si>
  <si>
    <t>13001-33-33-005-2015-0012100</t>
  </si>
  <si>
    <t>No tiene solicitud de pago</t>
  </si>
  <si>
    <t>DEVOLUCION DE APORTES A SEGURIDAD SOCIAL</t>
  </si>
  <si>
    <t>SALARIO BASE LIQUIDACION AÑO 2001</t>
  </si>
  <si>
    <t>SALARIO BASE LIQUIDACION AÑO 2002</t>
  </si>
  <si>
    <t>Primer Extremo Temporal</t>
  </si>
  <si>
    <t>IPC EJECUTORIA 17 En- 2017</t>
  </si>
  <si>
    <t>TABLA INDEXACION SEGURIDAD SOCIAL</t>
  </si>
  <si>
    <t>APORTES SALUD</t>
  </si>
  <si>
    <t>APORTE PENSION</t>
  </si>
  <si>
    <t>VALOR TOTAL</t>
  </si>
  <si>
    <t xml:space="preserve"> </t>
  </si>
  <si>
    <t>SALARIO BASE LIQUIDACION AÑO 2003</t>
  </si>
  <si>
    <t>SALARIO BASE LIQUIDACION AÑO 2004</t>
  </si>
  <si>
    <t>Segundo Extremo Temporal</t>
  </si>
  <si>
    <t>DOTACIONES</t>
  </si>
  <si>
    <t>SMLV</t>
  </si>
  <si>
    <t>28 Dias SMLV (3 pagos así: 30 Abril, 31Agosto y 20 Dic)</t>
  </si>
  <si>
    <t>Dotacion desde Enero a Dic año 2001</t>
  </si>
  <si>
    <t>1 Pago 30 Abril 2001</t>
  </si>
  <si>
    <t>2 pago 31 agosto 2001</t>
  </si>
  <si>
    <t>3 pago 20 diciembre 2001</t>
  </si>
  <si>
    <t>Dotacion desde Enero a Dic año 2002</t>
  </si>
  <si>
    <t>1 Pago 30 Abril 2002</t>
  </si>
  <si>
    <t>2 pago 31 agosto 2002</t>
  </si>
  <si>
    <t>3 pago 20 diciembre 2002</t>
  </si>
  <si>
    <t>Dotacion desde 1 Marzo a Dic año 2003</t>
  </si>
  <si>
    <t>1 Pago 30 Abril 2003</t>
  </si>
  <si>
    <t>2 pago 31 agosto 2003</t>
  </si>
  <si>
    <t>3 pago 20 diciembre 2003</t>
  </si>
  <si>
    <t>Dotacion desde 1 Enero a 15 Mayo 2004</t>
  </si>
  <si>
    <t>1 Pago 30 Abril 2004</t>
  </si>
  <si>
    <t>VALOR A PAGAR POR DOTACION</t>
  </si>
  <si>
    <t>TOTAL CAPITAL</t>
  </si>
  <si>
    <t>CAUSACION INTERESES MORATORIOS</t>
  </si>
  <si>
    <t>Fecha Ejecutoria17 de Enero de 2017</t>
  </si>
  <si>
    <t>DIAS MORA</t>
  </si>
  <si>
    <t>TASA DTF</t>
  </si>
  <si>
    <t>Se suspenden intereses moratorios cumplidos 3 meses desde la fecha ejecutoria debido a que no obra solicitud de pago,</t>
  </si>
  <si>
    <t>en virtud de eso cesa la causacion de intereses. De acuerdo a lo establecido con el Art 192 de CPACA</t>
  </si>
  <si>
    <t>CAPITAL ACTUALIZADO</t>
  </si>
  <si>
    <t xml:space="preserve">INTERESES MORA </t>
  </si>
  <si>
    <t>NOMBRE DEL DEMANDANTE</t>
  </si>
  <si>
    <t>JOSE MADERO NUÑEZ</t>
  </si>
  <si>
    <t>Fecha Ejecutoriada</t>
  </si>
  <si>
    <t>IPC 31/01/2017</t>
  </si>
  <si>
    <t>CESANTIAS, PRIMA SERVICIO, VACACIONES E INTERESES DE CESANTIAS</t>
  </si>
  <si>
    <t>Fecha Solicitud de Cobro</t>
  </si>
  <si>
    <t xml:space="preserve">Radicado </t>
  </si>
  <si>
    <t>13-001-33-31-702-2013-00019-01 /</t>
  </si>
  <si>
    <t>Cuanto es el salario de un trabajador del INPEC fecha 2006</t>
  </si>
  <si>
    <t>Contratos X Pagar</t>
  </si>
  <si>
    <t>Fecha</t>
  </si>
  <si>
    <t>fecha Inicio</t>
  </si>
  <si>
    <t>fecha Final</t>
  </si>
  <si>
    <t>Salario Promedio Mensual</t>
  </si>
  <si>
    <t xml:space="preserve">Dias </t>
  </si>
  <si>
    <t>SALUD Y PENSION 40% DE $750,000</t>
  </si>
  <si>
    <t>40% SALARIO BASE LIQ $300,000, por lo ser inferior al minimo se aplica IBC SMLV</t>
  </si>
  <si>
    <t>Prestaciones sociales Guardianes del INPEC</t>
  </si>
  <si>
    <t>Censantias</t>
  </si>
  <si>
    <t>Primas de Servicios</t>
  </si>
  <si>
    <t>Calculo Intereses Moratorios Prestaciones Sociales</t>
  </si>
  <si>
    <t>Calculo de Seguridad social indexada desde las fecha ejecutoria 2 instancia</t>
  </si>
  <si>
    <t>PRESTACIONES SOCIALES</t>
  </si>
  <si>
    <t>SALARIOS BASE LIQUIDACION AÑO 2007</t>
  </si>
  <si>
    <t>IPC OCT-2007</t>
  </si>
  <si>
    <t>Pago sobresueldo</t>
  </si>
  <si>
    <t>Pago prima de riesgo</t>
  </si>
  <si>
    <t>Subsidio alimentacion</t>
  </si>
  <si>
    <t>Auxilio de Transporte</t>
  </si>
  <si>
    <t>SALARIO BASE LIQUIDACION</t>
  </si>
  <si>
    <t xml:space="preserve">IPC </t>
  </si>
  <si>
    <t xml:space="preserve">TOTAL </t>
  </si>
  <si>
    <t>CALCULO INTERESES MORATORIOS</t>
  </si>
  <si>
    <t>SUPENDE PAGO INT 26-04-02017 HASTA 31 EN -2018</t>
  </si>
  <si>
    <t>Se liquida de acuerdo de conformidad con lo ordenado en el fallo.</t>
  </si>
  <si>
    <t>TASA EA</t>
  </si>
  <si>
    <t>TASA USURA</t>
  </si>
  <si>
    <t>TOTAL INT MORATORIOS</t>
  </si>
  <si>
    <t>VALOR NETO A PAGAR</t>
  </si>
  <si>
    <t>SEPT?</t>
  </si>
  <si>
    <t>TOTAL A PAGAR CAPITAL</t>
  </si>
  <si>
    <t>Diferencia encontrada</t>
  </si>
  <si>
    <t>BETILDA TEHERAN</t>
  </si>
  <si>
    <t>24/03/2017 A 24/09/24/09/2018</t>
  </si>
  <si>
    <t>Sentencia que Ordena</t>
  </si>
  <si>
    <t xml:space="preserve"> CCA 176,177,178</t>
  </si>
  <si>
    <t>Clase de Proceso</t>
  </si>
  <si>
    <t>Reparacion Directa</t>
  </si>
  <si>
    <t>CONDENA EN SOLIDARIDAD CON UNION TEMPORAL VIÑA RUSSI Y CIA LTDA</t>
  </si>
  <si>
    <t>13001-23-31000-1999-000-78901</t>
  </si>
  <si>
    <t>Condena en SMMLV</t>
  </si>
  <si>
    <t>VALOR SMMLV 2017</t>
  </si>
  <si>
    <t>Fecha inicial</t>
  </si>
  <si>
    <t>TOTAL INTERESES MORATORIOS</t>
  </si>
  <si>
    <t xml:space="preserve">TOTAL A PAGAR </t>
  </si>
  <si>
    <t>LIMPIEZA INTEGRAL Y MANTENIMIENTOS ESPECIALES S.A. E.S.P. y OTROS (LIME)</t>
  </si>
  <si>
    <t>13-001-31-03004-2012-0011700</t>
  </si>
  <si>
    <t>Laudo Arbitral seguido del ejecutivo</t>
  </si>
  <si>
    <t xml:space="preserve">Se continua el calculo de los intereses moratorios el dia despues de Auto de aprobacion de liquidacion del credito </t>
  </si>
  <si>
    <t>INT MORATORIOS</t>
  </si>
  <si>
    <t xml:space="preserve">TOTAL INT MORATORIOS </t>
  </si>
  <si>
    <t>RESUMEN DE LIQUIDACION</t>
  </si>
  <si>
    <t>TOTAL INT MORATORIOS DESDE 26-08-2017 A LA FECHA</t>
  </si>
  <si>
    <t>AGENCIAS EN DERECHO</t>
  </si>
  <si>
    <t>JAFET GÓMEZ IZQUIERDO</t>
  </si>
  <si>
    <t>Fecha de Solicitud Cobro</t>
  </si>
  <si>
    <t>Norma</t>
  </si>
  <si>
    <t>CCA ART 177, 176,</t>
  </si>
  <si>
    <t>Sobre cesantias o int de cesantias tiene su propia sancion moratoria art 99 num 3 ley 50 del 1990.</t>
  </si>
  <si>
    <t>ley 344 de 1996 contiene la moratoria del regimen retroactivo de cesantias</t>
  </si>
  <si>
    <t>De acuerdo a la Resolucion 3982 de 17 mayo 2019</t>
  </si>
  <si>
    <t>VALOR APORTES</t>
  </si>
  <si>
    <t>VALOR INT MORA</t>
  </si>
  <si>
    <t>(Tasa DE USURA EA*1,5)</t>
  </si>
  <si>
    <t xml:space="preserve">TOTAL INTERESES MORA </t>
  </si>
  <si>
    <t>Valor Capital salarios prestaciones</t>
  </si>
  <si>
    <t>Valor Cesantias</t>
  </si>
  <si>
    <t>Valor interese de cesantias</t>
  </si>
  <si>
    <t>Intereses Mora Reales 23  Febrero  2019</t>
  </si>
  <si>
    <t>Valor Pagado Parcial Res 3982/17/05/19</t>
  </si>
  <si>
    <t>TOTAL A PAGAR (Nuevo Capital)</t>
  </si>
  <si>
    <t>PLANILLAS TIPO J Jafet Gomez</t>
  </si>
  <si>
    <t>FECHA</t>
  </si>
  <si>
    <t>PENSIÒN</t>
  </si>
  <si>
    <t>INT. MORA PENS</t>
  </si>
  <si>
    <t>SALUD</t>
  </si>
  <si>
    <t>INT. MORA SAL</t>
  </si>
  <si>
    <t>VALOR PLANILLA</t>
  </si>
  <si>
    <t>2011-07</t>
  </si>
  <si>
    <t>2011-08</t>
  </si>
  <si>
    <t>2011-09</t>
  </si>
  <si>
    <t>2011-10</t>
  </si>
  <si>
    <t>2011-11</t>
  </si>
  <si>
    <t>2011-12</t>
  </si>
  <si>
    <t>2012-01</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</si>
  <si>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</si>
  <si>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</si>
  <si>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</si>
  <si>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</si>
  <si>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</si>
  <si>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</si>
  <si>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</si>
  <si>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</si>
  <si>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</si>
  <si>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</si>
  <si>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</si>
  <si>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</si>
  <si>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</si>
  <si>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</si>
  <si>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</si>
  <si>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</si>
  <si>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</si>
  <si>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</si>
  <si>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</si>
  <si>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</si>
  <si>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</si>
  <si>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</si>
  <si>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</si>
  <si>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</si>
  <si>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</si>
  <si>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</si>
  <si>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</si>
  <si>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</si>
  <si>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</si>
  <si>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</si>
  <si>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</si>
  <si>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</si>
  <si>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</si>
  <si>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</si>
  <si>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</si>
  <si>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</si>
  <si>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</si>
  <si>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</si>
  <si>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</si>
  <si>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</si>
  <si>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</si>
  <si>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</si>
  <si>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</si>
  <si>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</si>
  <si>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</si>
  <si>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</si>
  <si>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</si>
  <si>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2016-01</t>
  </si>
  <si>
    <t>2016-02</t>
  </si>
  <si>
    <t>2016-03</t>
  </si>
  <si>
    <t>2016-04</t>
  </si>
  <si>
    <t>2016-05</t>
  </si>
  <si>
    <t>2016-06</t>
  </si>
  <si>
    <t>2016-07</t>
  </si>
  <si>
    <t>2016-08</t>
  </si>
  <si>
    <t>2016-09</t>
  </si>
  <si>
    <t>2016-10</t>
  </si>
  <si>
    <t>2016-11</t>
  </si>
  <si>
    <t>2016-12</t>
  </si>
  <si>
    <t>2017-01</t>
  </si>
  <si>
    <t>2017-02</t>
  </si>
  <si>
    <t>2017-03</t>
  </si>
  <si>
    <t>2017-04</t>
  </si>
  <si>
    <t>2017-05</t>
  </si>
  <si>
    <t>2017-06</t>
  </si>
  <si>
    <t>2017-07</t>
  </si>
  <si>
    <t>2017-08</t>
  </si>
  <si>
    <t>2017-09</t>
  </si>
  <si>
    <t>2017-10</t>
  </si>
  <si>
    <t>2017-11</t>
  </si>
  <si>
    <t>Valor Pension + Intereses</t>
  </si>
  <si>
    <t>Valor Salud + intereses mora</t>
  </si>
  <si>
    <t>Total por pagar Seguridad Social</t>
  </si>
  <si>
    <t>RESUMEN TOTAL DE LIQUIDACION + SEGURIDAD SOCIAL</t>
  </si>
  <si>
    <t>Saneamiento</t>
  </si>
  <si>
    <t>diferencia</t>
  </si>
  <si>
    <t>TOTAL PAGAR</t>
  </si>
  <si>
    <t>LUIS CARLOS JULIO NARVAEZ</t>
  </si>
  <si>
    <t>AÑO 1997</t>
  </si>
  <si>
    <t>AÑO 1996</t>
  </si>
  <si>
    <t>AÑO 1995</t>
  </si>
  <si>
    <t>MEDICO GENERAL 8 HORAS</t>
  </si>
  <si>
    <t>1-7 JUN</t>
  </si>
  <si>
    <t>PAGO Dra Ginna Rios</t>
  </si>
  <si>
    <t>MEDICO GENERAL SERV SOCIAL</t>
  </si>
  <si>
    <t>DIFERENCIA SALARIAL</t>
  </si>
  <si>
    <t>Asignacion Basica</t>
  </si>
  <si>
    <t>bon x ser</t>
  </si>
  <si>
    <t>Dias Junio 1-7/ 29-30</t>
  </si>
  <si>
    <t>PRESTACIONES SOCIALES AÑO 1995</t>
  </si>
  <si>
    <t>prima vac</t>
  </si>
  <si>
    <t>Prima Vacaciones</t>
  </si>
  <si>
    <t>CESANTIAS</t>
  </si>
  <si>
    <t>bon x recre</t>
  </si>
  <si>
    <t>AP pension</t>
  </si>
  <si>
    <t>INTERESES DE CESANTIAS</t>
  </si>
  <si>
    <t>Ap Salud</t>
  </si>
  <si>
    <t>PRIMA DE SERVICIO</t>
  </si>
  <si>
    <t>prima de navidad</t>
  </si>
  <si>
    <t>Ap fondo</t>
  </si>
  <si>
    <t xml:space="preserve">PRIMA DE NAVIDAD </t>
  </si>
  <si>
    <t>AP Subsistencia</t>
  </si>
  <si>
    <t>VACACIONES</t>
  </si>
  <si>
    <t>inte. cesantias</t>
  </si>
  <si>
    <t>Libranza</t>
  </si>
  <si>
    <t>PRIMA VACACIONES</t>
  </si>
  <si>
    <t>bon x ser. Prestado</t>
  </si>
  <si>
    <t xml:space="preserve">Retencion </t>
  </si>
  <si>
    <t>TOTAL CAPITAL AÑO 1996</t>
  </si>
  <si>
    <t>PRESTACIONES SOCIALES AÑO 1996</t>
  </si>
  <si>
    <t>cesantias</t>
  </si>
  <si>
    <t>PRESTACIONES SOCIALES AÑO 1997</t>
  </si>
  <si>
    <t>TOTAL CAPITAL AÑO 1997</t>
  </si>
  <si>
    <t xml:space="preserve">CALCULO SALARIOS </t>
  </si>
  <si>
    <t>Periodo Inicial</t>
  </si>
  <si>
    <t>Periodo  Final</t>
  </si>
  <si>
    <t>Dias Calculo Salario</t>
  </si>
  <si>
    <t>IPC Fceha Ejecutoria 01-SEPT-2017</t>
  </si>
  <si>
    <t>PERIODO AÑO 1995</t>
  </si>
  <si>
    <t>SUELDO 1995</t>
  </si>
  <si>
    <t xml:space="preserve">16 dias de Diciembre </t>
  </si>
  <si>
    <t>PERIODO AÑO 1996</t>
  </si>
  <si>
    <t>SUELDO 1996</t>
  </si>
  <si>
    <t>PERIODO AÑO 1997</t>
  </si>
  <si>
    <t>SUELDO 1997</t>
  </si>
  <si>
    <t>TASA EA  INT MORA</t>
  </si>
  <si>
    <t xml:space="preserve">TOTAL INT MORATORIOS  </t>
  </si>
  <si>
    <t>LIQUIDACION DE SALARIOS Y PRESTACIONES SOCIALES DEJADAS DE PERCIBIR DE CONFORMIDAD CON LA SENTENCIA DEL TRIBUNAL ADMINISTRATIVO DE BOLIVAR DE AGOSTO 18 DE 2017</t>
  </si>
  <si>
    <t>NOMBRE DEMANDANTE</t>
  </si>
  <si>
    <t>KLAUS NAEDER PEREZ</t>
  </si>
  <si>
    <t>13-001-33-31-000-2003-00777-00</t>
  </si>
  <si>
    <t>Fecha retiro del Cargo</t>
  </si>
  <si>
    <t xml:space="preserve">Posecion del cargo </t>
  </si>
  <si>
    <t>DESDE LA FECHA Q FUE RETIRADO DEL CARGO Y POR 24 MESES</t>
  </si>
  <si>
    <t>Seguridad Social</t>
  </si>
  <si>
    <t>IPC 11 Sept/2017</t>
  </si>
  <si>
    <t>Bon x Ser</t>
  </si>
  <si>
    <t>Prima Nav</t>
  </si>
  <si>
    <t>Prima  Vacac</t>
  </si>
  <si>
    <t>(-) Aportes seg, Social</t>
  </si>
  <si>
    <t>COMPROBACION</t>
  </si>
  <si>
    <t xml:space="preserve">SALUD: </t>
  </si>
  <si>
    <t xml:space="preserve">PENSION: </t>
  </si>
  <si>
    <t>Periodo 2003</t>
  </si>
  <si>
    <t>Bon. x Recr</t>
  </si>
  <si>
    <t>(-) Aportes Seg. Social</t>
  </si>
  <si>
    <t>Periodo 2004</t>
  </si>
  <si>
    <t>Periodo 2005</t>
  </si>
  <si>
    <t>Fecha Ingreso</t>
  </si>
  <si>
    <t>Dias</t>
  </si>
  <si>
    <t>IPC 11Sept/2017</t>
  </si>
  <si>
    <t>Cesantias e intereses de cesantias</t>
  </si>
  <si>
    <t>Menos Indemnización Pagada Indexada</t>
  </si>
  <si>
    <t>Salarios y Prestaciones a Pagar</t>
  </si>
  <si>
    <t xml:space="preserve">FECHA EJECUTORIADA </t>
  </si>
  <si>
    <t>Valor Capital</t>
  </si>
  <si>
    <t>TASA EA DE INTERES NOMINAL / USURA</t>
  </si>
  <si>
    <t>DIAS EN MORA</t>
  </si>
  <si>
    <t>Nombre de Demandante</t>
  </si>
  <si>
    <t>IBETH MARGARITA JIMÉNEZ VARGAS</t>
  </si>
  <si>
    <t>cc</t>
  </si>
  <si>
    <t>fecha Inicial</t>
  </si>
  <si>
    <t>Art 195 cpaca</t>
  </si>
  <si>
    <t>13-001-33-33-012-2014-00112-01</t>
  </si>
  <si>
    <t>salarios desde su desvinculacion 15-08-2013  hasta el momento de la sentencia 2/11/2017</t>
  </si>
  <si>
    <t>Fecha desvinculacion</t>
  </si>
  <si>
    <t>IPC Fecha Ej. 1-12-2017</t>
  </si>
  <si>
    <t>Seguridad Social 2013</t>
  </si>
  <si>
    <t>AGOSTO</t>
  </si>
  <si>
    <t>SEPTIEMBRE</t>
  </si>
  <si>
    <t>OCTUBRE</t>
  </si>
  <si>
    <t>NOVIEMBRE</t>
  </si>
  <si>
    <t>DICIEMBRE</t>
  </si>
  <si>
    <t>pr navidad</t>
  </si>
  <si>
    <t>subtotal</t>
  </si>
  <si>
    <t>(-) Aportes Seg social)</t>
  </si>
  <si>
    <t>Neto a Pagar</t>
  </si>
  <si>
    <t>Seguridad Social 2014</t>
  </si>
  <si>
    <t>ENERO</t>
  </si>
  <si>
    <t>FEBRERO</t>
  </si>
  <si>
    <t>MARZO</t>
  </si>
  <si>
    <t>ABRIL</t>
  </si>
  <si>
    <t>MAYO</t>
  </si>
  <si>
    <t>JUNIO</t>
  </si>
  <si>
    <t>JULIO</t>
  </si>
  <si>
    <t>Bono x Servicio</t>
  </si>
  <si>
    <t>Bono x Servicio pres</t>
  </si>
  <si>
    <t>prima vacaciones</t>
  </si>
  <si>
    <t>bono x recreacion</t>
  </si>
  <si>
    <t>Seguridad Social 2015</t>
  </si>
  <si>
    <t>(-) Seg Social Empleado</t>
  </si>
  <si>
    <t>Calculo  de cesantias</t>
  </si>
  <si>
    <t>AÑO</t>
  </si>
  <si>
    <t xml:space="preserve">Calculo </t>
  </si>
  <si>
    <t>CALCULO DIAS</t>
  </si>
  <si>
    <t>intereses de cesantias</t>
  </si>
  <si>
    <t>Valor neto salarios y Prestaciones</t>
  </si>
  <si>
    <t>Descuentos Predis</t>
  </si>
  <si>
    <t>CONTRATO N` 2644 DE 2013</t>
  </si>
  <si>
    <t>Pagos de Primas, vacaciones, bonificaciones Res 229/2014</t>
  </si>
  <si>
    <t>Calculo de intereses de cesantias</t>
  </si>
  <si>
    <t>Valor Capital descontando lo ganado durante el periodo de desvinculacion</t>
  </si>
  <si>
    <t xml:space="preserve">Se toma Fecha Ejecutoria 1-12-2017 </t>
  </si>
  <si>
    <t>TASA DTF + T EA / MORATORIOS</t>
  </si>
  <si>
    <t>TOTAL MORATORIO</t>
  </si>
  <si>
    <t>Valor a Pagar Salarios y prestaciones</t>
  </si>
  <si>
    <t>Intereses de mora</t>
  </si>
  <si>
    <t>Gastos Procesales</t>
  </si>
  <si>
    <t>Condena Costas procesales 1 instancia</t>
  </si>
  <si>
    <t>Condena Costas procesales 2 instancia</t>
  </si>
  <si>
    <t>FALTA CALCULO DE SEGURIDAD SOCIAL, SOLICITADA APORTES EN LINEA</t>
  </si>
  <si>
    <t>SANITAS</t>
  </si>
  <si>
    <t>COLPENSIONES</t>
  </si>
  <si>
    <t>IBETH JIMENEZ</t>
  </si>
  <si>
    <t>Calculo Actuarial</t>
  </si>
  <si>
    <t xml:space="preserve">Total </t>
  </si>
  <si>
    <t>70% Demandante</t>
  </si>
  <si>
    <t>30% Abogdo</t>
  </si>
  <si>
    <t>Tasa dtf</t>
  </si>
  <si>
    <t>interes</t>
  </si>
  <si>
    <t>Tasas int. Moratorios *1,5</t>
  </si>
  <si>
    <t>BASE</t>
  </si>
  <si>
    <t>Valor Pagado por OPS</t>
  </si>
  <si>
    <t>VALOR INFORMATIVO</t>
  </si>
  <si>
    <t xml:space="preserve">CORRECCION DIC 2021 </t>
  </si>
  <si>
    <t>RELIQUIDANDO9/05/2022</t>
  </si>
  <si>
    <t>DIFERENCIAS</t>
  </si>
  <si>
    <t xml:space="preserve">FRANCIA EVAN </t>
  </si>
  <si>
    <t>TABLA DE TASAS DE INTERESES MORATORIOS</t>
  </si>
  <si>
    <t>Tasa  EA</t>
  </si>
  <si>
    <t>TASA DE USURA
1.5 veces el Interés Bancario Corriente</t>
  </si>
  <si>
    <t>Tasa Diaria</t>
  </si>
  <si>
    <t xml:space="preserve"> 15/12/2017 A 30/04/2020</t>
  </si>
  <si>
    <t>Sentencia se Ordena</t>
  </si>
  <si>
    <t>CCA 176,177,178</t>
  </si>
  <si>
    <t>Fecha de Ejecutoria</t>
  </si>
  <si>
    <t>Total Interese Moratorios</t>
  </si>
  <si>
    <t xml:space="preserve">RESUMEN DE LIQUIDACION -FRANCIA EVAN </t>
  </si>
  <si>
    <t>INTERES MORATORIOS</t>
  </si>
  <si>
    <t>ANGENCIAS EN DERECHO 3% SOBRE CAPITAL</t>
  </si>
  <si>
    <t>MANUEL COVILLA MORALES</t>
  </si>
  <si>
    <t>RESUMEN DE LIQUIDACION - MANUEL COVILLA MORALES</t>
  </si>
  <si>
    <t>LUIS ALBERTO COVILLA EVAN</t>
  </si>
  <si>
    <t>RESUMEN DE LIQUIDACION - LUIS ALBERTO COVILLA MORALES</t>
  </si>
  <si>
    <t>MANUEL ENRIQUE COVILLA EVAN</t>
  </si>
  <si>
    <t>RESUMEN DE LIQUIDACION - MANUEL ENRIQUE COVILLA MORALES</t>
  </si>
  <si>
    <t>JULY  COVILLA EVAN</t>
  </si>
  <si>
    <t>RESUMEN DE LIQUIDACION - JULY COVILLA MORALES</t>
  </si>
  <si>
    <t>LIQUIDACION DE SALARIOS Y PRESTACIONES SOCIALES DEJADAS DE PERCIBIR DE CONFORMIDAD CON LA SENTENCIA DEL JUZGADO SEXTO ADMINISTRATIVO DEL CIRCUITO DE CARTAGENA  01/08/2014  a  30/03/2021</t>
  </si>
  <si>
    <t>COOMEVA E.PS</t>
  </si>
  <si>
    <t>PROTECCION</t>
  </si>
  <si>
    <t>MERCHAN ULLOA MONICA MARCELA</t>
  </si>
  <si>
    <t>13001-33-33-006-2015-00456-00</t>
  </si>
  <si>
    <t>5 de abril 2018</t>
  </si>
  <si>
    <t>Fecha vinculacion</t>
  </si>
  <si>
    <t>IPC 5 abril /2018</t>
  </si>
  <si>
    <t>interes de cesantias</t>
  </si>
  <si>
    <t>Bon x Ser Pres</t>
  </si>
  <si>
    <t>ipc</t>
  </si>
  <si>
    <t>Tot. Empleado</t>
  </si>
  <si>
    <t>Total Empleador Sal</t>
  </si>
  <si>
    <t>Total Empleador Pens</t>
  </si>
  <si>
    <t>Tot  Sal Empl+Patr</t>
  </si>
  <si>
    <t>Tot Pens Empl+Patr</t>
  </si>
  <si>
    <t>Se suma capital hasta fecha ejecutoria de acta aprobacion conciliacion</t>
  </si>
  <si>
    <t>2018 70% mas intereses moratorios</t>
  </si>
  <si>
    <t xml:space="preserve">ipc final </t>
  </si>
  <si>
    <t>fecha reintegro</t>
  </si>
  <si>
    <t xml:space="preserve">sumo de 2018 a 2021 indexados y saca 70%  </t>
  </si>
  <si>
    <t>ipc inicial</t>
  </si>
  <si>
    <t>fecha ejecutoria</t>
  </si>
  <si>
    <t>mas intereses moratorios</t>
  </si>
  <si>
    <t>FECHA AUDIENCIA</t>
  </si>
  <si>
    <t>AUTO AUDIENCIA CONCILIATORIA N°58</t>
  </si>
  <si>
    <t>SE CONCILIA PAGO 70% VALOR DE CAPITAL DE DEUDA</t>
  </si>
  <si>
    <t>DEUDA A 2018  + Cesantias +Int cesantias a la fecha</t>
  </si>
  <si>
    <t>70% valor a 2018</t>
  </si>
  <si>
    <t>SALARIOS DE 2018 A 2021 (-) Seg Social INDEXADOS A FECHA REINTEGRO</t>
  </si>
  <si>
    <t>70% valor a 2018 hasta abril de 2021</t>
  </si>
  <si>
    <t>DTF/ TASA DE INTERES NOMINAL / USURA</t>
  </si>
  <si>
    <t>VALOR OBLIGACION (CALCULADO EL 70% DE LO ESTIPULADO POR SENTENCIA)</t>
  </si>
  <si>
    <t>CALCULO OBLIGACION 100%</t>
  </si>
  <si>
    <t>TOTAL INT. MORATORIO</t>
  </si>
  <si>
    <t>RESUMEN DE LA LIQUIDACION</t>
  </si>
  <si>
    <t>RESUMEN TOTAL DE LA  LIQUIDACION</t>
  </si>
  <si>
    <t>VALOR TOTAL CAPITAL</t>
  </si>
  <si>
    <t>UNION TEMPORAL VIGILANCIA Y SEGURIDAD VISE LTDA</t>
  </si>
  <si>
    <t xml:space="preserve">VR CAPITAL </t>
  </si>
  <si>
    <t>COSTAS 3%</t>
  </si>
  <si>
    <t>LIQUIDACION CREDITO DEL JUZGADO</t>
  </si>
  <si>
    <t>ACTUALIZACION DE CAPITAL</t>
  </si>
  <si>
    <t>CAPITAL HISTORICO</t>
  </si>
  <si>
    <t>IPC final (JULIO 2021)</t>
  </si>
  <si>
    <t>IPC INICIAL (SEPT 2018)</t>
  </si>
  <si>
    <t>Decreto 1082 de 2015, Artículo 2.2.1.1.2.4.2.</t>
  </si>
  <si>
    <t>Año</t>
  </si>
  <si>
    <t>ROGER MARTINEZ RODRIGUEZ Y OTROS</t>
  </si>
  <si>
    <t>Sentencia</t>
  </si>
  <si>
    <t xml:space="preserve">INDEMNIZACION DE PERJUICIOS </t>
  </si>
  <si>
    <t>Art 176 a 178 CCA SIN CONDENA DE COSTAS</t>
  </si>
  <si>
    <t>13-001-23-31-001-2005-00944-00</t>
  </si>
  <si>
    <t>VALOR SMLV 2018</t>
  </si>
  <si>
    <t>FALLO SENTENCIA</t>
  </si>
  <si>
    <t>ROGER MARTINEZ</t>
  </si>
  <si>
    <t>60SMLV</t>
  </si>
  <si>
    <t>*</t>
  </si>
  <si>
    <t>LUZ NERY MURILLO ARROYO</t>
  </si>
  <si>
    <t>YEISI PAOLA MARTINEZ MURILLO</t>
  </si>
  <si>
    <t>50 SMLV</t>
  </si>
  <si>
    <t>ROGER ALFREDO MARTINEZ MURILLO</t>
  </si>
  <si>
    <t>JANIA MARCELA MARTINEZ MURILLO</t>
  </si>
  <si>
    <t>Total Liquidacion</t>
  </si>
  <si>
    <t>TOTAL LIQUIDADO</t>
  </si>
  <si>
    <t>RESUMEN LIQUIDACION - ROGER MARTINEZ</t>
  </si>
  <si>
    <t>RESUMEN LIQUIDACION - LUZ NERY MURILLO ARROYO</t>
  </si>
  <si>
    <t>RESUMEN LIQUIDACION - YEISI PAOLA MARTINEZ MURILLO</t>
  </si>
  <si>
    <t>RESUMEN LIQUIDACION - ROGER ALFREDO MARTINEZ MURILLO</t>
  </si>
  <si>
    <t>RESUMEN LIQUIDACION - JANIA MARCELA MARTINEZ MURILLO</t>
  </si>
  <si>
    <t>RESUMEN GENERAL LIQUIDACION ROGER MARTINEZ Y OTROS</t>
  </si>
  <si>
    <t>NEIL CARRASQUILLA</t>
  </si>
  <si>
    <t>NORMA</t>
  </si>
  <si>
    <t>art 195 cpaca</t>
  </si>
  <si>
    <t>13-001-33-33-011-2015-00006/00</t>
  </si>
  <si>
    <t>PRIMA , CESANTIAS VACACIONES Y COTIZACIONES SEG SOCIAL</t>
  </si>
  <si>
    <t>APORTE OBLIGATORIO DISTRITO</t>
  </si>
  <si>
    <t xml:space="preserve">PERIODOS A LIQUIDAR </t>
  </si>
  <si>
    <t xml:space="preserve">DIAS </t>
  </si>
  <si>
    <t>SALARIO Base</t>
  </si>
  <si>
    <t>SALARIO BASE LIQ</t>
  </si>
  <si>
    <t>APORTE SALUD</t>
  </si>
  <si>
    <t xml:space="preserve">APORTES SUMA PERIODOS </t>
  </si>
  <si>
    <t>Seguridad Social 2004</t>
  </si>
  <si>
    <t>Periodo Final</t>
  </si>
  <si>
    <t>Salario</t>
  </si>
  <si>
    <t>1 PERIODO AÑO 2004 cotizado por el trabajador cuando era contratista</t>
  </si>
  <si>
    <t>Relacion Laboral</t>
  </si>
  <si>
    <t>Diferencia Valor a completar Seg Social</t>
  </si>
  <si>
    <t>2 PERIODO AÑO 2005</t>
  </si>
  <si>
    <t>Seguridad Social 2005</t>
  </si>
  <si>
    <t>Total Dias</t>
  </si>
  <si>
    <t>3 PERIODO AÑO 2006</t>
  </si>
  <si>
    <t>Seguridad Social 2006</t>
  </si>
  <si>
    <t>Seguridad Social 2007</t>
  </si>
  <si>
    <t>4 PERIODO AÑO 2007</t>
  </si>
  <si>
    <t>Seguridad Social 2008</t>
  </si>
  <si>
    <t>5 PERIODO AÑO 2008</t>
  </si>
  <si>
    <t>6 PERIODO AÑO 2009</t>
  </si>
  <si>
    <t>Seguridad Social 2009</t>
  </si>
  <si>
    <t>7 PERIODO AÑO 2010</t>
  </si>
  <si>
    <t>Seguridad Social 2010</t>
  </si>
  <si>
    <t>8 PERIODO AÑO 2011</t>
  </si>
  <si>
    <t>Seguridad Social 2011</t>
  </si>
  <si>
    <t>Seguridad Social 2012</t>
  </si>
  <si>
    <t>9 PERIODO AÑO 2012</t>
  </si>
  <si>
    <t>10 PERIODO AÑO 2013</t>
  </si>
  <si>
    <t>TOTAL QUE DEBÍ PAGAR POR SEG SOCIAL COMO EMPLEADOR</t>
  </si>
  <si>
    <t>TOTAL QUE DEBÍ DEDUCIR AL TRABAJADOR</t>
  </si>
  <si>
    <t>DIFERENCIA PARA COMPLETAR SEGURIDAD SOCIAL</t>
  </si>
  <si>
    <t xml:space="preserve">INTERESES DE MORA </t>
  </si>
  <si>
    <t>TOTAL A PAGAR POR SEGURIDAD SOCIAL</t>
  </si>
  <si>
    <t xml:space="preserve">   </t>
  </si>
  <si>
    <t>Fecha Ejecutoria IPC 26-11-2018</t>
  </si>
  <si>
    <t>SALARIOS BASE LIQUIDACION 1 Periodo 2004</t>
  </si>
  <si>
    <t>Fecha Inicio Contrato</t>
  </si>
  <si>
    <t>Fecha Final Contrato</t>
  </si>
  <si>
    <t xml:space="preserve">SALARIOS BASE LIQUIDACION 2 Periodo 2005 </t>
  </si>
  <si>
    <t>SALARIOS BASE LIQUIDACION 3 Periodo 2006</t>
  </si>
  <si>
    <t xml:space="preserve">SALARIOS BASE LIQUIDACION 4 Periodo 2007 </t>
  </si>
  <si>
    <t>SALARIOS BASE LIQUIDACION 5 Periodo 2008</t>
  </si>
  <si>
    <t>SALARIOS BASE LIQUIDACION 6 Periodo 2009</t>
  </si>
  <si>
    <t>SALARIOS BASE LIQUIDACION 7 Periodo 2010</t>
  </si>
  <si>
    <t>SALARIOS BASE LIQUIDACION 8 Periodo 2011</t>
  </si>
  <si>
    <t>SALARIOS BASE LIQUIDACION 9 Periodo 2012</t>
  </si>
  <si>
    <t>SALARIOS BASE LIQUIDACION 10 Periodo 2013</t>
  </si>
  <si>
    <t>TOTAL PRESTACIONES SOCIALES POR PERIODOS</t>
  </si>
  <si>
    <t xml:space="preserve">DTF/ TASA INT USURA </t>
  </si>
  <si>
    <t>Suspension de Intereses moratorios por no presentar solicitud de cobro dentro del termino.</t>
  </si>
  <si>
    <t>COSTAS</t>
  </si>
  <si>
    <t>CALCULO SEG SOCIAL</t>
  </si>
  <si>
    <t>PLANILLAS J NEIL CARRASQUILLA</t>
  </si>
  <si>
    <t>PENSION</t>
  </si>
  <si>
    <t>INTERESES PENSION</t>
  </si>
  <si>
    <t xml:space="preserve">SALUD </t>
  </si>
  <si>
    <t>INTERESES MORA SALUD</t>
  </si>
  <si>
    <t>SUMA</t>
  </si>
  <si>
    <t>TOTAL PLANILLA</t>
  </si>
  <si>
    <t>TOTAL PENSION</t>
  </si>
  <si>
    <t>TOTAL INT PENSION</t>
  </si>
  <si>
    <t>TOTAL SALUD</t>
  </si>
  <si>
    <t>TOTAL INT SAL</t>
  </si>
  <si>
    <t>DAMASO BELLIDO</t>
  </si>
  <si>
    <t>13-001-33-33-004-2015-00431-00</t>
  </si>
  <si>
    <t>1 dia de salario por cada dia de retardo</t>
  </si>
  <si>
    <t>Asignacion Salarial 2011</t>
  </si>
  <si>
    <t>Dia de Salario</t>
  </si>
  <si>
    <t>ANTONIO SOTELO</t>
  </si>
  <si>
    <t>20 Sept a la fecha</t>
  </si>
  <si>
    <t>13-001-3333-007-2017-00297-00</t>
  </si>
  <si>
    <t xml:space="preserve">Nota: Se </t>
  </si>
  <si>
    <t>TOTAL INTERESES 14 FEB 2021</t>
  </si>
  <si>
    <t>TOTAL INT. MORA</t>
  </si>
  <si>
    <t>INT MORA LIQ POR EL JUZGADO A 14 FEB 2019</t>
  </si>
  <si>
    <t>INT MORA LIQ 15 FEB 2019 A LA FECHA</t>
  </si>
  <si>
    <t>ARAUJO &amp; SEGOVIA CONTRATO # 005 DEL 2014</t>
  </si>
  <si>
    <t>Fecha Conciliacion Procuraduria 176</t>
  </si>
  <si>
    <t>13-001-33-33-008-2019-00016-00</t>
  </si>
  <si>
    <t>CONCILIACION PREJUDICIAL Juzgado 8 administrativo del circuito de CTG</t>
  </si>
  <si>
    <t xml:space="preserve">Radicacion Solicitud de Cobro </t>
  </si>
  <si>
    <t>Observacion</t>
  </si>
  <si>
    <t>Se suspende la causacion de intereses debido a que el DT tenia 4 meses despues de a conciliacion, para gestionar el pago.</t>
  </si>
  <si>
    <t>TOTAL INT. MORATORIOS</t>
  </si>
  <si>
    <t>TOTAL NETO A PAGAR</t>
  </si>
  <si>
    <t>INT MORA</t>
  </si>
  <si>
    <t>FRANCISCO BARRIOS</t>
  </si>
  <si>
    <t>13-001-40-03-004-2014-00161-00</t>
  </si>
  <si>
    <t xml:space="preserve">Capital: </t>
  </si>
  <si>
    <t>Fecha Solicitud Cobro</t>
  </si>
  <si>
    <t>Ejecutivo en virtud de Contrato</t>
  </si>
  <si>
    <t xml:space="preserve">TASA INT USURA </t>
  </si>
  <si>
    <t>COSTAS DEL PROCESO</t>
  </si>
  <si>
    <t>MARIA ELENA ZULUAGA BOTERO</t>
  </si>
  <si>
    <t>Sentencia N° Radicado</t>
  </si>
  <si>
    <t>13001-33-33-011-2019-00067-00</t>
  </si>
  <si>
    <t>fecha solicitud de cobro</t>
  </si>
  <si>
    <t>Conciliacion prejudicial</t>
  </si>
  <si>
    <t>Fecha Audiencia conciliacion</t>
  </si>
  <si>
    <t>De acuerdo acuerdo conciliatorio se pagará 4 meses posteriores a la presentacion de documentacion para solicitud de cobro.</t>
  </si>
  <si>
    <t>SECRETARIADO PASTORIAL</t>
  </si>
  <si>
    <t>Clase del proceso</t>
  </si>
  <si>
    <t>Proceso Ejecutivo Contractual</t>
  </si>
  <si>
    <t>13-001-33-33-013-2018-00114-00</t>
  </si>
  <si>
    <t>Decreto 1082 2015</t>
  </si>
  <si>
    <t xml:space="preserve">TOTAL INTERESES </t>
  </si>
  <si>
    <t>RICARDO LEON GOMEZ GOMEZ</t>
  </si>
  <si>
    <t>CLASE DE PROCESO</t>
  </si>
  <si>
    <t>CONTROVERSIAS CONTRACTUALES</t>
  </si>
  <si>
    <t>13-001-33-33-013-2017-00241-00</t>
  </si>
  <si>
    <t>CAPITAL INDEXADO 11/02/2019 (FECHA DE LA SENTENCIA)</t>
  </si>
  <si>
    <t xml:space="preserve">FECHA SOLICITUD COBRO </t>
  </si>
  <si>
    <t>FECHA EJECUTORIA SENTENCIA</t>
  </si>
  <si>
    <t>CPACA</t>
  </si>
  <si>
    <t>Contrato de Arrendamiento</t>
  </si>
  <si>
    <t>TASA DTF / TASA USURA</t>
  </si>
  <si>
    <t>VALOR INT MORATORIO</t>
  </si>
  <si>
    <t>TOTAL INT MORA</t>
  </si>
  <si>
    <t>DEMANDANTE</t>
  </si>
  <si>
    <t>LISCENIA TORRES</t>
  </si>
  <si>
    <t>CONCILIATORIO</t>
  </si>
  <si>
    <t>13-001-33-33-010-2019-00023-00</t>
  </si>
  <si>
    <t xml:space="preserve">Se suspenden Intereses </t>
  </si>
  <si>
    <t>Se recibe Auto interlocutorio 27/10/2021 que libra Mandamiento de pago</t>
  </si>
  <si>
    <t xml:space="preserve">TOTAL CAPITAL +  INT. </t>
  </si>
  <si>
    <t xml:space="preserve">INT MORA </t>
  </si>
  <si>
    <t>NATALIA BATISTA</t>
  </si>
  <si>
    <t xml:space="preserve">ipc actual </t>
  </si>
  <si>
    <t>valor historico</t>
  </si>
  <si>
    <t>valor presente</t>
  </si>
  <si>
    <t>13-001-23-31-000-2001-01787-01</t>
  </si>
  <si>
    <t>Fecha solicitud de cobro</t>
  </si>
  <si>
    <t>IPC Fecha Ejecutoria 23  Julio 2019</t>
  </si>
  <si>
    <t>PERIODO DIC AÑO 1995</t>
  </si>
  <si>
    <t xml:space="preserve">Diciembre </t>
  </si>
  <si>
    <t>16-Enero-</t>
  </si>
  <si>
    <t xml:space="preserve">DIFERENCIA </t>
  </si>
  <si>
    <t>YAMAL AFIUNI</t>
  </si>
  <si>
    <t>13-001-23-31-000-2001-01794-01</t>
  </si>
  <si>
    <t>Calculo</t>
  </si>
  <si>
    <t xml:space="preserve">TASA E A </t>
  </si>
  <si>
    <t>Seguridad social</t>
  </si>
  <si>
    <t>Vilma Ortiz Leon</t>
  </si>
  <si>
    <t>Clase proceso</t>
  </si>
  <si>
    <t>NULIDAD Y RESTABLECIMIENTO DEL DERECHO</t>
  </si>
  <si>
    <t>13001-23-31-000-2001-01983-01</t>
  </si>
  <si>
    <t>Tribunal Administrativo</t>
  </si>
  <si>
    <t>Salarios</t>
  </si>
  <si>
    <t>FECHA INICIO</t>
  </si>
  <si>
    <t>TOTAL DIAS X AÑO</t>
  </si>
  <si>
    <t>AÑO 1998</t>
  </si>
  <si>
    <t>Base prestaciones año 1998</t>
  </si>
  <si>
    <t>Base prestaciones Año 1999</t>
  </si>
  <si>
    <t>Año 1999</t>
  </si>
  <si>
    <t>Base prestaciones Año 2000</t>
  </si>
  <si>
    <t>Año 2000</t>
  </si>
  <si>
    <t>Bono por Servicio</t>
  </si>
  <si>
    <t>Bono x Serv prestados</t>
  </si>
  <si>
    <t>Prima de Navidad</t>
  </si>
  <si>
    <t>LIQUIDACION PRESTACIONES SOCIALES</t>
  </si>
  <si>
    <t>año 1998</t>
  </si>
  <si>
    <t>año 1999</t>
  </si>
  <si>
    <t>año 2000</t>
  </si>
  <si>
    <t>INDEXACION AÑO 1998</t>
  </si>
  <si>
    <t>INDEXACION AÑO 1999</t>
  </si>
  <si>
    <t>INDEXACION AÑO 2000</t>
  </si>
  <si>
    <t>Interes de Cesantias</t>
  </si>
  <si>
    <t>Auxilio Transportes</t>
  </si>
  <si>
    <t>Prima Alimentacion</t>
  </si>
  <si>
    <t>Prima de Vacaciones</t>
  </si>
  <si>
    <t>SUELDO 1998</t>
  </si>
  <si>
    <t>VALOR INDEXADO</t>
  </si>
  <si>
    <t>Aplicacion  formula  Dane</t>
  </si>
  <si>
    <t>TOTAL INDEXADO AÑO 1998</t>
  </si>
  <si>
    <t>SUELDO 1999</t>
  </si>
  <si>
    <t>TOTAL INDEXADO AÑO 1999</t>
  </si>
  <si>
    <t xml:space="preserve"> IPC</t>
  </si>
  <si>
    <t>SUELDO 2000</t>
  </si>
  <si>
    <t>TOTAL INDEXADO AÑO 2000</t>
  </si>
  <si>
    <t>SUMA INDEXADA 3 AÑOS LIQUIDADOS</t>
  </si>
  <si>
    <t>FECHA INCIAL</t>
  </si>
  <si>
    <t>Se suspenden intereses por no presentacion de solicitud de pago</t>
  </si>
  <si>
    <t>OFERTA TRANSACCIONAL</t>
  </si>
  <si>
    <t>D/TO 40% INTERESES</t>
  </si>
  <si>
    <t>Colombia, Indice de Precios al Consumidor (IPC)</t>
  </si>
  <si>
    <t>Indices - Serie de empalme</t>
  </si>
  <si>
    <t>1993 - 2008</t>
  </si>
  <si>
    <t>Base Diciembre de 1998 = 100,00</t>
  </si>
  <si>
    <t>Mes</t>
  </si>
  <si>
    <t>* Entre marzo de 1994 y febrero de 1995, se realizó la Encuesta de Ingresos y Gastos en 28.000 hogares de las 23 capitales de los antiguos departamentos, para determinar cambios en los hábitos de consumo y la estructura del gasto de la población colombiana. Con los resultados de esta encuesta, bajo el trabajo de un grupo interdisciplinario de especialistas y la asesoría de la entidad estadística del Canadá, se desarrollo una nueva metodología para calcular el IPC, que es aplicada a partir de enero. Se creó una nueva canasta con una estructura de dos niveles, uno fijo y uno flexible, que permite actualizar la  canasta de bienes y servicios, por cambios en el consumo final en un periodo relativamente corto  (lo cual no era posible en la anterior canasta). Además la nueva canasta quedó conformada por 405 artículos (la anterior poseía 195), amplió la cobertura socioeconómica a toda la población del índice e igualmente mejoró la fórmula de cálculo.</t>
  </si>
  <si>
    <t>Fuente: DANE</t>
  </si>
  <si>
    <t>Índices - Serie de empalme
2003 - 2021</t>
  </si>
  <si>
    <t>Base Diciembre de 2018 = 100,00</t>
  </si>
  <si>
    <t>Fuente: DANE.</t>
  </si>
  <si>
    <t>Nota: La diferencia en la suma de las variables, obedece al sistema de aproximación y redondeo.</t>
  </si>
  <si>
    <t>Actualizado el 5 de mayo de 2021</t>
  </si>
  <si>
    <t>Liquidacion de intereses faltantes</t>
  </si>
  <si>
    <t>Valor capital</t>
  </si>
  <si>
    <t>RESUMEN LIQUIDACION DIC 2021</t>
  </si>
  <si>
    <t>RESUMEN LIQUIDACION JULIO 2022</t>
  </si>
  <si>
    <t>EDUARDO HERNANDEZ</t>
  </si>
  <si>
    <t xml:space="preserve">Vr Capital </t>
  </si>
  <si>
    <t>Intereses a 2018</t>
  </si>
  <si>
    <t>Fecha continuacion Intereses</t>
  </si>
  <si>
    <t>PERIODO INICIAL</t>
  </si>
  <si>
    <t>PERIODO FINAL</t>
  </si>
  <si>
    <t>Total Intereses Moratorios</t>
  </si>
  <si>
    <t>HOJA DE TRABAJO/CALCULO</t>
  </si>
  <si>
    <t>INTERESES MORATORIOS HASTA 20 ABRIL 2018/ INDEXACION</t>
  </si>
  <si>
    <t>INTERESES MORATORIOS A 2021</t>
  </si>
  <si>
    <t>JULIAN ARRIETA</t>
  </si>
  <si>
    <t xml:space="preserve">Fecha Solicitud de cobro </t>
  </si>
  <si>
    <t>13001-23-31-000-2001-01834-00</t>
  </si>
  <si>
    <t>Tipo de Proceso</t>
  </si>
  <si>
    <t>CCA</t>
  </si>
  <si>
    <t>MEDICO GENERAL DE PLANTA</t>
  </si>
  <si>
    <t xml:space="preserve">SOBRESUELDO 1995 </t>
  </si>
  <si>
    <t>SOBRESUELDO 1996</t>
  </si>
  <si>
    <t>IPC FECHA EJECUTORIA 21 Mayo 2018</t>
  </si>
  <si>
    <t>IPC DIC 1995</t>
  </si>
  <si>
    <t>INTERESES CESANTIAS</t>
  </si>
  <si>
    <t>TOTAL CAPITAL AÑO 1995</t>
  </si>
  <si>
    <t>CALCULO PRESTACIONES AÑO 1995</t>
  </si>
  <si>
    <t>bonificacion por  servicio</t>
  </si>
  <si>
    <t>prima vaciones</t>
  </si>
  <si>
    <t>bonificacioh por recreacion</t>
  </si>
  <si>
    <t>IPC DIC 1996</t>
  </si>
  <si>
    <t>CALCULO PRESTACIONES AÑO 1996</t>
  </si>
  <si>
    <t>IPC Fecha Ejecutoria 21- mayo -2018</t>
  </si>
  <si>
    <t>octubre</t>
  </si>
  <si>
    <t xml:space="preserve">INTERESES MORATORIOS </t>
  </si>
  <si>
    <t>TABLAS IPC</t>
  </si>
  <si>
    <t>CONVERSIÓN INDICES</t>
  </si>
  <si>
    <t>Nombre  Demandante</t>
  </si>
  <si>
    <t>Albertina Guerrero Vitola</t>
  </si>
  <si>
    <t>13-001-33-31-009-2010-00136-02</t>
  </si>
  <si>
    <t xml:space="preserve">Normativa Aplicable </t>
  </si>
  <si>
    <t>Tipo de Intereses</t>
  </si>
  <si>
    <t>Moratorios de conformidad con la ley 80 de 1993</t>
  </si>
  <si>
    <t>Se liquidan intereses de la fecha ejecutoriada a la fecha del pago</t>
  </si>
  <si>
    <t>Fecha de Inicio</t>
  </si>
  <si>
    <t>Fecha pago Finalizacion</t>
  </si>
  <si>
    <r>
      <t xml:space="preserve">Nota: </t>
    </r>
    <r>
      <rPr>
        <sz val="8"/>
        <rFont val="Arial Narrow"/>
        <family val="2"/>
      </rPr>
      <t>Se calculan intereses moratorios de acuerdo al resuelve del fallo, con fechas especificas tal como esta en la liquidacion.</t>
    </r>
  </si>
  <si>
    <t>Interes Moratorios</t>
  </si>
  <si>
    <t>Total Intereses Mora</t>
  </si>
  <si>
    <t>Agencias en Derecho</t>
  </si>
  <si>
    <t>LOZANO EMILIANI  Y CABEL S.A.S. EN LIQUIDACIÓN</t>
  </si>
  <si>
    <t>Solicitud Cobro</t>
  </si>
  <si>
    <t>13-001-33-3-012-2018-00027-00</t>
  </si>
  <si>
    <t>Se inician intereses despues de los 4 meses que solcitaron cuenta de cobro.</t>
  </si>
  <si>
    <t>INTERESES MORATORIOS DE LA CONDENA</t>
  </si>
  <si>
    <t>(Tasa EA DE USURA / DTF)</t>
  </si>
  <si>
    <t>Capital Actualizado</t>
  </si>
  <si>
    <t xml:space="preserve">LIQUIDACION DE SALARIOS Y PRESTACIONES SOCIALES DEJADAS DE PERCIBIR DE CONFORMIDAD CON LA SENTENCIA DEL JUZGADO QUINTO ADMINISTRATIVO DEL CIRCUITO DE CARTAGENA  </t>
  </si>
  <si>
    <t>24 MESES DE SALARIO</t>
  </si>
  <si>
    <t>DESDE</t>
  </si>
  <si>
    <t>HASTA</t>
  </si>
  <si>
    <t>DEMANDANTE:</t>
  </si>
  <si>
    <t xml:space="preserve">BARRIOS PADILLA ANYELIS PATRICIA </t>
  </si>
  <si>
    <t>DE ACUERDO</t>
  </si>
  <si>
    <t>CC 45.535.104</t>
  </si>
  <si>
    <t xml:space="preserve">MANDAMIENTO DE PAGO 24 SALARIOS </t>
  </si>
  <si>
    <t>INTERESES DESDE EJE 2 INSTANCIA</t>
  </si>
  <si>
    <t>MANDAMIENTO DE PAGO</t>
  </si>
  <si>
    <t>10MESES DTF</t>
  </si>
  <si>
    <t>A PARTIR SERIAN COMERCIALES/MORATORIOS</t>
  </si>
  <si>
    <t>Mayo IPC</t>
  </si>
  <si>
    <t>FSP</t>
  </si>
  <si>
    <t xml:space="preserve">INTERESES DTF </t>
  </si>
  <si>
    <t>CONVERTIR TASAS TEA</t>
  </si>
  <si>
    <t>TEA</t>
  </si>
  <si>
    <t>TEM</t>
  </si>
  <si>
    <t>TED</t>
  </si>
  <si>
    <t>CONVERTIR TASAS Tasa Efectiva Mensual A;</t>
  </si>
  <si>
    <t>INTERES COMPUESTO</t>
  </si>
  <si>
    <t xml:space="preserve">Costas del proceso de N y R: </t>
  </si>
  <si>
    <t>LIQUIDACION JUZGADO</t>
  </si>
  <si>
    <t>Capital: </t>
  </si>
  <si>
    <r>
      <rPr>
        <sz val="7"/>
        <color rgb="FF222222"/>
        <rFont val="Times New Roman"/>
        <family val="1"/>
      </rPr>
      <t> </t>
    </r>
    <r>
      <rPr>
        <sz val="11"/>
        <color rgb="FF222222"/>
        <rFont val="Arial"/>
        <family val="2"/>
      </rPr>
      <t xml:space="preserve">Intereses liquidados a 5 de mayo de 2021: </t>
    </r>
  </si>
  <si>
    <t>DIFERENCIAS CONTRA JUZGADO</t>
  </si>
  <si>
    <t>Pr. Navidad Proporcional</t>
  </si>
  <si>
    <t>Bon x Serv Proporcional</t>
  </si>
  <si>
    <t>Bon x Ser Pres Proporcional</t>
  </si>
  <si>
    <t>Pr. Vacac Proporcional</t>
  </si>
  <si>
    <t>Bon x Recr Proporcional</t>
  </si>
  <si>
    <t>Vacaciones Proporcional</t>
  </si>
  <si>
    <t>Total Patr. Sal</t>
  </si>
  <si>
    <t>Total Patr. Pens</t>
  </si>
  <si>
    <t>(+) cesantias e intereses de cesantias</t>
  </si>
  <si>
    <t>DTF (Tasa EA*1,5) Usura</t>
  </si>
  <si>
    <t>ANYELIS PATRICIA BARRIOS PADILLA</t>
  </si>
  <si>
    <t>13-001-33-33-005-2014-00228-00</t>
  </si>
  <si>
    <t xml:space="preserve">TIPO DE PROCESO </t>
  </si>
  <si>
    <t>FECHA DE EJECUTORIA</t>
  </si>
  <si>
    <t xml:space="preserve">Fecha Notificacion que libra Mandamiento de pago </t>
  </si>
  <si>
    <t>FECHA SOLICITUD COBRO</t>
  </si>
  <si>
    <t>INSUSISTENCIA</t>
  </si>
  <si>
    <t>IPC 09 OCT -2019</t>
  </si>
  <si>
    <t>CALCULO SEGURIDAD SOCIAL AÑO 2013</t>
  </si>
  <si>
    <t>Salud Empleado</t>
  </si>
  <si>
    <t>Pension Empleado</t>
  </si>
  <si>
    <t>Empleador Pension</t>
  </si>
  <si>
    <t>Total Salud</t>
  </si>
  <si>
    <t>Total Pension</t>
  </si>
  <si>
    <t>Totales</t>
  </si>
  <si>
    <t>CALCULO SEGURIDAD SOCIAL AÑO 2014</t>
  </si>
  <si>
    <t>CALCULO SEGURIDAD SOCIAL AÑO 2015</t>
  </si>
  <si>
    <t>Cesantias + Int Cesantias</t>
  </si>
  <si>
    <t>PERJUICIOS MORALES</t>
  </si>
  <si>
    <t>10 SMLV</t>
  </si>
  <si>
    <t>SMLV 2019</t>
  </si>
  <si>
    <t>VALOR  MORATORIOS</t>
  </si>
  <si>
    <t>$40 MILLONES</t>
  </si>
  <si>
    <t xml:space="preserve">LIQUIDAR INTERESES </t>
  </si>
  <si>
    <t xml:space="preserve"> COSTAS </t>
  </si>
  <si>
    <t>INVERMAS SA</t>
  </si>
  <si>
    <t>13001-33-66-006-2019-00208-00</t>
  </si>
  <si>
    <t xml:space="preserve">CONCILIACIÓN PREJUDICIAL </t>
  </si>
  <si>
    <t>FECHA DE SENTENCIA</t>
  </si>
  <si>
    <t>30 DE SEPTIEMBRE DE 2019</t>
  </si>
  <si>
    <t>04 DE OCTUBRE DE 2019</t>
  </si>
  <si>
    <t>PLAZO</t>
  </si>
  <si>
    <t>4 MESES contados desde la presentación de solicitud de cobro corren intereses</t>
  </si>
  <si>
    <t xml:space="preserve">TABLA INTERESES MORATORIOS </t>
  </si>
  <si>
    <t>TASA DTF/ TASA E.A. USURA</t>
  </si>
  <si>
    <t>Inmobiliaria Cartagena</t>
  </si>
  <si>
    <t>13001-33-33-012-2019-00230-00</t>
  </si>
  <si>
    <t>Fecha aprobacion de auto</t>
  </si>
  <si>
    <t>Acuerdo</t>
  </si>
  <si>
    <t xml:space="preserve">
Plazo: 4 meses desde la presentación de la solicitud de pago con 
el auto aprobatorio</t>
  </si>
  <si>
    <t>Tipo de proceso</t>
  </si>
  <si>
    <t>Conciliacion Judicial</t>
  </si>
  <si>
    <t>TABLA INTERESES MORATORIO</t>
  </si>
  <si>
    <t>Tasa DTF -(Tasa EA*1,5)</t>
  </si>
  <si>
    <t>Capital</t>
  </si>
  <si>
    <t>Intereses de Mora</t>
  </si>
  <si>
    <t>Total a pagar Intereses moratorios</t>
  </si>
  <si>
    <t>Ileana Estremor</t>
  </si>
  <si>
    <t>13-001-33-33-014-2017-00139-00</t>
  </si>
  <si>
    <t xml:space="preserve">Intereses          Mora a partir </t>
  </si>
  <si>
    <t>Conciliacion</t>
  </si>
  <si>
    <t>SE PROCEDE A DIVIDIR EL MONTO ACORDADO EN PARTES IGUALES ENTRE LOS BENEFICIARIOS</t>
  </si>
  <si>
    <t>BENEFICIARIOS</t>
  </si>
  <si>
    <t>ILIANA DEL CARMEN ESTREMOR</t>
  </si>
  <si>
    <t>ANA FERMINA ESTREMOR BANQUEZ</t>
  </si>
  <si>
    <t>KATERINE ESTREMOR BANQUEZ</t>
  </si>
  <si>
    <t>CARMEN MARIA BANQUEZ MAGALLANES</t>
  </si>
  <si>
    <t>LUIS FLORENTINO ESTREMOR BARON</t>
  </si>
  <si>
    <t>ACTA AUDIENCIA DE CONCILIACION N°19</t>
  </si>
  <si>
    <t>MEDIO DE CONTROL</t>
  </si>
  <si>
    <t>REPARACION DIRECTA</t>
  </si>
  <si>
    <t>13-001-33-33-013-2014-00211-01</t>
  </si>
  <si>
    <t>DEMANDADO</t>
  </si>
  <si>
    <t>DISTRITO DE CARTAGENA Y OTROS (ELECTRICARIBE)</t>
  </si>
  <si>
    <t>ACTUACION</t>
  </si>
  <si>
    <t>SENTENCIA DE SEGUNDA INSTACIA</t>
  </si>
  <si>
    <t>PLINIO ROMERO CHICO</t>
  </si>
  <si>
    <t>FECHA SENTENCIA TRIBUNAL</t>
  </si>
  <si>
    <t>09 OCTUBRE DE 2020</t>
  </si>
  <si>
    <t>07 DE DICIEMBRE 2020</t>
  </si>
  <si>
    <t>TEMA</t>
  </si>
  <si>
    <t>RESPONSABILIDAD POR            CONDUCCION ENERGIA ELECTRICA</t>
  </si>
  <si>
    <t>SMLV AÑO 2020</t>
  </si>
  <si>
    <t>SE DECLARA AL 50% DEL DAÑO IRROGADO POR CONCURRIR CON EL ACTUAR</t>
  </si>
  <si>
    <t>CULPOSO DE LAS VICTIMAS (PADRES)</t>
  </si>
  <si>
    <t>NOMBRES</t>
  </si>
  <si>
    <t>CONDENA TOTAL EN SMLV</t>
  </si>
  <si>
    <t>CONDENA 50% DT</t>
  </si>
  <si>
    <t>ACTA DE CONCILIACION 19 DE 25 DE AGOSTO DE 2017</t>
  </si>
  <si>
    <t>CLEYDER WADID ROMERO MELENDEZ (Victima Directa)</t>
  </si>
  <si>
    <t>PLINIO MANUEL ROMERO CHICO (padre)</t>
  </si>
  <si>
    <t>ZORAIDA MELENDEZ HERNANDEZ (madre)</t>
  </si>
  <si>
    <t>YAURIS VANESA ROMERO MELENDEZ (hermana)</t>
  </si>
  <si>
    <t>DAVID HENRIQUE ROMERO MELENDEZ (hermano)</t>
  </si>
  <si>
    <t>YILIAM KAROLYS ROMERO GONZALEZ (hermana)</t>
  </si>
  <si>
    <t>AQUILES MELENDEZ ALVAREZ (abuelo)</t>
  </si>
  <si>
    <t>JULIA MARIA HERNANDEZ CONTRERAS (abuela)</t>
  </si>
  <si>
    <t>MANUELA CHICO ARIZA (abuela)</t>
  </si>
  <si>
    <t>DAÑO A LA SALUD</t>
  </si>
  <si>
    <t>PERJUICIO ESTETICO</t>
  </si>
  <si>
    <t>PERJUICIO A LA VIDA DE RELACION</t>
  </si>
  <si>
    <t>Total pagar por Condena</t>
  </si>
  <si>
    <t>ACTA EJECUTORIADA DE LA SENTENCIA 2 INSTANCIA 7 Dic/2020</t>
  </si>
  <si>
    <t>TASA DE INTERES DTF / TASA E A USURA</t>
  </si>
  <si>
    <t xml:space="preserve"> DIAS </t>
  </si>
  <si>
    <t>RESUMEN LIQUIDACION CLEYDER WADID ROMERO MELENDEZ (Victima Directa)</t>
  </si>
  <si>
    <t>50% - 20 SMLV</t>
  </si>
  <si>
    <t>RESUMEN LIQUIDACION PLINIO MANUEL ROMERO CHICO (padre)</t>
  </si>
  <si>
    <t>RESUMEN LIQUIDACION ZORAIDA MELENDEZ HERNANDEZ (madre)</t>
  </si>
  <si>
    <t>50% - 10 SMLV</t>
  </si>
  <si>
    <t>RESUMEN LIQUIDACION YAURIS VANESA ROMERO MELENDEZ (hermana)</t>
  </si>
  <si>
    <t>RESUMEN LIQUIDACION DAVID HENRIQUE ROMERO MELENDEZ (hermano)</t>
  </si>
  <si>
    <t>RESUMEN LIQUIDACION YILIAM KAROLYS ROMERO GONZALEZ (hermana)</t>
  </si>
  <si>
    <t>RESUMEN LIQUDACION AQUILES MELENDEZ ALVAREZ (abuelo)</t>
  </si>
  <si>
    <t>RESUMEN LIQUIDACION JULIA MARIA HERNANDEZ CONTRERAS (abuela)</t>
  </si>
  <si>
    <t>RESUMEN LIQUIDACION MANUELA CHICO ARIZA (abuela)</t>
  </si>
  <si>
    <t>TOTAL RESUMEN LIQUIDACION</t>
  </si>
  <si>
    <t>COSTAS PROCESALES 3% VR K</t>
  </si>
  <si>
    <t>Salario Minimo 2020</t>
  </si>
  <si>
    <t xml:space="preserve">OMAR MANRIQUE FRANCO Y AIDA ARLET GARCIA OSORIO </t>
  </si>
  <si>
    <t xml:space="preserve">REPARACIÓN DIRECTA  </t>
  </si>
  <si>
    <t>13-001-33-33-05-2014-00014-01</t>
  </si>
  <si>
    <t xml:space="preserve">ENTE JUDICIAL QUE EMITE SENTENCIA </t>
  </si>
  <si>
    <t xml:space="preserve">TRIBUNAL ADMINISTRATIVO DE BOLIVAR </t>
  </si>
  <si>
    <t>29 DE MAYO DE 2020</t>
  </si>
  <si>
    <t>25 AGOSTO DE 2020</t>
  </si>
  <si>
    <t>Fecha solicitud cobro</t>
  </si>
  <si>
    <t xml:space="preserve">Daño Moral </t>
  </si>
  <si>
    <t>SMLV 2016</t>
  </si>
  <si>
    <t>Valor SLMLV</t>
  </si>
  <si>
    <t>TOTAL SMLV</t>
  </si>
  <si>
    <t>OMAR MANRIQUE FRANCO</t>
  </si>
  <si>
    <t xml:space="preserve">AIDA ARLET GARCIA OSORIO </t>
  </si>
  <si>
    <t xml:space="preserve">EILEN FRANCO GARCIA </t>
  </si>
  <si>
    <t>TOTAL RESUMEN DE TODA LIQUIDACION</t>
  </si>
  <si>
    <t>SMLV 2020</t>
  </si>
  <si>
    <t>TOTAL RESUMEN RESOLUCION 7695  30/12/21</t>
  </si>
  <si>
    <t>Diferencias dejadas de pagar (demandante)</t>
  </si>
  <si>
    <t>AGENCIA DERECHO</t>
  </si>
  <si>
    <t>Diferencia dejada de pagar</t>
  </si>
  <si>
    <t>REAPARACION DIRECTA</t>
  </si>
  <si>
    <t>TOMAS TATIS TORAL Y OTROS</t>
  </si>
  <si>
    <t>DISTRITO DE CARTAGENA</t>
  </si>
  <si>
    <t xml:space="preserve">SENTENCIA </t>
  </si>
  <si>
    <t>100 SMLV</t>
  </si>
  <si>
    <t>N°Radicado</t>
  </si>
  <si>
    <t>13001-33-33-004-2015-00226-00</t>
  </si>
  <si>
    <t>Fecha Solicitud cobro</t>
  </si>
  <si>
    <t>Salario Minimo 2021</t>
  </si>
  <si>
    <t>SMLV 2021</t>
  </si>
  <si>
    <t xml:space="preserve">CONDENA </t>
  </si>
  <si>
    <t>ACTA AUDIENCIA CONCILIATORI N°4-100SMLV AL MOMENTO DEL PAGO</t>
  </si>
  <si>
    <t>KELVIN ANTONIO TATIS YEPES</t>
  </si>
  <si>
    <t>TOMAS ANTONIO TATIS TORAL</t>
  </si>
  <si>
    <t>ENIDA MARGOTH YEPES PEREZ</t>
  </si>
  <si>
    <t>KEVIN ANTONIO TATIS YEPES</t>
  </si>
  <si>
    <t>ANA RAQUEL TATIS YEPES</t>
  </si>
  <si>
    <t>DEIVIS JOSE GARCIA YEPES</t>
  </si>
  <si>
    <t>JUAN FRANCISCO GARCIA YEPES</t>
  </si>
  <si>
    <t>RICARDO MANUEL GARCIA YEPES</t>
  </si>
  <si>
    <t>ANA DOLORES PEREZ DE YEPES</t>
  </si>
  <si>
    <t>ANA MATILDE TORAL DE HORTA</t>
  </si>
  <si>
    <t>JULIA MARCELA SOLENO DE GARCIA</t>
  </si>
  <si>
    <t xml:space="preserve">ADMINISTRATIVO- REPARACIÓN DIRECTA </t>
  </si>
  <si>
    <t>16 DE SEPTIEMBRE DE 2020</t>
  </si>
  <si>
    <t>13-001-23-31-003-2010-00282-01</t>
  </si>
  <si>
    <t>30 SMLV AÑO 2020</t>
  </si>
  <si>
    <t xml:space="preserve">CALCULO </t>
  </si>
  <si>
    <t>Salario Minimo Fecha Ejecutoria 2020</t>
  </si>
  <si>
    <t>Condena por Obra Material</t>
  </si>
  <si>
    <t>LAUDO</t>
  </si>
  <si>
    <t>CONSORCIO VIAL BARU</t>
  </si>
  <si>
    <t>Tribunal de Arbitramento de fecha 17/05/2016, integrado por los árbitros CARLOS PAREJA EMILIANI, JORGE PERALTA NIEVES y NÉSTOR OSORIO MORENO (Pte.)</t>
  </si>
  <si>
    <t xml:space="preserve">fecha solciitud de cobro </t>
  </si>
  <si>
    <t xml:space="preserve">PLAZO MAX </t>
  </si>
  <si>
    <t>CPACA, 10 MESES</t>
  </si>
  <si>
    <t>VALOR CAPITAL NUMERAL NOVENO</t>
  </si>
  <si>
    <t>CONCEPTOS</t>
  </si>
  <si>
    <t>Errores de riego de cambio de nombres</t>
  </si>
  <si>
    <t>Disminucion de contribuciones valoriozacion</t>
  </si>
  <si>
    <t>Disminucion de contribuciones valorizacion</t>
  </si>
  <si>
    <t>Total Capital</t>
  </si>
  <si>
    <t>TABLA INTERESES DE MORA</t>
  </si>
  <si>
    <t>NO INCLUIR</t>
  </si>
  <si>
    <t>Tasa diaria</t>
  </si>
  <si>
    <t>VALOR INT MORATORIOS INT SIMPLE</t>
  </si>
  <si>
    <t>INT COMPUESTO</t>
  </si>
  <si>
    <t>* REVIZAR PARA ESTABLECER 75% GASTOS ASUMIDOS POR EL CONVOCANTE</t>
  </si>
  <si>
    <t>Costas procesales</t>
  </si>
  <si>
    <t>honorarios de los arbitros</t>
  </si>
  <si>
    <t xml:space="preserve">Total Pagar </t>
  </si>
  <si>
    <r>
      <rPr>
        <b/>
        <sz val="10"/>
        <rFont val="Arial Narrow"/>
        <family val="2"/>
      </rPr>
      <t xml:space="preserve">NOTA: </t>
    </r>
    <r>
      <rPr>
        <sz val="10"/>
        <rFont val="Arial Narrow"/>
        <family val="2"/>
      </rPr>
      <t>Se suspenden intereses, se renaudan a partir de la solicitud de cobro 21/09/2016</t>
    </r>
  </si>
  <si>
    <t>Costas procesales y Agencias en derecho</t>
  </si>
  <si>
    <t>Agencias en derecho recurso de anulacion (15 SMLV año 2017)</t>
  </si>
  <si>
    <t xml:space="preserve">LIQUIDACION INTERESES MORATORIOS </t>
  </si>
  <si>
    <t>ANGELINA GOMEZ DE BENEDETTI Y OTROS</t>
  </si>
  <si>
    <t>fecha Ejecutora</t>
  </si>
  <si>
    <t>22 DE JUNIO 2016</t>
  </si>
  <si>
    <t>CODIGO GENERAL DEL PROCESO</t>
  </si>
  <si>
    <t>(Tasa DE INTERES MORA EA*1,5)</t>
  </si>
  <si>
    <t xml:space="preserve">TASA MORA NOMINAL </t>
  </si>
  <si>
    <t>TASA MORA NOMINAL  DIARIA</t>
  </si>
  <si>
    <t>Se calcula trimestral Hasta 31 Agosto 2017</t>
  </si>
  <si>
    <t>Se calcula Mensual hasta año 2021</t>
  </si>
  <si>
    <t>CAPITAL ADEUDADO</t>
  </si>
  <si>
    <t>TOTAL CAPITAL E INTERESES</t>
  </si>
  <si>
    <t>INSERCOL</t>
  </si>
  <si>
    <t>TOTAL LIQUDADO</t>
  </si>
  <si>
    <t>13-001-23-33-000-2014-00158-00</t>
  </si>
  <si>
    <t>SALDO DEUDA</t>
  </si>
  <si>
    <t>Capital Actual 23-01-2018</t>
  </si>
  <si>
    <t>Captital Actual  2017</t>
  </si>
  <si>
    <t>Intereses</t>
  </si>
  <si>
    <t>Total Liquidado</t>
  </si>
  <si>
    <t>1 Pagos parciales 28-03-2019</t>
  </si>
  <si>
    <t>Res 1906 de 21-03-2019</t>
  </si>
  <si>
    <t>2, Pago ParcialRes 3481 26-04-2019, modificado por Res 3663 07-05-2019</t>
  </si>
  <si>
    <t>Se calculan intereses moratorios al dia siguiente del corte de la liquidacion del credito, el cual terminó el dia 23 /enero/2018</t>
  </si>
  <si>
    <t xml:space="preserve">Valor Historico </t>
  </si>
  <si>
    <t>Variacion IPC Anual del año anterior</t>
  </si>
  <si>
    <t>No Meses (formula JR)</t>
  </si>
  <si>
    <t>IPC A Aplicar</t>
  </si>
  <si>
    <t>Valor Actualizado</t>
  </si>
  <si>
    <t>Tasa Interes (formula JR)</t>
  </si>
  <si>
    <t>Intereses (formula JR)</t>
  </si>
  <si>
    <t>INTERRESES C ALCULADOS EN ACTA LIQUIDACION BILATERAL</t>
  </si>
  <si>
    <t xml:space="preserve">CONTINUACION INT MORA </t>
  </si>
  <si>
    <t>SE INICIA CON NUEVO CAPITAL CALCULADO POSTERIOR A LOS PAGOS PARCIALES REALIZADOS DE ACUERDO A LAS RESOLUCIONES ADJUNTAS EN EL RESUMEN DE LIQUIDACION.</t>
  </si>
  <si>
    <t>Capital A 21 Marzo 2019</t>
  </si>
  <si>
    <t>Intereses hasta el 23 Enero 2018</t>
  </si>
  <si>
    <t>Intereses 24 Enero 2018 a 21 Marzo 2019</t>
  </si>
  <si>
    <t xml:space="preserve">Suma Intereses </t>
  </si>
  <si>
    <r>
      <rPr>
        <b/>
        <sz val="10"/>
        <rFont val="Arial"/>
        <family val="2"/>
      </rPr>
      <t xml:space="preserve">1. </t>
    </r>
    <r>
      <rPr>
        <sz val="10"/>
        <rFont val="Arial"/>
        <family val="2"/>
      </rPr>
      <t>Pago parcial Res 1906 21 Marzo 2019</t>
    </r>
  </si>
  <si>
    <t>Saldo Descuento pago parcial</t>
  </si>
  <si>
    <t>Capital a 26 Abril 2019</t>
  </si>
  <si>
    <t>Intereses desde 22 Marzo 2019 a 26 Abril 2019</t>
  </si>
  <si>
    <t>Saldo de intereses mora de 21 marzo 2019</t>
  </si>
  <si>
    <r>
      <rPr>
        <b/>
        <sz val="10"/>
        <rFont val="Arial"/>
        <family val="2"/>
      </rPr>
      <t>2.</t>
    </r>
    <r>
      <rPr>
        <sz val="10"/>
        <rFont val="Arial"/>
        <family val="2"/>
      </rPr>
      <t xml:space="preserve"> Pago ParcialRes 3481 26-04-2019, modificado por Res 3663 07-05-2019</t>
    </r>
  </si>
  <si>
    <t>Valor a restar a capital</t>
  </si>
  <si>
    <t>Nuevo Capital por pagar</t>
  </si>
  <si>
    <t>Intereses Moratorios a pagar</t>
  </si>
  <si>
    <t>Se resta lo pagado de intereses</t>
  </si>
  <si>
    <t>se resta de Capital</t>
  </si>
  <si>
    <t xml:space="preserve">Valor de Capital </t>
  </si>
  <si>
    <t>Interees dia despues del primer pago  29 -03-2019</t>
  </si>
  <si>
    <t xml:space="preserve">hasta el dia siguiente pago fue con fecha de 2 pago 5-08-2019 </t>
  </si>
  <si>
    <t>TASA DIARIA.</t>
  </si>
  <si>
    <t xml:space="preserve">2 Pago Parcial </t>
  </si>
  <si>
    <t>2 Pago Parcial</t>
  </si>
  <si>
    <t>Res 3481 26-04-2019 y modificada  por 3663 del 07-05-2019 y se hace efectivo 5-08-2019</t>
  </si>
  <si>
    <t>Total abonar a Nuevo capital</t>
  </si>
  <si>
    <t>Total Capital a Liquidar</t>
  </si>
  <si>
    <t>Calculo Intereses desde el dia siguiente pago 06-08-2019</t>
  </si>
  <si>
    <t>Total Int Mora</t>
  </si>
  <si>
    <t xml:space="preserve">NUEVO CAPITAL </t>
  </si>
  <si>
    <t xml:space="preserve">IPC final </t>
  </si>
  <si>
    <t>IPC inicial 02/2010</t>
  </si>
  <si>
    <t>DIF INDEXACION</t>
  </si>
  <si>
    <t xml:space="preserve">PESBOCOL / PRIMEVALUESERVICE S.A.S </t>
  </si>
  <si>
    <t>NIT</t>
  </si>
  <si>
    <t>830,132,842-2</t>
  </si>
  <si>
    <t>13-001-23-31-000-2007-00034-01</t>
  </si>
  <si>
    <t>FECHA SENTENCIA</t>
  </si>
  <si>
    <t>NULIDAD Y REESTABLECIMIENTO DEL DERECHO</t>
  </si>
  <si>
    <t>INDEXACION</t>
  </si>
  <si>
    <t xml:space="preserve">FECHA INICIAL </t>
  </si>
  <si>
    <t>FECHA FINAL IPC</t>
  </si>
  <si>
    <t>IPC final 28-08-2014</t>
  </si>
  <si>
    <t xml:space="preserve">IPC inicial 12-12-2006 </t>
  </si>
  <si>
    <t>Fecha Solcitud Cobro 22 Mayo-2015</t>
  </si>
  <si>
    <t>(-) Resolucion de Pago 3311 26/05/2016</t>
  </si>
  <si>
    <t>Total Intereses por Pagar</t>
  </si>
  <si>
    <t>NOTA: El capital del credito varía de acuerdo al IPC Base 2018, que fue modificado por el Dane.</t>
  </si>
  <si>
    <t>CASTRO JULIO EDGAR RAFAEL</t>
  </si>
  <si>
    <t>Fecha ejecutoria</t>
  </si>
  <si>
    <t>Bonificacion x Servicio Proporcional</t>
  </si>
  <si>
    <t>Primas Vacaciones Proporcional</t>
  </si>
  <si>
    <t>Bonificacion x Recreacion Proporcional</t>
  </si>
  <si>
    <t>Prima Navidad Proporcional</t>
  </si>
  <si>
    <t>Total</t>
  </si>
  <si>
    <t>Bonificacion x Servicio</t>
  </si>
  <si>
    <t>Bonificacion x Servicios Prestados</t>
  </si>
  <si>
    <t>CALCULO SEGURIDAD SOCIAL AÑO 2016</t>
  </si>
  <si>
    <t xml:space="preserve">Cesantias </t>
  </si>
  <si>
    <t xml:space="preserve">Intereses de Cesantias </t>
  </si>
  <si>
    <t>Valor Neto Salarios y Prestaciones</t>
  </si>
  <si>
    <t>valor a pagar 2 ultimos años</t>
  </si>
  <si>
    <t xml:space="preserve">RESUMEN DE LIQUIDACION </t>
  </si>
  <si>
    <t>Valor a Pagar Salarios y Prestaciones (2 años)</t>
  </si>
  <si>
    <t>Intereses Dtf/ MORATORIOS</t>
  </si>
  <si>
    <t>Agencias en Derecho Primera Instancia</t>
  </si>
  <si>
    <t xml:space="preserve">Total a pagar </t>
  </si>
  <si>
    <t>EMITIDO RP</t>
  </si>
  <si>
    <t>DIFERENCIA</t>
  </si>
  <si>
    <t>Desvinculado</t>
  </si>
  <si>
    <t>Reintegro</t>
  </si>
  <si>
    <t>EMPRESA</t>
  </si>
  <si>
    <t>CONSTRUCCIONES GAM SAS</t>
  </si>
  <si>
    <t>DIC /2018 A ABRIL /2020</t>
  </si>
  <si>
    <t>TRIBUNAL DE ARBITRAMIENTO GAM CONSTRUCCIONES</t>
  </si>
  <si>
    <t>VALOR CAPITAL NUMERAL DECIMO</t>
  </si>
  <si>
    <t>VALOR CAPITAL NUMERAL DECIMO PRIMERO</t>
  </si>
  <si>
    <t>TABLA DE INTERESES INTERESES MORATORIOS DE LA CONDENA</t>
  </si>
  <si>
    <t>Gastos Funcionamiento y  Honorarios de Arbitramiento</t>
  </si>
  <si>
    <r>
      <rPr>
        <b/>
        <sz val="10"/>
        <rFont val="Arial Narrow"/>
        <family val="2"/>
      </rPr>
      <t xml:space="preserve">NOTA: </t>
    </r>
    <r>
      <rPr>
        <sz val="10"/>
        <rFont val="Arial Narrow"/>
        <family val="2"/>
      </rPr>
      <t>Los intereses con DTF se liquidan desde 2- nov- 2018 hasta el 2-sept-2019, del 3-sept-2019 a 15-dic-2022 con intereses moratorios</t>
    </r>
  </si>
  <si>
    <t>RELIQUIDACION GAM CONTRUCCIONES</t>
  </si>
  <si>
    <t>Pago Parcial Resolucion 4591 de 28 jul 2022</t>
  </si>
  <si>
    <t>a</t>
  </si>
  <si>
    <t>pagado el 18 de enero de 2023</t>
  </si>
  <si>
    <t>b</t>
  </si>
  <si>
    <t>Gastos Funcionamiento y Honorarios de Arbitramiento</t>
  </si>
  <si>
    <t>c</t>
  </si>
  <si>
    <t>d</t>
  </si>
  <si>
    <t>Disponible para abono a capital</t>
  </si>
  <si>
    <t>e=a-b-c-d</t>
  </si>
  <si>
    <t>Capital pendiente de pago</t>
  </si>
  <si>
    <t>Nuevo Capital a la fecha de pago de AA</t>
  </si>
  <si>
    <r>
      <rPr>
        <b/>
        <sz val="10"/>
        <color rgb="FF000000"/>
        <rFont val="Roboto"/>
      </rPr>
      <t>NOTA:</t>
    </r>
    <r>
      <rPr>
        <sz val="10"/>
        <color rgb="FF000000"/>
        <rFont val="Roboto"/>
      </rPr>
      <t xml:space="preserve"> del 16-dic-2022 en adelante se liquidan intereses moratorios Tasa de de credito y consumo *1,5% para usura</t>
    </r>
  </si>
  <si>
    <t xml:space="preserve">ELECTRICARIBE </t>
  </si>
  <si>
    <t xml:space="preserve">Ejecutoriado </t>
  </si>
  <si>
    <t>Fecha de Sentencia</t>
  </si>
  <si>
    <t>31 de marzo de 2016  </t>
  </si>
  <si>
    <t>Electricaribe / Cuantia debidamente Indexada</t>
  </si>
  <si>
    <t>Condena: de manera solidaria al  pago de perjuicio material por la suma $54.847.036</t>
  </si>
  <si>
    <t>Le correspondería al distrito pagar solo el 50% de la condena.</t>
  </si>
  <si>
    <t>Solicitud cumplimiento de sentencias el 30 de junio de 2016</t>
  </si>
  <si>
    <t>Condenar a concesión Vial de Cartagena SA y DT</t>
  </si>
  <si>
    <t xml:space="preserve">Valor Capital </t>
  </si>
  <si>
    <t>12/05/2016 a la fecha 50%</t>
  </si>
  <si>
    <t>Total Capital + Intereses Mora</t>
  </si>
  <si>
    <t>Juan Climaco Perez Saldarriaga</t>
  </si>
  <si>
    <t>fecha Ejecutoria</t>
  </si>
  <si>
    <t xml:space="preserve">Fecha Solicitud Pago </t>
  </si>
  <si>
    <t xml:space="preserve">Primas de servicio desde 28 DE ABRIL DEL 2011 HASTA QUE SE ENCUENTRE VIGENTE SU VINCULO LABORAL   </t>
  </si>
  <si>
    <t>RELIQUIDAR TODAS LAS PRESTACIONES SOCIALES</t>
  </si>
  <si>
    <t>Conceptos</t>
  </si>
  <si>
    <t>Sueldo Basico</t>
  </si>
  <si>
    <t>Bonificacion X serv prestados Juli</t>
  </si>
  <si>
    <t>Bono X Servicio</t>
  </si>
  <si>
    <t>Primas Vacaciones</t>
  </si>
  <si>
    <t xml:space="preserve">Fecha Ejecutoria </t>
  </si>
  <si>
    <t>Total Dias Liquidar</t>
  </si>
  <si>
    <t>SALARIOS BASE LIQUIDACION 2011</t>
  </si>
  <si>
    <t>Primas Servicios</t>
  </si>
  <si>
    <t>SALARIOS BASE LIQUIDACION 2012</t>
  </si>
  <si>
    <t>SALARIOS BASE LIQUIDACION 2013</t>
  </si>
  <si>
    <t>SALARIOS BASE LIQUIDACION 2014</t>
  </si>
  <si>
    <t>SALARIOS BASE LIQUIDACION 2016</t>
  </si>
  <si>
    <t>Total a Pagar Capital a liquidar Intereses</t>
  </si>
  <si>
    <t>NOMBRES Y APELLIDOS</t>
  </si>
  <si>
    <t>Gloria Acosta</t>
  </si>
  <si>
    <t>FECHA EJECUTORIADA</t>
  </si>
  <si>
    <t>12 mayo a Abril 2020</t>
  </si>
  <si>
    <t>IPC final Actual</t>
  </si>
  <si>
    <t>IPC inicial 12/05/2016</t>
  </si>
  <si>
    <t>TASA M.V.</t>
  </si>
  <si>
    <t xml:space="preserve">TOTAL INTERESES MORATORIOS </t>
  </si>
  <si>
    <t xml:space="preserve">TOTAL CAPITAL </t>
  </si>
  <si>
    <t>CLAUDIA CORREA</t>
  </si>
  <si>
    <t>MESADA</t>
  </si>
  <si>
    <t>TOTAL COSTAS 6% Liq Cr</t>
  </si>
  <si>
    <t>COMEXCOOL</t>
  </si>
  <si>
    <t>INTERESES  DE LA CONDENA</t>
  </si>
  <si>
    <t>TOPLINE SAS</t>
  </si>
  <si>
    <t>INTERESES + INT MORATORIOS DE LA CONDENA</t>
  </si>
  <si>
    <t>RODRIGO VICENTE MARTINEZ TORRES</t>
  </si>
  <si>
    <t>(+) IVA 19%</t>
  </si>
  <si>
    <t xml:space="preserve">Constructora EMMA </t>
  </si>
  <si>
    <t>Consorcio Vial Baru</t>
  </si>
  <si>
    <t>Impuesto de Renta</t>
  </si>
  <si>
    <t xml:space="preserve">ICA </t>
  </si>
  <si>
    <t>Contribución Especial Arbitral 2%</t>
  </si>
  <si>
    <t>Fecha para pago Intereses</t>
  </si>
  <si>
    <t>10 de junio de 2020</t>
  </si>
  <si>
    <t xml:space="preserve">IVA </t>
  </si>
  <si>
    <t>LIQUIDACION DE SALARIO Y PRESTACIONES SOCIALES DEJADAS DE PERCIBIR DE</t>
  </si>
  <si>
    <t xml:space="preserve">CONFORMIDAD CON LA SENTENCIA DEL JUZGADO OCTAVO ADMINISTRATIVO DEL </t>
  </si>
  <si>
    <t>CIRCUITO DE CARTAGENA</t>
  </si>
  <si>
    <t>DEMANDANTE, EDILBERTO MENDOZA GOEZ</t>
  </si>
  <si>
    <t>CC 73.108.912</t>
  </si>
  <si>
    <t>AÑO 2017</t>
  </si>
  <si>
    <t xml:space="preserve">Asignacion </t>
  </si>
  <si>
    <t>Gastos de Repre</t>
  </si>
  <si>
    <t>Valor</t>
  </si>
  <si>
    <t>Pens Empl</t>
  </si>
  <si>
    <t>Patr Salud</t>
  </si>
  <si>
    <t>Patr Pens</t>
  </si>
  <si>
    <t>Total salud</t>
  </si>
  <si>
    <t>Total pension</t>
  </si>
  <si>
    <t>Fondo solid</t>
  </si>
  <si>
    <t>RODOLFO CARABALLO BELEÑO</t>
  </si>
  <si>
    <t>CEDULA</t>
  </si>
  <si>
    <t>9.093.375 de Cartagena</t>
  </si>
  <si>
    <t>13-001-33-33-005-2010-00176-00</t>
  </si>
  <si>
    <t>Condenar Costas</t>
  </si>
  <si>
    <t>LIQUIDACION DE COSTAS</t>
  </si>
  <si>
    <t xml:space="preserve">RADICADO DEL EXPEDIENTE </t>
  </si>
  <si>
    <t xml:space="preserve">CLASE DE ACCION </t>
  </si>
  <si>
    <t>ACCION POPULAR</t>
  </si>
  <si>
    <t>RODOLFO CARABALLO BELEÑO Y OTROS</t>
  </si>
  <si>
    <t>DISTRITO DE CARTAGENA Y OTROS</t>
  </si>
  <si>
    <t>FECHA EJECUTORIA DE AUTO DE APROBACION DE LIQUIDACION DE COSTAS Y AGENCIAS EN DERECHO.</t>
  </si>
  <si>
    <t>FECHA SOLICITUD DE COBRO</t>
  </si>
  <si>
    <t>GASTOS PROCESALES</t>
  </si>
  <si>
    <t>AGENCIAS EN DERECHO - 1SMLV -2013</t>
  </si>
  <si>
    <t>CONDENA EN PARTES IGUALES CON EL EPA 50%</t>
  </si>
  <si>
    <t>INTERESES  MORATORIOS DE LA CONDENA</t>
  </si>
  <si>
    <t>Se Suspenden intereses hasta presentar solicitud de cobro</t>
  </si>
  <si>
    <t>CONTRATISTA - Contador Publico TP-155428-T</t>
  </si>
  <si>
    <t xml:space="preserve">EJECUTIVO </t>
  </si>
  <si>
    <t>EDURBE SA</t>
  </si>
  <si>
    <t>LIBRA MANDAMIENTO DE PAGO</t>
  </si>
  <si>
    <t>13001-23-33-000-2019-00284-00</t>
  </si>
  <si>
    <t>CONDENAR COSTAS</t>
  </si>
  <si>
    <t>IMS EU en Liquidacion</t>
  </si>
  <si>
    <t>13001-23-33-000-2013-00349-01</t>
  </si>
  <si>
    <t>Intereses  Cte desde 22 enero 2013 hasta 13 enero 2020, int       Mora a partir de 14-01-2020 a la fecha</t>
  </si>
  <si>
    <t>Porque el estatuto tributario articulo 863.</t>
  </si>
  <si>
    <t>SACAR INTERESES CORRIENTES 22/01/2013 HASTA 13 /01/2020 Y DESDE EL 14/01/2020 HASTA HOY INTERESES MORATORIOS</t>
  </si>
  <si>
    <t>TABLA DE INTERESES MORATORIOS DE LA CONDENA</t>
  </si>
  <si>
    <t>MARGARITA SANCHEZ PIEDRAHITA Y OTROS</t>
  </si>
  <si>
    <t>13-001-33-33-013-2013-0037700</t>
  </si>
  <si>
    <t xml:space="preserve">Norma </t>
  </si>
  <si>
    <t>art 192 CPACA</t>
  </si>
  <si>
    <t>Solicitud cobro via electronica</t>
  </si>
  <si>
    <t xml:space="preserve">Fecha de la Sentencia </t>
  </si>
  <si>
    <t>SMLLV</t>
  </si>
  <si>
    <r>
      <rPr>
        <b/>
        <sz val="10"/>
        <rFont val="Arial"/>
        <family val="2"/>
      </rPr>
      <t>1. 45%</t>
    </r>
    <r>
      <rPr>
        <sz val="10"/>
        <rFont val="Arial"/>
        <family val="2"/>
      </rPr>
      <t xml:space="preserve"> De los perjuicios causados a la parte demandada dicho porcentaje indexado sobre el inmueble es</t>
    </r>
  </si>
  <si>
    <t>138,32 / 132,78</t>
  </si>
  <si>
    <t>2.1 Perjuicios Morales</t>
  </si>
  <si>
    <t xml:space="preserve">Beneficiarios </t>
  </si>
  <si>
    <t>Calidad en que comparece</t>
  </si>
  <si>
    <t>SMLV reconocidos</t>
  </si>
  <si>
    <t>Valor liquidado</t>
  </si>
  <si>
    <t>Margarita Sanchez Piedrahita</t>
  </si>
  <si>
    <t xml:space="preserve">Victima directa propietaria del predio </t>
  </si>
  <si>
    <t>Joan Andres Coulson Sanchez</t>
  </si>
  <si>
    <t>hijo</t>
  </si>
  <si>
    <t>Karina M Ibañez Sanchez</t>
  </si>
  <si>
    <t>Cadir Antonio Ibañez Sanchez</t>
  </si>
  <si>
    <t>Ivan de Jesus Sanchez Gomez</t>
  </si>
  <si>
    <t>padre</t>
  </si>
  <si>
    <t>Perjuicios Materiales</t>
  </si>
  <si>
    <t>Miriam Buelvas Olivera</t>
  </si>
  <si>
    <t>SANCION MORATORIA</t>
  </si>
  <si>
    <t>1 DIA DE SALARIO POR CADA DIA DE RETARDO</t>
  </si>
  <si>
    <t>SALARIO PROMEDIO</t>
  </si>
  <si>
    <t>SALARIO DIA</t>
  </si>
  <si>
    <t>DIAS DE MORA</t>
  </si>
  <si>
    <t>INDEMNIZACION</t>
  </si>
  <si>
    <t xml:space="preserve">Valor capital </t>
  </si>
  <si>
    <t>Valor Intereses Moratorios</t>
  </si>
  <si>
    <t>Costas y Agencias 1%</t>
  </si>
  <si>
    <t>Carlos Ayola Castellon</t>
  </si>
  <si>
    <t>13001-33-33-012--2012-00060-00</t>
  </si>
  <si>
    <t>PRESTACIONES SOCIALES ADEUDADOS A LA EJECUTORIA DE LA SENTENCIA</t>
  </si>
  <si>
    <t>PERIODO DE MORA</t>
  </si>
  <si>
    <t>TASA DE INTERES BANCARIA CORRIENTE</t>
  </si>
  <si>
    <t>TASA DE INTERES MORA ANUAL</t>
  </si>
  <si>
    <t>TASAS DE INTERES DE MORA ANUAL</t>
  </si>
  <si>
    <t>INTERESES</t>
  </si>
  <si>
    <t xml:space="preserve">DESDE </t>
  </si>
  <si>
    <t>INTERESES A 31 DE JULIO DE 2015</t>
  </si>
  <si>
    <t>VALOR CANCELADO MEDIANTE RESOLUCIÓN 8482 DEL 5 DE AGOSTO DE 2015</t>
  </si>
  <si>
    <t>SALDO PENDIENTE POR PAGAR A 31 DE JULIO DE 2015</t>
  </si>
  <si>
    <t>(-) MENOS VALOR CANCELADO MEDIANTE RESOLUCIÓN 1921 DEL 7 DE MARZO DE 2017</t>
  </si>
  <si>
    <t>SALDO PENDIENTE POR PAGAR</t>
  </si>
  <si>
    <t>SALARIOS ADEUDADOS A LA EJECUTORIA DE LA SENTENCIA</t>
  </si>
  <si>
    <t>TASAS DE INTERES DE MORA DIARIO</t>
  </si>
  <si>
    <t>SALDO INTERESES PENDIENTES POR PAGAR A 28 FEB 2017</t>
  </si>
  <si>
    <t>INTERESES MORATORIOS CAUSADOS</t>
  </si>
  <si>
    <t>Capital Pendiente por pagar</t>
  </si>
  <si>
    <t>Intereses moratorios a a fecha de 2022</t>
  </si>
  <si>
    <t>INES ISABEL VISBAL NAVARRO</t>
  </si>
  <si>
    <t>13-001-3333-007-2013-00011-00</t>
  </si>
  <si>
    <t>30 SMLV</t>
  </si>
  <si>
    <t>SALARIO 2021</t>
  </si>
  <si>
    <t xml:space="preserve">TOTAL VALOR CAPITAL </t>
  </si>
  <si>
    <t>COSTAS 5%  SOBRE LAS PRETENSIONES EFECTIVAMENTE RECONOCIDAS</t>
  </si>
  <si>
    <t>CONSORCIO VIAL ISLA BARÚ</t>
  </si>
  <si>
    <t>LAUDO ARBITRAL</t>
  </si>
  <si>
    <t>TRIBUNAL DE ARBITRAMIENTO</t>
  </si>
  <si>
    <t>Agencias en derecho</t>
  </si>
  <si>
    <t>PROPIETARIO</t>
  </si>
  <si>
    <t>AREA REQUERIDA (MT 2)</t>
  </si>
  <si>
    <t>FOLIO MATRICULA</t>
  </si>
  <si>
    <t>REF CATASTRAL</t>
  </si>
  <si>
    <t>AVALUO COMERCIAL</t>
  </si>
  <si>
    <t>INVERSIONES CESAREO SOCIEDAD CIVIL SA</t>
  </si>
  <si>
    <t>050-10062</t>
  </si>
  <si>
    <t>01-100860-0038-00</t>
  </si>
  <si>
    <t>060-10063</t>
  </si>
  <si>
    <t>01-10-0860-0003-00</t>
  </si>
  <si>
    <t>Valor precio indemnizatorio</t>
  </si>
  <si>
    <t>RESOLUCION 0964 DE 4 Julio 2019</t>
  </si>
  <si>
    <t>OFERTA OFICINA ASESORA JURIDICA</t>
  </si>
  <si>
    <t>RESOLUCION DE PAGO 6451 DE28 AGOSTO 2019</t>
  </si>
  <si>
    <t>VALOR ADEUDADO</t>
  </si>
  <si>
    <t>la obligacion del pago no deriva de la sentencia sino que deriva de los contratos de compra venta</t>
  </si>
  <si>
    <t>Liquidacion intereses 4 meses posteriores a la fecha de solcituid de cobro</t>
  </si>
  <si>
    <t>EXT AMC 2100007490</t>
  </si>
  <si>
    <t>Demandante</t>
  </si>
  <si>
    <t xml:space="preserve">ALFONSO MAYORGA CAPATAZ </t>
  </si>
  <si>
    <t>Cedula</t>
  </si>
  <si>
    <t>Demandado</t>
  </si>
  <si>
    <t>13-001-33-33-005-2015-00177-01</t>
  </si>
  <si>
    <t>Medio de Control</t>
  </si>
  <si>
    <t>Vr Capital</t>
  </si>
  <si>
    <t xml:space="preserve">Cargo </t>
  </si>
  <si>
    <t>Técnico Saneamiento Código 4230 Grado 10</t>
  </si>
  <si>
    <t xml:space="preserve">Fecha de inicio </t>
  </si>
  <si>
    <t xml:space="preserve">Fecha final </t>
  </si>
  <si>
    <t>último Salario Devengado</t>
  </si>
  <si>
    <t>Retiros parciales</t>
  </si>
  <si>
    <t>Resolucion</t>
  </si>
  <si>
    <t>Retiro</t>
  </si>
  <si>
    <t>Total Retiros Cesantias</t>
  </si>
  <si>
    <t>Liquidacion de censantias desde la fecha de vinculacion hasta fecha final de retiro</t>
  </si>
  <si>
    <t>Fecha Final ejecutoria</t>
  </si>
  <si>
    <t>Ultimo Salario devengado Decreto 0246 17 feb 2016</t>
  </si>
  <si>
    <t>Bonificacion x Servicio Jul</t>
  </si>
  <si>
    <t xml:space="preserve">Boni. X Recreación </t>
  </si>
  <si>
    <t>Salario Base de Liquidación Cesantias</t>
  </si>
  <si>
    <t>Valor a Liquidar</t>
  </si>
  <si>
    <t>Total Cesantias Liquidadas</t>
  </si>
  <si>
    <t>(-) Retiros Cesantias</t>
  </si>
  <si>
    <t>Valor a Indexar</t>
  </si>
  <si>
    <t>Indexacion</t>
  </si>
  <si>
    <t>IPC final 31/05/2016</t>
  </si>
  <si>
    <t>IPC inicial 30/11/2022</t>
  </si>
  <si>
    <t>Agencias en Derecho 1° Instancia</t>
  </si>
  <si>
    <t>Agencias en Derecho 2° Instancia</t>
  </si>
  <si>
    <t>Gastos Consignados de Dte</t>
  </si>
  <si>
    <t>Valor  Total a Pagar</t>
  </si>
  <si>
    <t>Gloria Patricia Monsalve Bedoya</t>
  </si>
  <si>
    <t>Distrito de Cartagena de Indias</t>
  </si>
  <si>
    <t>13001-33-33-007-2017-00179-00</t>
  </si>
  <si>
    <t>CONTRATO N°242012 SEXTA CUOTA (Vencimiento 30/06/2013)</t>
  </si>
  <si>
    <t>CONTRATO N° 242013 - DECIMA CUOTA (Vencimineto 30/12/2013)</t>
  </si>
  <si>
    <t>RESUMEN LIQUIDACION DEL CREDITO</t>
  </si>
  <si>
    <t xml:space="preserve">Intereses Contrato N°242012 </t>
  </si>
  <si>
    <t>Intereses Contrato N°242013</t>
  </si>
  <si>
    <t>Agencias en derecho 5%</t>
  </si>
  <si>
    <t xml:space="preserve">fecha Inicial </t>
  </si>
  <si>
    <t>Richard Beltran</t>
  </si>
  <si>
    <t>Fecha liquidacion Contrato</t>
  </si>
  <si>
    <t>13-001-33-31-02-2010-00147-00</t>
  </si>
  <si>
    <t>Fecha de Liquidacion de Contrato de Obra  18-11-2008</t>
  </si>
  <si>
    <t>IPC final 20-01-2015</t>
  </si>
  <si>
    <t>IPC inicial 18-11-2008</t>
  </si>
  <si>
    <t>Se inicia la liquidacion desde el dia despues de liquidacion del contrato.</t>
  </si>
  <si>
    <t>TABLA DE INTERESES  MORA</t>
  </si>
  <si>
    <t>Valor Historico/Actualizado</t>
  </si>
  <si>
    <t>Lilia Isabel Cueto Perez</t>
  </si>
  <si>
    <t>ALCALDIA MAYOR DE CARTAGENA</t>
  </si>
  <si>
    <t>13-001-33-33-005-2013-00019-01</t>
  </si>
  <si>
    <t>Pago a aportes a la seguridad social, en porcentajes de
cotización correspondientes a pensión y salud que dio traslado a
los fondos durante todo el tiempo que estuvo vinculada
conforme a los honorarios pactados.</t>
  </si>
  <si>
    <t>Sin solicitud de Cobro</t>
  </si>
  <si>
    <t>10 MESES</t>
  </si>
  <si>
    <t>Fechas ordenes servicio</t>
  </si>
  <si>
    <t>1 Enero a 30 Dic 2001</t>
  </si>
  <si>
    <t>1 Enero a 30 Dic 2002</t>
  </si>
  <si>
    <t>1 Enero a 30 Dic 2003</t>
  </si>
  <si>
    <t>1 Enero a 15 mayo  2004</t>
  </si>
  <si>
    <t>Honorarios</t>
  </si>
  <si>
    <t>NO REGISTRA</t>
  </si>
  <si>
    <t>IPC FINAL VIGENTE FECHA EJECUTORIA</t>
  </si>
  <si>
    <t>Seguridad Social año 2001</t>
  </si>
  <si>
    <t>IPC ACTUAL</t>
  </si>
  <si>
    <t>INDEXACION APORTE DISTRITO</t>
  </si>
  <si>
    <t>VALOR SALUD</t>
  </si>
  <si>
    <t>VALOR PENSION</t>
  </si>
  <si>
    <t>Seguridad Social año 2002</t>
  </si>
  <si>
    <t>Febreo</t>
  </si>
  <si>
    <t>Seguridad Social año 2003</t>
  </si>
  <si>
    <t>Valor Total pagar</t>
  </si>
  <si>
    <t>Seguridad Social año 2004</t>
  </si>
  <si>
    <t>TOTAL SALUD Y PENSION</t>
  </si>
  <si>
    <t>ORLANDO DEL RIO BERMUDEZ</t>
  </si>
  <si>
    <t>13001-33-33-008-2017-00148-00</t>
  </si>
  <si>
    <t xml:space="preserve">Reconocer y pagar a favor de demandante las prestaciones sociales, tomando como base los </t>
  </si>
  <si>
    <t xml:space="preserve">honorarios contractuales, correspondientes a los periodos en los cuales se demostró existencia de relacion laboral, </t>
  </si>
  <si>
    <t>a partir del 4 de noviembre de  2008 hasta el 31 diciembre de 2015</t>
  </si>
  <si>
    <t>dias</t>
  </si>
  <si>
    <t>Liquidacion de prestaciones sociales año 2008</t>
  </si>
  <si>
    <t>Pens. Empleado</t>
  </si>
  <si>
    <t>Salud Empleador</t>
  </si>
  <si>
    <t xml:space="preserve"> Pension  Empleador</t>
  </si>
  <si>
    <t>Liquidacion de prestaciones sociales  año 2009</t>
  </si>
  <si>
    <t>Liquidacion de prestaciones sociales  año 2010</t>
  </si>
  <si>
    <t>Liquidacion de prestaciones sociales  año 2011</t>
  </si>
  <si>
    <t>Liquidacion de prestaciones sociales  año 2012</t>
  </si>
  <si>
    <t>Liquidacion de prestaciones sociales 13</t>
  </si>
  <si>
    <t>Liquidacion de prestaciones sociales  año 2014</t>
  </si>
  <si>
    <t>Liquidacion de prestaciones sociales  año 2015</t>
  </si>
  <si>
    <t>Subtotal Salarios</t>
  </si>
  <si>
    <t>(-) Seguridad social</t>
  </si>
  <si>
    <t>Total a Pagar Capital para Liquidacion de  Intereses Moratorios</t>
  </si>
  <si>
    <t>Total intereses Mora</t>
  </si>
  <si>
    <t>Nombre del demandante</t>
  </si>
  <si>
    <t>FABIOLA BOTERO</t>
  </si>
  <si>
    <t>Fecha Ejecutora</t>
  </si>
  <si>
    <t xml:space="preserve">CCA </t>
  </si>
  <si>
    <t xml:space="preserve">Art 177 </t>
  </si>
  <si>
    <t>13001 23 31 000 2006 01436 01</t>
  </si>
  <si>
    <t>Jaine</t>
  </si>
  <si>
    <t xml:space="preserve">valores </t>
  </si>
  <si>
    <t>Diferencia en valor reconocido actos q se anularon</t>
  </si>
  <si>
    <t>IPC final 21/05/2018</t>
  </si>
  <si>
    <t>IPC inicial 16/02/2006</t>
  </si>
  <si>
    <t>Fecha final</t>
  </si>
  <si>
    <t>Vr metro cuadrado</t>
  </si>
  <si>
    <t xml:space="preserve">mt </t>
  </si>
  <si>
    <t>valor mt cuadrado legal</t>
  </si>
  <si>
    <t>valor Mt Indexado</t>
  </si>
  <si>
    <t>Total MT Cuadrados</t>
  </si>
  <si>
    <t>Valor pagado Parcial</t>
  </si>
  <si>
    <t>Total Mt cuadrado Indexado</t>
  </si>
  <si>
    <t>Valor Dif Capital a Liquidar</t>
  </si>
  <si>
    <t>ASOCIACION COSTEÑA  DE POLICIAS RETIRADOS ACOPOR</t>
  </si>
  <si>
    <t>TOTAL CAPITAL + INT MORA</t>
  </si>
  <si>
    <t>FRANCISCO JAVIER MADERO OROZCO</t>
  </si>
  <si>
    <t>13-001-23-31-000-2011-0063-01</t>
  </si>
  <si>
    <t xml:space="preserve">27 DE AGOSTO DE 2018 </t>
  </si>
  <si>
    <t>12 DE JULIO DE 2018</t>
  </si>
  <si>
    <t>Liquidacion de Contratos</t>
  </si>
  <si>
    <t xml:space="preserve">SE CONDENÓ A PAGAR A FAVOR DEL DEMANDANTE A TITULO DE INDEMNIZACION EL VALOR DE LAS </t>
  </si>
  <si>
    <t>PRESTACIONES SOCIALES A QUE TIENE DERECHO DURANTE LOS PERIODOS:</t>
  </si>
  <si>
    <t>Fechas Inicial</t>
  </si>
  <si>
    <t>Asignacion salarial por Contrato</t>
  </si>
  <si>
    <t>Dias Laborados</t>
  </si>
  <si>
    <t>IPC FECHA Ejecutoria 22/08/2018</t>
  </si>
  <si>
    <t>PRESTACIONES SOCIALES PERIODO 10-08-2006 A 09-12-2006</t>
  </si>
  <si>
    <t>Indexacion ipc Dic/2006</t>
  </si>
  <si>
    <t>Indice</t>
  </si>
  <si>
    <t>Valor Indexado</t>
  </si>
  <si>
    <t>PRESTACIONES SOCIALES PERIODO 06-02-2007 A 05-05-2007</t>
  </si>
  <si>
    <t>Indexacion ipc Dic/2007</t>
  </si>
  <si>
    <t>PRESTACIONES SOCIALES PERIODO 01-06-2007 A 31-10-2007</t>
  </si>
  <si>
    <t>PRESTACIONES SOCIALES PERIODO 12-12-2007 A 31-12-2007</t>
  </si>
  <si>
    <t>Total Capital para Liquidar Intereses</t>
  </si>
  <si>
    <t>Nombre y Apellidos</t>
  </si>
  <si>
    <t>OSCAR JAVIER CAMACHO SANCHEZ</t>
  </si>
  <si>
    <t>Clase Proceso</t>
  </si>
  <si>
    <t>ORDINARIO LABORAL</t>
  </si>
  <si>
    <t>150013050022014-00098</t>
  </si>
  <si>
    <t>Pagar de manera solidaria, todos los emolumentos prestaciones sociales</t>
  </si>
  <si>
    <t>Condenan al Distrito y a Union temporal Abc</t>
  </si>
  <si>
    <t>Extremos para int moratorios</t>
  </si>
  <si>
    <t>Mediante auto del 7 de mayo de 2021 se ordena el embargo y</t>
  </si>
  <si>
    <t>retención por la suma de $90.000.000</t>
  </si>
  <si>
    <t>Observaciones</t>
  </si>
  <si>
    <t>Se solicita al Juzgado segundo de Tunja remitir la sentencia del</t>
  </si>
  <si>
    <t>tribunal que modifica la de primera instancia: así mismo se</t>
  </si>
  <si>
    <t>solicita se remitan los folios del expediente señalado en la</t>
  </si>
  <si>
    <t>primera instancia (donde constan las acreencias reconocidas) así</t>
  </si>
  <si>
    <t>las liquidaciones que menciona la sentencia de primera instancia,</t>
  </si>
  <si>
    <t>ya que si bien estas están relacionadas en el mandamiento de</t>
  </si>
  <si>
    <t>pago, siendo estas sentencias el titulo ejecutivo deberá estar</t>
  </si>
  <si>
    <t>anexa en ese proceso.</t>
  </si>
  <si>
    <t>FECHAS, SENTENCIA DE 2 INSTANCIA</t>
  </si>
  <si>
    <t>NOMBRE DE DEMANDANTE</t>
  </si>
  <si>
    <t>Consorcio Vias</t>
  </si>
  <si>
    <t>Capital 2018</t>
  </si>
  <si>
    <t>13-001-33-33-011-2017-00088-00</t>
  </si>
  <si>
    <t xml:space="preserve">Capital actualizado a enero de 2018 </t>
  </si>
  <si>
    <t xml:space="preserve">Intereses a corte 31 de julio de 2019 </t>
  </si>
  <si>
    <t>LEY 80 1993</t>
  </si>
  <si>
    <t>MESES</t>
  </si>
  <si>
    <t>Continuacion Intereses Moratorios 1 agosto 2019 a la fecha</t>
  </si>
  <si>
    <t>Total Intereses moratorios</t>
  </si>
  <si>
    <t>Resumen Liquidacion</t>
  </si>
  <si>
    <t>Intereses 1 Agosto 2019 a Junio 2021</t>
  </si>
  <si>
    <t>Total liquidado</t>
  </si>
  <si>
    <t>Elida Martinez</t>
  </si>
  <si>
    <t>13001-33-33-005-2020-00182-00</t>
  </si>
  <si>
    <t>SOLICITUD DE PAGO INCOMPLETA</t>
  </si>
  <si>
    <t>AGENCIAS EN DERECHO 3%</t>
  </si>
  <si>
    <t xml:space="preserve">JACOBO FORERO JULIO </t>
  </si>
  <si>
    <t>Nulidad y Restablecimiento del Derecho</t>
  </si>
  <si>
    <t>29 de agosto de 2019</t>
  </si>
  <si>
    <t>13-00133330082015-004-300</t>
  </si>
  <si>
    <t>Devolucion autor el pago que hace el empleador</t>
  </si>
  <si>
    <t>Liquidacion de prestaciones sociales de Contratos</t>
  </si>
  <si>
    <t>Asignacion salarial</t>
  </si>
  <si>
    <t>IPC FECHA Ejecutoria 29/08/2019</t>
  </si>
  <si>
    <t>PRESTACIONES SOCIALES 2012</t>
  </si>
  <si>
    <t>Indexacion ipc Dic/2012</t>
  </si>
  <si>
    <t>PRESTACIONES SOCIALES 2013</t>
  </si>
  <si>
    <t>Indexacion ipc Dic/2013</t>
  </si>
  <si>
    <t>BASE SALARIAL</t>
  </si>
  <si>
    <t>SEGURIDAD SOCIAL</t>
  </si>
  <si>
    <t>Total Aporte Seguridad y Social Empleador</t>
  </si>
  <si>
    <t>Liquidar interese de mora desde el 29 de agosto de 2019 hasta 29 de noviembre 2019</t>
  </si>
  <si>
    <t xml:space="preserve">Total Capital + Intereses </t>
  </si>
  <si>
    <t>ROBERTO DAVILA Y OTROS</t>
  </si>
  <si>
    <t>13001-33 33 013-2012-00108-00</t>
  </si>
  <si>
    <t xml:space="preserve">INDEMNIZADO </t>
  </si>
  <si>
    <t>PARENTESCO</t>
  </si>
  <si>
    <t>SMLMV AÑO 2021</t>
  </si>
  <si>
    <t>EQUIVALENTES EN PESOS</t>
  </si>
  <si>
    <t>Roberto Junior Davila Navarro</t>
  </si>
  <si>
    <t>Victima Directa</t>
  </si>
  <si>
    <t>Roberto Davila Contreras</t>
  </si>
  <si>
    <t>Padre</t>
  </si>
  <si>
    <t>Yoreima Navarro Angarita</t>
  </si>
  <si>
    <t>Madre</t>
  </si>
  <si>
    <t>Brendi Yanin Davila Navarro</t>
  </si>
  <si>
    <t>Hermana</t>
  </si>
  <si>
    <t>Hermenegildo Navarro Arévalo</t>
  </si>
  <si>
    <t>Abuelo</t>
  </si>
  <si>
    <t>Roberto Davila Arévalo</t>
  </si>
  <si>
    <t xml:space="preserve">PERJUICIOS </t>
  </si>
  <si>
    <t>Por alteracion  en la alteracion en las condiciones de existencia al Menor</t>
  </si>
  <si>
    <t>Perjuicios materiales lucro cesante</t>
  </si>
  <si>
    <t>Costas 3% de total sumas liquidadas</t>
  </si>
  <si>
    <t>Primera Instancia</t>
  </si>
  <si>
    <t>Segunda Instancia</t>
  </si>
  <si>
    <t>VALOR A PAGAR</t>
  </si>
  <si>
    <t>Devolver parte demandante</t>
  </si>
  <si>
    <t>HONORARIOS DE 11/02/11 A 31/12/2013, prestaciones sociales prescritas de 2011 anteriores preescritas -</t>
  </si>
  <si>
    <t>ESPERANZA CABRERA</t>
  </si>
  <si>
    <t>13-001-33-33-005-2015-00162-01</t>
  </si>
  <si>
    <t>Prestaciones Sociales</t>
  </si>
  <si>
    <t>IPC Fecha ejecutoria</t>
  </si>
  <si>
    <t>Es una fecha provisional hasta tanto se tenga la constancia ejecutoria.</t>
  </si>
  <si>
    <t>Liquidacion de prestaciones sociales Año 2011</t>
  </si>
  <si>
    <t>Liquidacion de prestaciones sociales Año 2012</t>
  </si>
  <si>
    <t>febrero</t>
  </si>
  <si>
    <t>Liquidacion de prestaciones sociales Año 2013</t>
  </si>
  <si>
    <t>Total a Pagar Capital para Int Mora</t>
  </si>
  <si>
    <t>CABEL SAS EN LIQUIDACION</t>
  </si>
  <si>
    <t>13001-33-33-012-2019-001161</t>
  </si>
  <si>
    <t>4 MESES SIGUIENTES A LA RADICACION DE LOS DOC PERTINENTES PARA EL PAGO</t>
  </si>
  <si>
    <t>RADICARON SOLICITUD PAGO</t>
  </si>
  <si>
    <t xml:space="preserve">A PARTIR INT MORA DESDE </t>
  </si>
  <si>
    <t xml:space="preserve">Valor </t>
  </si>
  <si>
    <t>Total Int Mora +Capital</t>
  </si>
  <si>
    <t>Carlos Gastelbondo</t>
  </si>
  <si>
    <t>Liquidar Prestaciones Sociales</t>
  </si>
  <si>
    <t>Agente transito cod 403 grado 03 Datt</t>
  </si>
  <si>
    <t>Salarios Solicitados por Oficio, se Liquidará un estimado para cumplir con el cuadro de sentencias</t>
  </si>
  <si>
    <t>Fecha de Incio</t>
  </si>
  <si>
    <t>Fecha de Terminacion</t>
  </si>
  <si>
    <t>Valor de contrato</t>
  </si>
  <si>
    <t>Periodos</t>
  </si>
  <si>
    <t>Salario Mes</t>
  </si>
  <si>
    <t>PRESTACIONES SOCIALES PERIODO 1</t>
  </si>
  <si>
    <t>PRESTACIONES SOCIALES PERIODO 5</t>
  </si>
  <si>
    <t>PRESTACIONES SOCIALES PERIODO 2</t>
  </si>
  <si>
    <t>PRESTACIONES SOCIALES PERIODO 6</t>
  </si>
  <si>
    <t>PRESTACIONES SOCIALES PERIODO 3</t>
  </si>
  <si>
    <t>PRESTACIONES SOCIALES PERIODO 4</t>
  </si>
  <si>
    <t>TOTAL CAPITAL CR</t>
  </si>
  <si>
    <t>Total Intereses de Mora</t>
  </si>
  <si>
    <t>Total Capital + Interes</t>
  </si>
  <si>
    <t>DIONISIO PAUTT RODRIGUEZ Y OTROS</t>
  </si>
  <si>
    <t>13001-23-31-001-2010-00470-00</t>
  </si>
  <si>
    <t>CONDENA EN SMLSV 50 A LOS PADRES Y A 4 HERMANOS 25</t>
  </si>
  <si>
    <t>CONDENA SOLIDARIA DISTRITO 70% Y CORVIVIENDA 30%</t>
  </si>
  <si>
    <t>Perjuicios Morales</t>
  </si>
  <si>
    <t>SMLV 2013</t>
  </si>
  <si>
    <t>CONDENA D. T.</t>
  </si>
  <si>
    <t>Padres de la Victima</t>
  </si>
  <si>
    <t>Bercila Saenz Morales</t>
  </si>
  <si>
    <t>Dionisio Pautt Rodriguez</t>
  </si>
  <si>
    <t>Hermanos de la victima</t>
  </si>
  <si>
    <t>Elizabeth Corpas Saenz</t>
  </si>
  <si>
    <t>Sara Pautt Beleño</t>
  </si>
  <si>
    <t>Susana Pautt Beleño</t>
  </si>
  <si>
    <t>Ronald Saenz</t>
  </si>
  <si>
    <t>ALBA INES RODRIGUEZ OSPINA</t>
  </si>
  <si>
    <t>CONCILIACION PREJUDICIAL</t>
  </si>
  <si>
    <t>13001-23-33-000-2018-00711-00</t>
  </si>
  <si>
    <t>INVERSIONES LEONOR AROCHA S.C.S</t>
  </si>
  <si>
    <t>13001-33-33-002-2019 00186-00</t>
  </si>
  <si>
    <t>CAPITAL CONCILIADO</t>
  </si>
  <si>
    <t>MYRNA DRAGO LARA Y OTROS</t>
  </si>
  <si>
    <t>13-001-33-33-004-2017-00040-00</t>
  </si>
  <si>
    <t>Fecha Solcitud cobro</t>
  </si>
  <si>
    <t>PERJUICIO MORALES</t>
  </si>
  <si>
    <t>VALOR SMLV  2021</t>
  </si>
  <si>
    <t>Mirna Drago Lara</t>
  </si>
  <si>
    <t>Elvis Cabarcas Valiente</t>
  </si>
  <si>
    <t xml:space="preserve">Hady Luz Cabarcas Valiente </t>
  </si>
  <si>
    <t>Sandra Patricia Torres Drago</t>
  </si>
  <si>
    <t>Jhon Torres Drago</t>
  </si>
  <si>
    <t>Yuranis Liceth Torres Drago</t>
  </si>
  <si>
    <t xml:space="preserve">Numeral B </t>
  </si>
  <si>
    <t>Karol Yulieth Lourduy Cabarcas</t>
  </si>
  <si>
    <t>Pedro Luis Cabaracas</t>
  </si>
  <si>
    <t>Nadis Maria Noel Cabarcas</t>
  </si>
  <si>
    <t>Brayder Alexander Noel Cabarcas</t>
  </si>
  <si>
    <t>Sebastian Jimenez Torres</t>
  </si>
  <si>
    <t>Laura Jimenez Torres</t>
  </si>
  <si>
    <t>Maria Jose Torre Segovia</t>
  </si>
  <si>
    <t>Andres Felipe Fuentes Torres</t>
  </si>
  <si>
    <t>Santiago Andres Fuentes Torres</t>
  </si>
  <si>
    <t>LIQUIDACION LUCRO CESANTE</t>
  </si>
  <si>
    <t>MIRNA DRAGO</t>
  </si>
  <si>
    <t>Jhon Deivis Torres Drago</t>
  </si>
  <si>
    <t>Ipc Final 16/Dic/21</t>
  </si>
  <si>
    <t>IPC inicial oct/13</t>
  </si>
  <si>
    <t>Perjuicio Moral</t>
  </si>
  <si>
    <t>Beneficiario</t>
  </si>
  <si>
    <t>Interes Moratorio- Indexacion</t>
  </si>
  <si>
    <t>CONSORCIO VÍAS DEL CARIBE</t>
  </si>
  <si>
    <t>DISTRITO DE CARTAGENA DE INDIAS</t>
  </si>
  <si>
    <t>13001‐33‐33‐008‐2017‐00006‐01</t>
  </si>
  <si>
    <t>IPC Inicial (18-07-2014)</t>
  </si>
  <si>
    <t>IPC Final (19 - 09-2022)</t>
  </si>
  <si>
    <t xml:space="preserve">Formula </t>
  </si>
  <si>
    <t xml:space="preserve">VA = VH x IPC Final/IPC Inicial </t>
  </si>
  <si>
    <t xml:space="preserve"> LUIS RICARDO GUTIÉRREZ OLASCOAGA Y OTROS </t>
  </si>
  <si>
    <t xml:space="preserve"> 13-001-33-33-008-2016-00138-03 </t>
  </si>
  <si>
    <t xml:space="preserve">CONDENA EN SMLSV </t>
  </si>
  <si>
    <t xml:space="preserve"> art. 187 CPACA</t>
  </si>
  <si>
    <t>LIQUIDACION DE LA CONDENA</t>
  </si>
  <si>
    <t>NOMBRE</t>
  </si>
  <si>
    <t>DAÑO MORAL</t>
  </si>
  <si>
    <t>CALCULO DAÑO MORAL</t>
  </si>
  <si>
    <t>LUCRO CESANTE</t>
  </si>
  <si>
    <t>TOTAL LIQUIDACION</t>
  </si>
  <si>
    <t>LUIS GUTIERREZ OLASCUAGA</t>
  </si>
  <si>
    <t>CONYUGE</t>
  </si>
  <si>
    <t>ALISON JOHANA GUTIERREZ FUENTES</t>
  </si>
  <si>
    <t>HIJA</t>
  </si>
  <si>
    <t>SEBASTIAN RICARDO GUTIERREZ FUENTES</t>
  </si>
  <si>
    <t>HIJO</t>
  </si>
  <si>
    <t>DILAN RICARDO GUTIERREZ FUENTES</t>
  </si>
  <si>
    <t>EMILY JHOANA GUTIERREZ FUENTES</t>
  </si>
  <si>
    <t>MELANIE JOANA GUTIERREZ FUENTES</t>
  </si>
  <si>
    <t>DERNA MARIA ARROYO ALVAREZ</t>
  </si>
  <si>
    <t>MADRE</t>
  </si>
  <si>
    <t>ALVARO ENRIQUE FUENTES MERLANO</t>
  </si>
  <si>
    <t>PADRE</t>
  </si>
  <si>
    <t>ALVARO RAFAEL FUENTES ARROYO</t>
  </si>
  <si>
    <t>HERMANO</t>
  </si>
  <si>
    <t>CARLOS ENRIQUE FUENTES ARROYO</t>
  </si>
  <si>
    <t>NICOLAS ELIAS FUENTES GOMEZ</t>
  </si>
  <si>
    <t>SOBRINO</t>
  </si>
  <si>
    <t>TOTAL CAPITAL LIQUIDADO</t>
  </si>
  <si>
    <t>Tasa de credito y consumo / DTF</t>
  </si>
  <si>
    <t>(Tasa de credito y consumo *1,5)</t>
  </si>
  <si>
    <t>TOTAL INT.  LIQUIDADO</t>
  </si>
  <si>
    <t>RESUMEN GENERAL LIQUIDACION</t>
  </si>
  <si>
    <t>GASTOS DEL PROCESO</t>
  </si>
  <si>
    <t>JESUS MERCADO CABALLERO Y OTROS</t>
  </si>
  <si>
    <t>13001-33-33-002-2017-0013</t>
  </si>
  <si>
    <t>SMLMV AÑO 2022</t>
  </si>
  <si>
    <t>POR CONCEPTO DE PERJUICIO MORAL</t>
  </si>
  <si>
    <t>% DE INDEMNIZACION SMLMV</t>
  </si>
  <si>
    <t>VALOR LIQUIDACION  EN $</t>
  </si>
  <si>
    <t>JESUS MERCADO CABALLERO</t>
  </si>
  <si>
    <t>HERMANO DE LA VICTIMA</t>
  </si>
  <si>
    <t>NORMA CABALLERO MERCADO</t>
  </si>
  <si>
    <t>MARLENE MERCADO CABALLERO</t>
  </si>
  <si>
    <t>MANUELA MERCADO CABALLERO</t>
  </si>
  <si>
    <t>WILLIAM MERCADO CABALLERO</t>
  </si>
  <si>
    <t>CRISTIAN ANTONIO GUERRERO MERCADO</t>
  </si>
  <si>
    <t>SOBRINO DE LA VICTIMA</t>
  </si>
  <si>
    <t>MARLON MERCADO MORALES</t>
  </si>
  <si>
    <t>YERSON ESPITIA MERCADO</t>
  </si>
  <si>
    <t>MERLIN ESPITIA MERCADO</t>
  </si>
  <si>
    <t>YOMAIRA MERCADO PEÑATE</t>
  </si>
  <si>
    <t>JOSE GREGORIO MERCADO PEÑATE</t>
  </si>
  <si>
    <t>MARLIN MERCADO GARCIA</t>
  </si>
  <si>
    <t>JESUS JAVIER MERCADO GARCIA</t>
  </si>
  <si>
    <t>INMOBILIARIA CARTAGENA LTDA</t>
  </si>
  <si>
    <t>13-001- 3333-005201400037-00</t>
  </si>
  <si>
    <t>Costas procesales 10%</t>
  </si>
  <si>
    <r>
      <rPr>
        <b/>
        <sz val="10"/>
        <rFont val="Arial Narrow"/>
        <family val="2"/>
      </rPr>
      <t xml:space="preserve">NOTA: </t>
    </r>
    <r>
      <rPr>
        <sz val="10"/>
        <rFont val="Arial Narrow"/>
        <family val="2"/>
      </rPr>
      <t xml:space="preserve">Se suspenden intereses desde 03 de septiembre de 2016 hasta el 20 de septiembre de 2016 </t>
    </r>
  </si>
  <si>
    <t>CDP 110</t>
  </si>
  <si>
    <t>AA Consorcio Vial Barú</t>
  </si>
  <si>
    <t>Saldo para Gam</t>
  </si>
  <si>
    <t>Saldo para INTERESES GAM</t>
  </si>
  <si>
    <t>Braniun SAS - Araujo y Segovia SA</t>
  </si>
  <si>
    <t xml:space="preserve">Distrito de Cartagena </t>
  </si>
  <si>
    <t>13001- 33- 33 -013 - 2016 -00278 -00</t>
  </si>
  <si>
    <t>Solicitud de cobro</t>
  </si>
  <si>
    <t>TASA DTF / T.E.A. - TASA USURA *(1,5)</t>
  </si>
  <si>
    <t>año</t>
  </si>
  <si>
    <t>mes</t>
  </si>
  <si>
    <t>01</t>
  </si>
  <si>
    <t>02</t>
  </si>
  <si>
    <t>03</t>
  </si>
  <si>
    <t>04</t>
  </si>
  <si>
    <t>05</t>
  </si>
  <si>
    <t>06</t>
  </si>
  <si>
    <t>07</t>
  </si>
  <si>
    <t>08</t>
  </si>
  <si>
    <t>09</t>
  </si>
  <si>
    <t>10</t>
  </si>
  <si>
    <t>11</t>
  </si>
  <si>
    <t>Intereses Mora</t>
  </si>
  <si>
    <t>Amira Diaz</t>
  </si>
  <si>
    <t>Distrito de Cartagena</t>
  </si>
  <si>
    <t>13001-33-33-001-2010-00295-00</t>
  </si>
  <si>
    <t>Capital adeudado (mesadas netas de julio de 2018 a diciembre de 2019)</t>
  </si>
  <si>
    <t>Intereses moratorios a 13 de diciembre de 2021</t>
  </si>
  <si>
    <t>Total Adeudado</t>
  </si>
  <si>
    <r>
      <rPr>
        <b/>
        <sz val="10"/>
        <rFont val="Arial"/>
        <family val="2"/>
      </rPr>
      <t xml:space="preserve">NOTA: </t>
    </r>
    <r>
      <rPr>
        <sz val="10"/>
        <rFont val="Arial"/>
      </rPr>
      <t>Continuacion liquidacion de intereses moratorios de acuerdo auto 24 de enero de 2022 que modifica credito.</t>
    </r>
  </si>
  <si>
    <t>Intereses moratorios a 14 de diciembre de 2021- a la fecha</t>
  </si>
  <si>
    <t>30% Apoderado</t>
  </si>
  <si>
    <t>70% demandante</t>
  </si>
  <si>
    <t>Suma total</t>
  </si>
  <si>
    <t>Beatriz Gil</t>
  </si>
  <si>
    <t>DISTRITO DE CARTAGENA/ EPA   Y ROLANDO BECHARA</t>
  </si>
  <si>
    <t>13001-2331-002007-0062203</t>
  </si>
  <si>
    <t xml:space="preserve">VALOR SMLV 2019 </t>
  </si>
  <si>
    <t>Art. CCA 176-178</t>
  </si>
  <si>
    <t>500 SMLV AÑO 2019</t>
  </si>
  <si>
    <t>Lucro cesante</t>
  </si>
  <si>
    <t>Daños Emergentes</t>
  </si>
  <si>
    <t>3° parte Distrito</t>
  </si>
  <si>
    <t>BEATRIZ GIL MACIAS</t>
  </si>
  <si>
    <t>JUAN PABLO ARISTIZABAL GIL</t>
  </si>
  <si>
    <t>JOSE DAVID ARISTIZABAL GIL</t>
  </si>
  <si>
    <t>MARTHA EUGENIA ARISTIZABAL GIL</t>
  </si>
  <si>
    <t>DIOSANA PATRICIA ARISTIZABAL GIL</t>
  </si>
  <si>
    <t>DAÑO EMERGENTE</t>
  </si>
  <si>
    <t>6 meses</t>
  </si>
  <si>
    <t>Valor Capital / 3</t>
  </si>
  <si>
    <t>Fecha Intereses</t>
  </si>
  <si>
    <t xml:space="preserve">Tasa de credito y consumo </t>
  </si>
  <si>
    <t>DETALLE PAGO A BENEFICIARIOS</t>
  </si>
  <si>
    <t>$                      81.392.031,43</t>
  </si>
  <si>
    <t>$                      40.910.213,17</t>
  </si>
  <si>
    <t>$                      39.714.475,19</t>
  </si>
  <si>
    <t>$                    241.445.670,17</t>
  </si>
  <si>
    <t>ESTADO DEL PROCESO</t>
  </si>
  <si>
    <t>PASIVOS VIGENTES</t>
  </si>
  <si>
    <t>Etiquetas de fila</t>
  </si>
  <si>
    <t xml:space="preserve">Suma de TOTAL LIQUIDACION ACTUALIZADA </t>
  </si>
  <si>
    <t>Cuenta de DEMANDANTE/ CONVOCANTE</t>
  </si>
  <si>
    <t>ACCIÓN DE GRUPO</t>
  </si>
  <si>
    <t>ACCIÓN POPULAR</t>
  </si>
  <si>
    <t xml:space="preserve">CONCILIACIÓN </t>
  </si>
  <si>
    <t>CONTROVERSIA CONTRACTUAL</t>
  </si>
  <si>
    <t>EJECUTIVO</t>
  </si>
  <si>
    <t>RESTITUCION DE INMUEBLE</t>
  </si>
  <si>
    <t>Total general</t>
  </si>
  <si>
    <t>REVISIONES</t>
  </si>
  <si>
    <t xml:space="preserve">REGISTRO DE OBLIGACIONES A CANCELAR </t>
  </si>
  <si>
    <t>art 29 ley 34 de 1996/ art 262 ley 344 de 1996</t>
  </si>
  <si>
    <t>FECHA HOY</t>
  </si>
  <si>
    <t>AÑOS</t>
  </si>
  <si>
    <t>TURNO DE PAGO</t>
  </si>
  <si>
    <t>DEMANDANTE/ CONVOCANTE</t>
  </si>
  <si>
    <t>CEDULA CIUDADANIA /NIT</t>
  </si>
  <si>
    <t>CONDENADOS</t>
  </si>
  <si>
    <t>CLASE DE  PROCESO</t>
  </si>
  <si>
    <t>N° RADICADO</t>
  </si>
  <si>
    <t>CORPORACION</t>
  </si>
  <si>
    <t>FECHA FALLO O PROVIDENCIA POR CUMPLIR</t>
  </si>
  <si>
    <t>PLAZO MAXIMO DE PAGO SEGÚN FECHA DE EJECUTORIA</t>
  </si>
  <si>
    <t>VALOR SENTENCIA CAPITAL</t>
  </si>
  <si>
    <t>COSTAS Y AGENCIAS EN DERECHO</t>
  </si>
  <si>
    <t xml:space="preserve">INTERESES Y/O INDEXACION </t>
  </si>
  <si>
    <t xml:space="preserve">TOTAL LIQUIDACION ACTUALIZADA </t>
  </si>
  <si>
    <t>MES LIQUIDACION</t>
  </si>
  <si>
    <t xml:space="preserve">OBSERVACIONES </t>
  </si>
  <si>
    <t>VIGENCIA EN QUE DEBIÒ REALIZARCE EL PAGO</t>
  </si>
  <si>
    <t>ABOGADO ASIGNADO</t>
  </si>
  <si>
    <t>LINK ANEXOS DE EXPEDIENTES</t>
  </si>
  <si>
    <t>NILDA MELENDEZ MARTÍNEZ</t>
  </si>
  <si>
    <t>33,152,309</t>
  </si>
  <si>
    <t xml:space="preserve">DISTRITO DE CARTAGENA </t>
  </si>
  <si>
    <t>PAGADO</t>
  </si>
  <si>
    <t>13-001-33-31-008-2007-00048-02</t>
  </si>
  <si>
    <t>Juzgado 8°Administrativo del Circuito/ Tribunal Adtivo de Bolívar</t>
  </si>
  <si>
    <t>ORDENA EL REINTEGRO DE LA DEMANDANTE AL CARGO QUE DESEMPEÑABA U OTRO DE IGUAL O SUPERIOR CATEGORÍA. RECONOCIMIENTO Y PAGO DE SALARIOS Y PRESTACIONES DEJADOS DE PERCIBIR DESDE SU DESVINCULACIÓN HASTA SU REINTEGRO, SIN SOLUCIÓN DE CONTINUIDAD.</t>
  </si>
  <si>
    <t>LA DEMANDANTE FUE REINTEGRADA Y SE EFECTUÓ EL PAGO DE LOS SALARIOS Y PRESTACIONES ORDENADOS, CON SUS INTERESES DE MORA. SOLO SE ADEUDA Y REQUIERE LIQUIDAR LOS CONCEPTOS DE SALUD Y PENSION ADEUDADAS DESDE 13/12/2006 HASTA REINTEGRO 19/01/2017 ,NO ACTUALIZADA - SE DEBE REALIZAR LIQUIDACION ANTE COLPENSIONES</t>
  </si>
  <si>
    <t>https://alcart-my.sharepoint.com/:f:/g/personal/conciliaciones_cartagena_gov_co/EkyrW5vVZM5Pme0RPkRFy-EBu8RYUmxO_tp992R7csb-Vg?e=iom7fF</t>
  </si>
  <si>
    <t>ADALBERTO DIAZ TRESPALACIOS</t>
  </si>
  <si>
    <t>13-001-33-31-012-2011-00182-000</t>
  </si>
  <si>
    <t>REINTEGRO Y PAGO DE SALARIOS DEJADOS DE DEVENGAR, COMO AGENTE DEL DATT, DEMÁS DERECHOS Y PRESTACIONES LABORALES</t>
  </si>
  <si>
    <t>SE EFECTUÓ REINTEGRO Y PAGO DE LOS SALARIOS DEJADOS DE PERCIBIR, QUEDANDO PENDIENTE EL PAGO DE LA DOTACIÓN DE UNIFORMES COMO AGENTE DEL DATT Y APORTES A LA SEGURIDAD SOCIAL POR SE OFICIÓ A TH                  AMC-OFI-0010906-2021 Y AL DATT</t>
  </si>
  <si>
    <t>https://alcart-my.sharepoint.com/:f:/g/personal/conciliaciones_cartagena_gov_co/EotwolJl7sZIgmukx3NxwowBYjGuh8dNZnOXh49FrfDOfQ?e=GXgpXC</t>
  </si>
  <si>
    <t>BANCOLOMBIA S.A. (ANTES CONAVI)</t>
  </si>
  <si>
    <t>TRIBUNAL SUPERIOR DE CARTAGENA- Sala Civil Flia.</t>
  </si>
  <si>
    <t>PAGO DE $470,900,355 Y CONDENA EN COSTA POR LA SUMA DE $13.900.000,00</t>
  </si>
  <si>
    <t>PROCESO ORDINARIO ES UN REIVINDICATORIO. DEMANDANTE YA INICIÓ EJECUTIVO. SOLICITAR CONSTANCIA EJECUTORIA DE 2 INSTANCIA / JUEZ ORDENA LIQUIDAR EL 6%  ANUAL NOTIFICO LA APODERADA DEL DISTRITO DE CARTAGENA, DRA MARGARITA VELEZ VASQUEZ</t>
  </si>
  <si>
    <t>https://alcart-my.sharepoint.com/:f:/g/personal/conciliaciones_cartagena_gov_co/Ev879VQSDJlDhAri9O4HQ2EB6WQ0fNbvxdfrSGSoZyd0Cw?e=Dg7UYu</t>
  </si>
  <si>
    <t>MEDICAL UNIVERSAL SOLUTIONS S.A. MUNDO S.A.</t>
  </si>
  <si>
    <t xml:space="preserve">TRIBUNAL ADMINISTRATIVO DE BOLÍVAR </t>
  </si>
  <si>
    <t>PAGO DE 311.709.724 POR CONCEPTO DE DAÑO EMERGENTE Y LUCRO CESANTE POR 9,776,416,836</t>
  </si>
  <si>
    <t xml:space="preserve">LA SENTENCIA FUE DICTADA Y MODIFICADA POR LO ORDENADO EN FALLO DE TUTELA DE FECHA 17 DE JULIO DE 2014 DEL CONSEJO DE ESTADO RADICADO: 11001-03-15-000-2014-00464-00, QUE TUTELÓ DERECHO AL DEBIDO PROCESO. (SENTENCIA DEL 8 DE MAYO DE 2015-- PAGINA 13) EXT-AMC-19-0114881 </t>
  </si>
  <si>
    <t>https://alcart-my.sharepoint.com/:f:/g/personal/conciliaciones_cartagena_gov_co/ErAOa8DX8l1EkhYQp7y6OBsB6mS0Q_OQt9p2aNzV5UCuDw?e=LdrQ96</t>
  </si>
  <si>
    <t>RICARDO MORALES TAPIAS y OTROS</t>
  </si>
  <si>
    <t>MARIA FELICIA GUARDO GUERRERO, CC33,157,278</t>
  </si>
  <si>
    <t>Juzg. 5° Adtivo del Cto; Tribunal Adtivo de Bol.; Consejo de estado, sección primera.</t>
  </si>
  <si>
    <t>ORDENESE EL PAGO EN FORMA SOLIDARIA DE LA IDEMNIZACIÒN COLECTIVA POR PERJUICIOS MORALES A LOS MIEMBROS DEL GRUPO DE DEMANDANTES EN LA SUMA DE 10 SALARIOS MINIMOS LEGALES MENSUALES VIGENTES, EL PAGO DEBERÀ REALIZARSE A 137 PROPIETARIOS.</t>
  </si>
  <si>
    <t>https://alcart-my.sharepoint.com/:f:/g/personal/conciliaciones_cartagena_gov_co/EqpBZgArcONOkb92A9UuiNMBhyJSOwN4Zi5DHFZ2xmbQyQ?e=PSMLOj</t>
  </si>
  <si>
    <t>OXÍGENO ÓPTIMO LTDA (LINDE COLOMBIA)</t>
  </si>
  <si>
    <t>JUEZ DECIMO ADMINISTRATIVO DEL CIRCUITO DE CARTAGENA</t>
  </si>
  <si>
    <t>CONDENA AL DISTRITO Y CONCESIÒN VIAL DE CARTAGENA ADMINISTRATIVA Y SOLIDARIAMENTE RESPONSABLES DE LOS DAÑOS CAUSADOS A LAS INSTALACIONES DE OXÌGENO ÒPTIMO  LTDA, CON OCASIÒN DE LA INUNDACIÒN PRESENTADA EN SUS INSTALACIONES A MEDIADOS DEL AÑO 2001, DERIVADAS DE LA FALTA DE CONSTRUCCIÒN DEL CANAL DE EVACUACIÒN DE AGUAS LLÙVIAS. PAGO DE $12.179.960 DEBIDAMENTE INDEXADOS. INTERESES DE ACUERDO AL ARTÌCULO 177 DEL CCA</t>
  </si>
  <si>
    <t xml:space="preserve"> 16/11/2018</t>
  </si>
  <si>
    <r>
      <t>LA EJECUTORIA DE LA SENTENCIA ES 16/05/2017, DE ACUERDO A LO ESGRIMIDO EN AUTO DE FECHA 17 DE OCTUBRE DE 2018, QUE ESTUDIÒ SOLICITUD DE MANDAMIENTO DE PAGO. ASÌ MISMO SE DEBE LIQUIDAR TOMANDO COMO BASE EL 50% DE LA CONDENA, TODA VEZ QUE CONCESIÒN VIAL PAGÒ SU 50% INDEXADO</t>
    </r>
    <r>
      <rPr>
        <b/>
        <sz val="8"/>
        <color rgb="FF000000"/>
        <rFont val="Verdana"/>
        <family val="2"/>
      </rPr>
      <t xml:space="preserve"> ( VER CONTRATO DE TRANSACCIÒN) </t>
    </r>
    <r>
      <rPr>
        <sz val="8"/>
        <color rgb="FF000000"/>
        <rFont val="Verdana"/>
        <family val="2"/>
      </rPr>
      <t>LAS COSTAS (AGENCIAS EN DERECHO), FUERON TASADAS EN AUTO DE FECHA 22 DE MAYO DE 2018 EN CUANTÌA DE $1826,994</t>
    </r>
  </si>
  <si>
    <t>https://alcart-my.sharepoint.com/:f:/g/personal/conciliaciones_cartagena_gov_co/EoXFyNNCXk5Nl8GJFEPSvbYB06_XwTYwZRz3vNPM-mlULw?e=gHdFr4</t>
  </si>
  <si>
    <t>RUBEN DARIO VASQUEZ URQUIJO</t>
  </si>
  <si>
    <t>13-001-33-31-012-2012-00027-00</t>
  </si>
  <si>
    <t>JUZGADO 9ª ADMINISTRATIVO DEL CIRCUITO</t>
  </si>
  <si>
    <t>RECONOCIMIENTO Y PAGOS DE SALARIOS Y PRESTACIONES SOCIALES CAUSADOS DURANTE EL PERIODO QUE ESTUVO DESVINCULADO EL DEMANDANTE, SIN SOLUCIÒN DE CONTINUIDAD</t>
  </si>
  <si>
    <r>
      <t xml:space="preserve">EL NOMBRAMIENTO EN PROVISIONALIDAD DEL DEMANDANTE, SE DIÒ POR TERMINADO MEDIANTE DECRETO No. 0738 DEL 03 DE JUNIO DE 2011, HASTA EL 13 DE JUNIO DE 2012 CUANDO FUE NOMBRADO NUEVAMENTE EN PROVISIONALIDAD. AMC-OFI-0049567-2021  dirigido a la SED.  </t>
    </r>
    <r>
      <rPr>
        <b/>
        <sz val="8"/>
        <rFont val="Verdana"/>
        <family val="2"/>
      </rPr>
      <t>FUE INICIADO PROCESO EJECUTIVO (AUTO DEL 5 DE MARZO DE 2019) Y SE DICTÒ AUTO ,  DE SEGUIR ADELANTE  LA EJECUCIÒN DE FECHA 29 DE JULIO DE 2019.</t>
    </r>
  </si>
  <si>
    <t>https://alcart-my.sharepoint.com/:f:/g/personal/conciliaciones_cartagena_gov_co/EoiUnCwyv7RPp1SMLlFC-MYBicLbG_J_S06qV8qRYA9Mvg?e=JVDEVr</t>
  </si>
  <si>
    <t>MONICA ESTHER AGAMEZ ANILLO</t>
  </si>
  <si>
    <t>13-001-33-33-002-2015-00076-00</t>
  </si>
  <si>
    <t xml:space="preserve">Juzg. 2° Adtivo del Cto./TRIBUNAL ADMINISTRATIVO DE BOLIVAR </t>
  </si>
  <si>
    <t>DECLRAR NO PROBADA LA EXCEPCION DE CADUCIDAD FORMULADA POR EL EJECUTADO EN EL PRESENTE PROCESO., ORDENESE SEGUIR ADELANTE CON LA EJECUCION/INDEXACION  $11,265,969, SE TUVO EN CUENTA LO CONSAGRADO EN EL ART, 4 DE LEY 80 DE  1993, MAS INTERESES MORATORIOS</t>
  </si>
  <si>
    <t xml:space="preserve">11 FEB DE 2020-HASTA 15-09-2016 $9.930.960 (INTERESES MORATORIOS)  ARTICULO 446 CGP CODIGO GENERAL DEL PROCESO; DE ACUERDO A LA LIQUIDACION DEL CREDITO APROBADA POR EL DESPACHO DE CONOCIMIENTO SE INDEXA </t>
  </si>
  <si>
    <t>https://alcart-my.sharepoint.com/:f:/g/personal/conciliaciones_cartagena_gov_co/EvH-OjzH6l1FiCyejM2plOwByCfxSLB_xLBQj_YqnIpvwQ?e=wUtKZk</t>
  </si>
  <si>
    <t>EDGAR MEZA CANABAL</t>
  </si>
  <si>
    <t>13001-33-33-012-2012-00176-01</t>
  </si>
  <si>
    <t>Juzgado 12° Adtivo del Cto/ Tribunal Superior de Bol.</t>
  </si>
  <si>
    <t>NO HAY SOLICITUD DE PAGO (SOLICITAR APORTES PARA VERIFICAR PAGO DE SUS APORTES Y DEVOLVERLE PRESTACIONES PENSION Y SALUD QUE DEBIÓ TRASLADAR 01-01-2001 AL 31-12-2002, Y DEL 1-03-2003 AL 15-05-2004 CONFORME HONORARIOS OPS</t>
  </si>
  <si>
    <t xml:space="preserve"> 14/08/2017</t>
  </si>
  <si>
    <t xml:space="preserve">Resumen certificación talento humano: 
•	Del 01 de Enero de 2001 al 31 de Diciembre de 2001- 457.783 
•	Del 01 de Enero de 2002 al 31 de Diciembre de 2002- 489.828 
•	Del 01 de Marzo de 2003 al 31 de Diciembre de 2003 - 489.828 
•	Del 01 de Enero de 2004 al 15 de Mayo de 2004 - 489.828 </t>
  </si>
  <si>
    <t>https://alcart-my.sharepoint.com/:f:/g/personal/conciliaciones_cartagena_gov_co/Eh57lEwA6UtJo56lzNVUVYQBXHb9YPL53HiKDGbcQcbvWQ?e=iatvL6</t>
  </si>
  <si>
    <t>JOSE GUILLERMO MADERO NUÑEZ</t>
  </si>
  <si>
    <t>13-001-33-31-702-2013-00019-01</t>
  </si>
  <si>
    <t>Juzg. 10° Adtivo del Cto/ Tribunal Adtivo de Bol.</t>
  </si>
  <si>
    <t>RECONOCIMIENTO  DE CONTRATO REALIDAD , CONDENA A REPARACION DEL DAÑO Y EL PAGO DE PRESTACIONES SOCIALES, REINTEGRO Y LIQUIDACION DE LAS SUMAS DINERARIAS A FAVOR DEL DEMANDANTE</t>
  </si>
  <si>
    <t>OFICIO AMC OFI 0040524-2021 REMITIDA A BOG- RESPONDEN DEL INPEC QUE NO SE EVIDENCIA CONTRATO ALGUNO Y SE TRASLADÓ A TH DEL INPEC PARA BUSCAR SOLUCIONAR</t>
  </si>
  <si>
    <t>https://alcart-my.sharepoint.com/:f:/g/personal/conciliaciones_cartagena_gov_co/Emn4rYtytBNMl80b5pD4qWUBFC714DxraKv4PsnMcgS3ag?e=xQSZwl</t>
  </si>
  <si>
    <t>BERTHILDA TEHERÁN SIMARRA</t>
  </si>
  <si>
    <t>22804754/ APODERADO RAMONVALLEJO CC73084383</t>
  </si>
  <si>
    <t>DISTRITO DE CARTAGENA/ UNIÓN TEMPORAL VIÑA &amp; RUSSY COMPAÑÍA LTDA</t>
  </si>
  <si>
    <t>Consejo de Estado</t>
  </si>
  <si>
    <t>CONDENAR AL DISTRITO DE CARTAGENA Y A LOS INTEGRANTES DE LA UNIÒN TEMPORAL VIÑAS&amp; RUSSI- JAIME OROZCO VELASCO- PROFESIONALES ASOCIADOS LTDA,  EN FORMA SOLIDARIA A PAGAR A LA DEMANDANTE, UNA INDEMNIZACIÒN EQUIVALENTE A 100 SMMLV</t>
  </si>
  <si>
    <t>https://alcart-my.sharepoint.com/:f:/g/personal/conciliaciones_cartagena_gov_co/Ev862RdVondEnWA3UDgFIYcBtMO-s2Q-xG_5e47cCvZTOg?e=NACMDT</t>
  </si>
  <si>
    <t>800172188-5</t>
  </si>
  <si>
    <t>Juzgado 4° Civil del Cto de cartagena</t>
  </si>
  <si>
    <t>EJECUCION DE LAS SUMAS DE DINERO Y ELABORACION DE LIQUIDACION DE CREDITO, CONDENA EN COSTAS  DE PRIMER GRADO DEL 50%</t>
  </si>
  <si>
    <t xml:space="preserve"> 5/04/2018</t>
  </si>
  <si>
    <t>https://alcart-my.sharepoint.com/:f:/g/personal/conciliaciones_cartagena_gov_co/EkpJo_IOa-RJr9pYFG0R_8EBnZ3TgTBq1UCcNEpP_yZYzg?e=RvagMk</t>
  </si>
  <si>
    <t>13-001-33-31-001-2011-000267-02</t>
  </si>
  <si>
    <t>Juzgado 9° Adtivo del Cto/ Tribunal Adtivo de Bol.</t>
  </si>
  <si>
    <t>PAGO DE SALARIOS, PRESTACIONES SOCIALES</t>
  </si>
  <si>
    <t xml:space="preserve"> 22/02/2019</t>
  </si>
  <si>
    <t>https://alcart-my.sharepoint.com/:f:/g/personal/conciliaciones_cartagena_gov_co/Eqo0v785xvtJs83gE7NV7fcBU-8XcH2NmlM1RJ8_rxreUg?e=utezPg</t>
  </si>
  <si>
    <t>LUIS CARLOS JULIO NARVÁEZ</t>
  </si>
  <si>
    <t>73144505/ APODERADA YUNIS ALMANZA45472049</t>
  </si>
  <si>
    <t>13-001-23-31-002-2001-01775-00</t>
  </si>
  <si>
    <t>Tribunal Adtivo de Bol.</t>
  </si>
  <si>
    <t xml:space="preserve">Reconocer y pagar la diferencia de salario percibido por el servicio social obligatorio y salario devengado como medico general y la diferencia que se generen de los valores pagados por concetos de prestaciones sociales </t>
  </si>
  <si>
    <t>AMC-OFI- 0002116-2021</t>
  </si>
  <si>
    <t>https://alcart-my.sharepoint.com/:f:/g/personal/conciliaciones_cartagena_gov_co/EjzQc1ziX9hFm7iEeNSPg9MBuH-L9W0lMbGeEMwNva1HVw?e=NCbBAG</t>
  </si>
  <si>
    <t>KLAUSS NAEDER PÉREZ</t>
  </si>
  <si>
    <t>13-001-23-31-000-2003-00777-00</t>
  </si>
  <si>
    <t>JUZGADO 10° ADTIVO DEL CTO</t>
  </si>
  <si>
    <t xml:space="preserve">REINTEGRO AL CARGO DE TECNICO DE SANAMIENTO GRADO 10, PAGO DE LOS SUELDOS, SUBSIDIOS, PRIMAS, BONIFICACIONES Y VACACIONES; SE DEBE DESCONTAR INGRESOS PERCIBIDOS DE OTRA RELACION LABORAL </t>
  </si>
  <si>
    <t>13/06/2016, CONFIRMADA POR EL TRIBUNAL ADTIVO  18/08/2017</t>
  </si>
  <si>
    <t xml:space="preserve"> 11/03/2019</t>
  </si>
  <si>
    <t>AMC-OFI-0101574-2020-TECNICO SANEAMIENTO COD448 GRADO 10 DADIS</t>
  </si>
  <si>
    <t>https://alcart-my.sharepoint.com/:f:/g/personal/conciliaciones_cartagena_gov_co/EkQscmTbtnJOt86jjIY_p4gB1nEmb0X9t9aEEPR78witQw?e=UuDzuT</t>
  </si>
  <si>
    <t>CONDENAR AL DISTRITO DE CARTAGENA A REINTEGRAR A LA ACTORA, AL CARGO QUE VENIA DESEMPEÑANDO, ASI COMO APAGARLE EL EQUIVALENTE A LAS PRESTACIONES Y SALARIOS DEJADOS DE PERCIBIR HASTA EL MOMENTO DE LA SENTENCIA ASI COMO EL PAGO DE LOS APORTES POR ESTE PERIODO A LAS ENTIDADES DE SEGURIDAD SOCIAL</t>
  </si>
  <si>
    <t>SOLICITAR FECHA DE EJCUTORIA</t>
  </si>
  <si>
    <t>FRANCIA EVAN PÉREZ</t>
  </si>
  <si>
    <t>13 001 23 31 003 2003 1316 00</t>
  </si>
  <si>
    <t>CONSEJO DE ESTADO</t>
  </si>
  <si>
    <t xml:space="preserve">CONDENAR  PATRIMONIAL RESPONSABLE POR LOS DAÑOS SIFRIDOS A LA SEÑORA FANCIA EVAN PEREZ, PAGAR LA SUMA DE $ 243.363.839 </t>
  </si>
  <si>
    <t>Se Liquida a Marzo 2020;  Por Lucro cesante, Reparacion daños a la salud y los 5 miembros de su famila.</t>
  </si>
  <si>
    <t>https://alcart-my.sharepoint.com/:f:/g/personal/conciliaciones_cartagena_gov_co/EqzhrCD8axhPn6FDOlK6Cv4BbFDySOYLeBNcfb5VihQClA?e=zMTz51</t>
  </si>
  <si>
    <t>MONICA MERCHÁN ULLOA</t>
  </si>
  <si>
    <t>Juzgado 6° Adtivo del Circuito</t>
  </si>
  <si>
    <t>REINTEGRO Y PAGAR LOS SALARIOS Y PRESTACIONES DEJADAS DE RECIBIR, TECNICO C 314/G15</t>
  </si>
  <si>
    <t>AMC-OFI 0101574-2020</t>
  </si>
  <si>
    <t>https://alcart-my.sharepoint.com/:f:/g/personal/conciliaciones_cartagena_gov_co/EtFptCLLgdFIsuSvF_aI2eEBfBmUBGrARyJ_cvvDhWUIyA?e=fDKiMJ</t>
  </si>
  <si>
    <t>VIGILANCIA Y SEGURIDAD VISE</t>
  </si>
  <si>
    <t>900398140-6/APODERADO IRINA SAKER 45492373</t>
  </si>
  <si>
    <t>13-001-33-33-005-2018-00061-00</t>
  </si>
  <si>
    <t>Juzgado 5° Administrativo del circuito</t>
  </si>
  <si>
    <t>EL DISTRITO DE CARTAGENA PROPUSO LA SIGUIENTE FORMULA DE ACUERDO PAGAR LA SUMA DE $ 771.105.209 M/C, EN UNA SOLA CUOTA APARTIR DEL REGISTRO</t>
  </si>
  <si>
    <t>https://alcart-my.sharepoint.com/:f:/g/personal/conciliaciones_cartagena_gov_co/EsbWeEji64JFjMhPsFdkiFUBabFv8_AeVgLa2WFy1JEqwQ?e=nG89Em</t>
  </si>
  <si>
    <t>ROGER MARTINEZ MURILLO Y OTROS</t>
  </si>
  <si>
    <t>73,135,161/ otros beneficiarios/ Luz Murillo CC64,523,538/ Yeisi CC, 1,047448,691, Roger CC1,047430157, Jania Martinez Peñalosa CC 1047411830 / Apoderado Cynthia Ferrer CC 45524843</t>
  </si>
  <si>
    <t xml:space="preserve"> 14/05/2020</t>
  </si>
  <si>
    <t>https://alcart-my.sharepoint.com/:f:/g/personal/conciliaciones_cartagena_gov_co/EoWvZf3Dz6ZIvQlxTO6MJ-cBltF_ohKJl816xoVc-yebMQ?e=3Pomm1</t>
  </si>
  <si>
    <t>NEIL ALEXANDER CARRASQUILA MADERO</t>
  </si>
  <si>
    <t>13-001-33-33-011-2015-0006-00</t>
  </si>
  <si>
    <t xml:space="preserve"> DECIMO PRIMERO ADMINISTRATIVO DEL CIRCUITO DE CARTAGENA</t>
  </si>
  <si>
    <t>PAGO DE PRESTACIONES SOCIALES  DE 17 AGOSTO DE 2004 HASTA 31 DIC 2013- SALARIO BASE VR MENSUAL DE ORDENES DE SERV</t>
  </si>
  <si>
    <t>AMC-OFI- 0006129-2021       Oficio Th; MENSAJERO APOYO A LA GESTION POR OPS A LA SEC HACIENDA- por medio de ofici 0045192-2021 se envia a Sec hacienda</t>
  </si>
  <si>
    <t>https://alcart-my.sharepoint.com/:f:/g/personal/conciliaciones_cartagena_gov_co/En1p_QIK4QNKrvoTAvBfVxoBtvatP2Pz1N_FqIM5FXTdCg?e=H82Hp7</t>
  </si>
  <si>
    <t xml:space="preserve">DAMASO BELLIDO GONZALEZ </t>
  </si>
  <si>
    <t xml:space="preserve">JUZGADO CUARTO ADMINITRATIVO DEL CIRCUITO  DE CARTAGENA </t>
  </si>
  <si>
    <t xml:space="preserve">PAGO DE UN DIA DE SALARIO POR CADA DIA DE MORA EN EL PAGO DE SUS CESANTIAS DEFINITIVAS </t>
  </si>
  <si>
    <t>SANCION MORATORIA FALTA DE CONSIGNACION OPORTUNA DE CESANTIASAMC-OFI-0015979-2021-OFICIO REDIRECCIONADO A SED(0044556-2021)</t>
  </si>
  <si>
    <t>https://alcart-my.sharepoint.com/:f:/g/personal/conciliaciones_cartagena_gov_co/EgaRjUy5ZoJDoeP-CVgLpfsBKe1u9MtL9PoEpA2-yfh3rA?e=QHMl1s</t>
  </si>
  <si>
    <t>ANTONIO SOTELO GUZMAN SAS</t>
  </si>
  <si>
    <t>9111625/ APODERADO SERGIO GIRADO CC73,198,414</t>
  </si>
  <si>
    <t>13001-33-33-007-201700297-00</t>
  </si>
  <si>
    <t>JUZGADO SEPTIMO ADMINISTRATIVO DEL CIRCUITO DE CARTAGENA</t>
  </si>
  <si>
    <t>APROBO LA LIQUIDACION PRESENTADA POR EL DEMANDANTE Y SE LIQUIDAN INTERESES.</t>
  </si>
  <si>
    <t>AMC-OFI-19-0079842 EN REVISIÒN DE LA VERACIDAD DE LA OBLIGACIÒN. EN ESPERA DE INFORMACIÒN POR PARTE DEL ABOGADO ENCARGADO</t>
  </si>
  <si>
    <t>https://alcart-my.sharepoint.com/:f:/g/personal/conciliaciones_cartagena_gov_co/EmWuvpfhmLNEqT6-VhkrsA4BBzyvpZFnGZi3ZZ5gatbTYA?e=p7aN0m</t>
  </si>
  <si>
    <t>JUEZ 8 ADMINISTRATIVO</t>
  </si>
  <si>
    <t>CONCILIACION: SE COMPROMETE AL PAGO DE $216.778.388 POR CONCEPTO DE OCUPACION IRREGULAR</t>
  </si>
  <si>
    <t>https://alcart-my.sharepoint.com/:f:/g/personal/conciliaciones_cartagena_gov_co/Ep3R-8EBZv5GpapjItbsNa0BRSbAdvhjs8H0rzl6XVdFDQ?e=DJXKgU</t>
  </si>
  <si>
    <t>FRANCISCO BARRIOS AYOLA/ARAU8JO &amp; SEGOVIA</t>
  </si>
  <si>
    <t>JUZGADO TERCERO DE EJECUCION CIVIL MUNICIPAL</t>
  </si>
  <si>
    <t xml:space="preserve">RESTITUCION DEL INMUEBLE Y CONDENA EN COSTA POR VALOR DE $1.200.000- </t>
  </si>
  <si>
    <t>https://alcart-my.sharepoint.com/:f:/g/personal/conciliaciones_cartagena_gov_co/EtY-58MXHg1Euulp-tz3kPwBpy02MYFyvp2TlXk-Lz7YgQ?e=I4Q7LX</t>
  </si>
  <si>
    <t>MARIA ELENA ZULUGA BOTERO</t>
  </si>
  <si>
    <t>13-001-33-33-011-2019-00067-00</t>
  </si>
  <si>
    <t xml:space="preserve">JUZGADO PRIMERO ADMINISTRATIVO ORAL DEL CIRCUITO </t>
  </si>
  <si>
    <t>CONCILIACION: PAGO DE LA SUMA DE $183.665.609,50</t>
  </si>
  <si>
    <t>https://alcart-my.sharepoint.com/:f:/g/personal/conciliaciones_cartagena_gov_co/EqeaMhLDsXBNk6ly2F4BFNsBximpU5Prm4tAkDkTvs51aw?e=jibCM0</t>
  </si>
  <si>
    <t>PASTORAL SOCIAL ARQUIDIOCESIS DE CARTAGENA</t>
  </si>
  <si>
    <t>JUZGADO 13 ADMINISTRATIVO DEL CIRCUITO DE CARTAGENA</t>
  </si>
  <si>
    <t>EJECUCION POR SUMAS DE $24.250.050 MAS  INTERESES MORATORIOS</t>
  </si>
  <si>
    <t>https://alcart-my.sharepoint.com/:f:/g/personal/conciliaciones_cartagena_gov_co/EhC3jxHTkANLqZDBXib9OKQB3kxe9uQQNUUBPjA7iKV0GA?e=C52ilX</t>
  </si>
  <si>
    <t>RICARDO  LEON GOMEZ GOMEZ</t>
  </si>
  <si>
    <t>3608254 / APODERADA LINA DE LA OSA CC 1,047,411,558</t>
  </si>
  <si>
    <t xml:space="preserve">JUZGADO DECIMO TERCERO ADMINISTRATIVO DEL CIRCUITO DE CARTAGENA </t>
  </si>
  <si>
    <t xml:space="preserve">PAGAR DEMANDANTE $34.393.673 POR INCUMPLIMIENTO CONTRACTUAL </t>
  </si>
  <si>
    <t>https://alcart-my.sharepoint.com/:f:/g/personal/conciliaciones_cartagena_gov_co/El9159iuStJLpZrMsOt8OLkBuG-gk6jMmHvsRtqBteIngg?e=nh1pam</t>
  </si>
  <si>
    <t>LISCENIA TORRES RUEDA</t>
  </si>
  <si>
    <t>JUZAGADO DECIMO ADMINISTRATIVO DEL CIRCUITO DE CARTAGENA</t>
  </si>
  <si>
    <t>CONCILIACION MAS INTERESES</t>
  </si>
  <si>
    <t>https://alcart-my.sharepoint.com/:f:/g/personal/conciliaciones_cartagena_gov_co/EsxwGtYG_xlEveO3eU--rJABr1EjV67s8SIPcBixxseXXA?e=a0bOoH</t>
  </si>
  <si>
    <t>45503009/ APODERADA YUNIS ALMANZA CC45,472049</t>
  </si>
  <si>
    <t>TRIBUNAL</t>
  </si>
  <si>
    <t xml:space="preserve">PAGO DE SALARIO, DIFERENCIAS SALARIALES- DENTRO DEL PERIODO COMPRENDIDO DEL 14 DE DICIEMBRE DE 1995 Y 14 DE FEBRERO DE 1997 Y DEMAS PRESTACIONES </t>
  </si>
  <si>
    <t xml:space="preserve"> 27/01/2021</t>
  </si>
  <si>
    <t>AMC-OFI-0101574-2020 LA LIQUIDACION APORTADA POR ABOGADA ES DE $1.147.010.190 MEDICO DADIS</t>
  </si>
  <si>
    <t>https://alcart-my.sharepoint.com/:f:/g/personal/conciliaciones_cartagena_gov_co/Ev3WpVfLWKRNrPQi-cAcpM8BLYpREC4orBB9F3LZ_9Dqiw?e=kjECfO</t>
  </si>
  <si>
    <t>YAMAL ANTONIO AFIUNI LOPEZ</t>
  </si>
  <si>
    <t>TRIBUNAL ADTVO</t>
  </si>
  <si>
    <t>PAGO DE SALARIO  POR UN MEDICO GENERAL DEL PERIODO COMPRENDIDO DEL 14 DICIEMBRE DE 1995 AL 9 DE ENERO DE 1997 Y DEMAS PRESTACIONES SOCIALES</t>
  </si>
  <si>
    <t xml:space="preserve"> 12/02/2020</t>
  </si>
  <si>
    <t>MEDICO DADIS AMC OFI 0002116-2021/ VALOR LIQUIDADO POR LA ABOGADA</t>
  </si>
  <si>
    <t>https://alcart-my.sharepoint.com/:f:/g/personal/conciliaciones_cartagena_gov_co/EkxrG5iVyp5PkZ8KSaeB2YgBHfY2lA_AvQlO5wHi8QwHsQ?e=maVMmp</t>
  </si>
  <si>
    <t xml:space="preserve">VILMA ORTIZ LEON </t>
  </si>
  <si>
    <t>RECONOCER, LIQUIDAR Y PAGAR PRIMA DE ALEMENTACION, VACACIONES, DOTACION DE CALZADOS Y VESTIDOS, CESANTÍAS, INTERESES DE CESANTÍAS, TOMANDO COMO BASE PARA DICA LIQUIDACIÓN, EL VALOR PACTADO POR CONCEPTO DE HONORARIOS EN LOS CONTRATOS CELEBRADOS</t>
  </si>
  <si>
    <t xml:space="preserve"> 22/02/2016</t>
  </si>
  <si>
    <t>EN PROCESO DE PAGO</t>
  </si>
  <si>
    <t>https://alcart-my.sharepoint.com/:f:/g/personal/conciliaciones_cartagena_gov_co/EpCcOXxDTi1FicVYcOtbDDsBb5JpRaTmaiWiaF28jqLhdw?e=VVoLiP</t>
  </si>
  <si>
    <t>CÓDIGO CONTENCISO ADMINISTRATIVO EL 24/11/2017</t>
  </si>
  <si>
    <t>AMIRA ROSA DIAZ MARRUGO</t>
  </si>
  <si>
    <t>DISTRITO CARTAGENA</t>
  </si>
  <si>
    <t>JUZGADO PRIMERO ADMINISTRATIVO DEL CIRCUITO DE CARTAGENA</t>
  </si>
  <si>
    <t>Alvaro Esmeral</t>
  </si>
  <si>
    <t>RICHARD IVÁN BELTRÁN GARCÍA</t>
  </si>
  <si>
    <t>Juzg. 3° Adtivo del Cto.</t>
  </si>
  <si>
    <t xml:space="preserve">SEGUIR ADELANTE CON LA EJECUCION DE CONFORMIDAD CON EL MANDAMIENTO </t>
  </si>
  <si>
    <t>AMC OFI 0045828-2023SOLICITUD DE CONSTANCIA DE EJECUTORIA Y EXPEDIENTE</t>
  </si>
  <si>
    <t>Tachi Alvarino</t>
  </si>
  <si>
    <t>https://alcart-my.sharepoint.com/:f:/g/personal/conciliaciones_cartagena_gov_co/EjOA-JtZVBNDjLsrXh5o_JkB4SpvEHJS2o996EXHzm6gTQ?e=QRdofC</t>
  </si>
  <si>
    <t>WILLY RAFAEL POLO</t>
  </si>
  <si>
    <t>13-001-33-31-008-2010-00143-01</t>
  </si>
  <si>
    <t>Juzgado 6° Adtivo del Circuito/ Conformada Tribunal Adtivo Bol.</t>
  </si>
  <si>
    <t xml:space="preserve">SEGUIR ADELANTE CON LA EJECUCION PARA EL PAGO DE LA SUMA DE $12.149.171 POR CONCEPTO DE TRABAJOS ADICIONALES AL CONTRATO </t>
  </si>
  <si>
    <r>
      <t xml:space="preserve">Oficio AMC-OFI-0050849-2023 Se remitio correo el dia 28/03/2023 a J08 adm para que nos compartan link, auto de
obedecer y cumplir y constancia de ejecutoria---Solicitar la liquidación de costas primera y segunda instancia 
Fijar agencias en derecho y no tiene abogado de defensa asignado.
Me toca enviar oficio solicitando todo eso. Yo te informé que no podiamos pagarlo de una porque eso toma tiempo./////////Revisando el expediente digital anexo al one drive de conciliaciones, se observa, que
en el presente caso existe proceso ejecutivo de segunda instancia. En el que se
confirmo la sentencia de primera instancia y se condena en costas al Distrito.
Queda a la espera de constancia de ejecutoria.
Hay que revisar el tema de una orden de embargo excpcionada por el Distrito, sin
embargo no aparece en el expediente, por lo que se requiere revisar si en ese proceso
efectivamente esta el embargo aplicado.
Se remitio correo el dia 28/03/2023 a J08 adm para que nos compartan link, auto de
obedecer y cumplir y constancia de ejecutoria///Juzg. 8 libró mandamiento, en virtud de nuevo reparto conoció Juzgado 6, que dictó auto de seguir adelante con la ejecución.  SE SUMARON LAS COSTAS DE LA PRIMERA INSTANCIA (10% DEL TOTAL DE LA OBLIGACIÒN) + LAS COSTAS DE SEGUNDA INSTANCIA ($812,975).  </t>
    </r>
    <r>
      <rPr>
        <b/>
        <sz val="8"/>
        <color rgb="FF000000"/>
        <rFont val="Verdana"/>
        <family val="2"/>
      </rPr>
      <t>NO SE INCLUYE EN SANEAMIENTO, DEBIDO A QUE SE ENCUENTRA PENDIENTE LA LIQUIDACIÒN Y APROBACIÒN DEL CRÈDITO (INCIDENTE DE LIQUIDACIÒN</t>
    </r>
    <r>
      <rPr>
        <sz val="8"/>
        <color rgb="FF000000"/>
        <rFont val="Verdana"/>
        <family val="2"/>
      </rPr>
      <t>)</t>
    </r>
  </si>
  <si>
    <t>Mayra Herrera</t>
  </si>
  <si>
    <t>https://alcart-my.sharepoint.com/:f:/g/personal/conciliaciones_cartagena_gov_co/EhBak2MQ3oNKoPU4CRRup9gBv7AuRwLdiGyHeEIyxPv1aw?e=ZcAPcd</t>
  </si>
  <si>
    <t>LILIA ISABEL CUETO PÉREZ</t>
  </si>
  <si>
    <t>TRIBUNAL ADTIVO DE BOL.</t>
  </si>
  <si>
    <t>PAGO DE PORCENTAJES DE COTIZACIÒN CORRESPONDIENTES A PENSIÒN Y SALUD QUE DEBIÒ TRASLADAR A LOS FONDOS CORRESPONDIENTES DURANTE TODO EL TIEMPO QUE ESTUVO VINCULADA, ESTO ES, DESDE EL 1 DE ENERO DE 2001 AL 15 DE MAYO DE 2004, CONFORME A LOS HONORARIOS PACTADOS EN LOS CONTRATOS.</t>
  </si>
  <si>
    <t>SIN SOLICITUD DE COBRO- POR PARTE DE DEMANDANTE O SU APODERADO</t>
  </si>
  <si>
    <t>CC23,190,939, FALTAN HONORARIOS 2002 Y SOLICITAR AL FONDO DE PENSIONES CORRESPONDIENTES EL PAGO Y SI EFECTIVAMENTE CANCELÓ EN ESE PERIODO LAS COTIZACIONES CORRESPONDIENTES POR LA DEMANDANTE.</t>
  </si>
  <si>
    <t>https://alcart-my.sharepoint.com/:f:/g/personal/conciliaciones_cartagena_gov_co/EkxsXqgG3PNLjO4vBASIB1MBA1gJ-3cn976MHD4PBCyN5Q?e=LlP4Kl</t>
  </si>
  <si>
    <t>900.126.996-7</t>
  </si>
  <si>
    <t>PAGO DE $320.833.746 POR CONCEPTO DE PERJUICIOS OCASIONADOS POR ERRORES DE RIEGUE POR DISMINUCIONES DE ÀREAS GRABADAS  Y 1.862.657,397  POR PERJUICIOS OCASIONADOS POR ERRORES DE RIEGUE POR CÀMBIOS DE NOMBRES DE SUJETO PASIVO DE LA CONTRIBUCIÒN DE VALORIZACIÒN; 813,674,740 POR DISMINUCIÒN DE LAS CONTRIBUCIONES DE VALORIZACIÒN POR LA APLICACIÒN DEL 15% DEL DESCUENTO DEL ACUERDO 010 DE 2005 Y 1.096.434.833 DISMINUCION DE LAS CONTRIBUCIONES DE VALORAZION Y CONDENA EN COSTAS DEL 75% DE LOS GASTOS QUE LE CORRESONDIÒ SUMIR A LA PARTE CONVOCANTE Y LA DEVOLUCIÒN DE 184,298,262,52 POR CONCEPTO DE VALOR FALTANTE PARA CUBRIR LA TOTALIDAD DE LAS SUMAS FIJADAS POR CONCEPTO DE HONORARIOS FIJADOS A LOS ÀRBITROS , SECRETARIOS, GASTOS DE ADMINISTRACIÒN, PROTOCOLIZACIÒN, QUE NO FUERON PAGADOS POR EL DISTRTO DE CARTAGENA. AGENCIAS EN DERECHO POR VALOR DE 16,747,796</t>
  </si>
  <si>
    <t xml:space="preserve"> 01/04/2017</t>
  </si>
  <si>
    <t>REALIZAR LIQUIDACIÒN TENIENDO EN UENTA LOS VALORES ESTABLECIDAOS EN LA CONDENA Y LOS HALLADOS RESPECTO DE COSTAS Y AGENCIAS EN DERECHOS</t>
  </si>
  <si>
    <t>https://alcart-my.sharepoint.com/:f:/g/personal/pagodesentencias_cartagena_gov_co/EsJuWgOKh_1OqnXKiKKlekUBui-w7piPBALHQjKYMnmWGQ?e=h2Mj4D</t>
  </si>
  <si>
    <t>CONSUELO GÓMEZ DE MEJÍA</t>
  </si>
  <si>
    <t>13 001 23 31 000 1996 11619 01</t>
  </si>
  <si>
    <t>CONDENA EN ABSTRACTO POR CONCEPTO DE PERJUICIOS MATERIALES EN LA MODALIDAD DE LUCRO CESANTE, PERJUICIO QUE DEBERÀ LIQUIDARSE MEDIANTE TRÀMITE INCIDENTAL DE ACUERDO A LO PREVISTO EN EL ARTÌCULO 178 DEL CCA y 137 DEL CPC, EL CUAL DEBERÀ PROMOVERSE POR EL INTERESADO DENTRO DE LOS 60 DIAS SIGUIENTES A LA EJECUTORIA DE LA PROVIDENCIA.</t>
  </si>
  <si>
    <t>NO LIQUIDADO</t>
  </si>
  <si>
    <r>
      <t xml:space="preserve">Se solicito mediante corro electronico el 24/03/2023 link del expediente, verificandose
que se encuentra pendiente resolver incidente de condena en abstracto. Se profio auto
solicitando las pruebas a IGAC, sin que se haya suministrado respuesta a la fecha...//////INCIDENTE DE LIQUIDACION DESDE 2021/// LA CONDENA FUE DICTADA EN ABSTRACTO DEBIDO A QUE SE DESCONOCÌA EL VALOR DEL INMUEBLE. CONSEJO DE ESTADO ORDENÒ RECONOCER EL 6% DE INTERESES LEGALES DURANTE EL PERIODO COMPRENDIDO ENTRE EL MES DE SEPTIEMBRE DE 1995 , FECHA PARA LA QUE SE ESPERABA DISPONER DEL INMUEBLE Y EL 6 DE SEPTIEMBRE DE 1996, FECHA DEL FALLO DE TUTELA QUE AMPARÒ EL DERECHO FUNDAMENTAL AL DEBIDO PROCESO Y ORDENÒ LA JUNIO 2022 EL JUZGADO CONSIDERÓ QUE SE DECRETARON PRUEBAS DE OFICIO A AGUSTIN CODAZZI, PORQUE FALTABAN INSUMOS PARA DARLE VIA LIBRE A LIQUIDACION DE LA CONDENA,  NO SE HA RESUELTO.////////SUSPENSIÒN DE LAS RESOLUCIONES DEMANDADAS. Mediante auto del  18 de diciembre de 2018, se resolviò abrir incidente de liquidaciòn; la apoderada de la demandante estimò la suma de $110,492,098,99, el cual fue objetado por el poderado del Distrito de Cartagena. </t>
    </r>
    <r>
      <rPr>
        <b/>
        <sz val="8"/>
        <rFont val="Verdana"/>
        <family val="2"/>
      </rPr>
      <t>NO SE INCLUYE EN SANEAMIENTO TODA VEZ QUE ESTÀ PENDIENTE LA DECISIÒN ACERCA DE LA OBJECIÒN FRENTE AL INCIDENTE DE LIQUIDACIÒN DE LOS PERJUICIOS.</t>
    </r>
  </si>
  <si>
    <t>https://alcart-my.sharepoint.com/:f:/g/personal/conciliaciones_cartagena_gov_co/EmFN3pNIZmdFgBeUq4OV-24BnXw0JaCpmxgEFncK9F_-GA?e=k46D8V</t>
  </si>
  <si>
    <t>JUZGADO OCTAVO ADMINISTRATIVO DEL CIRCUITO DE CARTAGENA</t>
  </si>
  <si>
    <t>PRESTACIONES SOCIALES, 4 NOV 2008/ 31 DIC 2015</t>
  </si>
  <si>
    <t>Se solicitó link del expediente ante el J08 ADM,el dia 27 de marzo de 2023
Una vez se reciba el link, se debe solicitar al apoderadado del demandante que remita
las constancias de los pagos de la ss asi mismo remitir oficio a th pidiendo insumos
para la liquidacion.
El dia 28/03/2023 se requirio a juzgado 8 adm, solicitud de link del expediente.
Se remitio link y estamos en pro de proyeccion de oficio a apoderado del demandante//// Liquidado de acuerdo a la certificacion recibida por medio de Oficio AMC-OFI-0084366-2022</t>
  </si>
  <si>
    <t>https://alcart-my.sharepoint.com/:u:/g/personal/conciliaciones_cartagena_gov_co/EcJfyQW-DzJJtNp5c2hCgOEBNUgIh3SY0Rhn2Hlt0I4Lnw?e=xVsCVB</t>
  </si>
  <si>
    <t>ALBERTINA GUERRERO VITOLA</t>
  </si>
  <si>
    <t>SEGUIR ADELANTE CON LA EJECUCION DE LOS INTERESES CAUSADOS DESDE EL 8 DE SEPTIEMBRE DEL 2008 HASTA EL 17 DE FEBRERO DEL 2011</t>
  </si>
  <si>
    <t>Se liquidan intereses de la fecha ejecutoriada a la fecha del pago (17 Feb  2011) NO HAY SOLICITUD DE COBRO POR LO TANTO NO NOS PUDIMOS CONTACTAR</t>
  </si>
  <si>
    <t>https://alcart-my.sharepoint.com/:f:/g/personal/conciliaciones_cartagena_gov_co/EhPV0sOsuF5IsmVIXC_3DSYBzF9TiUrPqXLghb2LVnltHA?e=m4x2TX</t>
  </si>
  <si>
    <t>EDUARDO HERNÁNDEZ</t>
  </si>
  <si>
    <t>13-001-33-33-001-2015-00269-00</t>
  </si>
  <si>
    <t>JUZGADO PRIMERO ADTVO ORAL DEL CIRCUITO</t>
  </si>
  <si>
    <t xml:space="preserve">PAGO DERIVADO DE FV N°01181 DE 21 Julio 2009, por concepto de recibo de  a satisfaccion de OBRA del acta parcial N°4. </t>
  </si>
  <si>
    <t>05/11/20019</t>
  </si>
  <si>
    <t>https://alcart-my.sharepoint.com/:f:/g/personal/conciliaciones_cartagena_gov_co/EuPoQdCfZq1Eg5aducrR5bsBd8WRb6d8DGf8RIXmYHCzYw?e=a0zs8K</t>
  </si>
  <si>
    <t>FABIOLA BOTERO DE GAVIRIA</t>
  </si>
  <si>
    <t>PAGAR LA DIFERENCIA DEL VALOR RECONOCIDO EN LOS ACTOS ANULADOS Y EL VALOR QUE RESULTE DE ACTUALIZAR LA SUMA DE $24.664</t>
  </si>
  <si>
    <t>Se solicitó el 27 de marzo de 2023 link del expediente one drive, a despacho 06
del Tribunal Administrativo de Bolívar y se requirió el día 28/03
Una vez recibido expediente se revisará viabilidad de expedir actos
administrativos
29/03 Informan que en el año 2021  fue remitido a oficina judicial para reparto
entre magistrados, por lo que se debe consultar en la página de la rama judicial
por demandante
10/04 se hizo la consulta en la página de la rama sin obtener resultados de la
misma, al informarse que “La consulta no generó resultados”.
A la espera de apoyo secretaria tribunal administrativo 11/04</t>
  </si>
  <si>
    <t>https://alcart-my.sharepoint.com/:f:/g/personal/conciliaciones_cartagena_gov_co/EqsXA1whlRhHsnEiBopuz5ABKa83XmxPwRggelwnrHbPmg?e=fajcHJ</t>
  </si>
  <si>
    <t>JULIAN JAVIER ARRIETA MARTÍNEZ</t>
  </si>
  <si>
    <t>13 001 23 31 000 2001 01843 01</t>
  </si>
  <si>
    <t>MEDICO DADIS, SOLICITUD DIFERENCIAS EN PRESTACIONES SOCIALES</t>
  </si>
  <si>
    <r>
      <rPr>
        <sz val="8"/>
        <color indexed="8"/>
        <rFont val="Verdana"/>
        <family val="2"/>
      </rPr>
      <t>AMC-OFI- 0002116-2021      LIQUIDACIONDE MEDICO DE DADIS-</t>
    </r>
  </si>
  <si>
    <t>https://alcart-my.sharepoint.com/:f:/g/personal/conciliaciones_cartagena_gov_co/EuKHng_2HTZBtdEZcBxbGXUBUcdrKW046GBf8IToPtQJ7A?e=6SQ5qf</t>
  </si>
  <si>
    <t>TRIBUNAL ADMINISTRATIVO DEL ARCHIPIELAGO DE SAN ANDRES</t>
  </si>
  <si>
    <t>PAGO DE MEJORAS NECESARIAS REALIZADAS EN EL INMUEBLE A RESTITUIR POR LA SUMA DE $ 2.357.226,14</t>
  </si>
  <si>
    <t>SE RECIBE EL 3 DE MARZO ESTADO DE PROCESO POR PARTE DE ABOGADO DE DEFENSA SE LOGRÓ DETERMINAR QUE ES NECESARIO QUE EL DEMANDANTE O EL JUZGADO DE APERTURA AL INCIDENTE DE LIQUIDACION DE MEJORAS RECONOCIDAS EN LA SENTENCIA. MIENTRAS ESE INCIDENTE NO SE HAGA NO SE PUEDE HACER EL PAGO</t>
  </si>
  <si>
    <t>https://alcart-my.sharepoint.com/:f:/g/personal/conciliaciones_cartagena_gov_co/ElPZFH3Uak9HhqnuUbcrVXwB0vhH-2DJC_FkMePmzqXVOg?e=5kmzhT</t>
  </si>
  <si>
    <t>ESTUDIAR SI EXISTE DIFERENCIA ENTRE LOS APARTES QUE SE COSIGNARON Y LOS QUE SE DEBIERON CONSIGNAR, COTIZAR AL RESPECTIVO FONDO LA SUMA FALTANTE/</t>
  </si>
  <si>
    <t>AMC-OFI-0039413-2023 se solicitó certificación de los honorarios percibidos por el señor Francisco Javier
Madero Orozco, respecto de cada contrato que suscribió con el INPEC./////AMC OFI 0010372-2022 4fEB- SOLICITUD CERTF SALARIOS INPEC/ AMC OFI0010406-2022 SOLICITUD DE DOC/ SUSPENSIÓN DE INTERESES POR FALTA DE SOCLICITUD DE COBRO///  se llamó al Sr para que aporte los pagos realizados a los fondos.</t>
  </si>
  <si>
    <t>https://alcart-my.sharepoint.com/:f:/g/personal/conciliaciones_cartagena_gov_co/EqDRkgk9P5tFntcwczssJ48BdlPl48Q3Ly2TXMmSm82WHg?e=6MziHz</t>
  </si>
  <si>
    <t>JUZGADO 2° LABORAL DEL CIRCUITO DE TUNJA/TRIBUNAL SUPERIOR DE TUNJA</t>
  </si>
  <si>
    <t>Declara que el contrato “obra labor” fue terminado con causa
imputable al empleador contrato vigente entre el 5 de julio de
2013 al 30 de octubre de 2013.
Pagar al demandante de manera solidaria los emolumentos
señalados en folios del expediente (no especifica cuales)</t>
  </si>
  <si>
    <t xml:space="preserve">NO LIQUIDADA </t>
  </si>
  <si>
    <t>PROCESO EJECUTIVO POR EJECU CION DE SENTENCIA, NO HAY EMBARGOS APLICABLES, SE SOLICITÓ CERTIFICACION DE  CONTANCIA EJECUTORIA</t>
  </si>
  <si>
    <t>https://alcart-my.sharepoint.com/:f:/g/personal/conciliaciones_cartagena_gov_co/ErRdy5LrC81CseYHE2ifyIcBggR8x4yPZspx23pCMBzPIw?e=57co64</t>
  </si>
  <si>
    <t>CONSORCIO VIAS CARTAGENA</t>
  </si>
  <si>
    <t>13001-33-33-011-2017-00088-00</t>
  </si>
  <si>
    <t>JUZGADO DECIMO PRIMERO ADMINISTRATIVO DEL CIRCUITO DE CARTAGENA/ AUTO DE SEGUIR ADELANTE PROCESO EJECUTIVO</t>
  </si>
  <si>
    <t>EMBARGO, SECUESTRO Y RETENCIONES, DE LAS SUMAS EN DEPOSITOS JUDICIALES</t>
  </si>
  <si>
    <t>Decretan embargo auto del 26 de agosto de 2020</t>
  </si>
  <si>
    <t>https://alcart-my.sharepoint.com/:f:/g/personal/conciliaciones_cartagena_gov_co/EnDncaGQHMJPs0lM6NINbXsBn-aseKdHpdpT6EjQYI8rcA?e=LQgAbZ</t>
  </si>
  <si>
    <t>GAM CONSTRUCCIONES  S.A.S</t>
  </si>
  <si>
    <t>900.665878-8</t>
  </si>
  <si>
    <t xml:space="preserve">Tribunal de Arbitramento </t>
  </si>
  <si>
    <t>DECLARESE A FAVOR DE GAM CONSTRUCIONES S.A.S.  Y EN CONTRA DEL DISTRITO, EL VALOR PENDIENTE DE RECAUDAR POR CONCEPTO DE LA CONTRIBUCIÒN POR VALORIZACIÒN, POR INCUMPLIMIENTO , CONDENESE AL DISTRITO A PAGAR LA SUMA DE $ 4.273.424.417,72 ; PAGAR LA SUMA DE 771.026.687,17, POR CONCEPTO DE ERRORES DE EL CONCEDENTE QUE IMPLICARON DISMINUCIÒN INDIVIDUAES DE LA CONTRIBUCIÒN POR VALORIZACIÒN, CONDENESE AL DISRRTRITO DE CARTAGENA A PAGAR LA SUMA DE $ 46.564.287,51, POR CONCEPTO DE GASTOS NO PRESUPUESTADOS Y AUTORIZADOS POR EL DISTRITO PARA EL CUMLIMIENTO DE LAS FUNCIONES INHERENTES A SU COMPETENCIA.</t>
  </si>
  <si>
    <t>Se realizó pago parcial por acuerdo de saneamiento, se reliquida intereses moratorios a la fecha por la diferencia adeudada</t>
  </si>
  <si>
    <t>https://alcart-my.sharepoint.com/:f:/g/personal/pagodesentencias_cartagena_gov_co/Eqbh2744m3FNsD-uLzKgfOYBTqwo4WjA18_vPfOzF_W9IA?e=W2SFI1</t>
  </si>
  <si>
    <t>BEATRIZ GIL Y OTROS</t>
  </si>
  <si>
    <t>SE DECLARA LA RESPONSABILIDAD DEL DISTRITO, EPA Y EL SR ROLANDO BECHARA CASTILLA POR LA MUERTE DE SR JOSE ARISTIZABAL HENAO</t>
  </si>
  <si>
    <t>EXPEDIENTE INCOMPLETO SE SUSPENDE INT. FALTA DE SOLICITUD COBRO</t>
  </si>
  <si>
    <t>https://alcart-my.sharepoint.com/:f:/g/personal/conciliaciones_cartagena_gov_co/Eopr3sZSBJtCiuZ4CKYTA2UBj_b4kQ-Zg3RTkkF7wNzkEg?e=SNfKzZ</t>
  </si>
  <si>
    <t>ELIDA TERESITA MARTINEZ BOHORQUEZ</t>
  </si>
  <si>
    <t xml:space="preserve">JUZGADO QUINTO ADMINISTRATIVO DEL CIRCUITO DE CARTAGENA </t>
  </si>
  <si>
    <t>CANONES DE ARRENDAMIENTOS POR PAGAR FONDO DE PENSIONES - CPACA</t>
  </si>
  <si>
    <t>https://alcart-my.sharepoint.com/:f:/g/personal/conciliaciones_cartagena_gov_co/ElkeAo4NdMhKsvE9jknGxPEBO2HrB8EalRShKFGWMc7Ppw?e=s9vwmK</t>
  </si>
  <si>
    <t>BRANIUM SAS ARAUJO Y SEGOVIA SA</t>
  </si>
  <si>
    <t>JUZGADO TRECE ADMINISTRATIVO DEL CIRCUITO DE CARTAGENA</t>
  </si>
  <si>
    <t>CONCILIACION DE CANON DE ARRENDAMIENTO</t>
  </si>
  <si>
    <t>POR LIQUIDAR</t>
  </si>
  <si>
    <t>JACOB FORERO JULIO</t>
  </si>
  <si>
    <t>13001-33-330082015004300</t>
  </si>
  <si>
    <t>Juzgado Octavo Administrativo
del Circuito de Cartagena</t>
  </si>
  <si>
    <t>CONDENESE AL DATT-a título de reparación del
daño, reconocer y pagar a favor  prestaciones sociales,
tomando como base los honorarios contractuales correspondientes a los periodos a los cuales se
demostró la existencia de relación laboral, es decir del 26 de junio de 2007 hasta el 31 de
diciembre de 2013.</t>
  </si>
  <si>
    <t>SE VA OFICIAR PARA SOLICITUD DE INFORMACION</t>
  </si>
  <si>
    <t>Solicitud certificacion honorarios- Oficio AMC-OFI-0012317-2022 certif Honorarios / AMC-OFI-0012443-2022 Certf ejecutoriaSE DEBE VERIFICAR SOLICITUD DE COBRO (SUSPENDIDAS)</t>
  </si>
  <si>
    <t>https://alcart-my.sharepoint.com/:f:/g/personal/conciliaciones_cartagena_gov_co/EgbzvXr2oGdIssL38H7iC48BgASb8NIY7H3ZZOmxiQUV2g?e=qWOTxS</t>
  </si>
  <si>
    <t>LILIS MARIA MORALES TEJEDOR</t>
  </si>
  <si>
    <t>13001-33-33/006-2014-00399-00</t>
  </si>
  <si>
    <t>JUZGADO SEXTO ADMINISTRATIVO ORAL DEL CIRCUITO CARTAGENA- TRIBUNAL ADMINISTRATIVO BOLIVAR M P-LUIS M VILLALOBOS</t>
  </si>
  <si>
    <t xml:space="preserve">A titulo de reestablecimiento del derecho, pagar la diferencia existente entre los aportes, realizados como contratistas y los que se debieron efectuar.SED </t>
  </si>
  <si>
    <t>CERTIFICACION SALARIOS AMC OFI 14671-2023 /  AMC OFI 14678-2023</t>
  </si>
  <si>
    <t>https://alcart-my.sharepoint.com/:b:/g/personal/conciliaciones_cartagena_gov_co/EejYo0gG_-9Csr89UErpUQMBwY6sXEHJivKLPij6qHF0lw?e=C5tP3f</t>
  </si>
  <si>
    <t>JUEZ 12 ADTVO</t>
  </si>
  <si>
    <t>CONCILIACION , PAGO DE $152.114.021,47</t>
  </si>
  <si>
    <t>https://alcart-my.sharepoint.com/:f:/g/personal/conciliaciones_cartagena_gov_co/Ei5XfRGYuPVLtczhxXaPB20BCluydafavUe68UjknpJEig?e=mk7sgQ</t>
  </si>
  <si>
    <t>13001-33-33-006-2019-00208-00</t>
  </si>
  <si>
    <t>JUZGADO SEXTO ADMINISTRATIVO DEL CIRCUITO CARTAGENA</t>
  </si>
  <si>
    <t>CANON DE ARRENDAMIENTOS</t>
  </si>
  <si>
    <t>https://alcart-my.sharepoint.com/:f:/g/personal/conciliaciones_cartagena_gov_co/Ep62q1MfJI5AkHX1ppn7qsQBnHaCVgCQ7KVXlxbeQ6c4gg?e=gR4kxg</t>
  </si>
  <si>
    <t>ANYELIS  PATRICIA BARRIOS PADILLA</t>
  </si>
  <si>
    <t>JUEZ QUINTO ADMINISTRATITVO</t>
  </si>
  <si>
    <t xml:space="preserve">REINTEGRO AL CARGO QUE VENIA DESEMPEÑANDO Y PAGO DE SALARIOS Y PRESTACIONES DEJADOS DE DEVENGAR </t>
  </si>
  <si>
    <t>Respuesta recibida con la liquidacion de TH</t>
  </si>
  <si>
    <t>https://alcart-my.sharepoint.com/:f:/g/personal/conciliaciones_cartagena_gov_co/Etf3mKlUIxtKvxPbfb1tNNoBqimT1RB7mJ82LtLH-FV0dg?e=Y1v20F</t>
  </si>
  <si>
    <t>ILIANA DEL CARMEN ESTREMOR BANQUEZ Y OTROS</t>
  </si>
  <si>
    <t>JUZGADOO 14 ADMINISTRATIVO DE CARTAGENA</t>
  </si>
  <si>
    <t>ACUERDO CONCILIATORIO</t>
  </si>
  <si>
    <t>https://alcart-my.sharepoint.com/:f:/g/personal/conciliaciones_cartagena_gov_co/Ev3q68BO9D1EoOVswfpO4L8BMmyaHGQ7_oemp8EEP_C9Iw?e=GGg9rG</t>
  </si>
  <si>
    <t>JUZGADO DOCE ADMINISTRATIVO DEL DISTRITO</t>
  </si>
  <si>
    <t>ACUERDO CONCILIATORIO CELEBRADO 16 OCT 2019 POR OCUPACION IRREGULAR DE INMUEBLE ARRENDADO CELEBRADA ANTE LA PROCURADURIA 130 JUCICIAL 2 PARA ASUNTOS ADMINISTRATIVOS</t>
  </si>
  <si>
    <t>QUEDA PENDIENTE POR REVIZAR CON FIN DE VERIFICAR MONTOS CONCILIADOS Y APROBADOS POR EL JUZGADO</t>
  </si>
  <si>
    <t>https://alcart-my.sharepoint.com/:f:/g/personal/conciliaciones_cartagena_gov_co/Evr2_n06uehJuP1omu2mhIoBUF63gcGhWK8Ow8WX6hxlGQ?e=Gx7sbG</t>
  </si>
  <si>
    <t xml:space="preserve">IMS EU EN LIQUIDACION </t>
  </si>
  <si>
    <t>Intereses  Cte desde 27 Feb 2012 hasta 13 enero 2020, int       Mora a partir de 14-01-2020 a la fecha</t>
  </si>
  <si>
    <t>https://alcart-my.sharepoint.com/:f:/g/personal/conciliaciones_cartagena_gov_co/EixcAcZ6AZJEpxdVxPLfGKYB84EFLJAvL4iC03bx2NFDTg?e=V1BW8h</t>
  </si>
  <si>
    <t>CARMEN ALICIA TOUS BERRIO Y OTROS, SUGEY BOLAÑO POLO, TRINIDAD MERCEDES CASTILLO MENDOZA, ODALIZ MEDINA LOPEZ, ANTONIO MARUGO JIMENEZ, OLIVIA MARSIGLIA  DUEÑAS, AMELIA DUEÑAS PANTOJA, TANIA TORRES PALACIO, JORGE RAMOS LEON, JOAQUIN CASSIANI CAÑATE</t>
  </si>
  <si>
    <t>13001-33-33-008-2018-00224-00</t>
  </si>
  <si>
    <t>COMPLETAR SEGURIDAD SOCIAL</t>
  </si>
  <si>
    <t>COMPLETAR SEGURIDAD SOCIAL, estamos a la espera de la unidad de defensa  de documentos anexos de la demanda para conocer los contratos laborales, para realizar la liquidacion la demandante debe aportar los pagos realizados al sist seg social</t>
  </si>
  <si>
    <t>https://alcart-my.sharepoint.com/:f:/g/personal/conciliaciones_cartagena_gov_co/EsSCz1uqepVCmhwTgIVJRGoBpOykD9_dEU7Hn1bnjsdIxQ?e=pKtCUZ</t>
  </si>
  <si>
    <t>Juzgado Cuarto Administrativo del Circuito</t>
  </si>
  <si>
    <t>FALTA CONSTANCIA EJECUTORIA- ACTUALIZAR ANUAL CAMBIANDO EL SMLV</t>
  </si>
  <si>
    <t>https://alcart-my.sharepoint.com/:f:/g/personal/conciliaciones_cartagena_gov_co/EtdtVF1RUJ5IkUUm3KHkl4QBIqy9AYRIZUba8IrZONZJBQ?e=1Gdahl</t>
  </si>
  <si>
    <t>MARIBET GARCES POLO</t>
  </si>
  <si>
    <t>DISTRITO DE CARTAGENA  DEPARTAMENTO ADMINISTRATIVO DE TRANSITO Y TRANSPORTE DE CARTAGENA- DATT</t>
  </si>
  <si>
    <t>13-001-33-33-005-2014-0405-00</t>
  </si>
  <si>
    <t>JUEZ QUINTO ADMINISTRATIVO</t>
  </si>
  <si>
    <t>PAGO DE PRESTACIONES SOCIALES A FAVOR DEL DEMANDANTE TOMANDO COMO BASE LOS HONORARIOS CONTRACTUALES DURANTE EL TIEMPO QUE SE DEMOSTRÒ LA  EXISTENCIA DE LA RELACION LABORAL DATT</t>
  </si>
  <si>
    <t xml:space="preserve"> PENDIENTE LIQUIDAR SUMA CORRESPONDIENTE A LOS PARTES PENSIONALES / AMC-OFI-0103770-2020, SE REALIZA OFICIO AL DATT PARA SOLICITAR RESOLUCION DEL REINTEGRO Y LA LIQUIDACION QUE LE FUE PAGADA. SE REDIRECCIONA OFICIO A DATT PARA INSUMOS AMC-OFI-0049647-2021</t>
  </si>
  <si>
    <t>https://alcart-my.sharepoint.com/:b:/g/personal/conciliaciones_cartagena_gov_co/EbaeFP-VDzhPltVcdjy-AiYB1hDRdFfrbbhTBdDDqVnRRQ?e=IX4Vzg</t>
  </si>
  <si>
    <t>CARLOS GASTELBONDO CAMARGO</t>
  </si>
  <si>
    <t>DISTRITO DE CARTAGENA DEPARTAMENTO ADMINISTRATIVO DE TRANSITO Y TRANSPORTE DE CARTAGENA</t>
  </si>
  <si>
    <t>13001-33-33-012-2015-00033-01</t>
  </si>
  <si>
    <t>PAGO DE PRESTACIONES SOCIALES A FAVOR DEL DEMANDANTE TOMANDO COMO BASE LOS HONORARIOS CONTRACTUALES</t>
  </si>
  <si>
    <t>SE OFICIO A DATT PARA VERIFICAR SALARIOS DE 2010/2013Oficio AMC-OFI-0047673-2021&amp; oficio de respuesta Oficio AMC-OFI-0048302-2021/Oficio AMC-OFI-0091768-2021 3 agosto</t>
  </si>
  <si>
    <t>https://alcart-my.sharepoint.com/:f:/g/personal/conciliaciones_cartagena_gov_co/EvMZmL6N1F9MkQ0R3fqdCzYBuvgRlbKl4fTUrysMWe78EA?e=MqZ9hb</t>
  </si>
  <si>
    <t>ROBERTO DAVILA AREVALO Y OTROS</t>
  </si>
  <si>
    <t>13-001-33-33-013-2012-00108-01</t>
  </si>
  <si>
    <t>INDEMNIZACION POR PERJUICIOS MORALES ,EMERGENTES FUTUROS, MATERIALES Y DE SALUD AL MENOR Roberto Junior Davila Y SU FAMILIA</t>
  </si>
  <si>
    <t>https://alcart-my.sharepoint.com/:f:/g/personal/conciliaciones_cartagena_gov_co/Eo72MaFpIBdBtrXtkZ7TPGcBJctZQ7JPEBmuiiLSHkuTOQ?e=LID2US</t>
  </si>
  <si>
    <t>ESPERANZA CABRERA JIMENEZ</t>
  </si>
  <si>
    <t xml:space="preserve">JUZGADO QUINTO ADMINISTRATIVO DEL CIRCUITO DE CARTAGENA/TRIBUNAL ADMINISTRATIVO DE BOLIVAR </t>
  </si>
  <si>
    <t>PAGAR PRESTACIONES SOCIALES TOMANDO HONORARIOS DE 11/02/11 A 31/12/2013, presttaciones sociales prescritas de 2011 anteriores preescritas - APORTE SEG SOCIAL SE LE HARÁ LA DEVOLUCION DESDE 19-01-2009 A 31-12-2013</t>
  </si>
  <si>
    <t>ABOGADO DE DEFENSA YADIRA MARTINEZ, SE DEBE SOLICITAR CONSTANCIA EJECUTORIA A DEFENSA Y ADELANTAR PROCESO PARA SOLICITUD DE CALCULO ACTUARIAL AL FONDO PENSION CORRESPONDIENTE.  Oficio a TH AMC-OFI-0019974-2021- AMC-OFI-0086528-2021 / AMC-OFI 0086528-2021 Fondo de pensiones</t>
  </si>
  <si>
    <t>https://alcart-my.sharepoint.com/:f:/g/personal/conciliaciones_cartagena_gov_co/EiVRO0tIb8FDvF8m_KEs9ZgBnukKNRoiNOanW0x7IOUXqg?e=Wh74An</t>
  </si>
  <si>
    <t>LIQUIDE CESANTIAS DESDE 1-06-77 TOMANDO ULTIMO SALARIO DEVENGADO , SE DEBERÁ DESCONTAR LAS SUMAS DE CESANTIAS RETIRADAS PARCIALES, PAGAR AL DEMANDANTE PRIMAS DE SERVICIOSEN TERMINOS ART58 DEC LEY1042 DE 1978, DE LOS AÑOS 2011 HASTA 2015 Y EN LO SUCESIVO,. SE DECLARAN PREESCRITAS PRIMAS SERVICIO DE LOS AÑOS ANTERIORES AL 2011. PAGOS INDEXADOS CPACA ART 187</t>
  </si>
  <si>
    <t>NO LIQUIDADA</t>
  </si>
  <si>
    <t>Oficio AMC-OFI-0019974-2021</t>
  </si>
  <si>
    <t>https://alcart-my.sharepoint.com/:f:/g/personal/conciliaciones_cartagena_gov_co/Er4oFixCYO1PtDWsvYmeX-UBewn1B8KNMTd4ZospIM0m8w?e=dvVhkh</t>
  </si>
  <si>
    <t>MIRIAM DE JESUS BUELVAS OLIVERA</t>
  </si>
  <si>
    <t>13-001-33-33-008-2012-00046-00</t>
  </si>
  <si>
    <t xml:space="preserve">JUZGADO OCTAVO ORAL ADMINITIVO DE CIRCUITO/TRIBUNAL ADMINISTRATIVO DE BOLIVAR </t>
  </si>
  <si>
    <t>SE CONDENA AL PAGO DE INDEMNIZACIÒN POR MORA CONSISTENTE EN UN DIA DE SALARIO POR CADA DIA DE RETARDO;  (142) dias desde el 12/04/2011 hasta el 31/08/2011 y    (76 DIAS) desde el 27/09/2012 hasta el 11/12/2012, CON BASE EN EL SALARIO DEVENGADO Y ADEMÀS CONDENA POR CONCEPTO DE COSTAS Y AGENCIAS CONSISTENTES EN EL 1% DE LA SUMA LIQUIDADA</t>
  </si>
  <si>
    <t>SE RECIBE DE SED Amc- OFI-0091155-2021  LA LIQUIDACION DE LAS CESANTIAS DEFINITIVAS ,Así las cosas, se procederá a realizar el siguiente análisis de cara a determinar desde cuando el Distrito de Cartagena incurrió en mora en el reconocimiento de los cesantías definitivas de la accionante: Radicación de la solicitud 06-01-2011 Término poro resolver lo solicitud (15 Hasta el 28-01-11 dios) Ejecutorio del acto administrativo (5 Hasta el 04-02-11 dios) Pago de lo obligación (45 dios) Hasta el 11-04-11 Como consecuencia de lo anterior, evidencia la Sala, que la entidad demandada omitió el cumplimiento de los términos establecidos en lo ley tonto para el reconocimiento como para el pago de los cesantías parciales solicitadas por la accionante, que en su orden debían ser 15 días para expedir el acto de reconocimiento, cinco (05) días más que corresponden al término de su ejecutoria -porque se debía aplicar el CCA-, y 45 días dentro de los cuales se debía realizar el pago; por lo que se concluye que, el Distrito de Cartagena incurrió en mora en el pago de las cesantías durante el tiempo en que se le retardó el pago, es decir, desde 12 de abril de 2011 hasta el 31 de agosto de 2011.
Por lo expuesto, lo Solo modificará el ordinal segundo del tollo apelado, en cuanto al período en que debe reconocerse lo sanción moratoria, que como se indicó en precedencia, es el comprendido desde el 12 de abril de 2011 hasta el 31 de agosto de 2011, condena equivalente a 142 días de mora, para lo que se debe tener en cuenta el salario devengado por lo demandante en el término que transcurrió la mora; se confirmará en lo demás la sentencia apelada.</t>
  </si>
  <si>
    <t>https://alcart-my.sharepoint.com/:f:/g/personal/conciliaciones_cartagena_gov_co/EhcQ6HtCrSlPn2Tj7ibpsE4BNT8AOSeWIQ8oIWRNxFfp2Q?e=8vMpWK</t>
  </si>
  <si>
    <t>13-001-33-33-005-2014-0001401</t>
  </si>
  <si>
    <t>CONDENA POR LA MUERTE DE LA MENOR ELEANIS MANRIQUE GARCIA POR FALLAS DEL SERVICIO DE ATENCION Y PREVENCION DE DESASTRES. PERJIOCIOS MORALES; A FAVOR DE CADA UNO DE LOS PADRES 100 SMLMV, HERMANA 25 SMLV.- COSTAS POR LIQUIDAR.</t>
  </si>
  <si>
    <t>Oficio AMC-OFI-0019974-2021/ EN ESPERA DE LIQUIDACION DE COSTAS POR EL JUZGADO</t>
  </si>
  <si>
    <t>https://alcart-my.sharepoint.com/:f:/g/personal/conciliaciones_cartagena_gov_co/Eq5p9_aKTKlKsH50BkzUkj8BzoOoFXoJjrofIeaafiH9ZQ?e=PyJF6O</t>
  </si>
  <si>
    <t>CABEL SAS EN LIQUIDACION Y OTROS</t>
  </si>
  <si>
    <t>JUZGADO 12 ADMINISTRATIVO DEL CIRCUITO DE CARTAGENA</t>
  </si>
  <si>
    <t xml:space="preserve">SE CONCILIA EL PAGO DE CANON DE ARRENDAMINETO DESDE 1 ENERO 2018 A 2 MAYO 2019 POR VALOR DE $379.098.332  </t>
  </si>
  <si>
    <t>https://alcart-my.sharepoint.com/:f:/g/personal/conciliaciones_cartagena_gov_co/EulW8MGJQT9NsNlQ6R10TkEBcJDyi2Xyne_xCL-b0bv8Mg?e=WZf16C</t>
  </si>
  <si>
    <t>DISTRITO DE CARTAGENA/TRANSCARIBE</t>
  </si>
  <si>
    <t>13001-33-33-013-2017-00119</t>
  </si>
  <si>
    <t xml:space="preserve">JUZGADO DECIMO TERCERO ADMINISTRATIVO DEL CIRCUITO DE CARTGENA </t>
  </si>
  <si>
    <t>PAGO REESPONSABLE EXTRACONTRACTUAL AL DISTRITO POR LAS LESIONES DE LA DEMANDANTE AL CAER EN OBRAS INCONCLUSAS BARRIOS ALCIBIA. Condena 30 SMLV/Obra material $203.205</t>
  </si>
  <si>
    <t>https://alcart-my.sharepoint.com/:f:/g/personal/conciliaciones_cartagena_gov_co/EkoYNjO0jsVFod0gRtHVOU0Bpd5_0_k74m24xM5Oeh1Kgw?e=GZ2nfe</t>
  </si>
  <si>
    <t>PLINIO ROMERO CHICO Y OTROS</t>
  </si>
  <si>
    <t>DISTRITO DE CARTAGENA y ELECTRICARIBE</t>
  </si>
  <si>
    <t>13-001-33-33-013-2014-00211-00</t>
  </si>
  <si>
    <t>Juzg. 13° Adtivo del Circuito</t>
  </si>
  <si>
    <t>DECLARASE RESPONSIBLE AL DT Y A ELECTRICARIBE POR LESIONES SUFRIDAS DE CLEYDER WADID ROMERO QUE SE EXTIENDE AL 50%DAÑO DEBIDO A UNA CONCURRENCIA DE CULPA, EN CONSECUENCIA SE CONDENA PERJUICIOS MORALES, DAÑO A LA SALUD, CONDENA SOLIDARIA.</t>
  </si>
  <si>
    <t xml:space="preserve"> 16/11/2017</t>
  </si>
  <si>
    <t>ACTA CONCILIATORIO N19 DE 24/08/2017, LIQUIDADA EN BASE 2 INSTANCIA CON CAMBIOS PERTINENTES A 9-OCT-2020 APODERADA(MARLENIS CASTILLO)</t>
  </si>
  <si>
    <t>https://alcart-my.sharepoint.com/:f:/g/personal/conciliaciones_cartagena_gov_co/EjL8H1e2I1dOhmR6rhfhQQYBHE7BKTDE-7_i3wZf0lnUPA?e=sRxpSC</t>
  </si>
  <si>
    <t>01% DE LA SUMA QUE RECIBA LA DEMANDANTE POR EL PAGO TARDÌO DE LAS CESANTÌAS DEFINITIVAS.</t>
  </si>
  <si>
    <t>COMO SE CALCULAR CESANTIAS DEFINITIVAS SI ES ULTIMO SALARIO DEVENGADO O CON LA PONDERACION DE SALARIO</t>
  </si>
  <si>
    <t xml:space="preserve">EDGAR RAFAEL CASTRO JULIO </t>
  </si>
  <si>
    <t>JUZGADO 5 ADMINISTRATIVO ORAL DEL CIRCUITO DE CARTAGENA/ TRIBUNAL ADMINISTRATIVO MAG LUIS VILLALOBOS</t>
  </si>
  <si>
    <t xml:space="preserve">REINTEGRO INSPECTOR POLICIA BOCACHICA, </t>
  </si>
  <si>
    <t>ENVIO OFICIO A TH  AMC-OFI-0087548-2021 ENVIADO AL TALENTO HUMANO, SOLICITANDO LA LIQUIDACION</t>
  </si>
  <si>
    <t>EDUAR MARTINEZ DIAZ</t>
  </si>
  <si>
    <t>13001-3333-012-2013-00082-00</t>
  </si>
  <si>
    <t>JUZGADO DOCE ADMINISTRATIVO ORAL DEL DISTRITO</t>
  </si>
  <si>
    <t>SALARIOS DEJADOS DE PERCIBIR, PRESTACIONES SOCIALES Y APORTES A SEG SOCIAL/ EXT- AMC 22-003</t>
  </si>
  <si>
    <t>Se declaró insusistente el cargo 12/08/2012 / FALTA LA FECHA DE REINTEGRO POR SOLICITAR A TH EL DECRETO DE REINTEGRO  QUE CERTIFIQUEN LOS SALARIOS</t>
  </si>
  <si>
    <t>https://alcart-my.sharepoint.com/:f:/g/personal/conciliaciones_cartagena_gov_co/EgeyYUI_57tAhzeoMdB5xHQBx2MqrfEBOC06UOFx-ty5GA?e=ItpI1S</t>
  </si>
  <si>
    <t>MARITZA RUIZ TORRES</t>
  </si>
  <si>
    <t>13001-33-33-007-2015-00031-01</t>
  </si>
  <si>
    <t>JUZGADO SEPTIMO ADMINISTRATIVO DEL CIRCUITO DE CARTAGENA/ TRIBUNAL ADMINISTRATIVO DE BOLIVAR</t>
  </si>
  <si>
    <t>ORDENASE EL RECONOCIMIENTO Y PAGO DE LAS PRESTACIONES SOCIALES QUE SON ASUMIDAS POR ELE EMPLEADOR CESANTIAS, INT CESANTIAS, PRIMAS CORRESPONDIENTES A LOS PERIODOS ENTRE 27 DE ENERO DE 2011 HASTA 09 DE OCTUBRE DE 2013/ CALCULO PENSIONES PORCENTAJE CORRESPONDIENTE A LA SUMA FALTANTE POR CONCEPTO DE COTIZACION A PENSION PERO SOLO EN EL PORCENTAJE QUE LE CORRESPONDE LEGALMENTE A LA ENTIDAD</t>
  </si>
  <si>
    <t>73,148,728</t>
  </si>
  <si>
    <t>TRIBUNAL ADMINISTRATIVO BOLIVAR/ CONSEJO DE ESTADO</t>
  </si>
  <si>
    <t>CONDENA EN SOLIDARIA CON CORVIVIENDA 70%DT Y 30%CORVIVIENDA- EN SMLSV 50 A LOS PADRES Y A 4 HERMANOS 25</t>
  </si>
  <si>
    <t>https://alcart-my.sharepoint.com/:f:/g/personal/conciliaciones_cartagena_gov_co/EuYy5fn9TK1OuRzFVqwW73YBnrToWoO7O4YjKq4E4HDYmQ?e=TaHxRA</t>
  </si>
  <si>
    <t>CONDENA EN COSTAS DEL 75% DE LOS GASTOS QUE LE CORRESONDIÒ SUMIR A LA PARTE CONVOCANTE Y LA DEVOLUCIÒN DE 184,298,262,52 POR CONCEPTO DE VALOR FALTANTE PARA CUBRIR LA TOTALIDAD DE LAS SUMAS FIJADAS POR CONCEPTO DE HONORARIOS FIJADOS A LOS ÀRBITROS , SECRETARIOS, GASTOS DE ADMINISTRACIÒN, PROTOCOLIZACIÒN, QUE NO FUERON PAGADOS POR EL DISTRTO DE CARTAGENA. AGENCIAS EN DERECHO POR VALOR DE 16,747,796</t>
  </si>
  <si>
    <t>TRIBUNAL ADMINISTRATIVO DE BOLIVAR- MP EDGAR VASQUEZ</t>
  </si>
  <si>
    <t xml:space="preserve">OCUPACION IRREGULAR DE INMUEBLE </t>
  </si>
  <si>
    <t>https://alcart-my.sharepoint.com/:f:/g/personal/conciliaciones_cartagena_gov_co/Ejn2EeMrs-tNm5c9Sd2SpxIBXnrGfjlLM8-njJLqFKkdhg?e=Sg8nqL</t>
  </si>
  <si>
    <t>NOVER DE JESUS ESPINOSA</t>
  </si>
  <si>
    <t>13001-23-33-000-2015-00366-00</t>
  </si>
  <si>
    <t>TRIBUNAL ADMINISTRATIVO DE BOLIVAR MP ROBERTOMARIO CHAVARRO F7- CONSEJO DE ESTADO MP. CARMELO PERDOMO</t>
  </si>
  <si>
    <t xml:space="preserve">CONTRATO REALIDAD /PRESCRIPCION- SEGURIDAD SOCIAL  1/OCT/2000 HASTA 16/FEB/2009- SALVO INTERRUPCIONES- CALCULO ACTUARIAL </t>
  </si>
  <si>
    <t>CALCULO ACTUARIAL</t>
  </si>
  <si>
    <t>https://alcart-my.sharepoint.com/:f:/g/personal/conciliaciones_cartagena_gov_co/EnQ0IfBJRXNBnQSDRJgezj8BPaxvySQGBrtzRootKysqEw?e=ZCZ9lQ</t>
  </si>
  <si>
    <t xml:space="preserve">INVERSIONES LEONOR AROCHA  SCS, JAIRO HUMBERTO ESPITIA PARRA, JAIRO ESPITIA ROMAN, RAFAEL ESPITIA ROMAN </t>
  </si>
  <si>
    <t>13001-33-33-002-2019-00186-00</t>
  </si>
  <si>
    <t>JUZGADO SEGUNDO ADMINISTRATIVO DEL CIRCUITO DE CARTAGENA</t>
  </si>
  <si>
    <t>APRUEBA CONCILIACION AUTO 21/01/20CANONES DE ARRENDAMIENTOS DEJADOS DE PAGAR ED ANDIAN ENTRE PER 14/09/17-24/01/18</t>
  </si>
  <si>
    <t>EXT-AMC-22-0032872 SOLICITUD PAGO ABRIL 2022</t>
  </si>
  <si>
    <t>https://alcart-my.sharepoint.com/:f:/g/personal/conciliaciones_cartagena_gov_co/EiDGx1E2rgFAlh4gZY8gHo8BcBbNlq4ryMdWK3Qvy8FMMg?e=qaChoO</t>
  </si>
  <si>
    <t>MARLENE RODRIGUEZ ARRIETA Y OTROS</t>
  </si>
  <si>
    <t>DISTRITO DE CARTAGENA, MINISTERIO DE VIVIENDA</t>
  </si>
  <si>
    <t>13-001-33-33-013-2012-00033-01</t>
  </si>
  <si>
    <t>JUEZ DECIMO TERCERO ADMINISTRATIVOS DEL CIRCUITO DE CARTAGENA</t>
  </si>
  <si>
    <t>PAGO A TODOS LOS INTEGRANTES LA SUMA DE 40 SMLV  Y A LOS INTEGRANTES DEL NUCLEO FAMILIAR EL 20 SMLMV</t>
  </si>
  <si>
    <t>SIN LIQUIDAR</t>
  </si>
  <si>
    <t>https://alcart-my.sharepoint.com/:f:/g/personal/conciliaciones_cartagena_gov_co/ErisgspgfmpIg0O_4AI4UUsB-sshEDzvEtpHD8RxBEbrBg?e=oNChWS</t>
  </si>
  <si>
    <t>ERICA LUCIA MARTINEZ NÁJERA</t>
  </si>
  <si>
    <t>REPETICION</t>
  </si>
  <si>
    <t>13001 33 33 013 2016 00279 00</t>
  </si>
  <si>
    <t>JUZGADO DÉCIMO TERCERO ADMINISTRATIVO DEL CIRCUITO DE CARTAGENA- Repetición</t>
  </si>
  <si>
    <t>SE CONDENA AGENCIAS EN DERECHO</t>
  </si>
  <si>
    <t>https://alcart-my.sharepoint.com/:f:/g/personal/conciliaciones_cartagena_gov_co/Epxi2Y37kfpPpH0NDCyVBuABDybRxLXkfKshAg-4BqX_mQ?e=nFBJDe</t>
  </si>
  <si>
    <t>JUZGADO CUARTO ADMINISTRATIVIVA DEL CIRCUITO DE CARTAGENA</t>
  </si>
  <si>
    <t>https://alcart-my.sharepoint.com/:b:/g/personal/conciliaciones_cartagena_gov_co/EfmOa59oVURGpmk6-dnXcKgBddZ7tm7ExA-Z1Hoa79uacA?e=1ULyfk</t>
  </si>
  <si>
    <t xml:space="preserve">JOSE PETRO CORCHO
</t>
  </si>
  <si>
    <t>130012331002-2003-00757-01</t>
  </si>
  <si>
    <t>TRIBUNAL ADMINISTRATIVO DE BOLIVAR / SALA DE DESCONGESTION N002</t>
  </si>
  <si>
    <t>PAGO SEGURIDAD SOCIAL</t>
  </si>
  <si>
    <t>EN PROCESO DE PAGO EN TESORERIA</t>
  </si>
  <si>
    <t>Pago de planillas (Salud- Pensión)</t>
  </si>
  <si>
    <t>ANETH DEL CARMEN TORRES PUELLO</t>
  </si>
  <si>
    <t>13001-23-33-000-2014-00072-01</t>
  </si>
  <si>
    <t>SIN  LIQUIDAR</t>
  </si>
  <si>
    <t>docente cotizar a fondo pensiones  01/02/91 a 03/05/94/ SE ENVIA OFICIO AL TRIBUNAL SOLICITANDO SENTENCIA 1 INSTANCIA AMC OFI 0045664-2022/ responden que aun está en despacho y no es posible enviar la 1 instancia. Oficio AMC-OFI-0015430-2023</t>
  </si>
  <si>
    <t>https://alcart-my.sharepoint.com/:f:/g/personal/conciliaciones_cartagena_gov_co/EvdDY8zxTalEjM1sgVZmFXYBKnCZzfRWyCv_34GeySnxFQ?e=EFPrJW</t>
  </si>
  <si>
    <t>13001-33-33-008-2017-00006-01</t>
  </si>
  <si>
    <t>LUIS RICARDO GUTIERREZ OLASCUAGA Y OTROS</t>
  </si>
  <si>
    <t>13-001-33-33-008-2016-00138-00</t>
  </si>
  <si>
    <t>JUZGADO ADMINISTRATIVO DEL CIRCUITO DE CARTAGENA/ TRIBUNAL ASMINISTRATIVO DE BOLIVAR</t>
  </si>
  <si>
    <t>Se envió certificacion al juzgado octavo asministrativo, Ejecutoria AMC OFI 0046551-2022</t>
  </si>
  <si>
    <t>https://alcart-my.sharepoint.com/:f:/g/personal/conciliaciones_cartagena_gov_co/EnS0gZ7MT7lKukbylkowN2wBRPw1vVImYntQYa25w5sxBg?e=3WAD7Q</t>
  </si>
  <si>
    <t>FALLECIMIENTO CARLOS MERCADO- FALLA DE SERVICIODAÑO OCASIONADO POR DESLIZAMIENTO DE TIERRA</t>
  </si>
  <si>
    <t>https://alcart-my.sharepoint.com/:b:/g/personal/conciliaciones_cartagena_gov_co/EfN6mj2TqOVMrBCQU0vBn9IBF8IEguNN3X8Dk53Frnv89A?e=2YZR5q</t>
  </si>
  <si>
    <t>FIDUCOLDEX SA</t>
  </si>
  <si>
    <t>830.054.060-5</t>
  </si>
  <si>
    <t>13001-23-33-000-2015-00637-00</t>
  </si>
  <si>
    <t>TRIBUNAL ADMINISTRATIVO DE BOLIVAR - M.P. LUIS
MIGUEL VILLALOBOSConsejo de Estado Sala de lo Contencioso Administrativo - Sección
Cuarta y notificada electrónicamente el día 13 de mayo de 2022.</t>
  </si>
  <si>
    <t>Devolución de pago de lo no debido. Impuesto predial. en cuanto a la condena en costas (agencias en derecho y gastos del
proceso), se observa que a la luz de los artículos 188 del CPACA y 365 (num. 8) del
CGP,</t>
  </si>
  <si>
    <t>13-001-33-33-005-2014-00037-00</t>
  </si>
  <si>
    <t>JUZGADO QUINTO ADMINISTRATIVO DEL CIRCUITO DE CARTAGENA / TRIBUNAL ADMINISTRATIVO DE BOLIVAR</t>
  </si>
  <si>
    <t xml:space="preserve">CANONES DE ARRENDAMIENTOS Y RECONOCIMIENTO DE REPARACIONES LOCATIVAS DE UN INMUEBLE Y SERV PUBLICOS </t>
  </si>
  <si>
    <t>SOLICITAR AL JUZGADO QUINTO LA LIQUIDACION DE COSTAS Y AGENCIAS CONFORME A LA ULTIMA ACTUACION DEL PROCESO</t>
  </si>
  <si>
    <t xml:space="preserve">INVERSIONES CESAREO </t>
  </si>
  <si>
    <t>890.401.655-4</t>
  </si>
  <si>
    <t>13-001-23-33-003-2002-00090-00</t>
  </si>
  <si>
    <t>EN ESPERA DE REALIZACION DE COMITÉ PARA CASTIGO DE CARTERA</t>
  </si>
  <si>
    <t>https://alcart-my.sharepoint.com/:f:/g/personal/pagodesentencias_cartagena_gov_co/EvhNQx2bnDZDldyhrnzmC8kBa7NsVA5zLNTwvjR6CDV9ww?e=Jk2yIh</t>
  </si>
  <si>
    <t>CARLOS AYOLA CASTELLON</t>
  </si>
  <si>
    <t>13001-33-31-000-2012-00060-00</t>
  </si>
  <si>
    <t>JUZGADO NOVENO ADMINISTRATIVO DEL CIRCUITO DE CARTAGENA</t>
  </si>
  <si>
    <t>EMOLUMENTOS CORRESPONDIENTES A LA SEG SOCIAL,SE DEBE PAGAR LA DIFERENCIA PRESTACIONES SOCIALES, DE  SEGURIDAD SOCIAL   DEBIDO A QUE PERCIBIA SALARIOS MENOR A UN TRABAJADOR DE SU CARGO.</t>
  </si>
  <si>
    <t>QUEDÓ PENDIENTE AUTO SEGUIR ADELANTE CON LA EJECUCION</t>
  </si>
  <si>
    <t>https://alcart-my.sharepoint.com/:f:/g/personal/conciliaciones_cartagena_gov_co/Euoicv6iYA9MuXOczhMzd2ABbo0J8GUtrOxB9uxyqIcbNw?e=GsTI1L</t>
  </si>
  <si>
    <t>RUTH DEL CARMEN ALVAREZ PANTOJA</t>
  </si>
  <si>
    <t>13-001-33-33-002-2013-00115-00</t>
  </si>
  <si>
    <t>JUZGADO 2 ADMINISTRATIVO DEL CIRCUITO DE CARTAGENA/ 2 INSTANCIA TRIBUNAL ADMINISTRATIVO DE BOLIVAR</t>
  </si>
  <si>
    <t>SED REINTEGRO AL CARGO COD219 GRADO35, INDEMINIZACION  SALARIOS Y PRESTACIONES DEJADOS DE PERCIBIR HASTA LA ULTMA SENTENCIA DESCONTADO LAS SUMAS PERCIBIDAS POR LABORALES EN LO PUBLICO COMO EL PRIVADO, SIN Q LA SUMA A PAGAR POR INDEMNIZACION SEA INFERIOR A 6 MESES O MAYOR A 24 MESES DE SALARIO. TERMINOS CPACA SIN COSTAS</t>
  </si>
  <si>
    <t>AMC-OFI 0101257-2021, Oficio con respuiesta AMC OFI- 0116799-2021, se ofició por medio presente AMC OFI Amc Ofi 0116799-2021se solicitó certificacion de salarios para liquidar la sentencia / AMC-OFI-0116799-2021 LA RESPUESTA DE NO REINTEGRAR A LA DEMANDANTE POR EMITIRSE LISTA DE ELEGIBLE</t>
  </si>
  <si>
    <t>https://alcart-my.sharepoint.com/:f:/g/personal/conciliaciones_cartagena_gov_co/EgqiXigFpjRPpygssKJOPd8BLnnWVfoO7pJlLQ0xwVw5aA?e=f6orJD</t>
  </si>
  <si>
    <t>NORIS RAMOS LARA</t>
  </si>
  <si>
    <t>13001-33-31-001-201200053-01</t>
  </si>
  <si>
    <t>TRIBUNAL ADMINISTRATIVO DE BOLIVAR / SALA DE DECISION ESCRITURAL</t>
  </si>
  <si>
    <t>https://alcart-my.sharepoint.com/:b:/g/personal/conciliaciones_cartagena_gov_co/Ee3BiXTF4B9LuDGRJPPZHhcBNkj6QSC2xVd2CQAiIjB8Fg?e=VkajCy</t>
  </si>
  <si>
    <t>NOHEMÌ PACHECO DE LA ROSA</t>
  </si>
  <si>
    <t>130012331003-2003-00770-00</t>
  </si>
  <si>
    <t>En espera de Cálculo por parte de la entidad- Colpensiones, para efectuar el pago</t>
  </si>
  <si>
    <t>https://alcart-my.sharepoint.com/:b:/g/personal/conciliaciones_cartagena_gov_co/ESpPRf-JdpxAmjQZRWhI610BXCloN4Wq8DzhF8Dt1ARzrQ?e=cmkCOD</t>
  </si>
  <si>
    <t>MERCI PACHECO SILVA</t>
  </si>
  <si>
    <t>13-00123-31-000-2003-0077100</t>
  </si>
  <si>
    <t>JUZGADO PRIMERO ADMINISTRATIVO DEL CIRCUITO DE CARTAGENA/ TRIBUNAL ADMINISTRATIVO DE BOLIVAR</t>
  </si>
  <si>
    <t>EL PAGO DE APORTES A SEGURIDAD SOCIAL</t>
  </si>
  <si>
    <t>Solicitud de cálculo Actuarial ante Colpensiones/ En espera de Cálculo por  parte de la entidad, para efectuar el pago. para efectuar el pago</t>
  </si>
  <si>
    <t>https://alcart-my.sharepoint.com/:f:/g/personal/conciliaciones_cartagena_gov_co/EkKs7SRREwBGl82HMjXRwkEBeMQhdf3eFH8qBknT5Z43xA?e=Z3PKFa</t>
  </si>
  <si>
    <t>SOLICITADA AMC OFI AMC OFI 0129614-2022 al juzgado</t>
  </si>
  <si>
    <t>https://alcart-my.sharepoint.com/:f:/g/personal/conciliaciones_cartagena_gov_co/EtHGCM28oEZFsc7Au_BXQJUBlRN_Vcpp4vbiBcWhXe0big?e=7k3Jjl</t>
  </si>
  <si>
    <t xml:space="preserve">INCUMPLIMIENTO PARCIAL AL CONTRATO DE CONCESION, CONDENAR A PAGAR COSTAS Y AGENCIAS EN DERECHO </t>
  </si>
  <si>
    <t>https://alcart-my.sharepoint.com/:f:/g/personal/conciliaciones_cartagena_gov_co/EkUkOOchC-VNoOkkMltOMYABYyEvaS2Hxc0Eq1lX3x4RHg?e=iN5mkC</t>
  </si>
  <si>
    <t>FRANK MARTINEZ MEJIA</t>
  </si>
  <si>
    <t>13001-33-33-005-2015-00042-01</t>
  </si>
  <si>
    <t>JUZGADO QUINTO ADMINISTRATIVOS DEL CIRCUITO DE CARTAGENA</t>
  </si>
  <si>
    <t xml:space="preserve">PAGAR PRESTACIONES SOCIALES TOMANDO HONORARIOS CONTRACTUALES TODAS LAS QUE CORRESPONDAN A UN EMPLEADO CON FUNCIONES SIMILARES EN EL PERIODO COMPRENDIDO ENTRE EL 1 FEB DE 2006 HASTA 21 ENERO DE 2014, ASI COMO EL PAGO DE SEGURIDAD SOCIAL, EN LA DEBIDA PROPORCION, DE LA MISMA MANERA EL DEMANDANTE DEBE ACREDITAR EL PAGO DE SUS SEG SOCIAL PARA PODER REALIZAR EL PAGO DEL COMPLEMENTO  </t>
  </si>
  <si>
    <t>SE DEBE SOLICITAR CONSTANCIA EJECUTORIA, SOLICITAR AL DEMANDANTE QUE ACREDITE COTIZACIONES, SE DEBE SOLICITAR AL JUZGADO LA LIQUDACION DE LAS COSTAS, SE DEBE SOLICITAR SENTENCIAS A JUZGADOS</t>
  </si>
  <si>
    <t>MARTIN  DE  HORTA PERTUZ</t>
  </si>
  <si>
    <t>2003-00031-01</t>
  </si>
  <si>
    <t>JUZGADO OCTAVO LABORAL DEL CIRCUITO DE CARTAGENA</t>
  </si>
  <si>
    <t>INVESTIGAR SI EXISTIÓ PAGO DE APORTES A SISTEMA DE SEGURIDAD SOCIAL // SOLICITUD ARCHIVO AMC OFI 48298-2023</t>
  </si>
  <si>
    <t>https://alcart-my.sharepoint.com/:f:/g/personal/conciliaciones_cartagena_gov_co/Erflf_3U1TRKgMZf8o6UnKUBwyMU__EDRsUtaQcHNwaTww?e=J0XvAb</t>
  </si>
  <si>
    <t>CRISTOBAL  ALEJANDRO JACKSON MORALES</t>
  </si>
  <si>
    <t>13001-33-33-011-2013-00120-00</t>
  </si>
  <si>
    <t xml:space="preserve">JUZGADO DECIMO PRIMERO ADMINISTRATIVO DEL CIRCUITO DE CARTAGENA </t>
  </si>
  <si>
    <t>DESVINCULACION DE EMPLEADO NOMBRADO EN PROVISIONALIDAD</t>
  </si>
  <si>
    <t>SOLICITUD CONSTANCIA EJECUTORIA AMC OFI25864-2023- SOLICITUD COSTAS AMC OFI 52076-2023 Y SOLICITUD DE CERTIFICACION AMC 25850-2023</t>
  </si>
  <si>
    <t>https://alcart-my.sharepoint.com/:b:/g/personal/conciliaciones_cartagena_gov_co/EZ1--xrvCLpOit_tIUQSGuEBCcJWl96N3-1vbVLPxA7RwA?e=m1Jkr9</t>
  </si>
  <si>
    <t xml:space="preserve">RESPONSABILIDAD DEL ESTADO POR ENFERMEDAD PROFESIONAL DEL EMPLEADO PUBLICO </t>
  </si>
  <si>
    <t>Oficio AMC-OFI-0076350-2022
Solicitando la fecha ejecutoria</t>
  </si>
  <si>
    <t>https://alcart-my.sharepoint.com/:f:/g/personal/conciliaciones_cartagena_gov_co/ErBN18YtmJNMpmOU6QHPjTAB1msPUkB76WLf1-EfXwjZAw?e=4eZX1m</t>
  </si>
  <si>
    <t>MARIA BEGONIA UGARTE SANCHEZ</t>
  </si>
  <si>
    <t>13001-33-33-005-2017-00273-00</t>
  </si>
  <si>
    <t>JUZGADO QUINTO ADMINISTRATIVO DEL CIRCUITO DE CARTAGENA</t>
  </si>
  <si>
    <t>CONDENAN AL DT POR NO PAGO A CUOTA DE CONTRATO DE COMPRA VENTA/ numeral 8o del artículo 4o de la Ley 80 de 1993 desde 15 /02 /2001</t>
  </si>
  <si>
    <t>https://alcart-my.sharepoint.com/:b:/g/personal/conciliaciones_cartagena_gov_co/EWdFbBHcllxAlycIwYrlp5QB0sBl0qoToM7KsFdjSGBMzA?e=bdNdJl</t>
  </si>
  <si>
    <t>CONSORCIO INTERVENTORIA A Y C 2015</t>
  </si>
  <si>
    <t>13001-33-33-007-2018-00083-01</t>
  </si>
  <si>
    <t>JUZGADO SEPTIMO ADMINISTRATIVO DEL CIRCUITO / TRIBUNAL ADMINISTRATIVO DE BOLIVAR</t>
  </si>
  <si>
    <t>CONDENAN AL DT POR EL NO PAGO DEL CONTRATO DE INTERVENTORIA N°16 CUYO OBJETO ERA INTERV TECNICA, ADMINISTRATIVA Y FINANCIERA, AMBIENTAL AL CONTRATO DE EJECUCION DE CLAUSURA Y POSCLAUSURA DEL RELLENO SANITARIO HENEQUEN, SE LE ADEUDA LOS INTERESES MORA POR EL PAGO TARDÍO DEL CONTRATO  N° 16</t>
  </si>
  <si>
    <t>FALTA CONSTANCIA EJECUTORIA-</t>
  </si>
  <si>
    <t>https://alcart-my.sharepoint.com/:b:/g/personal/conciliaciones_cartagena_gov_co/ERr3-VgyqqJCqUPMFO3TZDgBVwaOFC3hHu1mVj5002TyaA?e=o4uJII</t>
  </si>
  <si>
    <t xml:space="preserve">ALEX MANSILLA GOMEZ </t>
  </si>
  <si>
    <t>13 001 33 33 011 2022 00107 00</t>
  </si>
  <si>
    <t>JUZGADO ONCE ADMINISTRATIVO DEL CIRCUITO DE CARTAGENA</t>
  </si>
  <si>
    <t>APROBAR el acuerdo conciliatorio celebrado entre el señor ALEX MANSILLA GOMEZ Y DISTRITO DE CARTAGENA DEPARTAMENTO ADMINISTRATIVO DE TRANSITO Y TRANSPORTE (DATT), el dia 17 de noviembre de 2021 ante la Procuraduria
130 Judicial II Para Asuntos Administrativos de Cartagena, por valor de CINCUENTA Y DOS MILLONES CIENTO SIETE MIL QUINIENTOS SETENTA Y OCHO PESOS M/CTE ($52.167.578, por adeudarle 221 días de sanción moratoria.
Segundo. - En firme esta providencia, expídanse a la parte convocante las copias necesarias para el Cumplimiento del acuerdo, con las constancias de ley. Advirtiendo que el acuerdo conciliatorio junto con la presente providencia presta mérito ejecutivo.</t>
  </si>
  <si>
    <t>BRANIUM SAS /SOCIEDADES AMIN BAJAIRE</t>
  </si>
  <si>
    <t>13001-33-33-011-2015-00212-01</t>
  </si>
  <si>
    <t>TRIBUNAL ADMINISTRATIVO DE BOLIVAR</t>
  </si>
  <si>
    <t>GLORIA PATRICIA MONSALVE BEDOYA</t>
  </si>
  <si>
    <t>13-001-33-33-001-0072016-00179-00</t>
  </si>
  <si>
    <t xml:space="preserve">JUZGADO SEPTIMO ADMINISTRATIVO DEL CIRCUITO DE CARTAGENA </t>
  </si>
  <si>
    <t>CONDENA CONTRATO DE ARRENDAMIENTOS</t>
  </si>
  <si>
    <t>EDWIN MOLINA SILGADO</t>
  </si>
  <si>
    <t>13001 -33-33-005-2017-00262-01</t>
  </si>
  <si>
    <t>TRIBUNAL ADMINISTRATIVO DE BOLÍVAR</t>
  </si>
  <si>
    <t>DATT durante dos periodos de tiempo comprendidos entre el 25 febrero de 2011 y el 25 de septiembre de 2011; y entre el (i)24 de febrero
1 2012 hasta el 31 de enero del 2015, espacios de tiempo entre los cuales istió solución de continuidad, por las razones anotadas en esta providencia.  las prestaciones sociales que correspondan a un empleado con funciones similares a las desempeñadas por él en la entidad, tomando como base los honorarios contractuales durante el período el periodo comprendido entre el 24 de febrero del 2012
hasta el 31 de enero del 2015. Así como el pago de los porcentajes de cotización correspondientes a pensiones que, la entidad demandada debió trasladar a las entidades correspondientes, en la debida proporción, para que el tiempo laborado bajo la modalidad de contrato de prestación de servicios, pero bajo una verdadera relación laboral, sea computado para efectos pensiónales, mes a mes, y si existe diferencia entre los aportes realizados por el señor Molina Silgado, como contratista y los que se debieron efectuar, deberá cotizar al respectivo fondo de pensiones la suma faltante en concepto de aportes, pero solo en el porcentaje que le correspondía como empleado, lo anterior, para los periodos comprendidos entre el 25 febrero de 2011 y el 25 de septiembre de 2011; y entre el 24 de febrero del 2012 hasta el
31 de enero del 2015,</t>
  </si>
  <si>
    <t>SE SOLICITÓ CERTF SALARIOS AMC OFI-0028754-2023</t>
  </si>
  <si>
    <t>PRIMERO: MODIFICAR los numerales dos, tres y cuatro de la sentencia de fecha veinticinco (25) de febrero dos mil diecinueve (2019), proferida por el Juzgado Quinto Administrativo del Circuito de Cartagena, por las razones expuestas en la parte motiva de esta providencia; la cual quedará así: SEGUNDO: DECLÁRASE la existencia de una relación laboral entre EDWIN MOLINA SILGADO y la entidad demandada DISTRITO DE CARTAGENA DE</t>
  </si>
  <si>
    <t>REFINERIA DE CARTAGENA S.A.</t>
  </si>
  <si>
    <t>13001-23-33-000-2013-00325-01 (25475)</t>
  </si>
  <si>
    <t>13001-23-31-000-2010-00421-01</t>
  </si>
  <si>
    <t>FUNDACIÓN HINCAPIE HIJOS</t>
  </si>
  <si>
    <t>13001-33-33-011-2016-00092-01</t>
  </si>
  <si>
    <t>SOCIEDAD TUBOTEC SA</t>
  </si>
  <si>
    <t>13001-33-31-010-2012-00155-02</t>
  </si>
  <si>
    <t>TRIBUNAL ADMINISTRATIVO BOLIVAR</t>
  </si>
  <si>
    <t>Se necesita solicitar el expediente. 
No se tiene constancia de ejecutoria</t>
  </si>
  <si>
    <t>Cerver e Hijos Ltda. En liquidación</t>
  </si>
  <si>
    <t>13001-33-33-005-2018-00101-01</t>
  </si>
  <si>
    <t>PROMOAMBIENTAL CARIBE SA ESP</t>
  </si>
  <si>
    <t>13001-23-31-000-2009-00548-01 (51992)_x000D_</t>
  </si>
  <si>
    <t>MARIA BEGONIA UGARTE</t>
  </si>
  <si>
    <t>13001-23-33-005-2017-00273-01_x000D_</t>
  </si>
  <si>
    <t>INVERSIONES PAYSANDU SAS</t>
  </si>
  <si>
    <t>13001-33-33-005-2017-00290-01_x000D_</t>
  </si>
  <si>
    <t>FALTA LIQUIDAR INTERESE</t>
  </si>
  <si>
    <t>JOSÉ BARACALDO</t>
  </si>
  <si>
    <t>13001-33-33-007-2018-00060-01</t>
  </si>
  <si>
    <t>ETTY JULIETH CALVO</t>
  </si>
  <si>
    <t>13-001-33-33-005-2018-00001-01_x000D_</t>
  </si>
  <si>
    <t>DAVID CABARCAS</t>
  </si>
  <si>
    <t>13-001-33-33-011-2018-00113-01</t>
  </si>
  <si>
    <t>ORLANDO VILLADIEGO</t>
  </si>
  <si>
    <t>13-001-33-33-005-2018-00087-01_x000D_</t>
  </si>
  <si>
    <t>MARIA AURA SANCHEZ</t>
  </si>
  <si>
    <t>13-001-33-33-002-2015-00199-01_x000D_</t>
  </si>
  <si>
    <t>COOMEVA EPS SSA</t>
  </si>
  <si>
    <t>13001-23-33-000-2014-00156-02 (26828)</t>
  </si>
  <si>
    <t>ERICK GARCÍA ESTRADA</t>
  </si>
  <si>
    <t>13-001-33-33-004-2017-00281-01</t>
  </si>
  <si>
    <t>WILBERTO ELIAS JUNCO MARTINEZ</t>
  </si>
  <si>
    <t>13-001-33-33-004-2017-00074-01</t>
  </si>
  <si>
    <t>CONTRATO REALIDADpago  de prestación sociales, por el periodo comprendido entre el 26de enero de 2009 y el 31 de marzo de 2009- la cuota  parte  de  los aportes  que  por  concepto  de  pensión  que  le  corresponden  al  respectivo Fondo  de  Pensiones  al  que  se  encuentre  afiliado  el  actor  por  el  tiempo comprendidoentre el 26de enero de 2009 y el 31 de marzo de 2009,teniendo como ingreso   base   de   cotización   (IBC)   pensional   del demandante   los honorarios pactados en las órdenes de servicios y contratos de prestación de servicios.</t>
  </si>
  <si>
    <t>https://alcart-my.sharepoint.com/:b:/g/personal/conciliaciones_cartagena_gov_co/EfqCI9PZzR1Ah5uTFTlRHqsBh3xzMG_UCbvrtLrWmjfm8Q?e=pCbPZb</t>
  </si>
  <si>
    <t>ANTONIO ORTIZ MIRANDA</t>
  </si>
  <si>
    <t>13-001-33-33-002-2018-00205-01</t>
  </si>
  <si>
    <t>Contrato realidad - DATT</t>
  </si>
  <si>
    <t>https://alcart-my.sharepoint.com/:b:/g/personal/conciliaciones_cartagena_gov_co/EZO7IRvX_V1Iq1H4SPg-xS8B6Rr2vLnBUEGTGSnS7C2w7Q?e=fbJvPA</t>
  </si>
  <si>
    <t>TERESA MARTINEZ VELLOJIN</t>
  </si>
  <si>
    <t>13001-33-40-015-2016-00192-00</t>
  </si>
  <si>
    <t>JUZGADO DECIMO QUINTO ADMINISTRATIVO DE BOLIVAR</t>
  </si>
  <si>
    <t xml:space="preserve">Contrato realidad </t>
  </si>
  <si>
    <t>COOMEVA EPS</t>
  </si>
  <si>
    <t>13001-23-33-000-2014-00156-00</t>
  </si>
  <si>
    <t>SILENCIO ADMINISTRATIVO POSITIVO</t>
  </si>
  <si>
    <t>JESUS MARIA MARTINEZ CASTRO Y OTROS</t>
  </si>
  <si>
    <t>13001-23-31-000-2003-01744-02</t>
  </si>
  <si>
    <t xml:space="preserve">CONSEJO DE ESTADO </t>
  </si>
  <si>
    <t xml:space="preserve">CONDENA POR DAÑO EMERGENTE, LUCRO CESANTE </t>
  </si>
  <si>
    <t>la liquidacion de la sentencia depende de un peritazgo</t>
  </si>
  <si>
    <t>CONSORCIO CARIBE</t>
  </si>
  <si>
    <t>13001-33-31-004-2018-00252-00</t>
  </si>
  <si>
    <t>JUZGADO CUARTO ADMINISTRATIVO DEL CIRCUITO DE CARTAGENA</t>
  </si>
  <si>
    <t>SALDO PENDIENTE LIQUIDACION DE CONTRATO MAS INT MORA/ LEY 80 1993</t>
  </si>
  <si>
    <t>HOSPITAL SAMARITANO ESE</t>
  </si>
  <si>
    <t xml:space="preserve">NURC </t>
  </si>
  <si>
    <t>PAGO VERIFICACION TECNICA Y JURIDICA DEL TRÁMITE DE AUDOTORIA</t>
  </si>
  <si>
    <t>DADIS</t>
  </si>
  <si>
    <t xml:space="preserve">MARGARITA MORALES GONZALES/ JOSE DE LA ENCARNACION MORALES </t>
  </si>
  <si>
    <t>13001-31-05-007-2017-00314-00</t>
  </si>
  <si>
    <t xml:space="preserve">JUZGADO 7° LABORAL DEL CIRCUITO DE CARTAGENA/ Tribunal Superior del Distrito Judicial- Sla Tercera Laboral </t>
  </si>
  <si>
    <t xml:space="preserve">Oficio AMC-OFI-0019974-2021/ SE DEBE REMITIR AL Fondo de Pensiones </t>
  </si>
  <si>
    <r>
      <rPr>
        <b/>
        <sz val="10"/>
        <rFont val="Arial"/>
        <family val="2"/>
      </rPr>
      <t xml:space="preserve">ACTIVO </t>
    </r>
    <r>
      <rPr>
        <sz val="10"/>
        <rFont val="Arial"/>
        <family val="2"/>
      </rPr>
      <t xml:space="preserve"> Sentencia del 18 de marzo de 2016, decreta robado oficiosamente el pago parcial de la Obligación y ordenó seguirn adelante con la ejecución del Crédito  por $ 21.672.286</t>
    </r>
  </si>
  <si>
    <t>REMITIR A FONDO DE PENSIONES</t>
  </si>
  <si>
    <t>INES ISABEL VISBAL</t>
  </si>
  <si>
    <t>13001-33-33-007-2013-00011-01</t>
  </si>
  <si>
    <t>ANYELIS BARRIOS</t>
  </si>
  <si>
    <t>13-001-33-33-005-2014-00228-01_x000D_</t>
  </si>
  <si>
    <t>ADOLFO ENRIQUE HERRERA MONSALVE</t>
  </si>
  <si>
    <t>13001-23-33-000-2015-00326-01 (63722)</t>
  </si>
  <si>
    <t>CONFIRMAR la sentencia del 30 de enero de 2019 proferida por el Tribunal Administrativo de Bolívar. CONDENAR en costas en segunda instancia a la parte demandante, de conformidad con lo expuesto en la parte motiva de esta providencia.</t>
  </si>
  <si>
    <t>MARITZZA CORREA Y OTRA</t>
  </si>
  <si>
    <t>13-001-33-33-004-2019-00175-01</t>
  </si>
  <si>
    <t>Inversiones Salas Araújo y Compañía</t>
  </si>
  <si>
    <t>13001-23-33-000-2017-00676-01 (25012)</t>
  </si>
  <si>
    <t>SILVIO FAJARDO</t>
  </si>
  <si>
    <t>13001 23 33 000 2015 00395 01 (1089-2020)</t>
  </si>
  <si>
    <t>ANGELINA GÓMEZ DE BENEDETTY Y OTROS</t>
  </si>
  <si>
    <t>13-001-33-31-010-2008-00098-00</t>
  </si>
  <si>
    <t>Juzgado 10° Adtivo del Cto./ Tribunal Adtivo de Bol.</t>
  </si>
  <si>
    <t xml:space="preserve"> PAGAR A LOS DEMANDANTES POR CONCEPTO DE PERJUICIOS MATERIALES, LOTE No 1- matricula inmobiliaria 060-27599  $ 2.000.000.000, LOTE No 2 MATRICULA INMOBILIARIA 060-25818-$ 1.670.300.000. TOTAL $ 3.670.300.000</t>
  </si>
  <si>
    <t>SE EXCLUYE DEL CUADRO DE PASIVOS PORQUE TIENE MEDIDAS CAUTELARES DE EMBARGO APLICADAS</t>
  </si>
  <si>
    <t>PAGADA</t>
  </si>
  <si>
    <t>OSCAR ANDRADE SOSA</t>
  </si>
  <si>
    <t>ACCION POPULAR / FIJACION HONORARIOS DE PERITO</t>
  </si>
  <si>
    <t>13001-33-33-012-2021-00177-00</t>
  </si>
  <si>
    <t>JUZGADO DECIMO SEGUNDO ADMINISTRATIVO ORAL DEL CIRCUITO DE CARTAGENA</t>
  </si>
  <si>
    <t>FIJA HONORARIOS DEL PERITO, DEFENSORIA DEL PUEBLO</t>
  </si>
  <si>
    <t xml:space="preserve"> 04/03/2022</t>
  </si>
  <si>
    <t>NOTIFICADO POR ESTADO N°017 DE 7/03/22</t>
  </si>
  <si>
    <t>https://alcart-my.sharepoint.com/:f:/g/personal/conciliaciones_cartagena_gov_co/Ein_px1MlYdMtlp3Gvh7oakBuZMP1j3xC5hagwC-CQpfmw?e=7yy9Ib</t>
  </si>
  <si>
    <t>f</t>
  </si>
  <si>
    <t>INSERCOL LTDA (2014-158)</t>
  </si>
  <si>
    <t>EMBARGO AL DT</t>
  </si>
  <si>
    <t>SE NOTIFICÓ EMBARGO POR PARTE DE JUZGADO DE CONOCIMIENTO A LAS CUENTAS DEL DISTRITO POR VALOR $6,641,649,384</t>
  </si>
  <si>
    <t>https://alcart-my.sharepoint.com/:f:/g/personal/conciliaciones_cartagena_gov_co/Encv_g7Zx49Go9gbmFf0XoUBT_DXu5Rk-qPyeRNrm6Hg7w?e=Lnio6D</t>
  </si>
  <si>
    <t>FALTA LA LIQUIDACIÒN DEL CRÈDITO. ÙLTIMA ACTUACIÒN JUDICIAL FUE EL 4 DE OCTUBRE DE 2016, SIN IMPULSO PROCESAL. POSIBLE DESISTIMIENTO.</t>
  </si>
  <si>
    <r>
      <t xml:space="preserve">Juzg. 8 libró mandamiento, en virtud de nuevo reparto conoció Juzgado 6, que dictó auto de seguir adelante con la ejecución.  SE SUMARON LAS COSTAS DE LA PRIMERA INSTANCIA (10% DEL TOTAL DE LA OBLIGACIÒN) + LAS COSTAS DE SEGUNDA INSTANCIA ($812,975).  </t>
    </r>
    <r>
      <rPr>
        <b/>
        <sz val="8"/>
        <color rgb="FF000000"/>
        <rFont val="Verdana"/>
        <family val="2"/>
      </rPr>
      <t>NO SE INCLUYE EN SANEAMIENTO, DEBIDO A QUE SE ENCUENTRA PENDIENTE LA LIQUIDACIÒN Y APROBACIÒN DEL CRÈDITO (INCIDENTE DE LIQUIDACIÒN</t>
    </r>
    <r>
      <rPr>
        <sz val="8"/>
        <color rgb="FF000000"/>
        <rFont val="Verdana"/>
        <family val="2"/>
      </rPr>
      <t>)</t>
    </r>
  </si>
  <si>
    <t>(Todas)</t>
  </si>
  <si>
    <t>Cuenta de ESTADO DEL PROCESO</t>
  </si>
  <si>
    <t>AÑO EJECUTORIA</t>
  </si>
  <si>
    <r>
      <t xml:space="preserve">LA CONDENA FUE DICTADA EN ABSTRACTO DEBIDO A QUE SE DESCONOCÌA EL VALOR DEL INMUEBLE. CONSEJO DE ESTADO ORDENÒ RECONOCER EL 6% DE INTERESES LEGALES DURANTE EL PERIODO COMPRENDIDO ENTRE EL MES DE SEPTIEMBRE DE 1995 , FECHA PARA LA QUE SE ESPERABA DISPONER DEL INMUEBLE Y EL 6 DE SEPTIEMBRE DE 1996, FECHA DEL FALLO DE TUTELA QUE AMPARÒ EL DERECHO FUNDAMENTAL AL DEBIDO PROCESO Y ORDENÒ LA SUSPENSIÒN DE LAS RESOLUCIONES DEMANDADAS. Mediante auto del  18 de diciembre de 2018, se resolviò abrir incidente de liquidaciòn; la apoderada de la demandante estimò la suma de $110,492,098,99, el cual fue objetado por el poderado del Distrito de Cartagena. </t>
    </r>
    <r>
      <rPr>
        <b/>
        <sz val="8"/>
        <rFont val="Verdana"/>
        <family val="2"/>
      </rPr>
      <t>NO SE INCLUYE EN SANEAMIENTO TODA VEZ QUE ESTÀ PENDIENTE LA DECISIÒN ACERCA DE LA OBJECIÒN FRENTE AL INCIDENTE DE LIQUIDACIÒN DE LOS PERJUICIOS.</t>
    </r>
  </si>
  <si>
    <t>Liquidado de acuerdo a la certificacion recibida por medio de Oficio AMC-OFI-0084366-2022</t>
  </si>
  <si>
    <t>ESTUDIAR SI EXISTE DIFERENCIA ENTRE LOS APARTES QUE SE COSIGNARON Y LOS QUE SE DEBIERON CONSIGNAR, COTIZAR AL RESPECTIVO FONDO LA SUMA FALTANTE</t>
  </si>
  <si>
    <t>AMC OFI 0010372-2022 4fEB- SOLICITUD CERTF SALARIOS INPEC/ AMC OFI0010406-2022 SOLICITUD DE DOC/ SUSPENSIÓN DE INTERESES POR FALTA DE SOCLICITUD DE COBRO</t>
  </si>
  <si>
    <t>EN BUSQUEDA INFORMACION- SE VA OFICIAR</t>
  </si>
  <si>
    <t>SALARIOS DEJADOS DE PERCIBIR, PRESTACIONES SOCIALES Y APORTES A SEG SOCIAL</t>
  </si>
  <si>
    <t>ESTAMOS A LA ESPERA DE 2 INSTANCIA POR FALTA DE CRITERIOS PARA LA LIQUIDACION DE INTERESES</t>
  </si>
  <si>
    <t>Falta solicitud cobro y constancia Ejecutoria</t>
  </si>
  <si>
    <t xml:space="preserve">PENDIENTE APERTURA DE INCIDENTE LIQUIDATORIO DE LAS MEJORAS ADEUDADAS POR EL DISTRITO DE CARTAGENA. </t>
  </si>
  <si>
    <t>13-001-33-33-002-2013-00115-01</t>
  </si>
  <si>
    <t>Se encuentra tramite de pago calculo actuarial (recurso de reposicion)</t>
  </si>
  <si>
    <t xml:space="preserve">INVESTIGAR SI EXISTIÓ PAGO DE APORTES A SISTEMA DE SEGURIDAD SOCIAL </t>
  </si>
  <si>
    <t>FIDUCOLDEX</t>
  </si>
  <si>
    <t>13001-23-33-000-2015-00637-01 (26127)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</si>
</sst>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164" formatCode="&quot;$&quot;\ #,##0;[Red]\-&quot;$&quot;\ #,##0"/>
    <numFmt numFmtId="165" formatCode="&quot;$&quot;\ #,##0.00;[Red]\-&quot;$&quot;\ #,##0.00"/>
    <numFmt numFmtId="166" formatCode="_-&quot;$&quot;\ * #,##0.00_-;\-&quot;$&quot;\ * #,##0.00_-;_-&quot;$&quot;\ * &quot;-&quot;??_-;_-@_-"/>
    <numFmt numFmtId="167" formatCode="_-* #,##0.00_-;\-* #,##0.00_-;_-* &quot;-&quot;??_-;_-@_-"/>
    <numFmt numFmtId="168" formatCode="_ &quot;$&quot;\ * #,##0.00_ ;_ &quot;$&quot;\ * \-#,##0.00_ ;_ &quot;$&quot;\ * &quot;-&quot;??_ ;_ @_ "/>
    <numFmt numFmtId="169" formatCode="_ * #,##0.00_ ;_ * \-#,##0.00_ ;_ * &quot;-&quot;??_ ;_ @_ "/>
    <numFmt numFmtId="170" formatCode="0.000"/>
    <numFmt numFmtId="171" formatCode="mmm\-yyyy"/>
    <numFmt numFmtId="172" formatCode="#,##0\ _€"/>
    <numFmt numFmtId="173" formatCode="0.000%"/>
    <numFmt numFmtId="174" formatCode="_ * #,##0_ ;_ * \-#,##0_ ;_ * &quot;-&quot;??_ ;_ @_ "/>
    <numFmt numFmtId="175" formatCode="dd\-mmm\-yyyy"/>
    <numFmt numFmtId="176" formatCode="0.0%"/>
    <numFmt numFmtId="177" formatCode="_ &quot;$&quot;\ * #,##0_ ;_ &quot;$&quot;\ * \-#,##0_ ;_ &quot;$&quot;\ * &quot;-&quot;??_ ;_ @_ "/>
    <numFmt numFmtId="178" formatCode="0.00000"/>
    <numFmt numFmtId="179" formatCode="0.0"/>
    <numFmt numFmtId="180" formatCode="_-&quot;$&quot;\ * #,##0_-;\-&quot;$&quot;\ * #,##0_-;_-&quot;$&quot;\ * &quot;-&quot;??_-;_-@_-"/>
    <numFmt numFmtId="181" formatCode="&quot; &quot;[$$-240A]#,##0&quot; &quot;;&quot;-&quot;[$$-240A]#,##0&quot; &quot;;&quot; &quot;[$$-240A]&quot;-&quot;00&quot; &quot;;&quot; &quot;@&quot; &quot;"/>
    <numFmt numFmtId="182" formatCode="0.0000%"/>
    <numFmt numFmtId="183" formatCode="&quot;$&quot;\ #,##0.00"/>
    <numFmt numFmtId="184" formatCode="#,##0.00000"/>
    <numFmt numFmtId="185" formatCode="&quot;$&quot;\ #,##0.00000"/>
    <numFmt numFmtId="186" formatCode="_-&quot;$&quot;* #,##0_-;\-&quot;$&quot;* #,##0_-;_-&quot;$&quot;* &quot;-&quot;??_-;_-@_-"/>
    <numFmt numFmtId="187" formatCode="#,##0.0000000"/>
    <numFmt numFmtId="188" formatCode="0.000000000"/>
    <numFmt numFmtId="189" formatCode="#,##0.000"/>
    <numFmt numFmtId="190" formatCode="_-* #,##0.000_-;\-* #,##0.000_-;_-* &quot;-&quot;???_-;_-@_-"/>
    <numFmt numFmtId="191" formatCode="General_)"/>
    <numFmt numFmtId="192" formatCode="0.00000%"/>
    <numFmt numFmtId="193" formatCode="_-* #,##0.00\ [$€]_-;\-* #,##0.00\ [$€]_-;_-* &quot;-&quot;??\ [$€]_-;_-@_-"/>
    <numFmt numFmtId="194" formatCode="_ * #,##0.00000_ ;_ * \-#,##0.00000_ ;_ * &quot;-&quot;??_ ;_ @_ "/>
    <numFmt numFmtId="195" formatCode="_ &quot;$&quot;\ * #,##0.0000_ ;_ &quot;$&quot;\ * \-#,##0.0000_ ;_ &quot;$&quot;\ * &quot;-&quot;??_ ;_ @_ "/>
    <numFmt numFmtId="196" formatCode="_-* #,##0_-;\-* #,##0_-;_-* &quot;-&quot;??_-;_-@_-"/>
    <numFmt numFmtId="197" formatCode="_-&quot;$&quot;\ * #,##0.000_-;\-&quot;$&quot;\ * #,##0.000_-;_-&quot;$&quot;\ * &quot;-&quot;???_-;_-@_-"/>
    <numFmt numFmtId="198" formatCode="_-&quot;$&quot;* #,##0.00_-;\-&quot;$&quot;* #,##0.00_-;_-&quot;$&quot;* &quot;-&quot;??_-;_-@_-"/>
    <numFmt numFmtId="199" formatCode="_-&quot;$&quot;\ * #,##0_-;\-&quot;$&quot;\ * #,##0_-;_-&quot;$&quot;\ * &quot;-&quot;?_-;_-@_-"/>
    <numFmt numFmtId="200" formatCode="_-* #,##0.0_-;\-* #,##0.0_-;_-* &quot;-&quot;??_-;_-@_-"/>
    <numFmt numFmtId="201" formatCode="_ * #,##0.0000000_ ;_ * \-#,##0.0000000_ ;_ * &quot;-&quot;??_ ;_ @_ "/>
    <numFmt numFmtId="202" formatCode="_-&quot;$&quot;\ * #,##0_-;\-&quot;$&quot;\ * #,##0_-;_-&quot;$&quot;\ * &quot;-&quot;????_-;_-@_-"/>
    <numFmt numFmtId="203" formatCode="#,##0.00\ _€"/>
    <numFmt numFmtId="204" formatCode="00000000000"/>
    <numFmt numFmtId="205" formatCode="00"/>
    <numFmt numFmtId="206" formatCode="yyyy"/>
    <numFmt numFmtId="207" formatCode="_-&quot;$&quot;\ * #,##0.00_-;\-&quot;$&quot;\ * #,##0.00_-;_-&quot;$&quot;\ * &quot;-&quot;????_-;_-@_-"/>
  </numFmts>
  <fonts count="11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1"/>
      <name val="Arial"/>
      <family val="2"/>
    </font>
    <font>
      <sz val="8"/>
      <name val="Arial"/>
      <family val="2"/>
    </font>
    <font>
      <b/>
      <sz val="8"/>
      <name val="Arial"/>
      <family val="2"/>
    </font>
    <font>
      <sz val="9"/>
      <name val="Arial"/>
      <family val="2"/>
    </font>
    <font>
      <b/>
      <sz val="9"/>
      <name val="Arial"/>
      <family val="2"/>
    </font>
    <font>
      <sz val="9"/>
      <color indexed="81"/>
      <name val="Tahoma"/>
      <family val="2"/>
    </font>
    <font>
      <b/>
      <sz val="9"/>
      <color indexed="81"/>
      <name val="Tahoma"/>
      <family val="2"/>
    </font>
    <font>
      <sz val="8"/>
      <name val="Arial"/>
      <family val="2"/>
    </font>
    <font>
      <sz val="11"/>
      <name val="Arial"/>
      <family val="2"/>
    </font>
    <font>
      <sz val="12"/>
      <name val="Arial"/>
      <family val="2"/>
    </font>
    <font>
      <b/>
      <sz val="12"/>
      <name val="Arial"/>
      <family val="2"/>
    </font>
    <font>
      <sz val="8"/>
      <name val="Arial"/>
      <family val="2"/>
    </font>
    <font>
      <sz val="11"/>
      <name val="Calibri"/>
      <family val="2"/>
    </font>
    <font>
      <sz val="8"/>
      <name val="Arial"/>
      <family val="2"/>
    </font>
    <font>
      <sz val="11"/>
      <color theme="1"/>
      <name val="Calibri"/>
      <family val="2"/>
      <scheme val="minor"/>
    </font>
    <font>
      <sz val="11"/>
      <color theme="0"/>
      <name val="Calibri"/>
      <family val="2"/>
      <scheme val="minor"/>
    </font>
    <font>
      <sz val="8"/>
      <name val="Calibri"/>
      <family val="2"/>
      <scheme val="minor"/>
    </font>
    <font>
      <sz val="8"/>
      <color rgb="FF000000"/>
      <name val="Calibri"/>
      <family val="2"/>
    </font>
    <font>
      <sz val="10"/>
      <color rgb="FFFF0000"/>
      <name val="Arial"/>
      <family val="2"/>
    </font>
    <font>
      <b/>
      <sz val="9"/>
      <color rgb="FF000000"/>
      <name val="Calibri"/>
      <family val="2"/>
    </font>
    <font>
      <sz val="8"/>
      <color theme="1"/>
      <name val="Arial"/>
      <family val="2"/>
    </font>
    <font>
      <b/>
      <sz val="8"/>
      <color indexed="81"/>
      <name val="Tahoma"/>
      <family val="2"/>
    </font>
    <font>
      <sz val="8"/>
      <color indexed="81"/>
      <name val="Tahoma"/>
      <family val="2"/>
    </font>
    <font>
      <b/>
      <sz val="10"/>
      <color rgb="FFFF0000"/>
      <name val="Arial"/>
      <family val="2"/>
    </font>
    <font>
      <sz val="10"/>
      <color theme="1"/>
      <name val="Arial"/>
      <family val="2"/>
    </font>
    <font>
      <b/>
      <sz val="11"/>
      <color theme="1"/>
      <name val="Calibri"/>
      <family val="2"/>
      <scheme val="minor"/>
    </font>
    <font>
      <sz val="11"/>
      <color rgb="FF222222"/>
      <name val="Arial"/>
      <family val="2"/>
    </font>
    <font>
      <sz val="7"/>
      <color rgb="FF222222"/>
      <name val="Times New Roman"/>
      <family val="1"/>
    </font>
    <font>
      <sz val="8"/>
      <color rgb="FF222222"/>
      <name val="Arial"/>
      <family val="1"/>
    </font>
    <font>
      <b/>
      <sz val="12"/>
      <color theme="1"/>
      <name val="Verdana"/>
      <family val="2"/>
    </font>
    <font>
      <b/>
      <sz val="8"/>
      <color theme="1"/>
      <name val="Verdana"/>
      <family val="2"/>
    </font>
    <font>
      <b/>
      <sz val="8"/>
      <name val="Verdana"/>
      <family val="2"/>
    </font>
    <font>
      <b/>
      <sz val="8"/>
      <color rgb="FF000000"/>
      <name val="Verdana"/>
      <family val="2"/>
    </font>
    <font>
      <sz val="8"/>
      <name val="Verdana"/>
      <family val="2"/>
    </font>
    <font>
      <sz val="8"/>
      <color rgb="FF000000"/>
      <name val="Verdana"/>
      <family val="2"/>
    </font>
    <font>
      <sz val="8"/>
      <color indexed="8"/>
      <name val="Verdana"/>
      <family val="2"/>
    </font>
    <font>
      <sz val="6"/>
      <name val="Verdana"/>
      <family val="2"/>
    </font>
    <font>
      <sz val="9"/>
      <name val="Segoe UI"/>
      <family val="2"/>
      <charset val="204"/>
    </font>
    <font>
      <sz val="11"/>
      <color theme="1"/>
      <name val="Verdana"/>
      <family val="2"/>
    </font>
    <font>
      <sz val="12"/>
      <color rgb="FF222222"/>
      <name val="Arial"/>
      <family val="2"/>
    </font>
    <font>
      <b/>
      <sz val="12"/>
      <name val="Helv"/>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9C6500"/>
      <name val="Calibri"/>
      <family val="2"/>
      <scheme val="minor"/>
    </font>
    <font>
      <b/>
      <sz val="18"/>
      <color theme="3"/>
      <name val="Cambria"/>
      <family val="2"/>
      <scheme val="major"/>
    </font>
    <font>
      <sz val="11"/>
      <color theme="1"/>
      <name val="Calibri"/>
      <family val="2"/>
    </font>
    <font>
      <b/>
      <sz val="8"/>
      <color theme="1"/>
      <name val="Arial"/>
      <family val="2"/>
    </font>
    <font>
      <u/>
      <sz val="10"/>
      <color theme="10"/>
      <name val="Arial"/>
      <family val="2"/>
    </font>
    <font>
      <b/>
      <sz val="11"/>
      <name val="Helv"/>
    </font>
    <font>
      <b/>
      <sz val="9"/>
      <name val="Helv"/>
    </font>
    <font>
      <sz val="9"/>
      <color theme="1"/>
      <name val="Arial"/>
      <family val="2"/>
    </font>
    <font>
      <b/>
      <sz val="9"/>
      <color theme="1"/>
      <name val="Arial"/>
      <family val="2"/>
    </font>
    <font>
      <b/>
      <sz val="9"/>
      <name val="Arial Narrow"/>
      <family val="2"/>
    </font>
    <font>
      <sz val="9"/>
      <name val="Arial Narrow"/>
      <family val="2"/>
    </font>
    <font>
      <sz val="10"/>
      <name val="Arial Narrow"/>
      <family val="2"/>
    </font>
    <font>
      <b/>
      <sz val="11"/>
      <name val="Arial Narrow"/>
      <family val="2"/>
    </font>
    <font>
      <b/>
      <sz val="10"/>
      <name val="Arial Narrow"/>
      <family val="2"/>
    </font>
    <font>
      <sz val="11"/>
      <name val="Arial Narrow"/>
      <family val="2"/>
    </font>
    <font>
      <b/>
      <sz val="8"/>
      <color theme="1"/>
      <name val="Arial Narrow"/>
      <family val="2"/>
    </font>
    <font>
      <sz val="8"/>
      <name val="Arial Narrow"/>
      <family val="2"/>
    </font>
    <font>
      <b/>
      <sz val="8"/>
      <name val="Arial Narrow"/>
      <family val="2"/>
    </font>
    <font>
      <b/>
      <sz val="9"/>
      <color theme="1"/>
      <name val="Arial Narrow"/>
      <family val="2"/>
    </font>
    <font>
      <b/>
      <sz val="9"/>
      <color rgb="FF000000"/>
      <name val="Arial Narrow"/>
      <family val="2"/>
    </font>
    <font>
      <sz val="9"/>
      <color rgb="FF000000"/>
      <name val="Arial Narrow"/>
      <family val="2"/>
    </font>
    <font>
      <sz val="8"/>
      <color rgb="FFFF0000"/>
      <name val="Arial Narrow"/>
      <family val="2"/>
    </font>
    <font>
      <sz val="8"/>
      <color theme="1"/>
      <name val="Arial Narrow"/>
      <family val="2"/>
    </font>
    <font>
      <sz val="8"/>
      <color rgb="FF000000"/>
      <name val="Arial Narrow"/>
      <family val="2"/>
    </font>
    <font>
      <sz val="8"/>
      <name val="Arial"/>
      <family val="2"/>
    </font>
    <font>
      <sz val="8"/>
      <color rgb="FFFF0000"/>
      <name val="Arial"/>
      <family val="2"/>
    </font>
    <font>
      <b/>
      <sz val="8"/>
      <color rgb="FF000000"/>
      <name val="Arial Narrow"/>
      <family val="2"/>
    </font>
    <font>
      <sz val="10"/>
      <name val="Verdana"/>
      <family val="2"/>
    </font>
    <font>
      <sz val="10"/>
      <color rgb="FF000000"/>
      <name val="Verdana"/>
      <family val="2"/>
    </font>
    <font>
      <sz val="10"/>
      <color rgb="FF000000"/>
      <name val="Calibri"/>
      <family val="2"/>
    </font>
    <font>
      <sz val="12"/>
      <name val="Arial Narrow"/>
      <family val="2"/>
    </font>
    <font>
      <sz val="8"/>
      <name val="Arial"/>
      <family val="2"/>
    </font>
    <font>
      <sz val="9"/>
      <name val="Verdana"/>
      <family val="2"/>
    </font>
    <font>
      <b/>
      <sz val="8"/>
      <color indexed="8"/>
      <name val="Arial Narrow"/>
      <family val="2"/>
    </font>
    <font>
      <sz val="11"/>
      <color indexed="8"/>
      <name val="Calibri"/>
      <family val="2"/>
    </font>
    <font>
      <b/>
      <sz val="8"/>
      <color indexed="10"/>
      <name val="Arial"/>
      <family val="2"/>
    </font>
    <font>
      <sz val="8"/>
      <color indexed="10"/>
      <name val="Arial"/>
      <family val="2"/>
    </font>
    <font>
      <b/>
      <sz val="12"/>
      <name val="Arial Narrow"/>
      <family val="2"/>
    </font>
    <font>
      <sz val="8"/>
      <color indexed="8"/>
      <name val="Arial Narrow"/>
      <family val="2"/>
    </font>
    <font>
      <b/>
      <sz val="10"/>
      <color rgb="FF000000"/>
      <name val="Arial Narrow"/>
      <family val="2"/>
    </font>
    <font>
      <sz val="10"/>
      <color rgb="FF000000"/>
      <name val="Arial Narrow"/>
      <family val="2"/>
    </font>
    <font>
      <sz val="10"/>
      <color rgb="FF000000"/>
      <name val="Roboto"/>
    </font>
    <font>
      <b/>
      <sz val="10"/>
      <color rgb="FF000000"/>
      <name val="Roboto"/>
    </font>
    <font>
      <sz val="10"/>
      <color rgb="FF000000"/>
      <name val="Corbel"/>
    </font>
    <font>
      <sz val="12"/>
      <color rgb="FF000000"/>
      <name val="Corbel"/>
    </font>
    <font>
      <sz val="11"/>
      <color rgb="FF000000"/>
      <name val="Calibri"/>
      <family val="2"/>
    </font>
    <font>
      <sz val="9"/>
      <color indexed="81"/>
      <name val="Tahoma"/>
      <charset val="1"/>
    </font>
    <font>
      <b/>
      <sz val="9"/>
      <color indexed="81"/>
      <name val="Tahoma"/>
      <charset val="1"/>
    </font>
    <font>
      <b/>
      <sz val="9"/>
      <color indexed="8"/>
      <name val="Arial Narrow"/>
      <family val="2"/>
    </font>
  </fonts>
  <fills count="67">
    <fill>
      <patternFill patternType="none"/>
    </fill>
    <fill>
      <patternFill patternType="gray125"/>
    </fill>
    <fill>
      <patternFill patternType="solid">
        <fgColor theme="4" tint="0.79998168889431442"/>
        <bgColor indexed="65"/>
      </patternFill>
    </fill>
    <fill>
      <patternFill patternType="solid">
        <fgColor theme="4" tint="0.39997558519241921"/>
        <bgColor indexed="65"/>
      </patternFill>
    </fill>
    <fill>
      <patternFill patternType="solid">
        <fgColor rgb="FFFFFF00"/>
        <bgColor indexed="64"/>
      </patternFill>
    </fill>
    <fill>
      <patternFill patternType="solid">
        <fgColor theme="0"/>
        <bgColor indexed="64"/>
      </patternFill>
    </fill>
    <fill>
      <patternFill patternType="solid">
        <fgColor theme="0"/>
        <bgColor rgb="FFFFFFFF"/>
      </patternFill>
    </fill>
    <fill>
      <patternFill patternType="solid">
        <fgColor theme="0"/>
        <bgColor rgb="FFEA9999"/>
      </patternFill>
    </fill>
    <fill>
      <patternFill patternType="solid">
        <fgColor theme="0"/>
        <bgColor rgb="FFFF9900"/>
      </patternFill>
    </fill>
    <fill>
      <patternFill patternType="solid">
        <fgColor theme="0"/>
        <bgColor rgb="FFCCFF33"/>
      </patternFill>
    </fill>
    <fill>
      <patternFill patternType="solid">
        <fgColor theme="0"/>
        <bgColor rgb="FFFFD966"/>
      </patternFill>
    </fill>
    <fill>
      <patternFill patternType="solid">
        <fgColor theme="0"/>
        <bgColor rgb="FF9BC2E6"/>
      </patternFill>
    </fill>
    <fill>
      <patternFill patternType="solid">
        <fgColor theme="0"/>
        <bgColor theme="0"/>
      </patternFill>
    </fill>
    <fill>
      <patternFill patternType="solid">
        <fgColor theme="0"/>
        <bgColor rgb="FFFFFF00"/>
      </patternFill>
    </fill>
    <fill>
      <patternFill patternType="solid">
        <fgColor theme="0"/>
        <bgColor rgb="FF00FFFF"/>
      </patternFill>
    </fill>
    <fill>
      <patternFill patternType="solid">
        <fgColor theme="0"/>
        <bgColor rgb="FFF8CBAD"/>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FF00"/>
        <bgColor rgb="FFEA9999"/>
      </patternFill>
    </fill>
    <fill>
      <patternFill patternType="solid">
        <fgColor theme="4" tint="0.59999389629810485"/>
        <bgColor indexed="65"/>
      </patternFill>
    </fill>
    <fill>
      <patternFill patternType="solid">
        <fgColor theme="4" tint="0.59999389629810485"/>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rgb="FFFFC000"/>
        <bgColor indexed="64"/>
      </patternFill>
    </fill>
    <fill>
      <patternFill patternType="solid">
        <fgColor rgb="FFD6EAF8"/>
      </patternFill>
    </fill>
    <fill>
      <patternFill patternType="solid">
        <fgColor theme="3" tint="0.59999389629810485"/>
        <bgColor indexed="64"/>
      </patternFill>
    </fill>
    <fill>
      <patternFill patternType="solid">
        <fgColor indexed="9"/>
        <bgColor indexed="64"/>
      </patternFill>
    </fill>
    <fill>
      <patternFill patternType="solid">
        <fgColor indexed="10"/>
        <bgColor indexed="64"/>
      </patternFill>
    </fill>
    <fill>
      <patternFill patternType="solid">
        <fgColor indexed="13"/>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rgb="FFFF0000"/>
        <bgColor rgb="FFFFFFFF"/>
      </patternFill>
    </fill>
    <fill>
      <patternFill patternType="solid">
        <fgColor rgb="FFFFFF00"/>
        <bgColor rgb="FFFFFFFF"/>
      </patternFill>
    </fill>
    <fill>
      <patternFill patternType="solid">
        <fgColor rgb="FFFF0000"/>
        <bgColor rgb="FFEA9999"/>
      </patternFill>
    </fill>
    <fill>
      <patternFill patternType="solid">
        <fgColor rgb="FFFF0000"/>
        <bgColor rgb="FF9BC2E6"/>
      </patternFill>
    </fill>
    <fill>
      <patternFill patternType="solid">
        <fgColor rgb="FFFF0000"/>
        <bgColor indexed="64"/>
      </patternFill>
    </fill>
    <fill>
      <patternFill patternType="solid">
        <fgColor indexed="13"/>
        <bgColor indexed="9"/>
      </patternFill>
    </fill>
    <fill>
      <patternFill patternType="solid">
        <fgColor indexed="13"/>
        <bgColor indexed="29"/>
      </patternFill>
    </fill>
    <fill>
      <patternFill patternType="solid">
        <fgColor rgb="FF00B0F0"/>
        <bgColor rgb="FFEA9999"/>
      </patternFill>
    </fill>
  </fills>
  <borders count="7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style="double">
        <color indexed="64"/>
      </bottom>
      <diagonal/>
    </border>
    <border>
      <left/>
      <right/>
      <top/>
      <bottom style="double">
        <color indexed="64"/>
      </bottom>
      <diagonal/>
    </border>
    <border>
      <left style="thin">
        <color indexed="64"/>
      </left>
      <right/>
      <top/>
      <bottom/>
      <diagonal/>
    </border>
    <border>
      <left style="thin">
        <color indexed="64"/>
      </left>
      <right style="thin">
        <color indexed="8"/>
      </right>
      <top style="thin">
        <color indexed="64"/>
      </top>
      <bottom style="thin">
        <color indexed="64"/>
      </bottom>
      <diagonal/>
    </border>
    <border>
      <left style="thin">
        <color indexed="64"/>
      </left>
      <right style="thin">
        <color indexed="8"/>
      </right>
      <top style="thin">
        <color indexed="64"/>
      </top>
      <bottom/>
      <diagonal/>
    </border>
    <border>
      <left style="thin">
        <color indexed="64"/>
      </left>
      <right/>
      <top style="thin">
        <color indexed="64"/>
      </top>
      <bottom style="thin">
        <color indexed="64"/>
      </bottom>
      <diagonal/>
    </border>
    <border>
      <left style="thin">
        <color indexed="64"/>
      </left>
      <right style="thin">
        <color indexed="8"/>
      </right>
      <top/>
      <bottom style="thin">
        <color indexed="64"/>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bottom style="double">
        <color indexed="64"/>
      </bottom>
      <diagonal/>
    </border>
    <border>
      <left/>
      <right style="thin">
        <color indexed="64"/>
      </right>
      <top/>
      <bottom/>
      <diagonal/>
    </border>
    <border>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double">
        <color indexed="64"/>
      </top>
      <bottom style="double">
        <color indexed="64"/>
      </bottom>
      <diagonal/>
    </border>
    <border>
      <left/>
      <right/>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double">
        <color indexed="64"/>
      </top>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8"/>
      </right>
      <top/>
      <bottom/>
      <diagonal/>
    </border>
    <border>
      <left style="thin">
        <color indexed="64"/>
      </left>
      <right/>
      <top/>
      <bottom style="double">
        <color indexed="64"/>
      </bottom>
      <diagonal/>
    </border>
    <border>
      <left style="thin">
        <color indexed="64"/>
      </left>
      <right style="thin">
        <color indexed="64"/>
      </right>
      <top style="medium">
        <color indexed="64"/>
      </top>
      <bottom style="double">
        <color indexed="64"/>
      </bottom>
      <diagonal/>
    </border>
    <border>
      <left style="thin">
        <color rgb="FF979991"/>
      </left>
      <right/>
      <top style="thin">
        <color rgb="FF979991"/>
      </top>
      <bottom style="thin">
        <color rgb="FF979991"/>
      </bottom>
      <diagonal/>
    </border>
    <border>
      <left style="thin">
        <color rgb="FF000000"/>
      </left>
      <right/>
      <top style="thin">
        <color rgb="FF000000"/>
      </top>
      <bottom/>
      <diagonal/>
    </border>
    <border>
      <left/>
      <right/>
      <top style="thin">
        <color rgb="FF000000"/>
      </top>
      <bottom/>
      <diagonal/>
    </border>
    <border>
      <left/>
      <right style="thin">
        <color indexed="64"/>
      </right>
      <top style="thin">
        <color rgb="FF000000"/>
      </top>
      <bottom/>
      <diagonal/>
    </border>
    <border>
      <left style="thin">
        <color rgb="FF000000"/>
      </left>
      <right style="thin">
        <color rgb="FF000000"/>
      </right>
      <top style="thin">
        <color rgb="FF000000"/>
      </top>
      <bottom style="thin">
        <color rgb="FF000000"/>
      </bottom>
      <diagonal/>
    </border>
  </borders>
  <cellStyleXfs count="121">
    <xf numFmtId="0" fontId="0" fillId="0" borderId="0"/>
    <xf numFmtId="0" fontId="34" fillId="2" borderId="0" applyNumberFormat="0" applyBorder="0" applyAlignment="0" applyProtection="0"/>
    <xf numFmtId="0" fontId="35" fillId="3" borderId="0" applyNumberFormat="0" applyBorder="0" applyAlignment="0" applyProtection="0"/>
    <xf numFmtId="169" fontId="17" fillId="0" borderId="0" applyFont="0" applyFill="0" applyBorder="0" applyAlignment="0" applyProtection="0"/>
    <xf numFmtId="168" fontId="17" fillId="0" borderId="0" applyFont="0" applyFill="0" applyBorder="0" applyAlignment="0" applyProtection="0"/>
    <xf numFmtId="0" fontId="19" fillId="0" borderId="0"/>
    <xf numFmtId="9" fontId="17" fillId="0" borderId="0" applyFont="0" applyFill="0" applyBorder="0" applyAlignment="0" applyProtection="0"/>
    <xf numFmtId="168" fontId="19" fillId="0" borderId="0" applyFont="0" applyFill="0" applyBorder="0" applyAlignment="0" applyProtection="0"/>
    <xf numFmtId="9" fontId="19" fillId="0" borderId="0" applyFont="0" applyFill="0" applyBorder="0" applyAlignment="0" applyProtection="0"/>
    <xf numFmtId="169" fontId="19" fillId="0" borderId="0" applyFont="0" applyFill="0" applyBorder="0" applyAlignment="0" applyProtection="0"/>
    <xf numFmtId="0" fontId="17" fillId="0" borderId="0"/>
    <xf numFmtId="169" fontId="17" fillId="0" borderId="0" applyFont="0" applyFill="0" applyBorder="0" applyAlignment="0" applyProtection="0"/>
    <xf numFmtId="168" fontId="17" fillId="0" borderId="0" applyFont="0" applyFill="0" applyBorder="0" applyAlignment="0" applyProtection="0"/>
    <xf numFmtId="0" fontId="61" fillId="0" borderId="0" applyNumberFormat="0" applyFill="0" applyBorder="0" applyAlignment="0" applyProtection="0"/>
    <xf numFmtId="0" fontId="62" fillId="23" borderId="0" applyNumberFormat="0" applyBorder="0" applyAlignment="0" applyProtection="0"/>
    <xf numFmtId="0" fontId="63" fillId="25" borderId="48" applyNumberFormat="0" applyAlignment="0" applyProtection="0"/>
    <xf numFmtId="0" fontId="66" fillId="0" borderId="50" applyNumberFormat="0" applyFill="0" applyAlignment="0" applyProtection="0"/>
    <xf numFmtId="0" fontId="45" fillId="0" borderId="52" applyNumberFormat="0" applyFill="0" applyAlignment="0" applyProtection="0"/>
    <xf numFmtId="0" fontId="35" fillId="28" borderId="0" applyNumberFormat="0" applyBorder="0" applyAlignment="0" applyProtection="0"/>
    <xf numFmtId="0" fontId="16" fillId="21" borderId="0" applyNumberFormat="0" applyBorder="0" applyAlignment="0" applyProtection="0"/>
    <xf numFmtId="0" fontId="35"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35"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35"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35"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35" fillId="45"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2"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0" borderId="0" applyNumberFormat="0" applyBorder="0" applyAlignment="0" applyProtection="0"/>
    <xf numFmtId="0" fontId="35" fillId="44" borderId="0" applyNumberFormat="0" applyBorder="0" applyAlignment="0" applyProtection="0"/>
    <xf numFmtId="0" fontId="35" fillId="48" borderId="0" applyNumberFormat="0" applyBorder="0" applyAlignment="0" applyProtection="0"/>
    <xf numFmtId="0" fontId="65" fillId="26" borderId="48" applyNumberFormat="0" applyAlignment="0" applyProtection="0"/>
    <xf numFmtId="193" fontId="17" fillId="0" borderId="0" applyFont="0" applyFill="0" applyBorder="0" applyAlignment="0" applyProtection="0"/>
    <xf numFmtId="193" fontId="17" fillId="0" borderId="0" applyFont="0" applyFill="0" applyBorder="0" applyAlignment="0" applyProtection="0"/>
    <xf numFmtId="0" fontId="67" fillId="24" borderId="0" applyNumberFormat="0" applyBorder="0" applyAlignment="0" applyProtection="0"/>
    <xf numFmtId="0" fontId="16" fillId="0" borderId="0"/>
    <xf numFmtId="0" fontId="16" fillId="27" borderId="5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64" fillId="26" borderId="49" applyNumberFormat="0" applyAlignment="0" applyProtection="0"/>
    <xf numFmtId="0" fontId="68" fillId="0" borderId="0" applyNumberFormat="0" applyFill="0" applyBorder="0" applyAlignment="0" applyProtection="0"/>
    <xf numFmtId="0" fontId="69" fillId="0" borderId="0"/>
    <xf numFmtId="0" fontId="69" fillId="0" borderId="0"/>
    <xf numFmtId="0" fontId="15" fillId="0" borderId="0"/>
    <xf numFmtId="0" fontId="71" fillId="0" borderId="0" applyNumberFormat="0" applyFill="0" applyBorder="0" applyAlignment="0" applyProtection="0"/>
    <xf numFmtId="167" fontId="14" fillId="0" borderId="0" applyFont="0" applyFill="0" applyBorder="0" applyAlignment="0" applyProtection="0"/>
    <xf numFmtId="0" fontId="13" fillId="2" borderId="0" applyNumberFormat="0" applyBorder="0" applyAlignment="0" applyProtection="0"/>
    <xf numFmtId="167" fontId="13" fillId="0" borderId="0" applyFont="0" applyFill="0" applyBorder="0" applyAlignment="0" applyProtection="0"/>
    <xf numFmtId="0" fontId="13" fillId="0" borderId="0"/>
    <xf numFmtId="9" fontId="12" fillId="0" borderId="0" applyFont="0" applyFill="0" applyBorder="0" applyAlignment="0" applyProtection="0"/>
    <xf numFmtId="166" fontId="12" fillId="0" borderId="0" applyFont="0" applyFill="0" applyBorder="0" applyAlignment="0" applyProtection="0"/>
    <xf numFmtId="0" fontId="12" fillId="0" borderId="0"/>
    <xf numFmtId="167" fontId="11" fillId="0" borderId="0" applyFont="0" applyFill="0" applyBorder="0" applyAlignment="0" applyProtection="0"/>
    <xf numFmtId="9" fontId="11" fillId="0" borderId="0" applyFont="0" applyFill="0" applyBorder="0" applyAlignment="0" applyProtection="0"/>
    <xf numFmtId="166" fontId="11" fillId="0" borderId="0" applyFont="0" applyFill="0" applyBorder="0" applyAlignment="0" applyProtection="0"/>
    <xf numFmtId="0" fontId="11" fillId="0" borderId="0"/>
    <xf numFmtId="0" fontId="10" fillId="0" borderId="0"/>
    <xf numFmtId="0" fontId="9" fillId="2" borderId="0" applyNumberFormat="0" applyBorder="0" applyAlignment="0" applyProtection="0"/>
    <xf numFmtId="0" fontId="71" fillId="0" borderId="0" applyNumberFormat="0" applyFill="0" applyBorder="0" applyAlignment="0" applyProtection="0"/>
    <xf numFmtId="167" fontId="9" fillId="0" borderId="0" applyFont="0" applyFill="0" applyBorder="0" applyAlignment="0" applyProtection="0"/>
    <xf numFmtId="0" fontId="9" fillId="0" borderId="0"/>
    <xf numFmtId="169" fontId="17" fillId="0" borderId="0" applyFont="0" applyFill="0" applyBorder="0" applyAlignment="0" applyProtection="0"/>
    <xf numFmtId="168" fontId="17" fillId="0" borderId="0" applyFont="0" applyFill="0" applyBorder="0" applyAlignment="0" applyProtection="0"/>
    <xf numFmtId="0" fontId="17" fillId="0" borderId="0"/>
    <xf numFmtId="0" fontId="8" fillId="0" borderId="0"/>
    <xf numFmtId="0" fontId="7" fillId="2" borderId="0" applyNumberFormat="0" applyBorder="0" applyAlignment="0" applyProtection="0"/>
    <xf numFmtId="167" fontId="101" fillId="0" borderId="0" applyFont="0" applyFill="0" applyBorder="0" applyAlignment="0" applyProtection="0"/>
    <xf numFmtId="0" fontId="6" fillId="0" borderId="0"/>
    <xf numFmtId="166" fontId="101" fillId="0" borderId="0" applyFont="0" applyFill="0" applyBorder="0" applyAlignment="0" applyProtection="0"/>
    <xf numFmtId="167" fontId="5" fillId="0" borderId="0" applyFont="0" applyFill="0" applyBorder="0" applyAlignment="0" applyProtection="0"/>
    <xf numFmtId="0" fontId="5" fillId="0" borderId="0"/>
    <xf numFmtId="0" fontId="4" fillId="2" borderId="0" applyNumberFormat="0" applyBorder="0" applyAlignment="0" applyProtection="0"/>
    <xf numFmtId="0" fontId="4" fillId="21"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2" borderId="0" applyNumberFormat="0" applyBorder="0" applyAlignment="0" applyProtection="0"/>
    <xf numFmtId="0" fontId="4" fillId="0" borderId="0"/>
    <xf numFmtId="0" fontId="4" fillId="27" borderId="51" applyNumberFormat="0" applyFont="0" applyAlignment="0" applyProtection="0"/>
    <xf numFmtId="0" fontId="4" fillId="0" borderId="0"/>
    <xf numFmtId="167" fontId="4" fillId="0" borderId="0" applyFont="0" applyFill="0" applyBorder="0" applyAlignment="0" applyProtection="0"/>
    <xf numFmtId="0" fontId="4" fillId="2" borderId="0" applyNumberFormat="0" applyBorder="0" applyAlignment="0" applyProtection="0"/>
    <xf numFmtId="167" fontId="4" fillId="0" borderId="0" applyFont="0" applyFill="0" applyBorder="0" applyAlignment="0" applyProtection="0"/>
    <xf numFmtId="0" fontId="4" fillId="0" borderId="0"/>
    <xf numFmtId="9" fontId="4" fillId="0" borderId="0" applyFont="0" applyFill="0" applyBorder="0" applyAlignment="0" applyProtection="0"/>
    <xf numFmtId="166" fontId="4" fillId="0" borderId="0" applyFont="0" applyFill="0" applyBorder="0" applyAlignment="0" applyProtection="0"/>
    <xf numFmtId="0" fontId="4" fillId="0" borderId="0"/>
    <xf numFmtId="167" fontId="4" fillId="0" borderId="0" applyFont="0" applyFill="0" applyBorder="0" applyAlignment="0" applyProtection="0"/>
    <xf numFmtId="9"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2" borderId="0" applyNumberFormat="0" applyBorder="0" applyAlignment="0" applyProtection="0"/>
    <xf numFmtId="167" fontId="4" fillId="0" borderId="0" applyFont="0" applyFill="0" applyBorder="0" applyAlignment="0" applyProtection="0"/>
    <xf numFmtId="0" fontId="4" fillId="0" borderId="0"/>
    <xf numFmtId="0" fontId="4" fillId="0" borderId="0"/>
    <xf numFmtId="0" fontId="4" fillId="2" borderId="0" applyNumberFormat="0" applyBorder="0" applyAlignment="0" applyProtection="0"/>
    <xf numFmtId="167" fontId="101" fillId="0" borderId="0" applyFont="0" applyFill="0" applyBorder="0" applyAlignment="0" applyProtection="0"/>
    <xf numFmtId="0" fontId="4" fillId="0" borderId="0"/>
    <xf numFmtId="166" fontId="101" fillId="0" borderId="0" applyFont="0" applyFill="0" applyBorder="0" applyAlignment="0" applyProtection="0"/>
    <xf numFmtId="167" fontId="101" fillId="0" borderId="0" applyFont="0" applyFill="0" applyBorder="0" applyAlignment="0" applyProtection="0"/>
    <xf numFmtId="0" fontId="3" fillId="0" borderId="0"/>
    <xf numFmtId="0" fontId="2" fillId="0" borderId="0"/>
    <xf numFmtId="0" fontId="1" fillId="0" borderId="0"/>
  </cellStyleXfs>
  <cellXfs count="2857">
    <xf numFmtId="0" fontId="0" fillId="0" borderId="0" xfId="0"/>
    <xf numFmtId="0" fontId="18" fillId="0" borderId="0" xfId="0" applyFont="1"/>
    <xf numFmtId="0" fontId="0" fillId="0" borderId="1" xfId="0" applyBorder="1"/>
    <xf numFmtId="0" fontId="18" fillId="0" borderId="1" xfId="0" applyFont="1" applyBorder="1"/>
    <xf numFmtId="0" fontId="23" fillId="0" borderId="1" xfId="0" applyFont="1" applyBorder="1"/>
    <xf numFmtId="0" fontId="36" fillId="0" borderId="0" xfId="0" applyFont="1" applyAlignment="1">
      <alignment horizontal="center"/>
    </xf>
    <xf numFmtId="170" fontId="0" fillId="0" borderId="1" xfId="0" applyNumberFormat="1" applyBorder="1"/>
    <xf numFmtId="14" fontId="0" fillId="0" borderId="0" xfId="0" applyNumberFormat="1"/>
    <xf numFmtId="169" fontId="0" fillId="0" borderId="0" xfId="3" applyFont="1"/>
    <xf numFmtId="172" fontId="0" fillId="0" borderId="1" xfId="0" applyNumberFormat="1" applyBorder="1"/>
    <xf numFmtId="171" fontId="21" fillId="0" borderId="0" xfId="0" applyNumberFormat="1" applyFont="1"/>
    <xf numFmtId="10" fontId="21" fillId="0" borderId="0" xfId="0" applyNumberFormat="1" applyFont="1"/>
    <xf numFmtId="172" fontId="21" fillId="0" borderId="0" xfId="0" applyNumberFormat="1" applyFont="1"/>
    <xf numFmtId="1" fontId="0" fillId="0" borderId="0" xfId="0" applyNumberFormat="1"/>
    <xf numFmtId="0" fontId="19" fillId="0" borderId="0" xfId="0" applyFont="1"/>
    <xf numFmtId="174" fontId="0" fillId="0" borderId="0" xfId="0" applyNumberFormat="1"/>
    <xf numFmtId="175" fontId="21" fillId="0" borderId="1" xfId="0" applyNumberFormat="1" applyFont="1" applyBorder="1"/>
    <xf numFmtId="0" fontId="24" fillId="0" borderId="1" xfId="0" applyFont="1" applyBorder="1" applyAlignment="1">
      <alignment wrapText="1"/>
    </xf>
    <xf numFmtId="10" fontId="0" fillId="0" borderId="1" xfId="0" applyNumberFormat="1" applyBorder="1"/>
    <xf numFmtId="174" fontId="0" fillId="0" borderId="1" xfId="3" applyNumberFormat="1" applyFont="1" applyBorder="1"/>
    <xf numFmtId="0" fontId="20" fillId="0" borderId="0" xfId="0" applyFont="1"/>
    <xf numFmtId="177" fontId="0" fillId="0" borderId="0" xfId="4" applyNumberFormat="1" applyFont="1"/>
    <xf numFmtId="177" fontId="0" fillId="0" borderId="1" xfId="0" applyNumberFormat="1" applyBorder="1"/>
    <xf numFmtId="177" fontId="0" fillId="5" borderId="1" xfId="0" applyNumberFormat="1" applyFill="1" applyBorder="1"/>
    <xf numFmtId="177" fontId="18" fillId="0" borderId="0" xfId="0" applyNumberFormat="1" applyFont="1"/>
    <xf numFmtId="0" fontId="20" fillId="0" borderId="6" xfId="0" applyFont="1" applyBorder="1"/>
    <xf numFmtId="1" fontId="0" fillId="0" borderId="1" xfId="0" applyNumberFormat="1" applyBorder="1"/>
    <xf numFmtId="2" fontId="0" fillId="0" borderId="0" xfId="0" applyNumberFormat="1"/>
    <xf numFmtId="10" fontId="0" fillId="0" borderId="1" xfId="6" applyNumberFormat="1" applyFont="1" applyBorder="1"/>
    <xf numFmtId="174" fontId="0" fillId="0" borderId="1" xfId="0" applyNumberFormat="1" applyBorder="1"/>
    <xf numFmtId="176" fontId="0" fillId="0" borderId="1" xfId="6" applyNumberFormat="1" applyFont="1" applyBorder="1"/>
    <xf numFmtId="0" fontId="20" fillId="0" borderId="1" xfId="0" applyFont="1" applyBorder="1"/>
    <xf numFmtId="174" fontId="0" fillId="0" borderId="0" xfId="3" applyNumberFormat="1" applyFont="1"/>
    <xf numFmtId="0" fontId="18" fillId="0" borderId="1" xfId="0" applyFont="1" applyBorder="1" applyAlignment="1">
      <alignment horizontal="center" wrapText="1"/>
    </xf>
    <xf numFmtId="0" fontId="0" fillId="0" borderId="4" xfId="0" applyBorder="1"/>
    <xf numFmtId="0" fontId="18" fillId="0" borderId="5" xfId="0" applyFont="1" applyBorder="1" applyAlignment="1">
      <alignment horizontal="center" wrapText="1"/>
    </xf>
    <xf numFmtId="0" fontId="28" fillId="0" borderId="0" xfId="0" applyFont="1"/>
    <xf numFmtId="0" fontId="28" fillId="0" borderId="1" xfId="0" applyFont="1" applyBorder="1"/>
    <xf numFmtId="0" fontId="0" fillId="0" borderId="5" xfId="0" applyBorder="1"/>
    <xf numFmtId="10" fontId="0" fillId="0" borderId="3" xfId="0" applyNumberFormat="1" applyBorder="1"/>
    <xf numFmtId="12" fontId="0" fillId="0" borderId="0" xfId="0" applyNumberFormat="1"/>
    <xf numFmtId="179" fontId="0" fillId="0" borderId="1" xfId="0" applyNumberFormat="1" applyBorder="1"/>
    <xf numFmtId="2" fontId="0" fillId="0" borderId="1" xfId="0" applyNumberFormat="1" applyBorder="1"/>
    <xf numFmtId="173" fontId="0" fillId="0" borderId="1" xfId="0" applyNumberFormat="1" applyBorder="1"/>
    <xf numFmtId="10" fontId="20" fillId="0" borderId="8" xfId="0" applyNumberFormat="1" applyFont="1" applyBorder="1"/>
    <xf numFmtId="0" fontId="0" fillId="0" borderId="10" xfId="0" applyBorder="1"/>
    <xf numFmtId="177" fontId="0" fillId="0" borderId="0" xfId="0" applyNumberFormat="1"/>
    <xf numFmtId="10" fontId="0" fillId="0" borderId="0" xfId="6" applyNumberFormat="1" applyFont="1"/>
    <xf numFmtId="0" fontId="18" fillId="5" borderId="1" xfId="0" applyFont="1" applyFill="1" applyBorder="1"/>
    <xf numFmtId="0" fontId="18" fillId="0" borderId="1" xfId="0" applyFont="1" applyBorder="1" applyAlignment="1">
      <alignment horizontal="center" vertical="center" wrapText="1"/>
    </xf>
    <xf numFmtId="175" fontId="23" fillId="0" borderId="1" xfId="0" applyNumberFormat="1" applyFont="1" applyBorder="1"/>
    <xf numFmtId="180" fontId="0" fillId="0" borderId="0" xfId="0" applyNumberFormat="1"/>
    <xf numFmtId="180" fontId="0" fillId="0" borderId="1" xfId="0" applyNumberFormat="1" applyBorder="1"/>
    <xf numFmtId="172" fontId="0" fillId="0" borderId="0" xfId="0" applyNumberFormat="1"/>
    <xf numFmtId="10" fontId="0" fillId="0" borderId="0" xfId="0" applyNumberFormat="1"/>
    <xf numFmtId="0" fontId="18" fillId="0" borderId="10" xfId="0" applyFont="1" applyBorder="1"/>
    <xf numFmtId="177" fontId="18" fillId="0" borderId="10" xfId="0" applyNumberFormat="1" applyFont="1" applyBorder="1"/>
    <xf numFmtId="0" fontId="18" fillId="0" borderId="1" xfId="0" applyFont="1" applyBorder="1" applyAlignment="1">
      <alignment horizontal="center" vertical="center"/>
    </xf>
    <xf numFmtId="10" fontId="18" fillId="0" borderId="1" xfId="0" applyNumberFormat="1" applyFont="1" applyBorder="1" applyAlignment="1">
      <alignment vertical="center" wrapText="1"/>
    </xf>
    <xf numFmtId="175" fontId="21" fillId="5" borderId="1" xfId="0" applyNumberFormat="1" applyFont="1" applyFill="1" applyBorder="1"/>
    <xf numFmtId="0" fontId="0" fillId="5" borderId="0" xfId="0" applyFill="1"/>
    <xf numFmtId="0" fontId="19" fillId="5" borderId="0" xfId="0" applyFont="1" applyFill="1"/>
    <xf numFmtId="180" fontId="0" fillId="0" borderId="1" xfId="3" applyNumberFormat="1" applyFont="1" applyBorder="1"/>
    <xf numFmtId="14" fontId="0" fillId="0" borderId="1" xfId="0" applyNumberFormat="1" applyBorder="1"/>
    <xf numFmtId="0" fontId="18" fillId="0" borderId="1" xfId="0" applyFont="1" applyBorder="1" applyAlignment="1">
      <alignment wrapText="1"/>
    </xf>
    <xf numFmtId="0" fontId="24" fillId="0" borderId="1" xfId="0" applyFont="1" applyBorder="1" applyAlignment="1">
      <alignment horizontal="center" wrapText="1"/>
    </xf>
    <xf numFmtId="0" fontId="24" fillId="0" borderId="1" xfId="0" applyFont="1" applyBorder="1"/>
    <xf numFmtId="0" fontId="22" fillId="0" borderId="1" xfId="0" applyFont="1" applyBorder="1" applyAlignment="1">
      <alignment horizontal="center" wrapText="1"/>
    </xf>
    <xf numFmtId="0" fontId="22" fillId="0" borderId="1" xfId="0" applyFont="1" applyBorder="1"/>
    <xf numFmtId="168" fontId="0" fillId="0" borderId="1" xfId="4" applyFont="1" applyBorder="1"/>
    <xf numFmtId="180" fontId="20" fillId="0" borderId="6" xfId="3" applyNumberFormat="1" applyFont="1" applyBorder="1"/>
    <xf numFmtId="180" fontId="28" fillId="0" borderId="1" xfId="3" applyNumberFormat="1" applyFont="1" applyBorder="1"/>
    <xf numFmtId="180" fontId="0" fillId="0" borderId="7" xfId="0" applyNumberFormat="1" applyBorder="1"/>
    <xf numFmtId="0" fontId="18" fillId="0" borderId="4" xfId="0" applyFont="1" applyBorder="1"/>
    <xf numFmtId="180" fontId="28" fillId="0" borderId="1" xfId="0" applyNumberFormat="1" applyFont="1" applyBorder="1"/>
    <xf numFmtId="0" fontId="29" fillId="0" borderId="1" xfId="0" applyFont="1" applyBorder="1"/>
    <xf numFmtId="180" fontId="30" fillId="5" borderId="5" xfId="0" applyNumberFormat="1" applyFont="1" applyFill="1" applyBorder="1"/>
    <xf numFmtId="180" fontId="20" fillId="0" borderId="5" xfId="0" applyNumberFormat="1" applyFont="1" applyBorder="1"/>
    <xf numFmtId="0" fontId="0" fillId="0" borderId="3" xfId="0" applyBorder="1"/>
    <xf numFmtId="175" fontId="21" fillId="0" borderId="0" xfId="0" applyNumberFormat="1" applyFont="1"/>
    <xf numFmtId="0" fontId="0" fillId="0" borderId="0" xfId="0" applyAlignment="1">
      <alignment horizontal="center"/>
    </xf>
    <xf numFmtId="14" fontId="0" fillId="0" borderId="0" xfId="0" applyNumberFormat="1" applyAlignment="1">
      <alignment horizontal="center"/>
    </xf>
    <xf numFmtId="0" fontId="18" fillId="5" borderId="1" xfId="0" applyFont="1" applyFill="1" applyBorder="1" applyAlignment="1">
      <alignment horizontal="center"/>
    </xf>
    <xf numFmtId="180" fontId="0" fillId="0" borderId="0" xfId="0" applyNumberFormat="1" applyAlignment="1">
      <alignment horizontal="center"/>
    </xf>
    <xf numFmtId="180" fontId="0" fillId="0" borderId="0" xfId="3" applyNumberFormat="1" applyFont="1" applyAlignment="1">
      <alignment horizontal="center"/>
    </xf>
    <xf numFmtId="180" fontId="24" fillId="0" borderId="1" xfId="0" applyNumberFormat="1" applyFont="1" applyBorder="1" applyAlignment="1">
      <alignment horizontal="center" wrapText="1"/>
    </xf>
    <xf numFmtId="180" fontId="0" fillId="0" borderId="1" xfId="0" applyNumberFormat="1" applyBorder="1" applyAlignment="1">
      <alignment horizontal="center"/>
    </xf>
    <xf numFmtId="180" fontId="20" fillId="0" borderId="5" xfId="0" applyNumberFormat="1" applyFont="1" applyBorder="1" applyAlignment="1">
      <alignment horizontal="center"/>
    </xf>
    <xf numFmtId="177" fontId="0" fillId="0" borderId="1" xfId="4" applyNumberFormat="1" applyFont="1" applyBorder="1"/>
    <xf numFmtId="14" fontId="0" fillId="0" borderId="1" xfId="3" applyNumberFormat="1" applyFont="1" applyBorder="1"/>
    <xf numFmtId="0" fontId="18" fillId="0" borderId="8" xfId="0" applyFont="1" applyBorder="1"/>
    <xf numFmtId="174" fontId="24" fillId="0" borderId="1" xfId="3" applyNumberFormat="1" applyFont="1" applyBorder="1" applyAlignment="1">
      <alignment wrapText="1"/>
    </xf>
    <xf numFmtId="9" fontId="0" fillId="0" borderId="0" xfId="0" applyNumberFormat="1"/>
    <xf numFmtId="0" fontId="0" fillId="0" borderId="0" xfId="0" applyAlignment="1">
      <alignment horizontal="center" vertical="center"/>
    </xf>
    <xf numFmtId="0" fontId="24" fillId="0" borderId="1" xfId="0" applyFont="1" applyBorder="1" applyAlignment="1">
      <alignment horizontal="center" vertical="center" wrapText="1"/>
    </xf>
    <xf numFmtId="169" fontId="0" fillId="0" borderId="0" xfId="0" applyNumberFormat="1"/>
    <xf numFmtId="182" fontId="0" fillId="0" borderId="1" xfId="0" applyNumberFormat="1" applyBorder="1"/>
    <xf numFmtId="1" fontId="0" fillId="0" borderId="1" xfId="0" applyNumberFormat="1" applyBorder="1" applyAlignment="1">
      <alignment horizontal="center" vertical="center"/>
    </xf>
    <xf numFmtId="175" fontId="21" fillId="0" borderId="4" xfId="0" applyNumberFormat="1" applyFont="1" applyBorder="1"/>
    <xf numFmtId="175" fontId="0" fillId="0" borderId="1" xfId="0" applyNumberFormat="1" applyBorder="1"/>
    <xf numFmtId="175" fontId="0" fillId="0" borderId="1" xfId="3" applyNumberFormat="1" applyFont="1" applyBorder="1"/>
    <xf numFmtId="177" fontId="18" fillId="0" borderId="1" xfId="0" applyNumberFormat="1" applyFont="1" applyBorder="1"/>
    <xf numFmtId="169" fontId="0" fillId="0" borderId="1" xfId="3" applyFont="1" applyBorder="1"/>
    <xf numFmtId="168" fontId="0" fillId="0" borderId="0" xfId="4" applyFont="1"/>
    <xf numFmtId="169" fontId="0" fillId="0" borderId="0" xfId="3" applyFont="1" applyBorder="1"/>
    <xf numFmtId="174" fontId="0" fillId="0" borderId="0" xfId="3" applyNumberFormat="1" applyFont="1" applyBorder="1"/>
    <xf numFmtId="0" fontId="18" fillId="0" borderId="0" xfId="0" applyFont="1" applyAlignment="1">
      <alignment horizontal="right"/>
    </xf>
    <xf numFmtId="17" fontId="0" fillId="0" borderId="1" xfId="0" applyNumberFormat="1" applyBorder="1"/>
    <xf numFmtId="166" fontId="0" fillId="0" borderId="1" xfId="0" applyNumberFormat="1" applyBorder="1"/>
    <xf numFmtId="17" fontId="18" fillId="0" borderId="1" xfId="0" applyNumberFormat="1" applyFont="1" applyBorder="1" applyAlignment="1">
      <alignment horizontal="right"/>
    </xf>
    <xf numFmtId="169" fontId="18" fillId="0" borderId="1" xfId="3" applyFont="1" applyBorder="1" applyAlignment="1">
      <alignment vertical="center" wrapText="1"/>
    </xf>
    <xf numFmtId="169" fontId="0" fillId="0" borderId="1" xfId="0" applyNumberFormat="1" applyBorder="1"/>
    <xf numFmtId="169" fontId="18" fillId="0" borderId="0" xfId="3" applyFont="1"/>
    <xf numFmtId="169" fontId="18" fillId="4" borderId="1" xfId="3" applyFont="1" applyFill="1" applyBorder="1"/>
    <xf numFmtId="0" fontId="37" fillId="6" borderId="1" xfId="0" applyFont="1" applyFill="1" applyBorder="1" applyAlignment="1">
      <alignment horizontal="center" vertical="center" wrapText="1"/>
    </xf>
    <xf numFmtId="0" fontId="0" fillId="0" borderId="0" xfId="0" applyAlignment="1">
      <alignment vertical="center"/>
    </xf>
    <xf numFmtId="0" fontId="18" fillId="0" borderId="0" xfId="0" applyFont="1" applyAlignment="1">
      <alignment wrapText="1"/>
    </xf>
    <xf numFmtId="0" fontId="37" fillId="6" borderId="1" xfId="0" applyFont="1" applyFill="1" applyBorder="1" applyAlignment="1">
      <alignment vertical="center" wrapText="1"/>
    </xf>
    <xf numFmtId="0" fontId="19" fillId="0" borderId="0" xfId="5"/>
    <xf numFmtId="3" fontId="19" fillId="0" borderId="0" xfId="5" applyNumberFormat="1"/>
    <xf numFmtId="0" fontId="21" fillId="0" borderId="0" xfId="5" applyFont="1" applyAlignment="1">
      <alignment horizontal="center"/>
    </xf>
    <xf numFmtId="3" fontId="21" fillId="0" borderId="0" xfId="5" applyNumberFormat="1" applyFont="1" applyAlignment="1">
      <alignment horizontal="center"/>
    </xf>
    <xf numFmtId="0" fontId="22" fillId="0" borderId="1" xfId="5" applyFont="1" applyBorder="1" applyAlignment="1">
      <alignment horizontal="center"/>
    </xf>
    <xf numFmtId="3" fontId="21" fillId="0" borderId="0" xfId="5" applyNumberFormat="1" applyFont="1"/>
    <xf numFmtId="14" fontId="19" fillId="0" borderId="0" xfId="5" applyNumberFormat="1"/>
    <xf numFmtId="178" fontId="22" fillId="0" borderId="1" xfId="5" applyNumberFormat="1" applyFont="1" applyBorder="1"/>
    <xf numFmtId="0" fontId="21" fillId="0" borderId="0" xfId="5" applyFont="1"/>
    <xf numFmtId="178" fontId="21" fillId="0" borderId="0" xfId="5" applyNumberFormat="1" applyFont="1"/>
    <xf numFmtId="0" fontId="21" fillId="0" borderId="1" xfId="5" applyFont="1" applyBorder="1" applyAlignment="1">
      <alignment horizontal="center"/>
    </xf>
    <xf numFmtId="3" fontId="21" fillId="0" borderId="1" xfId="5" applyNumberFormat="1" applyFont="1" applyBorder="1" applyAlignment="1">
      <alignment horizontal="center"/>
    </xf>
    <xf numFmtId="0" fontId="19" fillId="0" borderId="1" xfId="5" applyBorder="1"/>
    <xf numFmtId="3" fontId="19" fillId="0" borderId="1" xfId="5" applyNumberFormat="1" applyBorder="1"/>
    <xf numFmtId="0" fontId="21" fillId="0" borderId="1" xfId="5" applyFont="1" applyBorder="1"/>
    <xf numFmtId="3" fontId="21" fillId="0" borderId="1" xfId="5" applyNumberFormat="1" applyFont="1" applyBorder="1"/>
    <xf numFmtId="178" fontId="21" fillId="0" borderId="1" xfId="5" applyNumberFormat="1" applyFont="1" applyBorder="1"/>
    <xf numFmtId="3" fontId="21" fillId="0" borderId="1" xfId="5" applyNumberFormat="1" applyFont="1" applyBorder="1" applyAlignment="1">
      <alignment horizontal="right"/>
    </xf>
    <xf numFmtId="3" fontId="40" fillId="0" borderId="1" xfId="5" applyNumberFormat="1" applyFont="1" applyBorder="1" applyAlignment="1">
      <alignment horizontal="center"/>
    </xf>
    <xf numFmtId="0" fontId="18" fillId="0" borderId="0" xfId="5" applyFont="1"/>
    <xf numFmtId="3" fontId="40" fillId="0" borderId="1" xfId="5" applyNumberFormat="1" applyFont="1" applyBorder="1"/>
    <xf numFmtId="0" fontId="22" fillId="0" borderId="1" xfId="5" applyFont="1" applyBorder="1"/>
    <xf numFmtId="3" fontId="18" fillId="0" borderId="1" xfId="5" applyNumberFormat="1" applyFont="1" applyBorder="1"/>
    <xf numFmtId="0" fontId="18" fillId="0" borderId="1" xfId="5" applyFont="1" applyBorder="1"/>
    <xf numFmtId="3" fontId="22" fillId="0" borderId="1" xfId="5" applyNumberFormat="1" applyFont="1" applyBorder="1"/>
    <xf numFmtId="183" fontId="18" fillId="0" borderId="1" xfId="5" applyNumberFormat="1" applyFont="1" applyBorder="1"/>
    <xf numFmtId="3" fontId="22" fillId="0" borderId="1" xfId="5" applyNumberFormat="1" applyFont="1" applyBorder="1" applyAlignment="1">
      <alignment horizontal="center"/>
    </xf>
    <xf numFmtId="0" fontId="0" fillId="0" borderId="1" xfId="0" applyBorder="1" applyAlignment="1">
      <alignment vertical="center"/>
    </xf>
    <xf numFmtId="180" fontId="37" fillId="7" borderId="1" xfId="0" applyNumberFormat="1" applyFont="1" applyFill="1" applyBorder="1" applyAlignment="1">
      <alignment horizontal="center" vertical="center" wrapText="1"/>
    </xf>
    <xf numFmtId="0" fontId="21" fillId="0" borderId="0" xfId="0" applyFont="1"/>
    <xf numFmtId="0" fontId="22" fillId="0" borderId="1" xfId="0" applyFont="1" applyBorder="1" applyAlignment="1">
      <alignment horizontal="left" wrapText="1"/>
    </xf>
    <xf numFmtId="0" fontId="18" fillId="5" borderId="4" xfId="0" applyFont="1" applyFill="1" applyBorder="1"/>
    <xf numFmtId="0" fontId="18" fillId="5" borderId="4" xfId="0" applyFont="1" applyFill="1" applyBorder="1" applyAlignment="1">
      <alignment horizontal="center"/>
    </xf>
    <xf numFmtId="1" fontId="0" fillId="0" borderId="1" xfId="0" applyNumberFormat="1" applyBorder="1" applyAlignment="1">
      <alignment horizontal="center"/>
    </xf>
    <xf numFmtId="0" fontId="18" fillId="0" borderId="1" xfId="0" applyFont="1" applyBorder="1" applyAlignment="1">
      <alignment vertical="center"/>
    </xf>
    <xf numFmtId="0" fontId="0" fillId="0" borderId="1" xfId="0" applyBorder="1" applyAlignment="1">
      <alignment horizontal="center"/>
    </xf>
    <xf numFmtId="174" fontId="21" fillId="0" borderId="1" xfId="3" applyNumberFormat="1" applyFont="1" applyBorder="1"/>
    <xf numFmtId="184" fontId="19" fillId="0" borderId="0" xfId="5" applyNumberFormat="1"/>
    <xf numFmtId="0" fontId="23" fillId="0" borderId="0" xfId="0" applyFont="1"/>
    <xf numFmtId="169" fontId="0" fillId="0" borderId="1" xfId="3" applyFont="1" applyBorder="1" applyAlignment="1">
      <alignment horizontal="center"/>
    </xf>
    <xf numFmtId="0" fontId="0" fillId="0" borderId="1" xfId="0" applyBorder="1" applyAlignment="1">
      <alignment horizontal="center" vertical="center" wrapText="1"/>
    </xf>
    <xf numFmtId="177" fontId="21" fillId="0" borderId="1" xfId="4" applyNumberFormat="1" applyFont="1" applyBorder="1"/>
    <xf numFmtId="173" fontId="21" fillId="0" borderId="1" xfId="0" applyNumberFormat="1" applyFont="1" applyBorder="1"/>
    <xf numFmtId="0" fontId="22" fillId="0" borderId="0" xfId="0" applyFont="1"/>
    <xf numFmtId="186" fontId="22" fillId="0" borderId="25" xfId="5" applyNumberFormat="1" applyFont="1" applyBorder="1"/>
    <xf numFmtId="0" fontId="22" fillId="0" borderId="26" xfId="5" applyFont="1" applyBorder="1" applyAlignment="1">
      <alignment horizontal="left"/>
    </xf>
    <xf numFmtId="0" fontId="22" fillId="0" borderId="27" xfId="5" applyFont="1" applyBorder="1" applyAlignment="1">
      <alignment horizontal="left"/>
    </xf>
    <xf numFmtId="0" fontId="22" fillId="0" borderId="28" xfId="5" applyFont="1" applyBorder="1" applyAlignment="1">
      <alignment horizontal="left"/>
    </xf>
    <xf numFmtId="186" fontId="21" fillId="0" borderId="29" xfId="5" applyNumberFormat="1" applyFont="1" applyBorder="1"/>
    <xf numFmtId="0" fontId="21" fillId="0" borderId="18" xfId="5" applyFont="1" applyBorder="1" applyAlignment="1">
      <alignment horizontal="left"/>
    </xf>
    <xf numFmtId="0" fontId="21" fillId="0" borderId="24" xfId="5" applyFont="1" applyBorder="1" applyAlignment="1">
      <alignment horizontal="left"/>
    </xf>
    <xf numFmtId="0" fontId="21" fillId="0" borderId="30" xfId="5" applyFont="1" applyBorder="1" applyAlignment="1">
      <alignment horizontal="left"/>
    </xf>
    <xf numFmtId="186" fontId="21" fillId="0" borderId="31" xfId="7" applyNumberFormat="1" applyFont="1" applyBorder="1"/>
    <xf numFmtId="0" fontId="21" fillId="0" borderId="32" xfId="5" applyFont="1" applyBorder="1" applyAlignment="1">
      <alignment horizontal="left"/>
    </xf>
    <xf numFmtId="0" fontId="21" fillId="0" borderId="33" xfId="5" applyFont="1" applyBorder="1" applyAlignment="1">
      <alignment horizontal="left"/>
    </xf>
    <xf numFmtId="0" fontId="21" fillId="0" borderId="34" xfId="5" applyFont="1" applyBorder="1" applyAlignment="1">
      <alignment horizontal="left"/>
    </xf>
    <xf numFmtId="177" fontId="21" fillId="0" borderId="1" xfId="5" applyNumberFormat="1" applyFont="1" applyBorder="1"/>
    <xf numFmtId="1" fontId="22" fillId="0" borderId="1" xfId="5" applyNumberFormat="1" applyFont="1" applyBorder="1" applyAlignment="1">
      <alignment horizontal="right"/>
    </xf>
    <xf numFmtId="177" fontId="21" fillId="0" borderId="1" xfId="7" applyNumberFormat="1" applyFont="1" applyBorder="1"/>
    <xf numFmtId="173" fontId="21" fillId="0" borderId="1" xfId="5" applyNumberFormat="1" applyFont="1" applyBorder="1"/>
    <xf numFmtId="1" fontId="21" fillId="0" borderId="1" xfId="5" applyNumberFormat="1" applyFont="1" applyBorder="1"/>
    <xf numFmtId="186" fontId="21" fillId="0" borderId="1" xfId="5" applyNumberFormat="1" applyFont="1" applyBorder="1"/>
    <xf numFmtId="10" fontId="21" fillId="5" borderId="3" xfId="5" applyNumberFormat="1" applyFont="1" applyFill="1" applyBorder="1"/>
    <xf numFmtId="14" fontId="21" fillId="0" borderId="0" xfId="5" applyNumberFormat="1" applyFont="1"/>
    <xf numFmtId="0" fontId="21" fillId="0" borderId="1" xfId="5" applyFont="1" applyBorder="1" applyAlignment="1">
      <alignment horizontal="left"/>
    </xf>
    <xf numFmtId="0" fontId="24" fillId="0" borderId="0" xfId="0" applyFont="1"/>
    <xf numFmtId="14" fontId="23" fillId="0" borderId="0" xfId="0" applyNumberFormat="1" applyFont="1"/>
    <xf numFmtId="0" fontId="20" fillId="5" borderId="5" xfId="0" applyFont="1" applyFill="1" applyBorder="1" applyAlignment="1">
      <alignment horizontal="center" vertical="center" wrapText="1"/>
    </xf>
    <xf numFmtId="175" fontId="21" fillId="0" borderId="14" xfId="0" applyNumberFormat="1" applyFont="1" applyBorder="1"/>
    <xf numFmtId="0" fontId="17" fillId="0" borderId="1" xfId="0" applyFont="1" applyBorder="1" applyAlignment="1">
      <alignment horizontal="center" wrapText="1"/>
    </xf>
    <xf numFmtId="0" fontId="17" fillId="0" borderId="0" xfId="0" applyFont="1"/>
    <xf numFmtId="0" fontId="0" fillId="0" borderId="1" xfId="0" applyBorder="1" applyAlignment="1">
      <alignment horizontal="center" vertical="center"/>
    </xf>
    <xf numFmtId="0" fontId="38" fillId="0" borderId="0" xfId="0" applyFont="1" applyAlignment="1">
      <alignment vertical="center"/>
    </xf>
    <xf numFmtId="0" fontId="17" fillId="0" borderId="0" xfId="5" applyFont="1"/>
    <xf numFmtId="0" fontId="21" fillId="0" borderId="1" xfId="0" applyFont="1" applyBorder="1" applyAlignment="1">
      <alignment horizontal="left" wrapText="1"/>
    </xf>
    <xf numFmtId="174" fontId="24" fillId="0" borderId="1" xfId="3" applyNumberFormat="1" applyFont="1" applyBorder="1" applyAlignment="1">
      <alignment horizontal="center" vertical="center" wrapText="1"/>
    </xf>
    <xf numFmtId="177" fontId="17" fillId="0" borderId="1" xfId="4" applyNumberFormat="1" applyFont="1" applyBorder="1" applyAlignment="1">
      <alignment horizontal="left" wrapText="1"/>
    </xf>
    <xf numFmtId="177" fontId="23" fillId="0" borderId="1" xfId="7" applyNumberFormat="1" applyFont="1" applyBorder="1"/>
    <xf numFmtId="0" fontId="17" fillId="0" borderId="1" xfId="0" applyFont="1" applyBorder="1"/>
    <xf numFmtId="3" fontId="17" fillId="0" borderId="0" xfId="5" applyNumberFormat="1" applyFont="1"/>
    <xf numFmtId="189" fontId="21" fillId="0" borderId="0" xfId="5" applyNumberFormat="1" applyFont="1"/>
    <xf numFmtId="3" fontId="21" fillId="0" borderId="4" xfId="5" applyNumberFormat="1" applyFont="1" applyBorder="1"/>
    <xf numFmtId="3" fontId="21" fillId="0" borderId="5" xfId="5" applyNumberFormat="1" applyFont="1" applyBorder="1"/>
    <xf numFmtId="10" fontId="21" fillId="5" borderId="1" xfId="5" applyNumberFormat="1" applyFont="1" applyFill="1" applyBorder="1"/>
    <xf numFmtId="0" fontId="19" fillId="0" borderId="37" xfId="5" applyBorder="1"/>
    <xf numFmtId="0" fontId="19" fillId="0" borderId="31" xfId="5" applyBorder="1"/>
    <xf numFmtId="186" fontId="21" fillId="0" borderId="29" xfId="7" applyNumberFormat="1" applyFont="1" applyBorder="1"/>
    <xf numFmtId="0" fontId="19" fillId="0" borderId="38" xfId="5" applyBorder="1"/>
    <xf numFmtId="186" fontId="38" fillId="0" borderId="0" xfId="5" applyNumberFormat="1" applyFont="1"/>
    <xf numFmtId="0" fontId="21" fillId="0" borderId="37" xfId="5" applyFont="1" applyBorder="1" applyAlignment="1">
      <alignment horizontal="left"/>
    </xf>
    <xf numFmtId="0" fontId="21" fillId="0" borderId="3" xfId="5" applyFont="1" applyBorder="1" applyAlignment="1">
      <alignment horizontal="left"/>
    </xf>
    <xf numFmtId="0" fontId="19" fillId="0" borderId="3" xfId="5" applyBorder="1"/>
    <xf numFmtId="0" fontId="19" fillId="0" borderId="35" xfId="5" applyBorder="1"/>
    <xf numFmtId="186" fontId="21" fillId="0" borderId="40" xfId="7" applyNumberFormat="1" applyFont="1" applyBorder="1"/>
    <xf numFmtId="186" fontId="21" fillId="0" borderId="39" xfId="5" applyNumberFormat="1" applyFont="1" applyBorder="1"/>
    <xf numFmtId="0" fontId="21" fillId="0" borderId="4" xfId="5" applyFont="1" applyBorder="1" applyAlignment="1">
      <alignment horizontal="left"/>
    </xf>
    <xf numFmtId="0" fontId="19" fillId="0" borderId="4" xfId="5" applyBorder="1"/>
    <xf numFmtId="0" fontId="24" fillId="0" borderId="1" xfId="10" applyFont="1" applyBorder="1" applyAlignment="1">
      <alignment horizontal="left" wrapText="1"/>
    </xf>
    <xf numFmtId="0" fontId="17" fillId="0" borderId="1" xfId="10" applyBorder="1"/>
    <xf numFmtId="0" fontId="17" fillId="0" borderId="0" xfId="10"/>
    <xf numFmtId="174" fontId="0" fillId="0" borderId="0" xfId="11" applyNumberFormat="1" applyFont="1"/>
    <xf numFmtId="0" fontId="18" fillId="0" borderId="1" xfId="10" applyFont="1" applyBorder="1"/>
    <xf numFmtId="174" fontId="0" fillId="0" borderId="1" xfId="11" applyNumberFormat="1" applyFont="1" applyBorder="1"/>
    <xf numFmtId="0" fontId="18" fillId="0" borderId="0" xfId="10" applyFont="1"/>
    <xf numFmtId="169" fontId="0" fillId="0" borderId="0" xfId="11" applyFont="1"/>
    <xf numFmtId="14" fontId="17" fillId="0" borderId="0" xfId="10" applyNumberFormat="1"/>
    <xf numFmtId="177" fontId="17" fillId="0" borderId="0" xfId="10" applyNumberFormat="1"/>
    <xf numFmtId="3" fontId="21" fillId="0" borderId="0" xfId="10" applyNumberFormat="1" applyFont="1" applyAlignment="1">
      <alignment horizontal="center"/>
    </xf>
    <xf numFmtId="0" fontId="22" fillId="0" borderId="1" xfId="10" applyFont="1" applyBorder="1" applyAlignment="1">
      <alignment horizontal="center"/>
    </xf>
    <xf numFmtId="178" fontId="22" fillId="0" borderId="1" xfId="10" applyNumberFormat="1" applyFont="1" applyBorder="1"/>
    <xf numFmtId="0" fontId="21" fillId="0" borderId="1" xfId="10" applyFont="1" applyBorder="1" applyAlignment="1">
      <alignment horizontal="center"/>
    </xf>
    <xf numFmtId="3" fontId="21" fillId="0" borderId="1" xfId="10" applyNumberFormat="1" applyFont="1" applyBorder="1" applyAlignment="1">
      <alignment horizontal="center"/>
    </xf>
    <xf numFmtId="3" fontId="17" fillId="0" borderId="1" xfId="10" applyNumberFormat="1" applyBorder="1"/>
    <xf numFmtId="3" fontId="21" fillId="0" borderId="1" xfId="10" applyNumberFormat="1" applyFont="1" applyBorder="1"/>
    <xf numFmtId="178" fontId="21" fillId="0" borderId="1" xfId="10" applyNumberFormat="1" applyFont="1" applyBorder="1"/>
    <xf numFmtId="0" fontId="21" fillId="0" borderId="1" xfId="10" applyFont="1" applyBorder="1"/>
    <xf numFmtId="0" fontId="21" fillId="0" borderId="0" xfId="10" applyFont="1"/>
    <xf numFmtId="3" fontId="21" fillId="0" borderId="0" xfId="10" applyNumberFormat="1" applyFont="1"/>
    <xf numFmtId="0" fontId="22" fillId="0" borderId="0" xfId="10" applyFont="1"/>
    <xf numFmtId="175" fontId="17" fillId="0" borderId="1" xfId="10" applyNumberFormat="1" applyBorder="1"/>
    <xf numFmtId="10" fontId="21" fillId="5" borderId="3" xfId="10" applyNumberFormat="1" applyFont="1" applyFill="1" applyBorder="1"/>
    <xf numFmtId="186" fontId="21" fillId="0" borderId="1" xfId="10" applyNumberFormat="1" applyFont="1" applyBorder="1"/>
    <xf numFmtId="1" fontId="21" fillId="0" borderId="1" xfId="10" applyNumberFormat="1" applyFont="1" applyBorder="1"/>
    <xf numFmtId="173" fontId="21" fillId="0" borderId="1" xfId="10" applyNumberFormat="1" applyFont="1" applyBorder="1"/>
    <xf numFmtId="177" fontId="21" fillId="0" borderId="1" xfId="12" applyNumberFormat="1" applyFont="1" applyBorder="1"/>
    <xf numFmtId="175" fontId="0" fillId="0" borderId="1" xfId="11" applyNumberFormat="1" applyFont="1" applyBorder="1"/>
    <xf numFmtId="10" fontId="21" fillId="5" borderId="8" xfId="10" applyNumberFormat="1" applyFont="1" applyFill="1" applyBorder="1"/>
    <xf numFmtId="173" fontId="21" fillId="0" borderId="4" xfId="10" applyNumberFormat="1" applyFont="1" applyBorder="1"/>
    <xf numFmtId="177" fontId="21" fillId="0" borderId="4" xfId="12" applyNumberFormat="1" applyFont="1" applyBorder="1"/>
    <xf numFmtId="10" fontId="21" fillId="5" borderId="1" xfId="10" applyNumberFormat="1" applyFont="1" applyFill="1" applyBorder="1"/>
    <xf numFmtId="0" fontId="22" fillId="0" borderId="6" xfId="10" applyFont="1" applyBorder="1" applyAlignment="1">
      <alignment wrapText="1"/>
    </xf>
    <xf numFmtId="177" fontId="18" fillId="0" borderId="6" xfId="10" applyNumberFormat="1" applyFont="1" applyBorder="1"/>
    <xf numFmtId="0" fontId="24" fillId="0" borderId="1" xfId="10" applyFont="1" applyBorder="1"/>
    <xf numFmtId="172" fontId="17" fillId="0" borderId="1" xfId="10" applyNumberFormat="1" applyBorder="1"/>
    <xf numFmtId="174" fontId="17" fillId="0" borderId="1" xfId="10" applyNumberFormat="1" applyBorder="1"/>
    <xf numFmtId="0" fontId="38" fillId="0" borderId="0" xfId="10" applyFont="1"/>
    <xf numFmtId="9" fontId="19" fillId="0" borderId="0" xfId="5" applyNumberFormat="1"/>
    <xf numFmtId="10" fontId="19" fillId="0" borderId="0" xfId="5" applyNumberFormat="1"/>
    <xf numFmtId="186" fontId="19" fillId="0" borderId="25" xfId="5" applyNumberFormat="1" applyBorder="1"/>
    <xf numFmtId="186" fontId="19" fillId="0" borderId="0" xfId="5" applyNumberFormat="1"/>
    <xf numFmtId="0" fontId="37" fillId="6" borderId="1" xfId="10" applyFont="1" applyFill="1" applyBorder="1" applyAlignment="1">
      <alignment horizontal="center" wrapText="1"/>
    </xf>
    <xf numFmtId="190" fontId="0" fillId="0" borderId="0" xfId="0" applyNumberFormat="1"/>
    <xf numFmtId="0" fontId="17" fillId="5" borderId="0" xfId="0" applyFont="1" applyFill="1" applyAlignment="1">
      <alignment vertical="center"/>
    </xf>
    <xf numFmtId="14" fontId="37" fillId="8" borderId="1" xfId="0" applyNumberFormat="1" applyFont="1" applyFill="1" applyBorder="1" applyAlignment="1">
      <alignment horizontal="center" vertical="center"/>
    </xf>
    <xf numFmtId="0" fontId="17" fillId="5" borderId="0" xfId="0" applyFont="1" applyFill="1"/>
    <xf numFmtId="0" fontId="0" fillId="5" borderId="0" xfId="0" applyFill="1" applyAlignment="1">
      <alignment vertical="center"/>
    </xf>
    <xf numFmtId="0" fontId="0" fillId="5" borderId="1" xfId="0" applyFill="1" applyBorder="1"/>
    <xf numFmtId="0" fontId="43" fillId="5" borderId="0" xfId="0" applyFont="1" applyFill="1"/>
    <xf numFmtId="169" fontId="21" fillId="0" borderId="1" xfId="3" applyFont="1" applyBorder="1"/>
    <xf numFmtId="0" fontId="51" fillId="19" borderId="1" xfId="0" applyFont="1" applyFill="1" applyBorder="1" applyAlignment="1">
      <alignment horizontal="center" vertical="center" wrapText="1"/>
    </xf>
    <xf numFmtId="0" fontId="54" fillId="11" borderId="1" xfId="0" applyFont="1" applyFill="1" applyBorder="1" applyAlignment="1">
      <alignment horizontal="center" vertical="center"/>
    </xf>
    <xf numFmtId="0" fontId="54" fillId="7" borderId="1" xfId="0" applyFont="1" applyFill="1" applyBorder="1" applyAlignment="1">
      <alignment horizontal="center" vertical="center" wrapText="1"/>
    </xf>
    <xf numFmtId="0" fontId="54" fillId="7" borderId="1" xfId="0" applyFont="1" applyFill="1" applyBorder="1" applyAlignment="1">
      <alignment horizontal="center" wrapText="1"/>
    </xf>
    <xf numFmtId="14" fontId="54" fillId="7" borderId="1" xfId="0" applyNumberFormat="1" applyFont="1" applyFill="1" applyBorder="1" applyAlignment="1">
      <alignment horizontal="center" vertical="center" wrapText="1"/>
    </xf>
    <xf numFmtId="14" fontId="54" fillId="7" borderId="1" xfId="10" applyNumberFormat="1" applyFont="1" applyFill="1" applyBorder="1" applyAlignment="1">
      <alignment horizontal="center" vertical="center" wrapText="1"/>
    </xf>
    <xf numFmtId="180" fontId="54" fillId="7" borderId="1" xfId="0" applyNumberFormat="1" applyFont="1" applyFill="1" applyBorder="1" applyAlignment="1">
      <alignment horizontal="center" vertical="center" wrapText="1"/>
    </xf>
    <xf numFmtId="17" fontId="54" fillId="7" borderId="1" xfId="0" applyNumberFormat="1" applyFont="1" applyFill="1" applyBorder="1" applyAlignment="1">
      <alignment horizontal="center" vertical="center"/>
    </xf>
    <xf numFmtId="0" fontId="53" fillId="0" borderId="1" xfId="0" applyFont="1" applyBorder="1" applyAlignment="1">
      <alignment horizontal="center" vertical="center"/>
    </xf>
    <xf numFmtId="14" fontId="17" fillId="0" borderId="0" xfId="0" applyNumberFormat="1" applyFont="1"/>
    <xf numFmtId="0" fontId="54" fillId="7" borderId="1" xfId="0" applyFont="1" applyFill="1" applyBorder="1" applyAlignment="1">
      <alignment horizontal="left" vertical="center" wrapText="1"/>
    </xf>
    <xf numFmtId="14" fontId="54" fillId="13" borderId="1" xfId="0" applyNumberFormat="1" applyFont="1" applyFill="1" applyBorder="1" applyAlignment="1">
      <alignment horizontal="center" vertical="center" wrapText="1"/>
    </xf>
    <xf numFmtId="0" fontId="54" fillId="12" borderId="1" xfId="0" applyFont="1" applyFill="1" applyBorder="1" applyAlignment="1">
      <alignment horizontal="left" vertical="center" wrapText="1"/>
    </xf>
    <xf numFmtId="0" fontId="53" fillId="7" borderId="1" xfId="0" applyFont="1" applyFill="1" applyBorder="1" applyAlignment="1">
      <alignment horizontal="center" vertical="center" wrapText="1"/>
    </xf>
    <xf numFmtId="180" fontId="53" fillId="7" borderId="1" xfId="0" applyNumberFormat="1" applyFont="1" applyFill="1" applyBorder="1" applyAlignment="1">
      <alignment horizontal="center" vertical="center" wrapText="1"/>
    </xf>
    <xf numFmtId="0" fontId="53" fillId="12" borderId="1" xfId="0" applyFont="1" applyFill="1" applyBorder="1" applyAlignment="1">
      <alignment wrapText="1"/>
    </xf>
    <xf numFmtId="0" fontId="53" fillId="10"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10" borderId="1" xfId="10" applyFont="1" applyFill="1" applyBorder="1" applyAlignment="1">
      <alignment horizontal="center" vertical="center" wrapText="1"/>
    </xf>
    <xf numFmtId="14" fontId="53" fillId="10" borderId="1" xfId="0" applyNumberFormat="1" applyFont="1" applyFill="1" applyBorder="1" applyAlignment="1">
      <alignment horizontal="center" vertical="center"/>
    </xf>
    <xf numFmtId="14" fontId="53" fillId="11" borderId="1" xfId="0" applyNumberFormat="1" applyFont="1" applyFill="1" applyBorder="1" applyAlignment="1">
      <alignment horizontal="center" vertical="center" wrapText="1"/>
    </xf>
    <xf numFmtId="0" fontId="53" fillId="12" borderId="1" xfId="0" applyFont="1" applyFill="1" applyBorder="1" applyAlignment="1">
      <alignment vertical="center" wrapText="1"/>
    </xf>
    <xf numFmtId="0" fontId="53" fillId="5" borderId="1" xfId="0" applyFont="1" applyFill="1" applyBorder="1" applyAlignment="1">
      <alignment horizontal="center" vertical="center"/>
    </xf>
    <xf numFmtId="0" fontId="54" fillId="6" borderId="1" xfId="0" applyFont="1" applyFill="1" applyBorder="1" applyAlignment="1">
      <alignment horizontal="center" vertical="center" wrapText="1"/>
    </xf>
    <xf numFmtId="0" fontId="54" fillId="6" borderId="1" xfId="0" applyFont="1" applyFill="1" applyBorder="1" applyAlignment="1">
      <alignment horizontal="center" wrapText="1"/>
    </xf>
    <xf numFmtId="0" fontId="54" fillId="6" borderId="1" xfId="10" applyFont="1" applyFill="1" applyBorder="1" applyAlignment="1">
      <alignment horizontal="center" vertical="center" wrapText="1"/>
    </xf>
    <xf numFmtId="14" fontId="54" fillId="6" borderId="1" xfId="0" applyNumberFormat="1" applyFont="1" applyFill="1" applyBorder="1" applyAlignment="1">
      <alignment horizontal="center" vertical="center" wrapText="1"/>
    </xf>
    <xf numFmtId="0" fontId="53" fillId="9" borderId="1" xfId="0" applyFont="1" applyFill="1" applyBorder="1" applyAlignment="1">
      <alignment horizontal="center" wrapText="1"/>
    </xf>
    <xf numFmtId="14" fontId="53" fillId="6" borderId="1" xfId="0" applyNumberFormat="1" applyFont="1" applyFill="1" applyBorder="1" applyAlignment="1">
      <alignment horizontal="center" vertical="center" wrapText="1"/>
    </xf>
    <xf numFmtId="0" fontId="53" fillId="0" borderId="1" xfId="0" applyFont="1" applyBorder="1" applyAlignment="1">
      <alignment vertical="center"/>
    </xf>
    <xf numFmtId="0" fontId="54" fillId="14" borderId="1" xfId="0" applyFont="1" applyFill="1" applyBorder="1" applyAlignment="1">
      <alignment horizontal="center" vertical="center" wrapText="1"/>
    </xf>
    <xf numFmtId="0" fontId="53" fillId="14" borderId="1" xfId="0" applyFont="1" applyFill="1" applyBorder="1" applyAlignment="1">
      <alignment horizontal="center" vertical="center" wrapText="1"/>
    </xf>
    <xf numFmtId="14" fontId="54" fillId="14" borderId="1" xfId="0" applyNumberFormat="1" applyFont="1" applyFill="1" applyBorder="1" applyAlignment="1">
      <alignment horizontal="center" vertical="center" wrapText="1"/>
    </xf>
    <xf numFmtId="14" fontId="54" fillId="13" borderId="1" xfId="10" applyNumberFormat="1" applyFont="1" applyFill="1" applyBorder="1" applyAlignment="1">
      <alignment horizontal="center" vertical="center" wrapText="1"/>
    </xf>
    <xf numFmtId="0" fontId="54" fillId="11" borderId="1" xfId="0" applyFont="1" applyFill="1" applyBorder="1" applyAlignment="1">
      <alignment horizontal="center" vertical="center" wrapText="1"/>
    </xf>
    <xf numFmtId="14" fontId="54" fillId="11" borderId="1" xfId="0" applyNumberFormat="1" applyFont="1" applyFill="1" applyBorder="1" applyAlignment="1">
      <alignment horizontal="center" vertical="center" wrapText="1"/>
    </xf>
    <xf numFmtId="0" fontId="54" fillId="12" borderId="1" xfId="10" applyFont="1" applyFill="1" applyBorder="1" applyAlignment="1">
      <alignment vertical="center" wrapText="1"/>
    </xf>
    <xf numFmtId="0" fontId="54" fillId="12" borderId="1" xfId="0" applyFont="1" applyFill="1" applyBorder="1" applyAlignment="1">
      <alignment horizontal="center" vertical="center" wrapText="1"/>
    </xf>
    <xf numFmtId="14" fontId="54" fillId="12" borderId="1" xfId="0" applyNumberFormat="1" applyFont="1" applyFill="1" applyBorder="1" applyAlignment="1">
      <alignment horizontal="center" vertical="center" wrapText="1"/>
    </xf>
    <xf numFmtId="0" fontId="54" fillId="12" borderId="1" xfId="0" applyFont="1" applyFill="1" applyBorder="1" applyAlignment="1">
      <alignment vertical="center" wrapText="1"/>
    </xf>
    <xf numFmtId="174" fontId="17" fillId="0" borderId="0" xfId="3" applyNumberFormat="1" applyFont="1"/>
    <xf numFmtId="14" fontId="54" fillId="7" borderId="1" xfId="0" applyNumberFormat="1" applyFont="1" applyFill="1" applyBorder="1" applyAlignment="1">
      <alignment horizontal="center" vertical="center"/>
    </xf>
    <xf numFmtId="14" fontId="54" fillId="13" borderId="1" xfId="0" applyNumberFormat="1" applyFont="1" applyFill="1" applyBorder="1" applyAlignment="1">
      <alignment horizontal="center" vertical="center"/>
    </xf>
    <xf numFmtId="14" fontId="54" fillId="6" borderId="1" xfId="0" applyNumberFormat="1" applyFont="1" applyFill="1" applyBorder="1" applyAlignment="1">
      <alignment horizontal="center" vertical="center"/>
    </xf>
    <xf numFmtId="0" fontId="53" fillId="6" borderId="1" xfId="10" applyFont="1" applyFill="1" applyBorder="1" applyAlignment="1">
      <alignment wrapText="1"/>
    </xf>
    <xf numFmtId="0" fontId="53" fillId="6" borderId="1" xfId="0" applyFont="1" applyFill="1" applyBorder="1" applyAlignment="1">
      <alignment horizontal="center" wrapText="1"/>
    </xf>
    <xf numFmtId="14" fontId="53" fillId="6" borderId="1" xfId="0" applyNumberFormat="1" applyFont="1" applyFill="1" applyBorder="1" applyAlignment="1">
      <alignment horizontal="center" vertical="center"/>
    </xf>
    <xf numFmtId="0" fontId="53" fillId="5" borderId="1" xfId="0" applyFont="1" applyFill="1" applyBorder="1" applyAlignment="1">
      <alignment horizontal="center"/>
    </xf>
    <xf numFmtId="0" fontId="54" fillId="11" borderId="1" xfId="0" applyFont="1" applyFill="1" applyBorder="1" applyAlignment="1">
      <alignment horizontal="center" wrapText="1"/>
    </xf>
    <xf numFmtId="14" fontId="54" fillId="11" borderId="1" xfId="0" applyNumberFormat="1" applyFont="1" applyFill="1" applyBorder="1" applyAlignment="1">
      <alignment horizontal="center" vertical="center"/>
    </xf>
    <xf numFmtId="0" fontId="54" fillId="9" borderId="1" xfId="0" applyFont="1" applyFill="1" applyBorder="1" applyAlignment="1">
      <alignment horizontal="center" vertical="center" wrapText="1"/>
    </xf>
    <xf numFmtId="14" fontId="54" fillId="9" borderId="1" xfId="0" applyNumberFormat="1" applyFont="1" applyFill="1" applyBorder="1" applyAlignment="1">
      <alignment horizontal="center" vertical="center"/>
    </xf>
    <xf numFmtId="14" fontId="54" fillId="9" borderId="1" xfId="0" applyNumberFormat="1" applyFont="1" applyFill="1" applyBorder="1" applyAlignment="1">
      <alignment horizontal="center" vertical="center" wrapText="1"/>
    </xf>
    <xf numFmtId="0" fontId="55" fillId="7" borderId="1" xfId="10" applyFont="1" applyFill="1" applyBorder="1" applyAlignment="1">
      <alignment horizontal="left" vertical="center" wrapText="1"/>
    </xf>
    <xf numFmtId="0" fontId="53" fillId="6" borderId="1" xfId="0" applyFont="1" applyFill="1" applyBorder="1"/>
    <xf numFmtId="0" fontId="54" fillId="5"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4" fillId="9" borderId="1" xfId="0" applyFont="1" applyFill="1" applyBorder="1" applyAlignment="1">
      <alignment horizontal="center" wrapText="1"/>
    </xf>
    <xf numFmtId="14" fontId="53" fillId="15" borderId="1" xfId="0" applyNumberFormat="1" applyFont="1" applyFill="1" applyBorder="1" applyAlignment="1">
      <alignment horizontal="center" vertical="center"/>
    </xf>
    <xf numFmtId="0" fontId="53" fillId="6" borderId="1" xfId="0" applyFont="1" applyFill="1" applyBorder="1" applyAlignment="1">
      <alignment vertical="center"/>
    </xf>
    <xf numFmtId="0" fontId="53" fillId="7" borderId="1" xfId="0" applyFont="1" applyFill="1" applyBorder="1" applyAlignment="1">
      <alignment horizontal="left" wrapText="1"/>
    </xf>
    <xf numFmtId="0" fontId="54" fillId="6" borderId="1" xfId="0" applyFont="1" applyFill="1" applyBorder="1" applyAlignment="1">
      <alignment wrapText="1"/>
    </xf>
    <xf numFmtId="14" fontId="53" fillId="0" borderId="1" xfId="0" applyNumberFormat="1" applyFont="1" applyBorder="1" applyAlignment="1">
      <alignment horizontal="center" vertical="center"/>
    </xf>
    <xf numFmtId="0" fontId="55" fillId="6" borderId="1" xfId="0" applyFont="1" applyFill="1" applyBorder="1" applyAlignment="1">
      <alignment wrapText="1"/>
    </xf>
    <xf numFmtId="0" fontId="54" fillId="9" borderId="1" xfId="0" applyFont="1" applyFill="1" applyBorder="1" applyAlignment="1">
      <alignment vertical="center"/>
    </xf>
    <xf numFmtId="0" fontId="54" fillId="0" borderId="1" xfId="0" applyFont="1" applyBorder="1" applyAlignment="1">
      <alignment horizontal="center" vertical="center" wrapText="1"/>
    </xf>
    <xf numFmtId="0" fontId="54" fillId="0" borderId="1" xfId="0" applyFont="1" applyBorder="1" applyAlignment="1">
      <alignment horizontal="center" wrapText="1"/>
    </xf>
    <xf numFmtId="14" fontId="54" fillId="0" borderId="1" xfId="0" applyNumberFormat="1" applyFont="1" applyBorder="1" applyAlignment="1">
      <alignment horizontal="center" vertical="center"/>
    </xf>
    <xf numFmtId="0" fontId="54" fillId="0" borderId="1" xfId="0" applyFont="1" applyBorder="1"/>
    <xf numFmtId="0" fontId="54" fillId="6" borderId="1" xfId="0" applyFont="1" applyFill="1" applyBorder="1"/>
    <xf numFmtId="0" fontId="55" fillId="6" borderId="1" xfId="0" applyFont="1" applyFill="1" applyBorder="1" applyAlignment="1">
      <alignment horizontal="center" wrapText="1"/>
    </xf>
    <xf numFmtId="0" fontId="54" fillId="6" borderId="1" xfId="0" applyFont="1" applyFill="1" applyBorder="1" applyAlignment="1">
      <alignment vertical="center" wrapText="1"/>
    </xf>
    <xf numFmtId="0" fontId="53" fillId="5" borderId="1" xfId="0" applyFont="1" applyFill="1" applyBorder="1" applyAlignment="1">
      <alignment vertical="center"/>
    </xf>
    <xf numFmtId="0" fontId="53" fillId="5" borderId="1" xfId="0" applyFont="1" applyFill="1" applyBorder="1"/>
    <xf numFmtId="0" fontId="53" fillId="5" borderId="1" xfId="0" applyFont="1" applyFill="1" applyBorder="1" applyAlignment="1">
      <alignment wrapText="1"/>
    </xf>
    <xf numFmtId="14" fontId="53" fillId="5" borderId="1" xfId="0" applyNumberFormat="1" applyFont="1" applyFill="1" applyBorder="1" applyAlignment="1">
      <alignment horizontal="center" vertical="center"/>
    </xf>
    <xf numFmtId="14" fontId="53" fillId="6" borderId="1" xfId="0" applyNumberFormat="1" applyFont="1" applyFill="1" applyBorder="1" applyAlignment="1">
      <alignment vertical="center"/>
    </xf>
    <xf numFmtId="0" fontId="54" fillId="6" borderId="1" xfId="0" applyFont="1" applyFill="1" applyBorder="1" applyAlignment="1">
      <alignment vertical="center"/>
    </xf>
    <xf numFmtId="14" fontId="17" fillId="0" borderId="1" xfId="0" applyNumberFormat="1" applyFont="1" applyBorder="1"/>
    <xf numFmtId="174" fontId="17" fillId="0" borderId="1" xfId="3" applyNumberFormat="1" applyFont="1" applyBorder="1"/>
    <xf numFmtId="0" fontId="21" fillId="0" borderId="14" xfId="10" applyFont="1" applyBorder="1"/>
    <xf numFmtId="3" fontId="17" fillId="0" borderId="0" xfId="10" applyNumberFormat="1"/>
    <xf numFmtId="0" fontId="21" fillId="0" borderId="0" xfId="10" applyFont="1" applyAlignment="1">
      <alignment horizontal="center"/>
    </xf>
    <xf numFmtId="0" fontId="22" fillId="0" borderId="18" xfId="10" applyFont="1" applyBorder="1" applyAlignment="1">
      <alignment horizontal="center"/>
    </xf>
    <xf numFmtId="3" fontId="22" fillId="0" borderId="1" xfId="10" applyNumberFormat="1" applyFont="1" applyBorder="1" applyAlignment="1">
      <alignment horizontal="center"/>
    </xf>
    <xf numFmtId="3" fontId="22" fillId="0" borderId="1" xfId="10" applyNumberFormat="1" applyFont="1" applyBorder="1" applyAlignment="1">
      <alignment horizontal="right"/>
    </xf>
    <xf numFmtId="3" fontId="21" fillId="0" borderId="1" xfId="10" applyNumberFormat="1" applyFont="1" applyBorder="1" applyAlignment="1">
      <alignment horizontal="right"/>
    </xf>
    <xf numFmtId="0" fontId="22" fillId="0" borderId="1" xfId="10" applyFont="1" applyBorder="1"/>
    <xf numFmtId="3" fontId="18" fillId="0" borderId="1" xfId="10" applyNumberFormat="1" applyFont="1" applyBorder="1"/>
    <xf numFmtId="3" fontId="22" fillId="0" borderId="1" xfId="10" applyNumberFormat="1" applyFont="1" applyBorder="1"/>
    <xf numFmtId="0" fontId="21" fillId="0" borderId="35" xfId="10" applyFont="1" applyBorder="1" applyAlignment="1">
      <alignment horizontal="center" wrapText="1"/>
    </xf>
    <xf numFmtId="1" fontId="21" fillId="0" borderId="35" xfId="10" applyNumberFormat="1" applyFont="1" applyBorder="1" applyAlignment="1">
      <alignment horizontal="center" wrapText="1"/>
    </xf>
    <xf numFmtId="0" fontId="22" fillId="0" borderId="35" xfId="10" applyFont="1" applyBorder="1" applyAlignment="1">
      <alignment horizontal="center" wrapText="1"/>
    </xf>
    <xf numFmtId="10" fontId="21" fillId="0" borderId="3" xfId="10" applyNumberFormat="1" applyFont="1" applyBorder="1"/>
    <xf numFmtId="10" fontId="21" fillId="0" borderId="1" xfId="10" applyNumberFormat="1" applyFont="1" applyBorder="1"/>
    <xf numFmtId="0" fontId="18" fillId="0" borderId="6" xfId="10" applyFont="1" applyBorder="1"/>
    <xf numFmtId="183" fontId="21" fillId="0" borderId="1" xfId="10" applyNumberFormat="1" applyFont="1" applyBorder="1"/>
    <xf numFmtId="178" fontId="21" fillId="0" borderId="1" xfId="10" applyNumberFormat="1" applyFont="1" applyBorder="1" applyAlignment="1">
      <alignment horizontal="center"/>
    </xf>
    <xf numFmtId="187" fontId="21" fillId="0" borderId="1" xfId="10" applyNumberFormat="1" applyFont="1" applyBorder="1"/>
    <xf numFmtId="0" fontId="18" fillId="0" borderId="5" xfId="10" applyFont="1" applyBorder="1"/>
    <xf numFmtId="17" fontId="21" fillId="0" borderId="1" xfId="10" applyNumberFormat="1" applyFont="1" applyBorder="1" applyAlignment="1">
      <alignment horizontal="right"/>
    </xf>
    <xf numFmtId="174" fontId="21" fillId="0" borderId="4" xfId="3" applyNumberFormat="1" applyFont="1" applyBorder="1"/>
    <xf numFmtId="177" fontId="17" fillId="0" borderId="10" xfId="0" applyNumberFormat="1" applyFont="1" applyBorder="1"/>
    <xf numFmtId="0" fontId="21" fillId="0" borderId="1" xfId="0" applyFont="1" applyBorder="1"/>
    <xf numFmtId="0" fontId="17" fillId="0" borderId="3" xfId="0" applyFont="1" applyBorder="1"/>
    <xf numFmtId="177" fontId="0" fillId="0" borderId="5" xfId="0" applyNumberFormat="1" applyBorder="1"/>
    <xf numFmtId="0" fontId="18" fillId="0" borderId="5" xfId="0" applyFont="1" applyBorder="1"/>
    <xf numFmtId="0" fontId="38" fillId="0" borderId="0" xfId="0" applyFont="1"/>
    <xf numFmtId="0" fontId="23" fillId="0" borderId="0" xfId="0" applyFont="1" applyAlignment="1">
      <alignment wrapText="1"/>
    </xf>
    <xf numFmtId="178" fontId="21" fillId="0" borderId="0" xfId="10" applyNumberFormat="1" applyFont="1"/>
    <xf numFmtId="177" fontId="21" fillId="0" borderId="1" xfId="4" applyNumberFormat="1" applyFont="1" applyBorder="1" applyAlignment="1">
      <alignment horizontal="right"/>
    </xf>
    <xf numFmtId="0" fontId="24" fillId="0" borderId="1" xfId="0" applyFont="1" applyBorder="1" applyAlignment="1">
      <alignment horizontal="left" wrapText="1"/>
    </xf>
    <xf numFmtId="0" fontId="17" fillId="0" borderId="8" xfId="0" applyFont="1" applyBorder="1"/>
    <xf numFmtId="2" fontId="57" fillId="0" borderId="0" xfId="6" applyNumberFormat="1" applyFont="1" applyFill="1" applyBorder="1" applyAlignment="1">
      <alignment horizontal="center"/>
    </xf>
    <xf numFmtId="3" fontId="21" fillId="0" borderId="1" xfId="10" applyNumberFormat="1" applyFont="1" applyBorder="1" applyAlignment="1">
      <alignment horizontal="center" vertical="center" wrapText="1"/>
    </xf>
    <xf numFmtId="10" fontId="0" fillId="0" borderId="4" xfId="0" applyNumberFormat="1" applyBorder="1"/>
    <xf numFmtId="174" fontId="0" fillId="0" borderId="4" xfId="0" applyNumberFormat="1" applyBorder="1"/>
    <xf numFmtId="177" fontId="0" fillId="0" borderId="4" xfId="0" applyNumberFormat="1" applyBorder="1"/>
    <xf numFmtId="175" fontId="21" fillId="0" borderId="38" xfId="0" applyNumberFormat="1" applyFont="1" applyBorder="1"/>
    <xf numFmtId="10" fontId="0" fillId="0" borderId="38" xfId="0" applyNumberFormat="1" applyBorder="1"/>
    <xf numFmtId="177" fontId="0" fillId="0" borderId="38" xfId="0" applyNumberFormat="1" applyBorder="1"/>
    <xf numFmtId="177" fontId="22" fillId="0" borderId="1" xfId="4" applyNumberFormat="1" applyFont="1" applyBorder="1" applyAlignment="1">
      <alignment horizontal="center"/>
    </xf>
    <xf numFmtId="3" fontId="22" fillId="0" borderId="10" xfId="10" applyNumberFormat="1" applyFont="1" applyBorder="1"/>
    <xf numFmtId="175" fontId="22" fillId="0" borderId="1" xfId="0" applyNumberFormat="1" applyFont="1" applyBorder="1"/>
    <xf numFmtId="0" fontId="21" fillId="0" borderId="1" xfId="10" applyFont="1" applyBorder="1" applyAlignment="1">
      <alignment horizontal="center" wrapText="1"/>
    </xf>
    <xf numFmtId="0" fontId="23" fillId="0" borderId="1" xfId="0" applyFont="1" applyBorder="1" applyAlignment="1">
      <alignment wrapText="1"/>
    </xf>
    <xf numFmtId="0" fontId="24" fillId="0" borderId="0" xfId="10" applyFont="1"/>
    <xf numFmtId="0" fontId="24" fillId="0" borderId="5" xfId="0" applyFont="1" applyBorder="1"/>
    <xf numFmtId="10" fontId="17" fillId="0" borderId="1" xfId="6" applyNumberFormat="1" applyFont="1" applyBorder="1"/>
    <xf numFmtId="0" fontId="24" fillId="0" borderId="1" xfId="0" applyFont="1" applyBorder="1" applyAlignment="1">
      <alignment horizontal="center" vertical="center"/>
    </xf>
    <xf numFmtId="0" fontId="22" fillId="0" borderId="1" xfId="0" applyFont="1" applyBorder="1" applyAlignment="1">
      <alignment horizontal="center" vertical="center" wrapText="1"/>
    </xf>
    <xf numFmtId="177" fontId="23" fillId="0" borderId="1" xfId="4" applyNumberFormat="1" applyFont="1" applyBorder="1"/>
    <xf numFmtId="0" fontId="23" fillId="0" borderId="1" xfId="10" applyFont="1" applyBorder="1"/>
    <xf numFmtId="1" fontId="0" fillId="0" borderId="14" xfId="0" applyNumberFormat="1" applyBorder="1" applyAlignment="1">
      <alignment horizontal="center" vertical="center"/>
    </xf>
    <xf numFmtId="0" fontId="22" fillId="0" borderId="1" xfId="0" applyFont="1" applyBorder="1" applyAlignment="1">
      <alignment horizontal="center" vertical="center"/>
    </xf>
    <xf numFmtId="1" fontId="24" fillId="0" borderId="1" xfId="0" applyNumberFormat="1" applyFont="1" applyBorder="1" applyAlignment="1">
      <alignment horizontal="center" vertical="center" wrapText="1"/>
    </xf>
    <xf numFmtId="0" fontId="22" fillId="0" borderId="1" xfId="10" applyFont="1" applyBorder="1" applyAlignment="1">
      <alignment horizontal="left"/>
    </xf>
    <xf numFmtId="177" fontId="18" fillId="0" borderId="1" xfId="4" applyNumberFormat="1" applyFont="1" applyBorder="1"/>
    <xf numFmtId="0" fontId="24" fillId="0" borderId="6" xfId="0" applyFont="1" applyBorder="1"/>
    <xf numFmtId="0" fontId="18" fillId="0" borderId="1" xfId="0" applyFont="1" applyBorder="1" applyAlignment="1">
      <alignment horizontal="left" wrapText="1"/>
    </xf>
    <xf numFmtId="0" fontId="22" fillId="0" borderId="1" xfId="0" applyFont="1" applyBorder="1" applyAlignment="1">
      <alignment horizontal="left"/>
    </xf>
    <xf numFmtId="177" fontId="28" fillId="0" borderId="1" xfId="0" applyNumberFormat="1" applyFont="1" applyBorder="1"/>
    <xf numFmtId="175" fontId="17" fillId="0" borderId="1" xfId="0" applyNumberFormat="1" applyFont="1" applyBorder="1"/>
    <xf numFmtId="0" fontId="22" fillId="0" borderId="14" xfId="0" applyFont="1" applyBorder="1" applyAlignment="1">
      <alignment horizontal="center" wrapText="1"/>
    </xf>
    <xf numFmtId="0" fontId="54" fillId="6" borderId="1" xfId="0" applyFont="1" applyFill="1" applyBorder="1" applyAlignment="1">
      <alignment horizontal="left" vertical="center" wrapText="1"/>
    </xf>
    <xf numFmtId="0" fontId="53" fillId="5" borderId="1" xfId="0" applyFont="1" applyFill="1" applyBorder="1" applyAlignment="1">
      <alignment horizontal="center" vertical="center" wrapText="1"/>
    </xf>
    <xf numFmtId="0" fontId="53" fillId="5" borderId="1" xfId="0" applyFont="1" applyFill="1" applyBorder="1" applyAlignment="1">
      <alignment horizontal="left" vertical="top" wrapText="1"/>
    </xf>
    <xf numFmtId="14" fontId="54" fillId="5" borderId="1" xfId="0" applyNumberFormat="1" applyFont="1" applyFill="1" applyBorder="1" applyAlignment="1">
      <alignment horizontal="center" vertical="center" wrapText="1"/>
    </xf>
    <xf numFmtId="14" fontId="53" fillId="5" borderId="1" xfId="0" applyNumberFormat="1" applyFont="1" applyFill="1" applyBorder="1" applyAlignment="1">
      <alignment vertical="center"/>
    </xf>
    <xf numFmtId="0" fontId="53" fillId="5" borderId="1" xfId="0" applyFont="1" applyFill="1" applyBorder="1" applyAlignment="1">
      <alignment horizontal="center" wrapText="1"/>
    </xf>
    <xf numFmtId="0" fontId="54" fillId="5" borderId="1" xfId="0" applyFont="1" applyFill="1" applyBorder="1" applyAlignment="1">
      <alignment horizontal="center"/>
    </xf>
    <xf numFmtId="0" fontId="54" fillId="5" borderId="1" xfId="0" applyFont="1" applyFill="1" applyBorder="1" applyAlignment="1">
      <alignment horizontal="center" wrapText="1"/>
    </xf>
    <xf numFmtId="14" fontId="54" fillId="5" borderId="1" xfId="0" applyNumberFormat="1" applyFont="1" applyFill="1" applyBorder="1" applyAlignment="1">
      <alignment horizontal="center" vertical="center"/>
    </xf>
    <xf numFmtId="180" fontId="54" fillId="5" borderId="1" xfId="0" applyNumberFormat="1" applyFont="1" applyFill="1" applyBorder="1" applyAlignment="1">
      <alignment horizontal="center" vertical="center" wrapText="1"/>
    </xf>
    <xf numFmtId="0" fontId="58" fillId="5" borderId="1" xfId="0" applyFont="1" applyFill="1" applyBorder="1"/>
    <xf numFmtId="180" fontId="54" fillId="7" borderId="1" xfId="10" applyNumberFormat="1" applyFont="1" applyFill="1" applyBorder="1" applyAlignment="1">
      <alignment horizontal="center" wrapText="1"/>
    </xf>
    <xf numFmtId="0" fontId="0" fillId="5" borderId="1" xfId="0" applyFill="1" applyBorder="1" applyAlignment="1">
      <alignment vertical="center"/>
    </xf>
    <xf numFmtId="181" fontId="0" fillId="5" borderId="1" xfId="3" applyNumberFormat="1" applyFont="1" applyFill="1" applyBorder="1" applyAlignment="1">
      <alignment vertical="center"/>
    </xf>
    <xf numFmtId="1" fontId="0" fillId="0" borderId="38" xfId="0" applyNumberFormat="1" applyBorder="1" applyAlignment="1">
      <alignment horizontal="center" vertical="center"/>
    </xf>
    <xf numFmtId="168" fontId="0" fillId="0" borderId="38" xfId="4" applyFont="1" applyBorder="1"/>
    <xf numFmtId="168" fontId="0" fillId="0" borderId="1" xfId="0" applyNumberFormat="1" applyBorder="1"/>
    <xf numFmtId="0" fontId="53" fillId="5" borderId="1" xfId="0" applyFont="1" applyFill="1" applyBorder="1" applyAlignment="1">
      <alignment vertical="center" wrapText="1"/>
    </xf>
    <xf numFmtId="1" fontId="0" fillId="0" borderId="4" xfId="0" applyNumberFormat="1" applyBorder="1" applyAlignment="1">
      <alignment horizontal="center" vertical="center"/>
    </xf>
    <xf numFmtId="0" fontId="59" fillId="0" borderId="0" xfId="0" applyFont="1" applyAlignment="1">
      <alignment vertical="center" wrapText="1"/>
    </xf>
    <xf numFmtId="164" fontId="59" fillId="0" borderId="0" xfId="0" applyNumberFormat="1" applyFont="1" applyAlignment="1">
      <alignment vertical="center" wrapText="1"/>
    </xf>
    <xf numFmtId="0" fontId="28" fillId="0" borderId="1" xfId="0" applyFont="1" applyBorder="1" applyAlignment="1">
      <alignment vertical="center"/>
    </xf>
    <xf numFmtId="0" fontId="59" fillId="0" borderId="0" xfId="0" applyFont="1"/>
    <xf numFmtId="0" fontId="20" fillId="0" borderId="0" xfId="0" applyFont="1" applyAlignment="1">
      <alignment vertical="center"/>
    </xf>
    <xf numFmtId="10" fontId="0" fillId="0" borderId="8" xfId="0" applyNumberFormat="1" applyBorder="1"/>
    <xf numFmtId="168" fontId="22" fillId="0" borderId="1" xfId="4" applyFont="1" applyBorder="1" applyAlignment="1">
      <alignment horizontal="center"/>
    </xf>
    <xf numFmtId="0" fontId="53" fillId="6" borderId="1" xfId="10" applyFont="1" applyFill="1" applyBorder="1" applyAlignment="1">
      <alignment vertical="center" wrapText="1"/>
    </xf>
    <xf numFmtId="168" fontId="18" fillId="0" borderId="0" xfId="4" applyFont="1"/>
    <xf numFmtId="0" fontId="0" fillId="0" borderId="2" xfId="0" applyBorder="1"/>
    <xf numFmtId="175" fontId="21" fillId="0" borderId="1" xfId="10" applyNumberFormat="1" applyFont="1" applyBorder="1"/>
    <xf numFmtId="0" fontId="17" fillId="0" borderId="8" xfId="10" applyBorder="1"/>
    <xf numFmtId="10" fontId="21" fillId="0" borderId="4" xfId="10" applyNumberFormat="1" applyFont="1" applyBorder="1"/>
    <xf numFmtId="177" fontId="17" fillId="4" borderId="0" xfId="10" applyNumberFormat="1" applyFill="1"/>
    <xf numFmtId="3" fontId="21" fillId="0" borderId="8" xfId="10" applyNumberFormat="1" applyFont="1" applyBorder="1" applyAlignment="1">
      <alignment horizontal="center"/>
    </xf>
    <xf numFmtId="177" fontId="18" fillId="0" borderId="5" xfId="10" applyNumberFormat="1" applyFont="1" applyBorder="1"/>
    <xf numFmtId="0" fontId="17" fillId="0" borderId="2" xfId="10" applyBorder="1"/>
    <xf numFmtId="168" fontId="0" fillId="0" borderId="2" xfId="4" applyFont="1" applyBorder="1"/>
    <xf numFmtId="0" fontId="60" fillId="0" borderId="0" xfId="0" applyFont="1" applyAlignment="1">
      <alignment vertical="center"/>
    </xf>
    <xf numFmtId="10" fontId="17" fillId="0" borderId="1" xfId="0" applyNumberFormat="1" applyFont="1" applyBorder="1" applyAlignment="1">
      <alignment horizontal="center" vertical="center"/>
    </xf>
    <xf numFmtId="169" fontId="60" fillId="0" borderId="1" xfId="3" applyFont="1" applyBorder="1" applyAlignment="1">
      <alignment vertical="center"/>
    </xf>
    <xf numFmtId="10" fontId="17" fillId="0" borderId="1" xfId="0" applyNumberFormat="1" applyFont="1" applyBorder="1"/>
    <xf numFmtId="10" fontId="17" fillId="0" borderId="1" xfId="6" applyNumberFormat="1" applyFont="1" applyFill="1" applyBorder="1"/>
    <xf numFmtId="192" fontId="0" fillId="0" borderId="1" xfId="0" applyNumberFormat="1" applyBorder="1"/>
    <xf numFmtId="173" fontId="17" fillId="0" borderId="1" xfId="0" applyNumberFormat="1" applyFont="1" applyBorder="1" applyAlignment="1">
      <alignment horizontal="center" vertical="center"/>
    </xf>
    <xf numFmtId="175" fontId="21" fillId="0" borderId="8" xfId="0" applyNumberFormat="1" applyFont="1" applyBorder="1"/>
    <xf numFmtId="14" fontId="19" fillId="0" borderId="0" xfId="5" applyNumberFormat="1" applyAlignment="1">
      <alignment horizontal="center" vertical="center"/>
    </xf>
    <xf numFmtId="0" fontId="19" fillId="0" borderId="0" xfId="5" applyAlignment="1">
      <alignment horizontal="center" vertical="center"/>
    </xf>
    <xf numFmtId="0" fontId="54" fillId="7" borderId="1" xfId="10" applyFont="1" applyFill="1" applyBorder="1" applyAlignment="1">
      <alignment horizontal="center" vertical="center" wrapText="1"/>
    </xf>
    <xf numFmtId="0" fontId="54" fillId="20" borderId="1" xfId="10" applyFont="1" applyFill="1" applyBorder="1" applyAlignment="1">
      <alignment horizontal="center" vertical="center" wrapText="1"/>
    </xf>
    <xf numFmtId="0" fontId="18" fillId="0" borderId="0" xfId="5" applyFont="1" applyAlignment="1">
      <alignment horizontal="center" wrapText="1"/>
    </xf>
    <xf numFmtId="17" fontId="21" fillId="0" borderId="1" xfId="10" applyNumberFormat="1" applyFont="1" applyBorder="1" applyAlignment="1">
      <alignment horizontal="center"/>
    </xf>
    <xf numFmtId="0" fontId="17" fillId="0" borderId="2" xfId="0" applyFont="1" applyBorder="1"/>
    <xf numFmtId="14" fontId="0" fillId="0" borderId="2" xfId="0" applyNumberFormat="1" applyBorder="1"/>
    <xf numFmtId="0" fontId="54" fillId="6" borderId="1" xfId="5" applyFont="1" applyFill="1" applyBorder="1" applyAlignment="1">
      <alignment horizontal="center" vertical="center" wrapText="1"/>
    </xf>
    <xf numFmtId="169" fontId="17" fillId="0" borderId="0" xfId="3" applyFont="1"/>
    <xf numFmtId="14" fontId="54" fillId="8" borderId="1" xfId="0" applyNumberFormat="1" applyFont="1" applyFill="1" applyBorder="1" applyAlignment="1">
      <alignment horizontal="center" vertical="center"/>
    </xf>
    <xf numFmtId="0" fontId="56" fillId="5" borderId="1" xfId="0" applyFont="1" applyFill="1" applyBorder="1" applyAlignment="1">
      <alignment wrapText="1"/>
    </xf>
    <xf numFmtId="10" fontId="17" fillId="5" borderId="1" xfId="0" applyNumberFormat="1" applyFont="1" applyFill="1" applyBorder="1" applyAlignment="1">
      <alignment horizontal="center" vertical="center"/>
    </xf>
    <xf numFmtId="169" fontId="60" fillId="5" borderId="1" xfId="3" applyFont="1" applyFill="1" applyBorder="1" applyAlignment="1">
      <alignment vertical="center"/>
    </xf>
    <xf numFmtId="0" fontId="18" fillId="0" borderId="1" xfId="0" applyFont="1" applyBorder="1" applyAlignment="1">
      <alignment horizontal="center"/>
    </xf>
    <xf numFmtId="15" fontId="0" fillId="0" borderId="0" xfId="0" applyNumberFormat="1"/>
    <xf numFmtId="0" fontId="21" fillId="0" borderId="14" xfId="10" applyFont="1" applyBorder="1" applyAlignment="1">
      <alignment horizontal="center"/>
    </xf>
    <xf numFmtId="0" fontId="24" fillId="0" borderId="1" xfId="0" applyFont="1" applyBorder="1" applyAlignment="1">
      <alignment horizontal="left"/>
    </xf>
    <xf numFmtId="0" fontId="24" fillId="0" borderId="1" xfId="10" applyFont="1" applyBorder="1" applyAlignment="1">
      <alignment horizontal="center" vertical="center"/>
    </xf>
    <xf numFmtId="0" fontId="17" fillId="0" borderId="0" xfId="10" applyAlignment="1">
      <alignment horizontal="center"/>
    </xf>
    <xf numFmtId="0" fontId="70" fillId="0" borderId="0" xfId="53" applyFont="1" applyAlignment="1">
      <alignment vertical="center"/>
    </xf>
    <xf numFmtId="0" fontId="22" fillId="0" borderId="1" xfId="0" applyFont="1" applyBorder="1" applyAlignment="1">
      <alignment horizontal="center"/>
    </xf>
    <xf numFmtId="0" fontId="22" fillId="0" borderId="18" xfId="0" applyFont="1" applyBorder="1" applyAlignment="1">
      <alignment horizontal="center"/>
    </xf>
    <xf numFmtId="0" fontId="22" fillId="0" borderId="0" xfId="0" applyFont="1" applyAlignment="1">
      <alignment horizontal="center"/>
    </xf>
    <xf numFmtId="0" fontId="22" fillId="0" borderId="0" xfId="0" applyFont="1" applyAlignment="1">
      <alignment horizontal="left" wrapText="1"/>
    </xf>
    <xf numFmtId="14" fontId="21" fillId="0" borderId="0" xfId="0" applyNumberFormat="1" applyFont="1" applyAlignment="1">
      <alignment horizontal="right"/>
    </xf>
    <xf numFmtId="0" fontId="22" fillId="0" borderId="0" xfId="0" applyFont="1" applyAlignment="1">
      <alignment wrapText="1"/>
    </xf>
    <xf numFmtId="14" fontId="21" fillId="0" borderId="0" xfId="0" applyNumberFormat="1" applyFont="1"/>
    <xf numFmtId="168" fontId="21" fillId="0" borderId="1" xfId="4" applyFont="1" applyBorder="1"/>
    <xf numFmtId="168" fontId="21" fillId="0" borderId="1" xfId="4" applyFont="1" applyBorder="1" applyAlignment="1">
      <alignment vertical="center"/>
    </xf>
    <xf numFmtId="0" fontId="22" fillId="0" borderId="5" xfId="0" applyFont="1" applyBorder="1" applyAlignment="1">
      <alignment wrapText="1"/>
    </xf>
    <xf numFmtId="169" fontId="21" fillId="0" borderId="5" xfId="3" applyFont="1" applyBorder="1"/>
    <xf numFmtId="169" fontId="21" fillId="0" borderId="0" xfId="3" applyFont="1"/>
    <xf numFmtId="10" fontId="21" fillId="0" borderId="1" xfId="0" applyNumberFormat="1" applyFont="1" applyBorder="1" applyAlignment="1">
      <alignment vertical="center" wrapText="1"/>
    </xf>
    <xf numFmtId="169" fontId="21" fillId="0" borderId="1" xfId="0" applyNumberFormat="1" applyFont="1" applyBorder="1"/>
    <xf numFmtId="10" fontId="21" fillId="0" borderId="1" xfId="6" applyNumberFormat="1" applyFont="1" applyBorder="1"/>
    <xf numFmtId="177" fontId="22" fillId="0" borderId="10" xfId="0" applyNumberFormat="1" applyFont="1" applyBorder="1"/>
    <xf numFmtId="180" fontId="22" fillId="0" borderId="5" xfId="0" applyNumberFormat="1" applyFont="1" applyBorder="1"/>
    <xf numFmtId="177" fontId="22" fillId="0" borderId="1" xfId="0" applyNumberFormat="1" applyFont="1" applyBorder="1"/>
    <xf numFmtId="0" fontId="53" fillId="5" borderId="1" xfId="0" applyFont="1" applyFill="1" applyBorder="1" applyAlignment="1">
      <alignment horizontal="left" vertical="center" wrapText="1"/>
    </xf>
    <xf numFmtId="0" fontId="71" fillId="5" borderId="0" xfId="54" applyFill="1" applyAlignment="1">
      <alignment wrapText="1"/>
    </xf>
    <xf numFmtId="177" fontId="0" fillId="0" borderId="24" xfId="0" applyNumberFormat="1" applyBorder="1"/>
    <xf numFmtId="177" fontId="23" fillId="5" borderId="1" xfId="4" applyNumberFormat="1" applyFont="1" applyFill="1" applyBorder="1"/>
    <xf numFmtId="0" fontId="28" fillId="0" borderId="1" xfId="0" applyFont="1" applyBorder="1" applyAlignment="1">
      <alignment vertical="center" wrapText="1"/>
    </xf>
    <xf numFmtId="168" fontId="0" fillId="0" borderId="38" xfId="0" applyNumberFormat="1" applyBorder="1"/>
    <xf numFmtId="0" fontId="24" fillId="0" borderId="1" xfId="0" applyFont="1" applyBorder="1" applyAlignment="1">
      <alignment horizontal="left" vertical="center" wrapText="1"/>
    </xf>
    <xf numFmtId="0" fontId="24" fillId="0" borderId="1" xfId="10" applyFont="1" applyBorder="1" applyAlignment="1">
      <alignment horizontal="center"/>
    </xf>
    <xf numFmtId="14" fontId="54" fillId="0" borderId="1" xfId="0" applyNumberFormat="1" applyFont="1" applyBorder="1" applyAlignment="1">
      <alignment horizontal="center" vertical="center" wrapText="1"/>
    </xf>
    <xf numFmtId="174" fontId="17" fillId="0" borderId="7" xfId="10" applyNumberFormat="1" applyBorder="1"/>
    <xf numFmtId="0" fontId="23" fillId="0" borderId="1" xfId="0" applyFont="1" applyBorder="1" applyAlignment="1">
      <alignment horizontal="left" wrapText="1"/>
    </xf>
    <xf numFmtId="169" fontId="17" fillId="0" borderId="1" xfId="0" applyNumberFormat="1" applyFont="1" applyBorder="1"/>
    <xf numFmtId="14" fontId="0" fillId="0" borderId="1" xfId="0" applyNumberFormat="1" applyBorder="1" applyAlignment="1">
      <alignment wrapText="1"/>
    </xf>
    <xf numFmtId="0" fontId="21" fillId="0" borderId="1" xfId="10" applyFont="1" applyBorder="1" applyAlignment="1">
      <alignment wrapText="1"/>
    </xf>
    <xf numFmtId="0" fontId="22" fillId="0" borderId="5" xfId="10" applyFont="1" applyBorder="1" applyAlignment="1">
      <alignment wrapText="1"/>
    </xf>
    <xf numFmtId="172" fontId="17" fillId="0" borderId="5" xfId="10" applyNumberFormat="1" applyBorder="1"/>
    <xf numFmtId="168" fontId="17" fillId="0" borderId="1" xfId="4" applyBorder="1"/>
    <xf numFmtId="168" fontId="18" fillId="0" borderId="5" xfId="10" applyNumberFormat="1" applyFont="1" applyBorder="1"/>
    <xf numFmtId="177" fontId="23" fillId="0" borderId="23" xfId="4" applyNumberFormat="1" applyFont="1" applyBorder="1"/>
    <xf numFmtId="177" fontId="24" fillId="0" borderId="9" xfId="4" applyNumberFormat="1" applyFont="1" applyBorder="1"/>
    <xf numFmtId="177" fontId="23" fillId="5" borderId="18" xfId="4" applyNumberFormat="1" applyFont="1" applyFill="1" applyBorder="1"/>
    <xf numFmtId="177" fontId="0" fillId="0" borderId="3" xfId="4" applyNumberFormat="1" applyFont="1" applyBorder="1"/>
    <xf numFmtId="177" fontId="0" fillId="0" borderId="1" xfId="0" applyNumberFormat="1" applyBorder="1" applyAlignment="1">
      <alignment horizontal="center" vertical="center"/>
    </xf>
    <xf numFmtId="0" fontId="28" fillId="0" borderId="1" xfId="0" applyFont="1" applyBorder="1" applyAlignment="1">
      <alignment horizontal="left" wrapText="1"/>
    </xf>
    <xf numFmtId="0" fontId="72" fillId="0" borderId="1" xfId="0" applyFont="1" applyBorder="1"/>
    <xf numFmtId="0" fontId="18" fillId="0" borderId="0" xfId="0" applyFont="1" applyAlignment="1">
      <alignment horizontal="center"/>
    </xf>
    <xf numFmtId="0" fontId="24" fillId="0" borderId="1" xfId="0" applyFont="1" applyBorder="1" applyAlignment="1">
      <alignment horizontal="center"/>
    </xf>
    <xf numFmtId="177" fontId="17" fillId="0" borderId="1" xfId="4" applyNumberFormat="1" applyFont="1" applyBorder="1"/>
    <xf numFmtId="1" fontId="0" fillId="0" borderId="0" xfId="0" applyNumberFormat="1" applyAlignment="1">
      <alignment horizontal="center"/>
    </xf>
    <xf numFmtId="191" fontId="24" fillId="0" borderId="1" xfId="0" applyNumberFormat="1" applyFont="1" applyBorder="1" applyAlignment="1">
      <alignment horizontal="center" vertical="center" wrapText="1"/>
    </xf>
    <xf numFmtId="0" fontId="73" fillId="0" borderId="1" xfId="0" applyFont="1" applyBorder="1" applyAlignment="1">
      <alignment horizontal="center" vertical="center" wrapText="1"/>
    </xf>
    <xf numFmtId="0" fontId="73" fillId="0" borderId="1" xfId="0" applyFont="1" applyBorder="1" applyAlignment="1">
      <alignment horizontal="center" vertical="center"/>
    </xf>
    <xf numFmtId="177" fontId="0" fillId="0" borderId="8" xfId="0" applyNumberFormat="1" applyBorder="1"/>
    <xf numFmtId="0" fontId="20" fillId="5" borderId="5" xfId="0" applyFont="1" applyFill="1" applyBorder="1" applyAlignment="1">
      <alignment horizontal="center" wrapText="1"/>
    </xf>
    <xf numFmtId="1" fontId="17" fillId="0" borderId="1" xfId="0" applyNumberFormat="1" applyFont="1" applyBorder="1" applyAlignment="1">
      <alignment horizontal="center"/>
    </xf>
    <xf numFmtId="0" fontId="18" fillId="0" borderId="10" xfId="0" applyFont="1" applyBorder="1" applyAlignment="1">
      <alignment horizontal="center"/>
    </xf>
    <xf numFmtId="175" fontId="23" fillId="0" borderId="1" xfId="10" applyNumberFormat="1" applyFont="1" applyBorder="1"/>
    <xf numFmtId="180" fontId="17" fillId="0" borderId="0" xfId="10" applyNumberFormat="1"/>
    <xf numFmtId="0" fontId="21" fillId="0" borderId="1" xfId="0" applyFont="1" applyBorder="1" applyAlignment="1">
      <alignment horizontal="left" vertical="center"/>
    </xf>
    <xf numFmtId="0" fontId="21" fillId="0" borderId="1" xfId="10" applyFont="1" applyBorder="1" applyAlignment="1">
      <alignment horizontal="left"/>
    </xf>
    <xf numFmtId="177" fontId="20" fillId="0" borderId="1" xfId="4" applyNumberFormat="1" applyFont="1" applyBorder="1"/>
    <xf numFmtId="0" fontId="17" fillId="0" borderId="1" xfId="0" applyFont="1" applyBorder="1" applyAlignment="1">
      <alignment horizontal="left" wrapText="1"/>
    </xf>
    <xf numFmtId="195" fontId="0" fillId="0" borderId="0" xfId="3" applyNumberFormat="1" applyFont="1"/>
    <xf numFmtId="10" fontId="17" fillId="0" borderId="1" xfId="10" applyNumberFormat="1" applyBorder="1"/>
    <xf numFmtId="175" fontId="17" fillId="0" borderId="0" xfId="10" applyNumberFormat="1"/>
    <xf numFmtId="10" fontId="21" fillId="0" borderId="0" xfId="10" applyNumberFormat="1" applyFont="1"/>
    <xf numFmtId="186" fontId="21" fillId="0" borderId="0" xfId="10" applyNumberFormat="1" applyFont="1"/>
    <xf numFmtId="1" fontId="21" fillId="0" borderId="0" xfId="10" applyNumberFormat="1" applyFont="1"/>
    <xf numFmtId="173" fontId="21" fillId="0" borderId="7" xfId="10" applyNumberFormat="1" applyFont="1" applyBorder="1"/>
    <xf numFmtId="177" fontId="21" fillId="0" borderId="7" xfId="12" applyNumberFormat="1" applyFont="1" applyBorder="1"/>
    <xf numFmtId="168" fontId="60" fillId="0" borderId="1" xfId="4" applyFont="1" applyBorder="1" applyAlignment="1">
      <alignment vertical="center"/>
    </xf>
    <xf numFmtId="10" fontId="17" fillId="0" borderId="0" xfId="10" applyNumberFormat="1"/>
    <xf numFmtId="0" fontId="23" fillId="0" borderId="0" xfId="10" applyFont="1"/>
    <xf numFmtId="168" fontId="0" fillId="0" borderId="0" xfId="12" applyFont="1"/>
    <xf numFmtId="0" fontId="21" fillId="0" borderId="0" xfId="10" applyFont="1" applyAlignment="1">
      <alignment wrapText="1"/>
    </xf>
    <xf numFmtId="0" fontId="23" fillId="0" borderId="0" xfId="10" applyFont="1" applyAlignment="1">
      <alignment wrapText="1"/>
    </xf>
    <xf numFmtId="174" fontId="0" fillId="0" borderId="11" xfId="11" applyNumberFormat="1" applyFont="1" applyBorder="1"/>
    <xf numFmtId="175" fontId="21" fillId="0" borderId="0" xfId="10" applyNumberFormat="1" applyFont="1"/>
    <xf numFmtId="14" fontId="23" fillId="0" borderId="0" xfId="10" applyNumberFormat="1" applyFont="1"/>
    <xf numFmtId="168" fontId="22" fillId="0" borderId="1" xfId="12" applyFont="1" applyBorder="1" applyAlignment="1">
      <alignment horizontal="center"/>
    </xf>
    <xf numFmtId="168" fontId="21" fillId="0" borderId="1" xfId="12" applyFont="1" applyBorder="1"/>
    <xf numFmtId="0" fontId="22" fillId="0" borderId="7" xfId="10" applyFont="1" applyBorder="1"/>
    <xf numFmtId="177" fontId="22" fillId="0" borderId="7" xfId="12" applyNumberFormat="1" applyFont="1" applyBorder="1"/>
    <xf numFmtId="168" fontId="21" fillId="0" borderId="1" xfId="12" applyFont="1" applyBorder="1" applyAlignment="1">
      <alignment wrapText="1"/>
    </xf>
    <xf numFmtId="0" fontId="18" fillId="0" borderId="7" xfId="10" applyFont="1" applyBorder="1"/>
    <xf numFmtId="177" fontId="18" fillId="0" borderId="7" xfId="10" applyNumberFormat="1" applyFont="1" applyBorder="1"/>
    <xf numFmtId="177" fontId="18" fillId="0" borderId="0" xfId="10" applyNumberFormat="1" applyFont="1"/>
    <xf numFmtId="168" fontId="22" fillId="0" borderId="7" xfId="12" applyFont="1" applyBorder="1"/>
    <xf numFmtId="168" fontId="0" fillId="0" borderId="0" xfId="12" applyFont="1" applyBorder="1"/>
    <xf numFmtId="0" fontId="23" fillId="0" borderId="1" xfId="10" applyFont="1" applyBorder="1" applyAlignment="1">
      <alignment horizontal="center" vertical="center"/>
    </xf>
    <xf numFmtId="10" fontId="24" fillId="0" borderId="1" xfId="10" applyNumberFormat="1" applyFont="1" applyBorder="1" applyAlignment="1">
      <alignment horizontal="center" vertical="center"/>
    </xf>
    <xf numFmtId="0" fontId="24" fillId="0" borderId="1" xfId="10" applyFont="1" applyBorder="1" applyAlignment="1">
      <alignment horizontal="center" vertical="center" wrapText="1"/>
    </xf>
    <xf numFmtId="168" fontId="24" fillId="0" borderId="1" xfId="12" applyFont="1" applyBorder="1" applyAlignment="1">
      <alignment horizontal="center" vertical="center" wrapText="1"/>
    </xf>
    <xf numFmtId="0" fontId="23" fillId="0" borderId="0" xfId="10" applyFont="1" applyAlignment="1">
      <alignment vertical="center"/>
    </xf>
    <xf numFmtId="175" fontId="23" fillId="0" borderId="1" xfId="10" applyNumberFormat="1" applyFont="1" applyBorder="1" applyAlignment="1">
      <alignment vertical="center"/>
    </xf>
    <xf numFmtId="10" fontId="74" fillId="0" borderId="1" xfId="47" applyNumberFormat="1" applyFont="1" applyBorder="1" applyAlignment="1">
      <alignment vertical="center"/>
    </xf>
    <xf numFmtId="182" fontId="23" fillId="0" borderId="1" xfId="47" applyNumberFormat="1" applyFont="1" applyBorder="1" applyAlignment="1">
      <alignment vertical="center"/>
    </xf>
    <xf numFmtId="177" fontId="74" fillId="0" borderId="1" xfId="12" applyNumberFormat="1" applyFont="1" applyBorder="1" applyAlignment="1">
      <alignment vertical="center"/>
    </xf>
    <xf numFmtId="1" fontId="23" fillId="0" borderId="1" xfId="10" applyNumberFormat="1" applyFont="1" applyBorder="1" applyAlignment="1">
      <alignment vertical="center"/>
    </xf>
    <xf numFmtId="182" fontId="23" fillId="0" borderId="1" xfId="47" applyNumberFormat="1" applyFont="1" applyBorder="1" applyAlignment="1">
      <alignment vertical="center" wrapText="1"/>
    </xf>
    <xf numFmtId="0" fontId="17" fillId="0" borderId="0" xfId="10" applyAlignment="1">
      <alignment vertical="center"/>
    </xf>
    <xf numFmtId="1" fontId="21" fillId="0" borderId="0" xfId="10" applyNumberFormat="1" applyFont="1" applyAlignment="1">
      <alignment vertical="center"/>
    </xf>
    <xf numFmtId="0" fontId="24" fillId="0" borderId="7" xfId="10" applyFont="1" applyBorder="1" applyAlignment="1">
      <alignment vertical="center"/>
    </xf>
    <xf numFmtId="177" fontId="24" fillId="0" borderId="7" xfId="10" applyNumberFormat="1" applyFont="1" applyBorder="1" applyAlignment="1">
      <alignment vertical="center"/>
    </xf>
    <xf numFmtId="0" fontId="24" fillId="0" borderId="1" xfId="10" applyFont="1" applyBorder="1" applyAlignment="1">
      <alignment vertical="center"/>
    </xf>
    <xf numFmtId="177" fontId="75" fillId="0" borderId="1" xfId="12" applyNumberFormat="1" applyFont="1" applyBorder="1" applyAlignment="1">
      <alignment vertical="center"/>
    </xf>
    <xf numFmtId="172" fontId="17" fillId="0" borderId="0" xfId="10" applyNumberFormat="1"/>
    <xf numFmtId="177" fontId="23" fillId="0" borderId="1" xfId="12" applyNumberFormat="1" applyFont="1" applyBorder="1"/>
    <xf numFmtId="0" fontId="24" fillId="0" borderId="1" xfId="10" applyFont="1" applyBorder="1" applyAlignment="1">
      <alignment wrapText="1"/>
    </xf>
    <xf numFmtId="177" fontId="24" fillId="0" borderId="1" xfId="12" applyNumberFormat="1" applyFont="1" applyBorder="1"/>
    <xf numFmtId="168" fontId="0" fillId="0" borderId="1" xfId="12" applyFont="1" applyBorder="1"/>
    <xf numFmtId="177" fontId="21" fillId="0" borderId="0" xfId="12" applyNumberFormat="1" applyFont="1" applyBorder="1"/>
    <xf numFmtId="10" fontId="0" fillId="0" borderId="0" xfId="47" applyNumberFormat="1" applyFont="1"/>
    <xf numFmtId="168" fontId="17" fillId="0" borderId="0" xfId="10" applyNumberFormat="1"/>
    <xf numFmtId="166" fontId="17" fillId="0" borderId="0" xfId="10" applyNumberFormat="1"/>
    <xf numFmtId="175" fontId="21" fillId="5" borderId="1" xfId="10" applyNumberFormat="1" applyFont="1" applyFill="1" applyBorder="1"/>
    <xf numFmtId="0" fontId="17" fillId="5" borderId="0" xfId="10" applyFill="1"/>
    <xf numFmtId="186" fontId="21" fillId="0" borderId="1" xfId="7" applyNumberFormat="1" applyFont="1" applyBorder="1"/>
    <xf numFmtId="169" fontId="17" fillId="0" borderId="0" xfId="3"/>
    <xf numFmtId="167" fontId="17" fillId="0" borderId="0" xfId="10" applyNumberFormat="1"/>
    <xf numFmtId="174" fontId="17" fillId="0" borderId="0" xfId="3" applyNumberFormat="1"/>
    <xf numFmtId="177" fontId="74" fillId="5" borderId="1" xfId="12" applyNumberFormat="1" applyFont="1" applyFill="1" applyBorder="1" applyAlignment="1">
      <alignment vertical="center"/>
    </xf>
    <xf numFmtId="0" fontId="23" fillId="0" borderId="1" xfId="10" applyFont="1" applyBorder="1" applyAlignment="1">
      <alignment wrapText="1"/>
    </xf>
    <xf numFmtId="15" fontId="23" fillId="0" borderId="1" xfId="0" applyNumberFormat="1" applyFont="1" applyBorder="1"/>
    <xf numFmtId="0" fontId="24" fillId="0" borderId="1" xfId="0" applyFont="1" applyBorder="1" applyAlignment="1">
      <alignment vertical="center"/>
    </xf>
    <xf numFmtId="0" fontId="23" fillId="0" borderId="1" xfId="0" applyFont="1" applyBorder="1" applyAlignment="1">
      <alignment horizontal="center" wrapText="1"/>
    </xf>
    <xf numFmtId="0" fontId="22" fillId="0" borderId="1" xfId="10" applyFont="1" applyBorder="1" applyAlignment="1">
      <alignment horizontal="left" wrapText="1"/>
    </xf>
    <xf numFmtId="186" fontId="21" fillId="0" borderId="29" xfId="10" applyNumberFormat="1" applyFont="1" applyBorder="1"/>
    <xf numFmtId="177" fontId="22" fillId="0" borderId="1" xfId="4" applyNumberFormat="1" applyFont="1" applyBorder="1"/>
    <xf numFmtId="0" fontId="22" fillId="0" borderId="1" xfId="10" applyFont="1" applyBorder="1" applyAlignment="1">
      <alignment wrapText="1"/>
    </xf>
    <xf numFmtId="175" fontId="21" fillId="0" borderId="1" xfId="0" applyNumberFormat="1" applyFont="1" applyBorder="1" applyAlignment="1">
      <alignment horizontal="center" vertical="center"/>
    </xf>
    <xf numFmtId="0" fontId="24" fillId="0" borderId="8" xfId="0" applyFont="1" applyBorder="1" applyAlignment="1">
      <alignment horizontal="left"/>
    </xf>
    <xf numFmtId="0" fontId="18" fillId="0" borderId="1" xfId="0" applyFont="1" applyBorder="1" applyAlignment="1">
      <alignment horizontal="left" vertical="center" wrapText="1"/>
    </xf>
    <xf numFmtId="11" fontId="17" fillId="0" borderId="1" xfId="0" applyNumberFormat="1" applyFont="1" applyBorder="1" applyAlignment="1">
      <alignment horizontal="center" wrapText="1"/>
    </xf>
    <xf numFmtId="180" fontId="17" fillId="0" borderId="1" xfId="3" applyNumberFormat="1" applyFont="1" applyBorder="1"/>
    <xf numFmtId="16" fontId="0" fillId="0" borderId="0" xfId="0" applyNumberFormat="1"/>
    <xf numFmtId="0" fontId="18" fillId="0" borderId="18" xfId="0" applyFont="1" applyBorder="1"/>
    <xf numFmtId="177" fontId="20" fillId="0" borderId="0" xfId="4" applyNumberFormat="1" applyFont="1" applyBorder="1"/>
    <xf numFmtId="10" fontId="17" fillId="0" borderId="0" xfId="6" applyNumberFormat="1" applyFont="1"/>
    <xf numFmtId="0" fontId="22" fillId="0" borderId="1" xfId="10" applyFont="1" applyBorder="1" applyAlignment="1">
      <alignment horizontal="center" vertical="center" wrapText="1"/>
    </xf>
    <xf numFmtId="186" fontId="22" fillId="0" borderId="0" xfId="10" applyNumberFormat="1" applyFont="1"/>
    <xf numFmtId="177" fontId="20" fillId="0" borderId="0" xfId="12" applyNumberFormat="1" applyFont="1" applyBorder="1"/>
    <xf numFmtId="1" fontId="22" fillId="0" borderId="1" xfId="10" applyNumberFormat="1" applyFont="1" applyBorder="1" applyAlignment="1">
      <alignment horizontal="center" vertical="center" wrapText="1"/>
    </xf>
    <xf numFmtId="177" fontId="21" fillId="0" borderId="1" xfId="10" applyNumberFormat="1" applyFont="1" applyBorder="1"/>
    <xf numFmtId="186" fontId="21" fillId="0" borderId="0" xfId="12" applyNumberFormat="1" applyFont="1" applyBorder="1"/>
    <xf numFmtId="177" fontId="72" fillId="0" borderId="1" xfId="4" applyNumberFormat="1" applyFont="1" applyBorder="1"/>
    <xf numFmtId="170" fontId="0" fillId="0" borderId="0" xfId="0" applyNumberFormat="1"/>
    <xf numFmtId="0" fontId="22" fillId="0" borderId="1" xfId="0" applyFont="1" applyBorder="1" applyAlignment="1">
      <alignment horizontal="left" vertical="center"/>
    </xf>
    <xf numFmtId="3" fontId="23" fillId="0" borderId="0" xfId="10" applyNumberFormat="1" applyFont="1"/>
    <xf numFmtId="178" fontId="23" fillId="0" borderId="0" xfId="10" applyNumberFormat="1" applyFont="1"/>
    <xf numFmtId="177" fontId="23" fillId="0" borderId="1" xfId="4" applyNumberFormat="1" applyFont="1" applyBorder="1" applyAlignment="1">
      <alignment horizontal="right"/>
    </xf>
    <xf numFmtId="177" fontId="24" fillId="0" borderId="5" xfId="4" applyNumberFormat="1" applyFont="1" applyBorder="1" applyAlignment="1">
      <alignment horizontal="right"/>
    </xf>
    <xf numFmtId="178" fontId="23" fillId="0" borderId="1" xfId="10" applyNumberFormat="1" applyFont="1" applyBorder="1"/>
    <xf numFmtId="3" fontId="23" fillId="0" borderId="1" xfId="10" applyNumberFormat="1" applyFont="1" applyBorder="1" applyAlignment="1">
      <alignment horizontal="center"/>
    </xf>
    <xf numFmtId="0" fontId="23" fillId="0" borderId="1" xfId="10" applyFont="1" applyBorder="1" applyAlignment="1">
      <alignment horizontal="center"/>
    </xf>
    <xf numFmtId="0" fontId="21" fillId="0" borderId="54" xfId="10" applyFont="1" applyBorder="1" applyAlignment="1">
      <alignment horizontal="center" wrapText="1"/>
    </xf>
    <xf numFmtId="168" fontId="20" fillId="0" borderId="5" xfId="0" applyNumberFormat="1" applyFont="1" applyBorder="1"/>
    <xf numFmtId="173" fontId="0" fillId="0" borderId="4" xfId="0" applyNumberFormat="1" applyBorder="1"/>
    <xf numFmtId="0" fontId="0" fillId="0" borderId="38" xfId="0" applyBorder="1"/>
    <xf numFmtId="173" fontId="0" fillId="0" borderId="38" xfId="0" applyNumberFormat="1" applyBorder="1"/>
    <xf numFmtId="0" fontId="0" fillId="0" borderId="42" xfId="0" applyBorder="1"/>
    <xf numFmtId="3" fontId="54" fillId="7" borderId="1" xfId="0" applyNumberFormat="1" applyFont="1" applyFill="1" applyBorder="1" applyAlignment="1">
      <alignment horizontal="center" vertical="center" wrapText="1"/>
    </xf>
    <xf numFmtId="0" fontId="21" fillId="0" borderId="40" xfId="5" applyFont="1" applyBorder="1"/>
    <xf numFmtId="10" fontId="60" fillId="0" borderId="0" xfId="0" applyNumberFormat="1" applyFont="1" applyAlignment="1">
      <alignment vertical="center"/>
    </xf>
    <xf numFmtId="0" fontId="70" fillId="5" borderId="0" xfId="53" applyFont="1" applyFill="1" applyAlignment="1">
      <alignment vertical="center"/>
    </xf>
    <xf numFmtId="2" fontId="17" fillId="0" borderId="0" xfId="10" applyNumberFormat="1"/>
    <xf numFmtId="0" fontId="60" fillId="0" borderId="1" xfId="0" applyFont="1" applyBorder="1" applyAlignment="1">
      <alignment horizontal="center" vertical="center"/>
    </xf>
    <xf numFmtId="0" fontId="60" fillId="5" borderId="1" xfId="0" applyFont="1" applyFill="1" applyBorder="1" applyAlignment="1">
      <alignment horizontal="center" vertical="center"/>
    </xf>
    <xf numFmtId="0" fontId="17" fillId="0" borderId="1" xfId="0" applyFont="1" applyBorder="1" applyAlignment="1">
      <alignment horizontal="left" vertical="center" wrapText="1"/>
    </xf>
    <xf numFmtId="168" fontId="18" fillId="0" borderId="5" xfId="4" applyFont="1" applyBorder="1"/>
    <xf numFmtId="0" fontId="18" fillId="5" borderId="5" xfId="0" applyFont="1" applyFill="1" applyBorder="1" applyAlignment="1">
      <alignment horizontal="center" vertical="center" wrapText="1"/>
    </xf>
    <xf numFmtId="0" fontId="20" fillId="0" borderId="1" xfId="0" applyFont="1" applyBorder="1" applyAlignment="1">
      <alignment horizontal="center"/>
    </xf>
    <xf numFmtId="0" fontId="24" fillId="0" borderId="1" xfId="10" applyFont="1" applyBorder="1" applyAlignment="1">
      <alignment horizontal="center" wrapText="1"/>
    </xf>
    <xf numFmtId="0" fontId="18" fillId="0" borderId="14" xfId="0" applyFont="1" applyBorder="1" applyAlignment="1">
      <alignment horizontal="left" wrapText="1"/>
    </xf>
    <xf numFmtId="0" fontId="18" fillId="0" borderId="14" xfId="0" applyFont="1" applyBorder="1" applyAlignment="1">
      <alignment horizontal="left" vertical="center" wrapText="1"/>
    </xf>
    <xf numFmtId="0" fontId="18" fillId="0" borderId="5" xfId="0" applyFont="1" applyBorder="1" applyAlignment="1">
      <alignment horizontal="left"/>
    </xf>
    <xf numFmtId="0" fontId="0" fillId="0" borderId="6" xfId="0" applyBorder="1" applyAlignment="1">
      <alignment horizontal="left"/>
    </xf>
    <xf numFmtId="168" fontId="0" fillId="5" borderId="1" xfId="4" applyFont="1" applyFill="1" applyBorder="1"/>
    <xf numFmtId="179" fontId="0" fillId="0" borderId="1" xfId="0" applyNumberFormat="1" applyBorder="1" applyAlignment="1">
      <alignment horizontal="center"/>
    </xf>
    <xf numFmtId="10" fontId="0" fillId="0" borderId="1" xfId="6" applyNumberFormat="1" applyFont="1" applyBorder="1" applyAlignment="1">
      <alignment horizontal="center"/>
    </xf>
    <xf numFmtId="2" fontId="0" fillId="0" borderId="1" xfId="0" applyNumberFormat="1" applyBorder="1" applyAlignment="1">
      <alignment horizontal="center"/>
    </xf>
    <xf numFmtId="10" fontId="0" fillId="5" borderId="1" xfId="6" applyNumberFormat="1" applyFont="1" applyFill="1" applyBorder="1" applyAlignment="1">
      <alignment horizontal="center"/>
    </xf>
    <xf numFmtId="0" fontId="20" fillId="0" borderId="1" xfId="0" applyFont="1" applyBorder="1" applyAlignment="1">
      <alignment horizontal="left"/>
    </xf>
    <xf numFmtId="0" fontId="18" fillId="0" borderId="1" xfId="10" applyFont="1" applyBorder="1" applyAlignment="1">
      <alignment horizontal="left" vertical="center" wrapText="1"/>
    </xf>
    <xf numFmtId="192" fontId="17" fillId="0" borderId="0" xfId="10" applyNumberFormat="1"/>
    <xf numFmtId="166" fontId="17" fillId="0" borderId="1" xfId="11" applyNumberFormat="1" applyFont="1" applyBorder="1"/>
    <xf numFmtId="0" fontId="18" fillId="0" borderId="8" xfId="10" applyFont="1" applyBorder="1"/>
    <xf numFmtId="192" fontId="18" fillId="0" borderId="1" xfId="10" applyNumberFormat="1" applyFont="1" applyBorder="1"/>
    <xf numFmtId="2" fontId="0" fillId="0" borderId="0" xfId="11" applyNumberFormat="1" applyFont="1"/>
    <xf numFmtId="192" fontId="17" fillId="0" borderId="1" xfId="59" applyNumberFormat="1" applyFont="1" applyBorder="1"/>
    <xf numFmtId="166" fontId="23" fillId="0" borderId="1" xfId="60" applyFont="1" applyBorder="1" applyAlignment="1">
      <alignment horizontal="center" wrapText="1"/>
    </xf>
    <xf numFmtId="1" fontId="17" fillId="0" borderId="1" xfId="10" applyNumberFormat="1" applyBorder="1" applyAlignment="1">
      <alignment horizontal="center"/>
    </xf>
    <xf numFmtId="192" fontId="17" fillId="0" borderId="1" xfId="10" applyNumberFormat="1" applyBorder="1"/>
    <xf numFmtId="166" fontId="0" fillId="0" borderId="1" xfId="11" applyNumberFormat="1" applyFont="1" applyBorder="1"/>
    <xf numFmtId="1" fontId="0" fillId="0" borderId="0" xfId="47" applyNumberFormat="1" applyFont="1"/>
    <xf numFmtId="10" fontId="17" fillId="5" borderId="1" xfId="10" applyNumberFormat="1" applyFill="1" applyBorder="1"/>
    <xf numFmtId="192" fontId="17" fillId="5" borderId="1" xfId="10" applyNumberFormat="1" applyFill="1" applyBorder="1"/>
    <xf numFmtId="166" fontId="0" fillId="5" borderId="1" xfId="11" applyNumberFormat="1" applyFont="1" applyFill="1" applyBorder="1"/>
    <xf numFmtId="2" fontId="38" fillId="0" borderId="0" xfId="10" applyNumberFormat="1" applyFont="1"/>
    <xf numFmtId="0" fontId="23" fillId="0" borderId="30" xfId="10" applyFont="1" applyBorder="1" applyAlignment="1">
      <alignment horizontal="left"/>
    </xf>
    <xf numFmtId="1" fontId="23" fillId="0" borderId="1" xfId="10" applyNumberFormat="1" applyFont="1" applyBorder="1"/>
    <xf numFmtId="0" fontId="23" fillId="0" borderId="14" xfId="10" applyFont="1" applyBorder="1"/>
    <xf numFmtId="0" fontId="23" fillId="0" borderId="53" xfId="10" applyFont="1" applyBorder="1" applyAlignment="1">
      <alignment horizontal="left"/>
    </xf>
    <xf numFmtId="186" fontId="21" fillId="0" borderId="39" xfId="10" applyNumberFormat="1" applyFont="1" applyBorder="1"/>
    <xf numFmtId="0" fontId="24" fillId="0" borderId="28" xfId="10" applyFont="1" applyBorder="1" applyAlignment="1">
      <alignment horizontal="left"/>
    </xf>
    <xf numFmtId="0" fontId="24" fillId="0" borderId="27" xfId="10" applyFont="1" applyBorder="1" applyAlignment="1">
      <alignment horizontal="left"/>
    </xf>
    <xf numFmtId="0" fontId="24" fillId="0" borderId="26" xfId="10" applyFont="1" applyBorder="1" applyAlignment="1">
      <alignment horizontal="left"/>
    </xf>
    <xf numFmtId="0" fontId="70" fillId="0" borderId="0" xfId="61" applyFont="1" applyAlignment="1">
      <alignment vertical="center"/>
    </xf>
    <xf numFmtId="0" fontId="76" fillId="0" borderId="1" xfId="10" applyFont="1" applyBorder="1" applyAlignment="1">
      <alignment horizontal="left" wrapText="1"/>
    </xf>
    <xf numFmtId="0" fontId="77" fillId="0" borderId="1" xfId="10" applyFont="1" applyBorder="1" applyAlignment="1">
      <alignment horizontal="left"/>
    </xf>
    <xf numFmtId="0" fontId="77" fillId="0" borderId="1" xfId="10" applyFont="1" applyBorder="1"/>
    <xf numFmtId="0" fontId="78" fillId="0" borderId="0" xfId="10" applyFont="1"/>
    <xf numFmtId="12" fontId="78" fillId="0" borderId="0" xfId="10" applyNumberFormat="1" applyFont="1"/>
    <xf numFmtId="0" fontId="76" fillId="0" borderId="1" xfId="10" applyFont="1" applyBorder="1"/>
    <xf numFmtId="177" fontId="77" fillId="0" borderId="1" xfId="12" applyNumberFormat="1" applyFont="1" applyBorder="1"/>
    <xf numFmtId="0" fontId="77" fillId="0" borderId="0" xfId="10" applyFont="1"/>
    <xf numFmtId="0" fontId="77" fillId="0" borderId="1" xfId="10" applyFont="1" applyBorder="1" applyAlignment="1">
      <alignment horizontal="left" wrapText="1"/>
    </xf>
    <xf numFmtId="166" fontId="78" fillId="5" borderId="0" xfId="10" applyNumberFormat="1" applyFont="1" applyFill="1"/>
    <xf numFmtId="0" fontId="78" fillId="0" borderId="0" xfId="10" applyFont="1" applyAlignment="1">
      <alignment horizontal="center" wrapText="1"/>
    </xf>
    <xf numFmtId="170" fontId="77" fillId="0" borderId="1" xfId="10" applyNumberFormat="1" applyFont="1" applyBorder="1"/>
    <xf numFmtId="0" fontId="77" fillId="0" borderId="1" xfId="10" applyFont="1" applyBorder="1" applyAlignment="1">
      <alignment wrapText="1"/>
    </xf>
    <xf numFmtId="0" fontId="79" fillId="0" borderId="0" xfId="10" applyFont="1"/>
    <xf numFmtId="0" fontId="78" fillId="0" borderId="0" xfId="0" applyFont="1"/>
    <xf numFmtId="0" fontId="80" fillId="0" borderId="0" xfId="10" applyFont="1"/>
    <xf numFmtId="0" fontId="80" fillId="0" borderId="1" xfId="10" applyFont="1" applyBorder="1" applyAlignment="1">
      <alignment horizontal="center" vertical="center"/>
    </xf>
    <xf numFmtId="0" fontId="80" fillId="0" borderId="1" xfId="10" applyFont="1" applyBorder="1" applyAlignment="1">
      <alignment horizontal="center" vertical="center" wrapText="1"/>
    </xf>
    <xf numFmtId="0" fontId="80" fillId="0" borderId="1" xfId="10" applyFont="1" applyBorder="1" applyAlignment="1">
      <alignment horizontal="center" wrapText="1"/>
    </xf>
    <xf numFmtId="0" fontId="78" fillId="0" borderId="1" xfId="10" applyFont="1" applyBorder="1"/>
    <xf numFmtId="175" fontId="77" fillId="0" borderId="1" xfId="10" applyNumberFormat="1" applyFont="1" applyBorder="1"/>
    <xf numFmtId="174" fontId="78" fillId="0" borderId="1" xfId="10" applyNumberFormat="1" applyFont="1" applyBorder="1"/>
    <xf numFmtId="10" fontId="78" fillId="0" borderId="1" xfId="47" applyNumberFormat="1" applyFont="1" applyBorder="1"/>
    <xf numFmtId="1" fontId="78" fillId="0" borderId="1" xfId="10" applyNumberFormat="1" applyFont="1" applyBorder="1" applyAlignment="1">
      <alignment horizontal="center" vertical="center"/>
    </xf>
    <xf numFmtId="174" fontId="78" fillId="0" borderId="1" xfId="11" applyNumberFormat="1" applyFont="1" applyBorder="1"/>
    <xf numFmtId="175" fontId="77" fillId="0" borderId="1" xfId="11" applyNumberFormat="1" applyFont="1" applyBorder="1"/>
    <xf numFmtId="0" fontId="79" fillId="0" borderId="1" xfId="10" applyFont="1" applyBorder="1"/>
    <xf numFmtId="0" fontId="81" fillId="0" borderId="1" xfId="10" applyFont="1" applyBorder="1"/>
    <xf numFmtId="0" fontId="78" fillId="0" borderId="4" xfId="10" applyFont="1" applyBorder="1"/>
    <xf numFmtId="0" fontId="78" fillId="0" borderId="1" xfId="10" applyFont="1" applyBorder="1" applyAlignment="1">
      <alignment horizontal="left" wrapText="1"/>
    </xf>
    <xf numFmtId="2" fontId="78" fillId="0" borderId="0" xfId="10" applyNumberFormat="1" applyFont="1"/>
    <xf numFmtId="194" fontId="78" fillId="0" borderId="0" xfId="10" applyNumberFormat="1" applyFont="1"/>
    <xf numFmtId="169" fontId="78" fillId="0" borderId="0" xfId="3" applyFont="1"/>
    <xf numFmtId="0" fontId="78" fillId="0" borderId="7" xfId="10" applyFont="1" applyBorder="1" applyAlignment="1">
      <alignment horizontal="left" wrapText="1"/>
    </xf>
    <xf numFmtId="0" fontId="79" fillId="0" borderId="6" xfId="10" applyFont="1" applyBorder="1"/>
    <xf numFmtId="169" fontId="78" fillId="0" borderId="0" xfId="11" applyFont="1"/>
    <xf numFmtId="0" fontId="82" fillId="5" borderId="0" xfId="53" applyFont="1" applyFill="1" applyAlignment="1">
      <alignment vertical="center"/>
    </xf>
    <xf numFmtId="177" fontId="80" fillId="5" borderId="0" xfId="10" applyNumberFormat="1" applyFont="1" applyFill="1"/>
    <xf numFmtId="0" fontId="78" fillId="5" borderId="0" xfId="10" applyFont="1" applyFill="1"/>
    <xf numFmtId="174" fontId="78" fillId="5" borderId="0" xfId="11" applyNumberFormat="1" applyFont="1" applyFill="1"/>
    <xf numFmtId="0" fontId="78" fillId="0" borderId="1" xfId="0" applyFont="1" applyBorder="1"/>
    <xf numFmtId="175" fontId="83" fillId="0" borderId="1" xfId="0" applyNumberFormat="1" applyFont="1" applyBorder="1"/>
    <xf numFmtId="0" fontId="76" fillId="0" borderId="1" xfId="0" applyFont="1" applyBorder="1" applyAlignment="1">
      <alignment horizontal="left" wrapText="1"/>
    </xf>
    <xf numFmtId="0" fontId="84" fillId="0" borderId="1" xfId="10" applyFont="1" applyBorder="1"/>
    <xf numFmtId="175" fontId="83" fillId="0" borderId="4" xfId="0" applyNumberFormat="1" applyFont="1" applyBorder="1"/>
    <xf numFmtId="0" fontId="84" fillId="0" borderId="1" xfId="0" applyFont="1" applyBorder="1"/>
    <xf numFmtId="0" fontId="77" fillId="0" borderId="1" xfId="0" applyFont="1" applyBorder="1"/>
    <xf numFmtId="17" fontId="78" fillId="0" borderId="0" xfId="0" applyNumberFormat="1" applyFont="1"/>
    <xf numFmtId="0" fontId="77" fillId="0" borderId="0" xfId="0" applyFont="1"/>
    <xf numFmtId="4" fontId="83" fillId="0" borderId="1" xfId="10" applyNumberFormat="1" applyFont="1" applyBorder="1" applyAlignment="1">
      <alignment horizontal="right"/>
    </xf>
    <xf numFmtId="0" fontId="83" fillId="0" borderId="1" xfId="5" applyFont="1" applyBorder="1" applyAlignment="1">
      <alignment horizontal="center"/>
    </xf>
    <xf numFmtId="3" fontId="83" fillId="0" borderId="1" xfId="10" applyNumberFormat="1" applyFont="1" applyBorder="1" applyAlignment="1">
      <alignment horizontal="center"/>
    </xf>
    <xf numFmtId="0" fontId="83" fillId="0" borderId="1" xfId="10" applyFont="1" applyBorder="1" applyAlignment="1">
      <alignment horizontal="center"/>
    </xf>
    <xf numFmtId="3" fontId="83" fillId="0" borderId="1" xfId="10" applyNumberFormat="1" applyFont="1" applyBorder="1" applyAlignment="1">
      <alignment horizontal="right"/>
    </xf>
    <xf numFmtId="0" fontId="83" fillId="0" borderId="1" xfId="0" applyFont="1" applyBorder="1"/>
    <xf numFmtId="0" fontId="83" fillId="0" borderId="1" xfId="5" applyFont="1" applyBorder="1"/>
    <xf numFmtId="0" fontId="83" fillId="0" borderId="5" xfId="0" applyFont="1" applyBorder="1"/>
    <xf numFmtId="0" fontId="76" fillId="0" borderId="1" xfId="0" applyFont="1" applyBorder="1" applyAlignment="1">
      <alignment horizontal="center" vertical="center" wrapText="1"/>
    </xf>
    <xf numFmtId="0" fontId="83" fillId="0" borderId="1" xfId="10" applyFont="1" applyBorder="1"/>
    <xf numFmtId="0" fontId="83" fillId="0" borderId="1" xfId="0" applyFont="1" applyBorder="1" applyAlignment="1">
      <alignment horizontal="left" vertical="center"/>
    </xf>
    <xf numFmtId="0" fontId="84" fillId="0" borderId="10" xfId="10" applyFont="1" applyBorder="1" applyAlignment="1">
      <alignment wrapText="1"/>
    </xf>
    <xf numFmtId="0" fontId="76" fillId="0" borderId="0" xfId="10" applyFont="1"/>
    <xf numFmtId="166" fontId="78" fillId="0" borderId="1" xfId="11" applyNumberFormat="1" applyFont="1" applyBorder="1"/>
    <xf numFmtId="166" fontId="79" fillId="0" borderId="6" xfId="11" applyNumberFormat="1" applyFont="1" applyBorder="1"/>
    <xf numFmtId="166" fontId="78" fillId="0" borderId="1" xfId="10" applyNumberFormat="1" applyFont="1" applyBorder="1"/>
    <xf numFmtId="166" fontId="78" fillId="0" borderId="7" xfId="10" applyNumberFormat="1" applyFont="1" applyBorder="1"/>
    <xf numFmtId="168" fontId="28" fillId="0" borderId="5" xfId="10" applyNumberFormat="1" applyFont="1" applyBorder="1"/>
    <xf numFmtId="198" fontId="22" fillId="0" borderId="25" xfId="10" applyNumberFormat="1" applyFont="1" applyBorder="1"/>
    <xf numFmtId="0" fontId="76" fillId="0" borderId="1" xfId="0" applyFont="1" applyBorder="1" applyAlignment="1">
      <alignment horizontal="center" vertical="center"/>
    </xf>
    <xf numFmtId="175" fontId="77" fillId="0" borderId="1" xfId="0" applyNumberFormat="1" applyFont="1" applyBorder="1"/>
    <xf numFmtId="10" fontId="77" fillId="0" borderId="1" xfId="0" applyNumberFormat="1" applyFont="1" applyBorder="1"/>
    <xf numFmtId="0" fontId="76" fillId="0" borderId="6" xfId="10" applyFont="1" applyBorder="1" applyAlignment="1">
      <alignment wrapText="1"/>
    </xf>
    <xf numFmtId="0" fontId="76" fillId="0" borderId="1" xfId="0" applyFont="1" applyBorder="1"/>
    <xf numFmtId="168" fontId="77" fillId="0" borderId="1" xfId="4" applyFont="1" applyBorder="1"/>
    <xf numFmtId="0" fontId="85" fillId="0" borderId="0" xfId="53" applyFont="1" applyAlignment="1">
      <alignment vertical="center"/>
    </xf>
    <xf numFmtId="174" fontId="23" fillId="0" borderId="0" xfId="3" applyNumberFormat="1" applyFont="1"/>
    <xf numFmtId="175" fontId="77" fillId="0" borderId="1" xfId="0" applyNumberFormat="1" applyFont="1" applyBorder="1" applyAlignment="1">
      <alignment horizontal="right"/>
    </xf>
    <xf numFmtId="0" fontId="84" fillId="0" borderId="1" xfId="5" applyFont="1" applyBorder="1" applyAlignment="1">
      <alignment horizontal="left"/>
    </xf>
    <xf numFmtId="3" fontId="84" fillId="0" borderId="1" xfId="10" applyNumberFormat="1" applyFont="1" applyBorder="1" applyAlignment="1">
      <alignment horizontal="center"/>
    </xf>
    <xf numFmtId="0" fontId="86" fillId="6" borderId="1" xfId="0" applyFont="1" applyFill="1" applyBorder="1" applyAlignment="1">
      <alignment horizontal="left" vertical="center"/>
    </xf>
    <xf numFmtId="0" fontId="76" fillId="0" borderId="1" xfId="0" applyFont="1" applyBorder="1" applyAlignment="1">
      <alignment horizontal="left" vertical="center"/>
    </xf>
    <xf numFmtId="0" fontId="87" fillId="6" borderId="1" xfId="0" applyFont="1" applyFill="1" applyBorder="1" applyAlignment="1">
      <alignment horizontal="right" wrapText="1"/>
    </xf>
    <xf numFmtId="0" fontId="77" fillId="0" borderId="1" xfId="0" applyFont="1" applyBorder="1" applyAlignment="1">
      <alignment horizontal="center"/>
    </xf>
    <xf numFmtId="0" fontId="76" fillId="0" borderId="1" xfId="0" applyFont="1" applyBorder="1" applyAlignment="1">
      <alignment vertical="center"/>
    </xf>
    <xf numFmtId="0" fontId="77" fillId="0" borderId="1" xfId="0" applyFont="1" applyBorder="1" applyAlignment="1">
      <alignment horizontal="right" wrapText="1"/>
    </xf>
    <xf numFmtId="0" fontId="77" fillId="0" borderId="5" xfId="0" applyFont="1" applyBorder="1"/>
    <xf numFmtId="168" fontId="77" fillId="0" borderId="5" xfId="4" applyFont="1" applyBorder="1"/>
    <xf numFmtId="0" fontId="76" fillId="0" borderId="1" xfId="0" applyFont="1" applyBorder="1" applyAlignment="1">
      <alignment horizontal="center"/>
    </xf>
    <xf numFmtId="0" fontId="77" fillId="0" borderId="3" xfId="0" applyFont="1" applyBorder="1"/>
    <xf numFmtId="168" fontId="77" fillId="0" borderId="3" xfId="4" applyFont="1" applyBorder="1"/>
    <xf numFmtId="0" fontId="76" fillId="0" borderId="1" xfId="0" applyFont="1" applyBorder="1" applyAlignment="1">
      <alignment horizontal="left"/>
    </xf>
    <xf numFmtId="168" fontId="76" fillId="0" borderId="1" xfId="4" applyFont="1" applyBorder="1"/>
    <xf numFmtId="0" fontId="77" fillId="0" borderId="1" xfId="0" applyFont="1" applyBorder="1" applyAlignment="1">
      <alignment wrapText="1"/>
    </xf>
    <xf numFmtId="1" fontId="76" fillId="0" borderId="1" xfId="0" applyNumberFormat="1" applyFont="1" applyBorder="1" applyAlignment="1">
      <alignment horizontal="center" vertical="center" wrapText="1"/>
    </xf>
    <xf numFmtId="1" fontId="77" fillId="0" borderId="0" xfId="0" applyNumberFormat="1" applyFont="1" applyAlignment="1">
      <alignment horizontal="center"/>
    </xf>
    <xf numFmtId="0" fontId="77" fillId="0" borderId="0" xfId="0" applyFont="1" applyAlignment="1">
      <alignment horizontal="center"/>
    </xf>
    <xf numFmtId="14" fontId="77" fillId="0" borderId="0" xfId="0" applyNumberFormat="1" applyFont="1"/>
    <xf numFmtId="169" fontId="77" fillId="0" borderId="0" xfId="3" applyFont="1"/>
    <xf numFmtId="1" fontId="77" fillId="0" borderId="1" xfId="0" applyNumberFormat="1" applyFont="1" applyBorder="1" applyAlignment="1">
      <alignment horizontal="center"/>
    </xf>
    <xf numFmtId="1" fontId="77" fillId="0" borderId="1" xfId="0" applyNumberFormat="1" applyFont="1" applyBorder="1" applyAlignment="1">
      <alignment horizontal="center" wrapText="1"/>
    </xf>
    <xf numFmtId="168" fontId="76" fillId="0" borderId="18" xfId="4" applyFont="1" applyBorder="1"/>
    <xf numFmtId="168" fontId="76" fillId="0" borderId="6" xfId="4" applyFont="1" applyBorder="1"/>
    <xf numFmtId="0" fontId="76" fillId="0" borderId="0" xfId="10" applyFont="1" applyAlignment="1">
      <alignment wrapText="1"/>
    </xf>
    <xf numFmtId="168" fontId="76" fillId="0" borderId="0" xfId="4" applyFont="1" applyBorder="1"/>
    <xf numFmtId="172" fontId="77" fillId="0" borderId="0" xfId="10" applyNumberFormat="1" applyFont="1"/>
    <xf numFmtId="166" fontId="77" fillId="0" borderId="1" xfId="0" applyNumberFormat="1" applyFont="1" applyBorder="1"/>
    <xf numFmtId="0" fontId="84" fillId="0" borderId="1" xfId="0" applyFont="1" applyBorder="1" applyAlignment="1">
      <alignment horizontal="left" wrapText="1"/>
    </xf>
    <xf numFmtId="168" fontId="83" fillId="0" borderId="1" xfId="4" applyFont="1" applyBorder="1"/>
    <xf numFmtId="0" fontId="83" fillId="0" borderId="0" xfId="0" applyFont="1"/>
    <xf numFmtId="1" fontId="83" fillId="0" borderId="0" xfId="0" applyNumberFormat="1" applyFont="1" applyAlignment="1">
      <alignment horizontal="center"/>
    </xf>
    <xf numFmtId="0" fontId="84" fillId="0" borderId="1" xfId="0" applyFont="1" applyBorder="1" applyAlignment="1">
      <alignment horizontal="center" vertical="center"/>
    </xf>
    <xf numFmtId="0" fontId="84" fillId="0" borderId="1" xfId="0" applyFont="1" applyBorder="1" applyAlignment="1">
      <alignment horizontal="center" vertical="center" wrapText="1"/>
    </xf>
    <xf numFmtId="1" fontId="84" fillId="0" borderId="1" xfId="0" applyNumberFormat="1" applyFont="1" applyBorder="1" applyAlignment="1">
      <alignment horizontal="center" vertical="center" wrapText="1"/>
    </xf>
    <xf numFmtId="10" fontId="83" fillId="0" borderId="1" xfId="0" applyNumberFormat="1" applyFont="1" applyBorder="1"/>
    <xf numFmtId="1" fontId="83" fillId="0" borderId="1" xfId="0" applyNumberFormat="1" applyFont="1" applyBorder="1" applyAlignment="1">
      <alignment horizontal="center"/>
    </xf>
    <xf numFmtId="1" fontId="83" fillId="0" borderId="1" xfId="0" applyNumberFormat="1" applyFont="1" applyBorder="1" applyAlignment="1">
      <alignment horizontal="center" wrapText="1"/>
    </xf>
    <xf numFmtId="168" fontId="84" fillId="0" borderId="18" xfId="4" applyFont="1" applyBorder="1"/>
    <xf numFmtId="175" fontId="83" fillId="0" borderId="1" xfId="10" applyNumberFormat="1" applyFont="1" applyBorder="1"/>
    <xf numFmtId="0" fontId="84" fillId="0" borderId="4" xfId="10" applyFont="1" applyBorder="1"/>
    <xf numFmtId="175" fontId="83" fillId="0" borderId="24" xfId="10" applyNumberFormat="1" applyFont="1" applyBorder="1"/>
    <xf numFmtId="175" fontId="83" fillId="0" borderId="2" xfId="10" applyNumberFormat="1" applyFont="1" applyBorder="1"/>
    <xf numFmtId="175" fontId="83" fillId="0" borderId="4" xfId="10" applyNumberFormat="1" applyFont="1" applyBorder="1"/>
    <xf numFmtId="175" fontId="83" fillId="0" borderId="17" xfId="10" applyNumberFormat="1" applyFont="1" applyBorder="1"/>
    <xf numFmtId="175" fontId="83" fillId="0" borderId="6" xfId="10" applyNumberFormat="1" applyFont="1" applyBorder="1"/>
    <xf numFmtId="175" fontId="83" fillId="5" borderId="1" xfId="10" applyNumberFormat="1" applyFont="1" applyFill="1" applyBorder="1"/>
    <xf numFmtId="175" fontId="83" fillId="0" borderId="19" xfId="10" applyNumberFormat="1" applyFont="1" applyBorder="1"/>
    <xf numFmtId="0" fontId="84" fillId="4" borderId="1" xfId="10" applyFont="1" applyFill="1" applyBorder="1" applyAlignment="1">
      <alignment horizontal="left" wrapText="1"/>
    </xf>
    <xf numFmtId="177" fontId="83" fillId="0" borderId="1" xfId="12" applyNumberFormat="1" applyFont="1" applyBorder="1" applyAlignment="1">
      <alignment horizontal="center"/>
    </xf>
    <xf numFmtId="177" fontId="83" fillId="0" borderId="1" xfId="12" applyNumberFormat="1" applyFont="1" applyBorder="1" applyAlignment="1">
      <alignment horizontal="right"/>
    </xf>
    <xf numFmtId="177" fontId="83" fillId="0" borderId="1" xfId="12" applyNumberFormat="1" applyFont="1" applyBorder="1"/>
    <xf numFmtId="170" fontId="83" fillId="0" borderId="1" xfId="10" applyNumberFormat="1" applyFont="1" applyBorder="1"/>
    <xf numFmtId="0" fontId="83" fillId="0" borderId="0" xfId="10" applyFont="1"/>
    <xf numFmtId="175" fontId="83" fillId="0" borderId="3" xfId="10" applyNumberFormat="1" applyFont="1" applyBorder="1"/>
    <xf numFmtId="177" fontId="83" fillId="0" borderId="3" xfId="12" applyNumberFormat="1" applyFont="1" applyBorder="1" applyAlignment="1">
      <alignment horizontal="right"/>
    </xf>
    <xf numFmtId="0" fontId="84" fillId="0" borderId="6" xfId="10" applyFont="1" applyBorder="1" applyAlignment="1">
      <alignment wrapText="1"/>
    </xf>
    <xf numFmtId="0" fontId="82" fillId="0" borderId="0" xfId="53" applyFont="1" applyAlignment="1">
      <alignment vertical="center"/>
    </xf>
    <xf numFmtId="10" fontId="0" fillId="5" borderId="0" xfId="0" applyNumberFormat="1" applyFill="1"/>
    <xf numFmtId="175" fontId="83" fillId="0" borderId="8" xfId="0" applyNumberFormat="1" applyFont="1" applyBorder="1"/>
    <xf numFmtId="175" fontId="83" fillId="5" borderId="1" xfId="0" applyNumberFormat="1" applyFont="1" applyFill="1" applyBorder="1"/>
    <xf numFmtId="177" fontId="84" fillId="0" borderId="1" xfId="4" applyNumberFormat="1" applyFont="1" applyBorder="1"/>
    <xf numFmtId="191" fontId="84" fillId="0" borderId="1" xfId="0" applyNumberFormat="1" applyFont="1" applyBorder="1" applyAlignment="1">
      <alignment horizontal="center" vertical="center" wrapText="1"/>
    </xf>
    <xf numFmtId="10" fontId="83" fillId="0" borderId="1" xfId="0" applyNumberFormat="1" applyFont="1" applyBorder="1" applyAlignment="1">
      <alignment horizontal="center" vertical="center"/>
    </xf>
    <xf numFmtId="173" fontId="83" fillId="0" borderId="1" xfId="0" applyNumberFormat="1" applyFont="1" applyBorder="1" applyAlignment="1">
      <alignment horizontal="center" vertical="center"/>
    </xf>
    <xf numFmtId="169" fontId="84" fillId="0" borderId="1" xfId="3" applyFont="1" applyBorder="1" applyAlignment="1">
      <alignment vertical="center"/>
    </xf>
    <xf numFmtId="10" fontId="83" fillId="5" borderId="1" xfId="0" applyNumberFormat="1" applyFont="1" applyFill="1" applyBorder="1" applyAlignment="1">
      <alignment horizontal="center" vertical="center"/>
    </xf>
    <xf numFmtId="0" fontId="84" fillId="5" borderId="1" xfId="0" applyFont="1" applyFill="1" applyBorder="1" applyAlignment="1">
      <alignment horizontal="center" vertical="center"/>
    </xf>
    <xf numFmtId="168" fontId="84" fillId="0" borderId="1" xfId="4" applyFont="1" applyBorder="1" applyAlignment="1">
      <alignment vertical="center"/>
    </xf>
    <xf numFmtId="0" fontId="83" fillId="0" borderId="1" xfId="0" applyFont="1" applyBorder="1" applyAlignment="1">
      <alignment horizontal="center" vertical="center"/>
    </xf>
    <xf numFmtId="0" fontId="83" fillId="0" borderId="55" xfId="5" applyFont="1" applyBorder="1" applyAlignment="1">
      <alignment horizontal="center" wrapText="1"/>
    </xf>
    <xf numFmtId="0" fontId="83" fillId="0" borderId="35" xfId="5" applyFont="1" applyBorder="1" applyAlignment="1">
      <alignment horizontal="center" wrapText="1"/>
    </xf>
    <xf numFmtId="0" fontId="84" fillId="0" borderId="35" xfId="5" applyFont="1" applyBorder="1" applyAlignment="1">
      <alignment horizontal="center" wrapText="1"/>
    </xf>
    <xf numFmtId="14" fontId="83" fillId="0" borderId="30" xfId="5" applyNumberFormat="1" applyFont="1" applyBorder="1"/>
    <xf numFmtId="10" fontId="83" fillId="0" borderId="21" xfId="5" applyNumberFormat="1" applyFont="1" applyBorder="1"/>
    <xf numFmtId="186" fontId="83" fillId="0" borderId="1" xfId="5" applyNumberFormat="1" applyFont="1" applyBorder="1"/>
    <xf numFmtId="1" fontId="83" fillId="0" borderId="1" xfId="5" applyNumberFormat="1" applyFont="1" applyBorder="1" applyAlignment="1">
      <alignment horizontal="right" wrapText="1"/>
    </xf>
    <xf numFmtId="173" fontId="83" fillId="0" borderId="1" xfId="5" applyNumberFormat="1" applyFont="1" applyBorder="1"/>
    <xf numFmtId="177" fontId="83" fillId="0" borderId="1" xfId="7" applyNumberFormat="1" applyFont="1" applyBorder="1"/>
    <xf numFmtId="10" fontId="83" fillId="5" borderId="21" xfId="5" applyNumberFormat="1" applyFont="1" applyFill="1" applyBorder="1"/>
    <xf numFmtId="1" fontId="83" fillId="0" borderId="1" xfId="5" applyNumberFormat="1" applyFont="1" applyBorder="1"/>
    <xf numFmtId="10" fontId="83" fillId="5" borderId="1" xfId="5" applyNumberFormat="1" applyFont="1" applyFill="1" applyBorder="1"/>
    <xf numFmtId="177" fontId="83" fillId="0" borderId="8" xfId="7" applyNumberFormat="1" applyFont="1" applyBorder="1"/>
    <xf numFmtId="9" fontId="83" fillId="0" borderId="0" xfId="0" applyNumberFormat="1" applyFont="1"/>
    <xf numFmtId="0" fontId="83" fillId="0" borderId="1" xfId="0" applyFont="1" applyBorder="1" applyAlignment="1">
      <alignment horizontal="left" wrapText="1"/>
    </xf>
    <xf numFmtId="9" fontId="83" fillId="0" borderId="1" xfId="0" applyNumberFormat="1" applyFont="1" applyBorder="1"/>
    <xf numFmtId="169" fontId="83" fillId="0" borderId="1" xfId="3" applyFont="1" applyBorder="1"/>
    <xf numFmtId="0" fontId="84" fillId="0" borderId="0" xfId="0" applyFont="1"/>
    <xf numFmtId="0" fontId="83" fillId="0" borderId="1" xfId="0" applyFont="1" applyBorder="1" applyAlignment="1">
      <alignment horizontal="center" wrapText="1"/>
    </xf>
    <xf numFmtId="177" fontId="83" fillId="0" borderId="1" xfId="4" applyNumberFormat="1" applyFont="1" applyBorder="1"/>
    <xf numFmtId="177" fontId="83" fillId="0" borderId="0" xfId="4" applyNumberFormat="1" applyFont="1"/>
    <xf numFmtId="0" fontId="83" fillId="0" borderId="0" xfId="0" applyFont="1" applyAlignment="1">
      <alignment horizontal="center" wrapText="1"/>
    </xf>
    <xf numFmtId="168" fontId="84" fillId="0" borderId="10" xfId="4" applyFont="1" applyBorder="1"/>
    <xf numFmtId="14" fontId="83" fillId="0" borderId="0" xfId="0" applyNumberFormat="1" applyFont="1"/>
    <xf numFmtId="1" fontId="84" fillId="0" borderId="1" xfId="5" applyNumberFormat="1" applyFont="1" applyBorder="1" applyAlignment="1">
      <alignment horizontal="center"/>
    </xf>
    <xf numFmtId="0" fontId="88" fillId="0" borderId="0" xfId="0" applyFont="1"/>
    <xf numFmtId="172" fontId="83" fillId="0" borderId="1" xfId="10" applyNumberFormat="1" applyFont="1" applyBorder="1"/>
    <xf numFmtId="174" fontId="83" fillId="0" borderId="1" xfId="10" applyNumberFormat="1" applyFont="1" applyBorder="1"/>
    <xf numFmtId="177" fontId="84" fillId="0" borderId="6" xfId="10" applyNumberFormat="1" applyFont="1" applyBorder="1"/>
    <xf numFmtId="0" fontId="83" fillId="0" borderId="0" xfId="0" applyFont="1" applyAlignment="1">
      <alignment horizontal="left"/>
    </xf>
    <xf numFmtId="0" fontId="83" fillId="0" borderId="4" xfId="0" applyFont="1" applyBorder="1"/>
    <xf numFmtId="0" fontId="83" fillId="0" borderId="56" xfId="0" applyFont="1" applyBorder="1" applyAlignment="1">
      <alignment horizontal="center" vertical="center"/>
    </xf>
    <xf numFmtId="0" fontId="83" fillId="0" borderId="44" xfId="5" applyFont="1" applyBorder="1" applyAlignment="1">
      <alignment horizontal="center" wrapText="1"/>
    </xf>
    <xf numFmtId="14" fontId="83" fillId="0" borderId="4" xfId="5" applyNumberFormat="1" applyFont="1" applyBorder="1"/>
    <xf numFmtId="0" fontId="83" fillId="0" borderId="56" xfId="5" applyFont="1" applyBorder="1" applyAlignment="1">
      <alignment horizontal="center" vertical="center" wrapText="1"/>
    </xf>
    <xf numFmtId="0" fontId="84" fillId="0" borderId="3" xfId="0" applyFont="1" applyBorder="1" applyAlignment="1">
      <alignment horizontal="center" wrapText="1"/>
    </xf>
    <xf numFmtId="0" fontId="83" fillId="0" borderId="3" xfId="0" applyFont="1" applyBorder="1"/>
    <xf numFmtId="177" fontId="83" fillId="0" borderId="3" xfId="4" applyNumberFormat="1" applyFont="1" applyBorder="1"/>
    <xf numFmtId="10" fontId="83" fillId="0" borderId="4" xfId="0" applyNumberFormat="1" applyFont="1" applyBorder="1"/>
    <xf numFmtId="10" fontId="83" fillId="5" borderId="23" xfId="5" applyNumberFormat="1" applyFont="1" applyFill="1" applyBorder="1"/>
    <xf numFmtId="186" fontId="83" fillId="0" borderId="4" xfId="5" applyNumberFormat="1" applyFont="1" applyBorder="1"/>
    <xf numFmtId="1" fontId="83" fillId="0" borderId="4" xfId="5" applyNumberFormat="1" applyFont="1" applyBorder="1"/>
    <xf numFmtId="173" fontId="83" fillId="0" borderId="4" xfId="5" applyNumberFormat="1" applyFont="1" applyBorder="1"/>
    <xf numFmtId="177" fontId="83" fillId="0" borderId="4" xfId="7" applyNumberFormat="1" applyFont="1" applyBorder="1"/>
    <xf numFmtId="0" fontId="84" fillId="0" borderId="3" xfId="0" applyFont="1" applyBorder="1" applyAlignment="1">
      <alignment horizontal="left" wrapText="1"/>
    </xf>
    <xf numFmtId="0" fontId="84" fillId="0" borderId="0" xfId="10" applyFont="1" applyAlignment="1">
      <alignment wrapText="1"/>
    </xf>
    <xf numFmtId="177" fontId="84" fillId="0" borderId="0" xfId="10" applyNumberFormat="1" applyFont="1"/>
    <xf numFmtId="172" fontId="83" fillId="0" borderId="0" xfId="0" applyNumberFormat="1" applyFont="1"/>
    <xf numFmtId="177" fontId="83" fillId="0" borderId="0" xfId="0" applyNumberFormat="1" applyFont="1"/>
    <xf numFmtId="0" fontId="84" fillId="0" borderId="0" xfId="0" applyFont="1" applyAlignment="1">
      <alignment horizontal="left"/>
    </xf>
    <xf numFmtId="14" fontId="83" fillId="0" borderId="1" xfId="0" applyNumberFormat="1" applyFont="1" applyBorder="1"/>
    <xf numFmtId="174" fontId="83" fillId="0" borderId="1" xfId="0" applyNumberFormat="1" applyFont="1" applyBorder="1"/>
    <xf numFmtId="177" fontId="83" fillId="0" borderId="1" xfId="4" applyNumberFormat="1" applyFont="1" applyBorder="1" applyAlignment="1">
      <alignment horizontal="right"/>
    </xf>
    <xf numFmtId="0" fontId="83" fillId="0" borderId="0" xfId="10" applyFont="1" applyAlignment="1">
      <alignment wrapText="1"/>
    </xf>
    <xf numFmtId="175" fontId="84" fillId="0" borderId="1" xfId="0" applyNumberFormat="1" applyFont="1" applyBorder="1"/>
    <xf numFmtId="175" fontId="83" fillId="0" borderId="0" xfId="0" applyNumberFormat="1" applyFont="1"/>
    <xf numFmtId="0" fontId="83" fillId="0" borderId="1" xfId="0" applyFont="1" applyBorder="1" applyAlignment="1">
      <alignment horizontal="left"/>
    </xf>
    <xf numFmtId="0" fontId="84" fillId="0" borderId="1" xfId="0" applyFont="1" applyBorder="1" applyAlignment="1">
      <alignment vertical="center"/>
    </xf>
    <xf numFmtId="0" fontId="84" fillId="0" borderId="5" xfId="0" applyFont="1" applyBorder="1"/>
    <xf numFmtId="177" fontId="84" fillId="0" borderId="5" xfId="0" applyNumberFormat="1" applyFont="1" applyBorder="1"/>
    <xf numFmtId="0" fontId="84" fillId="5" borderId="5" xfId="0" applyFont="1" applyFill="1" applyBorder="1"/>
    <xf numFmtId="177" fontId="84" fillId="5" borderId="5" xfId="0" applyNumberFormat="1" applyFont="1" applyFill="1" applyBorder="1"/>
    <xf numFmtId="0" fontId="84" fillId="0" borderId="1" xfId="0" applyFont="1" applyBorder="1" applyAlignment="1">
      <alignment wrapText="1"/>
    </xf>
    <xf numFmtId="1" fontId="83" fillId="0" borderId="1" xfId="0" applyNumberFormat="1" applyFont="1" applyBorder="1"/>
    <xf numFmtId="177" fontId="83" fillId="0" borderId="1" xfId="0" applyNumberFormat="1" applyFont="1" applyBorder="1"/>
    <xf numFmtId="10" fontId="83" fillId="0" borderId="1" xfId="6" applyNumberFormat="1" applyFont="1" applyBorder="1"/>
    <xf numFmtId="173" fontId="83" fillId="0" borderId="1" xfId="0" applyNumberFormat="1" applyFont="1" applyBorder="1"/>
    <xf numFmtId="177" fontId="83" fillId="0" borderId="5" xfId="0" applyNumberFormat="1" applyFont="1" applyBorder="1"/>
    <xf numFmtId="177" fontId="83" fillId="5" borderId="1" xfId="4" applyNumberFormat="1" applyFont="1" applyFill="1" applyBorder="1"/>
    <xf numFmtId="0" fontId="84" fillId="0" borderId="0" xfId="10" applyFont="1"/>
    <xf numFmtId="0" fontId="78" fillId="0" borderId="1" xfId="0" applyFont="1" applyBorder="1" applyAlignment="1">
      <alignment wrapText="1"/>
    </xf>
    <xf numFmtId="0" fontId="83" fillId="0" borderId="1" xfId="0" applyFont="1" applyBorder="1" applyAlignment="1">
      <alignment wrapText="1"/>
    </xf>
    <xf numFmtId="2" fontId="83" fillId="0" borderId="1" xfId="0" applyNumberFormat="1" applyFont="1" applyBorder="1"/>
    <xf numFmtId="172" fontId="83" fillId="5" borderId="1" xfId="0" applyNumberFormat="1" applyFont="1" applyFill="1" applyBorder="1"/>
    <xf numFmtId="182" fontId="83" fillId="0" borderId="1" xfId="0" applyNumberFormat="1" applyFont="1" applyBorder="1"/>
    <xf numFmtId="0" fontId="83" fillId="0" borderId="0" xfId="0" applyFont="1" applyAlignment="1">
      <alignment horizontal="center"/>
    </xf>
    <xf numFmtId="177" fontId="84" fillId="0" borderId="1" xfId="0" applyNumberFormat="1" applyFont="1" applyBorder="1"/>
    <xf numFmtId="175" fontId="83" fillId="0" borderId="3" xfId="0" applyNumberFormat="1" applyFont="1" applyBorder="1"/>
    <xf numFmtId="173" fontId="83" fillId="0" borderId="1" xfId="10" applyNumberFormat="1" applyFont="1" applyBorder="1"/>
    <xf numFmtId="10" fontId="83" fillId="0" borderId="3" xfId="0" applyNumberFormat="1" applyFont="1" applyBorder="1"/>
    <xf numFmtId="0" fontId="83" fillId="5" borderId="0" xfId="10" applyFont="1" applyFill="1"/>
    <xf numFmtId="0" fontId="84" fillId="0" borderId="1" xfId="0" applyFont="1" applyBorder="1" applyAlignment="1">
      <alignment vertical="center" wrapText="1"/>
    </xf>
    <xf numFmtId="177" fontId="83" fillId="0" borderId="1" xfId="0" applyNumberFormat="1" applyFont="1" applyBorder="1" applyAlignment="1">
      <alignment horizontal="center"/>
    </xf>
    <xf numFmtId="0" fontId="24" fillId="0" borderId="0" xfId="0" applyFont="1" applyAlignment="1">
      <alignment horizontal="left" wrapText="1"/>
    </xf>
    <xf numFmtId="14" fontId="23" fillId="0" borderId="1" xfId="0" applyNumberFormat="1" applyFont="1" applyBorder="1"/>
    <xf numFmtId="0" fontId="84" fillId="0" borderId="1" xfId="10" applyFont="1" applyBorder="1" applyAlignment="1">
      <alignment wrapText="1"/>
    </xf>
    <xf numFmtId="0" fontId="23" fillId="0" borderId="57" xfId="10" applyFont="1" applyBorder="1" applyAlignment="1">
      <alignment horizontal="left"/>
    </xf>
    <xf numFmtId="0" fontId="23" fillId="0" borderId="2" xfId="10" applyFont="1" applyBorder="1" applyAlignment="1">
      <alignment horizontal="left"/>
    </xf>
    <xf numFmtId="0" fontId="23" fillId="0" borderId="19" xfId="10" applyFont="1" applyBorder="1" applyAlignment="1">
      <alignment horizontal="left"/>
    </xf>
    <xf numFmtId="186" fontId="21" fillId="0" borderId="58" xfId="12" applyNumberFormat="1" applyFont="1" applyBorder="1"/>
    <xf numFmtId="0" fontId="84" fillId="0" borderId="1" xfId="0" applyFont="1" applyBorder="1" applyAlignment="1">
      <alignment horizontal="center" wrapText="1"/>
    </xf>
    <xf numFmtId="0" fontId="84" fillId="0" borderId="1" xfId="0" applyFont="1" applyBorder="1" applyAlignment="1">
      <alignment horizontal="center"/>
    </xf>
    <xf numFmtId="0" fontId="84" fillId="0" borderId="1" xfId="10" applyFont="1" applyBorder="1" applyAlignment="1">
      <alignment horizontal="center" vertical="center"/>
    </xf>
    <xf numFmtId="0" fontId="84" fillId="0" borderId="1" xfId="10" applyFont="1" applyBorder="1" applyAlignment="1">
      <alignment vertical="center"/>
    </xf>
    <xf numFmtId="169" fontId="83" fillId="0" borderId="0" xfId="3" applyFont="1"/>
    <xf numFmtId="177" fontId="84" fillId="5" borderId="0" xfId="10" applyNumberFormat="1" applyFont="1" applyFill="1"/>
    <xf numFmtId="172" fontId="83" fillId="0" borderId="0" xfId="10" applyNumberFormat="1" applyFont="1"/>
    <xf numFmtId="174" fontId="83" fillId="5" borderId="0" xfId="11" applyNumberFormat="1" applyFont="1" applyFill="1"/>
    <xf numFmtId="174" fontId="83" fillId="0" borderId="1" xfId="3" applyNumberFormat="1" applyFont="1" applyBorder="1"/>
    <xf numFmtId="174" fontId="84" fillId="0" borderId="1" xfId="3" applyNumberFormat="1" applyFont="1" applyBorder="1"/>
    <xf numFmtId="1" fontId="83" fillId="0" borderId="1" xfId="0" applyNumberFormat="1" applyFont="1" applyBorder="1" applyAlignment="1">
      <alignment horizontal="center" vertical="center"/>
    </xf>
    <xf numFmtId="171" fontId="83" fillId="0" borderId="1" xfId="0" applyNumberFormat="1" applyFont="1" applyBorder="1"/>
    <xf numFmtId="0" fontId="83" fillId="0" borderId="0" xfId="0" applyFont="1" applyAlignment="1">
      <alignment horizontal="center" vertical="center"/>
    </xf>
    <xf numFmtId="0" fontId="83" fillId="0" borderId="0" xfId="0" applyFont="1" applyAlignment="1">
      <alignment horizontal="left" vertical="center"/>
    </xf>
    <xf numFmtId="180" fontId="83" fillId="0" borderId="1" xfId="3" applyNumberFormat="1" applyFont="1" applyBorder="1"/>
    <xf numFmtId="0" fontId="84" fillId="0" borderId="3" xfId="0" applyFont="1" applyBorder="1" applyAlignment="1">
      <alignment horizontal="center" vertical="center"/>
    </xf>
    <xf numFmtId="10" fontId="83" fillId="5" borderId="1" xfId="0" applyNumberFormat="1" applyFont="1" applyFill="1" applyBorder="1"/>
    <xf numFmtId="177" fontId="83" fillId="5" borderId="1" xfId="0" applyNumberFormat="1" applyFont="1" applyFill="1" applyBorder="1"/>
    <xf numFmtId="1" fontId="83" fillId="5" borderId="1" xfId="0" applyNumberFormat="1" applyFont="1" applyFill="1" applyBorder="1" applyAlignment="1">
      <alignment horizontal="center" vertical="center"/>
    </xf>
    <xf numFmtId="177" fontId="84" fillId="0" borderId="6" xfId="0" applyNumberFormat="1" applyFont="1" applyBorder="1"/>
    <xf numFmtId="168" fontId="83" fillId="0" borderId="1" xfId="0" applyNumberFormat="1" applyFont="1" applyBorder="1"/>
    <xf numFmtId="177" fontId="84" fillId="0" borderId="10" xfId="10" applyNumberFormat="1" applyFont="1" applyBorder="1"/>
    <xf numFmtId="168" fontId="83" fillId="0" borderId="6" xfId="4" applyFont="1" applyBorder="1"/>
    <xf numFmtId="0" fontId="83" fillId="0" borderId="1" xfId="0" applyFont="1" applyBorder="1" applyAlignment="1">
      <alignment horizontal="right"/>
    </xf>
    <xf numFmtId="175" fontId="83" fillId="0" borderId="1" xfId="0" applyNumberFormat="1" applyFont="1" applyBorder="1" applyAlignment="1">
      <alignment horizontal="right"/>
    </xf>
    <xf numFmtId="0" fontId="84" fillId="0" borderId="0" xfId="0" applyFont="1" applyAlignment="1">
      <alignment wrapText="1"/>
    </xf>
    <xf numFmtId="0" fontId="84" fillId="5" borderId="1" xfId="0" applyFont="1" applyFill="1" applyBorder="1" applyAlignment="1">
      <alignment wrapText="1"/>
    </xf>
    <xf numFmtId="0" fontId="83" fillId="5" borderId="1" xfId="0" applyFont="1" applyFill="1" applyBorder="1"/>
    <xf numFmtId="0" fontId="84" fillId="5" borderId="1" xfId="0" applyFont="1" applyFill="1" applyBorder="1" applyAlignment="1">
      <alignment vertical="center" wrapText="1"/>
    </xf>
    <xf numFmtId="0" fontId="83" fillId="14" borderId="1" xfId="0" applyFont="1" applyFill="1" applyBorder="1" applyAlignment="1">
      <alignment horizontal="left" wrapText="1"/>
    </xf>
    <xf numFmtId="0" fontId="84" fillId="5" borderId="1" xfId="0" applyFont="1" applyFill="1" applyBorder="1"/>
    <xf numFmtId="177" fontId="83" fillId="0" borderId="1" xfId="4" applyNumberFormat="1" applyFont="1" applyBorder="1" applyAlignment="1">
      <alignment vertical="center"/>
    </xf>
    <xf numFmtId="175" fontId="83" fillId="0" borderId="1" xfId="3" applyNumberFormat="1" applyFont="1" applyBorder="1"/>
    <xf numFmtId="0" fontId="84" fillId="5" borderId="0" xfId="0" applyFont="1" applyFill="1"/>
    <xf numFmtId="0" fontId="84" fillId="0" borderId="7" xfId="0" applyFont="1" applyBorder="1"/>
    <xf numFmtId="177" fontId="83" fillId="0" borderId="7" xfId="0" applyNumberFormat="1" applyFont="1" applyBorder="1"/>
    <xf numFmtId="192" fontId="83" fillId="0" borderId="0" xfId="0" applyNumberFormat="1" applyFont="1"/>
    <xf numFmtId="192" fontId="84" fillId="0" borderId="1" xfId="0" applyNumberFormat="1" applyFont="1" applyBorder="1" applyAlignment="1">
      <alignment horizontal="center" vertical="center"/>
    </xf>
    <xf numFmtId="192" fontId="83" fillId="0" borderId="1" xfId="0" applyNumberFormat="1" applyFont="1" applyBorder="1"/>
    <xf numFmtId="192" fontId="0" fillId="0" borderId="0" xfId="0" applyNumberFormat="1"/>
    <xf numFmtId="166" fontId="83" fillId="0" borderId="0" xfId="0" applyNumberFormat="1" applyFont="1"/>
    <xf numFmtId="0" fontId="84" fillId="0" borderId="6" xfId="0" applyFont="1" applyBorder="1" applyAlignment="1">
      <alignment horizontal="right" vertical="center"/>
    </xf>
    <xf numFmtId="177" fontId="83" fillId="0" borderId="4" xfId="0" applyNumberFormat="1" applyFont="1" applyBorder="1"/>
    <xf numFmtId="192" fontId="83" fillId="0" borderId="14" xfId="0" applyNumberFormat="1" applyFont="1" applyBorder="1"/>
    <xf numFmtId="177" fontId="83" fillId="0" borderId="3" xfId="0" applyNumberFormat="1" applyFont="1" applyBorder="1"/>
    <xf numFmtId="1" fontId="83" fillId="0" borderId="3" xfId="0" applyNumberFormat="1" applyFont="1" applyBorder="1" applyAlignment="1">
      <alignment horizontal="center" vertical="center"/>
    </xf>
    <xf numFmtId="1" fontId="83" fillId="0" borderId="4" xfId="0" applyNumberFormat="1" applyFont="1" applyBorder="1" applyAlignment="1">
      <alignment horizontal="center" vertical="center"/>
    </xf>
    <xf numFmtId="177" fontId="84" fillId="0" borderId="40" xfId="0" applyNumberFormat="1" applyFont="1" applyBorder="1"/>
    <xf numFmtId="0" fontId="84" fillId="0" borderId="1" xfId="5" applyFont="1" applyBorder="1" applyAlignment="1">
      <alignment horizontal="center" vertical="center" wrapText="1"/>
    </xf>
    <xf numFmtId="0" fontId="84" fillId="0" borderId="1" xfId="10" applyFont="1" applyBorder="1" applyAlignment="1">
      <alignment horizontal="center" vertical="center" wrapText="1"/>
    </xf>
    <xf numFmtId="0" fontId="84" fillId="0" borderId="3" xfId="0" applyFont="1" applyBorder="1" applyAlignment="1">
      <alignment horizontal="left" vertical="center" wrapText="1"/>
    </xf>
    <xf numFmtId="0" fontId="83" fillId="0" borderId="3" xfId="0" applyFont="1" applyBorder="1" applyAlignment="1">
      <alignment vertical="center"/>
    </xf>
    <xf numFmtId="177" fontId="83" fillId="0" borderId="3" xfId="4" applyNumberFormat="1" applyFont="1" applyBorder="1" applyAlignment="1">
      <alignment vertical="center"/>
    </xf>
    <xf numFmtId="0" fontId="84" fillId="0" borderId="1" xfId="5" applyFont="1" applyBorder="1" applyAlignment="1">
      <alignment horizontal="center" wrapText="1"/>
    </xf>
    <xf numFmtId="14" fontId="84" fillId="0" borderId="1" xfId="0" applyNumberFormat="1" applyFont="1" applyBorder="1"/>
    <xf numFmtId="168" fontId="83" fillId="0" borderId="1" xfId="4" applyFont="1" applyBorder="1" applyAlignment="1">
      <alignment wrapText="1"/>
    </xf>
    <xf numFmtId="0" fontId="84" fillId="0" borderId="3" xfId="0" applyFont="1" applyBorder="1" applyAlignment="1">
      <alignment wrapText="1"/>
    </xf>
    <xf numFmtId="0" fontId="84" fillId="0" borderId="6" xfId="0" applyFont="1" applyBorder="1"/>
    <xf numFmtId="174" fontId="83" fillId="0" borderId="0" xfId="11" applyNumberFormat="1" applyFont="1"/>
    <xf numFmtId="17" fontId="84" fillId="0" borderId="18" xfId="0" applyNumberFormat="1" applyFont="1" applyBorder="1"/>
    <xf numFmtId="0" fontId="84" fillId="0" borderId="18" xfId="0" applyFont="1" applyBorder="1"/>
    <xf numFmtId="174" fontId="83" fillId="0" borderId="0" xfId="3" applyNumberFormat="1" applyFont="1"/>
    <xf numFmtId="0" fontId="83" fillId="0" borderId="1" xfId="0" applyFont="1" applyBorder="1" applyAlignment="1">
      <alignment horizontal="left" vertical="center" wrapText="1"/>
    </xf>
    <xf numFmtId="0" fontId="83" fillId="0" borderId="1" xfId="0" applyFont="1" applyBorder="1" applyAlignment="1">
      <alignment horizontal="center" vertical="center" wrapText="1"/>
    </xf>
    <xf numFmtId="177" fontId="83" fillId="0" borderId="1" xfId="0" applyNumberFormat="1" applyFont="1" applyBorder="1" applyAlignment="1">
      <alignment horizontal="center" vertical="center"/>
    </xf>
    <xf numFmtId="176" fontId="83" fillId="0" borderId="1" xfId="6" applyNumberFormat="1" applyFont="1" applyBorder="1"/>
    <xf numFmtId="174" fontId="83" fillId="0" borderId="1" xfId="3" applyNumberFormat="1" applyFont="1" applyBorder="1" applyAlignment="1"/>
    <xf numFmtId="176" fontId="83" fillId="0" borderId="1" xfId="6" applyNumberFormat="1" applyFont="1" applyBorder="1" applyAlignment="1"/>
    <xf numFmtId="174" fontId="84" fillId="0" borderId="14" xfId="3" applyNumberFormat="1" applyFont="1" applyBorder="1" applyAlignment="1">
      <alignment horizontal="center" vertical="center"/>
    </xf>
    <xf numFmtId="174" fontId="84" fillId="0" borderId="18" xfId="3" applyNumberFormat="1" applyFont="1" applyBorder="1" applyAlignment="1">
      <alignment horizontal="center" vertical="center"/>
    </xf>
    <xf numFmtId="168" fontId="84" fillId="0" borderId="0" xfId="4" applyFont="1" applyAlignment="1">
      <alignment vertical="center"/>
    </xf>
    <xf numFmtId="174" fontId="84" fillId="0" borderId="17" xfId="3" applyNumberFormat="1" applyFont="1" applyBorder="1" applyAlignment="1">
      <alignment horizontal="center"/>
    </xf>
    <xf numFmtId="174" fontId="84" fillId="0" borderId="9" xfId="3" applyNumberFormat="1" applyFont="1" applyBorder="1" applyAlignment="1">
      <alignment horizontal="center"/>
    </xf>
    <xf numFmtId="168" fontId="84" fillId="0" borderId="5" xfId="4" applyFont="1" applyBorder="1"/>
    <xf numFmtId="168" fontId="83" fillId="5" borderId="1" xfId="4" applyFont="1" applyFill="1" applyBorder="1"/>
    <xf numFmtId="168" fontId="84" fillId="0" borderId="1" xfId="4" applyFont="1" applyBorder="1"/>
    <xf numFmtId="174" fontId="21" fillId="0" borderId="0" xfId="11" applyNumberFormat="1" applyFont="1"/>
    <xf numFmtId="0" fontId="84" fillId="0" borderId="8" xfId="0" applyFont="1" applyBorder="1"/>
    <xf numFmtId="3" fontId="83" fillId="0" borderId="1" xfId="0" applyNumberFormat="1" applyFont="1" applyBorder="1"/>
    <xf numFmtId="0" fontId="84" fillId="0" borderId="0" xfId="0" applyFont="1" applyAlignment="1">
      <alignment horizontal="center" vertical="center"/>
    </xf>
    <xf numFmtId="3" fontId="84" fillId="0" borderId="1" xfId="10" applyNumberFormat="1" applyFont="1" applyBorder="1" applyAlignment="1">
      <alignment horizontal="center" vertical="center"/>
    </xf>
    <xf numFmtId="177" fontId="84" fillId="5" borderId="3" xfId="0" applyNumberFormat="1" applyFont="1" applyFill="1" applyBorder="1"/>
    <xf numFmtId="177" fontId="84" fillId="0" borderId="7" xfId="0" applyNumberFormat="1" applyFont="1" applyBorder="1"/>
    <xf numFmtId="0" fontId="83" fillId="0" borderId="1" xfId="10" applyFont="1" applyBorder="1" applyAlignment="1">
      <alignment wrapText="1"/>
    </xf>
    <xf numFmtId="0" fontId="83" fillId="5" borderId="1" xfId="0" applyFont="1" applyFill="1" applyBorder="1" applyAlignment="1">
      <alignment wrapText="1"/>
    </xf>
    <xf numFmtId="177" fontId="83" fillId="0" borderId="6" xfId="0" applyNumberFormat="1" applyFont="1" applyBorder="1"/>
    <xf numFmtId="177" fontId="83" fillId="0" borderId="6" xfId="4" applyNumberFormat="1" applyFont="1" applyBorder="1"/>
    <xf numFmtId="0" fontId="21" fillId="5" borderId="0" xfId="10" applyFont="1" applyFill="1"/>
    <xf numFmtId="0" fontId="84" fillId="0" borderId="14" xfId="0" applyFont="1" applyBorder="1" applyAlignment="1">
      <alignment horizontal="center" vertical="center" wrapText="1"/>
    </xf>
    <xf numFmtId="0" fontId="84" fillId="0" borderId="18" xfId="10" applyFont="1" applyBorder="1"/>
    <xf numFmtId="175" fontId="21" fillId="0" borderId="1" xfId="3" applyNumberFormat="1" applyFont="1" applyBorder="1"/>
    <xf numFmtId="0" fontId="21" fillId="0" borderId="1" xfId="0" applyFont="1" applyBorder="1" applyAlignment="1">
      <alignment horizontal="left"/>
    </xf>
    <xf numFmtId="0" fontId="22" fillId="0" borderId="14" xfId="0" applyFont="1" applyBorder="1"/>
    <xf numFmtId="0" fontId="22" fillId="0" borderId="24" xfId="0" applyFont="1" applyBorder="1"/>
    <xf numFmtId="0" fontId="22" fillId="0" borderId="18" xfId="0" applyFont="1" applyBorder="1"/>
    <xf numFmtId="10" fontId="21" fillId="0" borderId="1" xfId="0" applyNumberFormat="1" applyFont="1" applyBorder="1"/>
    <xf numFmtId="174" fontId="21" fillId="0" borderId="1" xfId="0" applyNumberFormat="1" applyFont="1" applyBorder="1"/>
    <xf numFmtId="1" fontId="21" fillId="0" borderId="1" xfId="0" applyNumberFormat="1" applyFont="1" applyBorder="1" applyAlignment="1">
      <alignment horizontal="center" vertical="center"/>
    </xf>
    <xf numFmtId="177" fontId="21" fillId="0" borderId="1" xfId="0" applyNumberFormat="1" applyFont="1" applyBorder="1"/>
    <xf numFmtId="10" fontId="21" fillId="0" borderId="38" xfId="0" applyNumberFormat="1" applyFont="1" applyBorder="1"/>
    <xf numFmtId="173" fontId="21" fillId="0" borderId="38" xfId="0" applyNumberFormat="1" applyFont="1" applyBorder="1"/>
    <xf numFmtId="177" fontId="21" fillId="0" borderId="38" xfId="4" applyNumberFormat="1" applyFont="1" applyBorder="1"/>
    <xf numFmtId="1" fontId="21" fillId="0" borderId="38" xfId="0" applyNumberFormat="1" applyFont="1" applyBorder="1" applyAlignment="1">
      <alignment horizontal="center" vertical="center"/>
    </xf>
    <xf numFmtId="177" fontId="21" fillId="0" borderId="38" xfId="0" applyNumberFormat="1" applyFont="1" applyBorder="1"/>
    <xf numFmtId="175" fontId="21" fillId="0" borderId="4" xfId="3" applyNumberFormat="1" applyFont="1" applyBorder="1"/>
    <xf numFmtId="10" fontId="21" fillId="0" borderId="4" xfId="0" applyNumberFormat="1" applyFont="1" applyBorder="1"/>
    <xf numFmtId="173" fontId="21" fillId="0" borderId="4" xfId="0" applyNumberFormat="1" applyFont="1" applyBorder="1"/>
    <xf numFmtId="177" fontId="21" fillId="0" borderId="4" xfId="4" applyNumberFormat="1" applyFont="1" applyBorder="1"/>
    <xf numFmtId="1" fontId="21" fillId="0" borderId="4" xfId="0" applyNumberFormat="1" applyFont="1" applyBorder="1" applyAlignment="1">
      <alignment horizontal="center" vertical="center"/>
    </xf>
    <xf numFmtId="177" fontId="21" fillId="0" borderId="4" xfId="0" applyNumberFormat="1" applyFont="1" applyBorder="1"/>
    <xf numFmtId="10" fontId="21" fillId="5" borderId="1" xfId="0" applyNumberFormat="1" applyFont="1" applyFill="1" applyBorder="1"/>
    <xf numFmtId="0" fontId="22" fillId="5" borderId="3" xfId="0" applyFont="1" applyFill="1" applyBorder="1"/>
    <xf numFmtId="1" fontId="21" fillId="0" borderId="3" xfId="0" applyNumberFormat="1" applyFont="1" applyBorder="1" applyAlignment="1">
      <alignment horizontal="center" vertical="center"/>
    </xf>
    <xf numFmtId="3" fontId="83" fillId="0" borderId="0" xfId="10" applyNumberFormat="1" applyFont="1" applyAlignment="1">
      <alignment horizontal="center"/>
    </xf>
    <xf numFmtId="178" fontId="84" fillId="0" borderId="1" xfId="10" applyNumberFormat="1" applyFont="1" applyBorder="1"/>
    <xf numFmtId="3" fontId="83" fillId="0" borderId="1" xfId="10" applyNumberFormat="1" applyFont="1" applyBorder="1"/>
    <xf numFmtId="178" fontId="83" fillId="0" borderId="1" xfId="10" applyNumberFormat="1" applyFont="1" applyBorder="1"/>
    <xf numFmtId="3" fontId="83" fillId="0" borderId="5" xfId="10" applyNumberFormat="1" applyFont="1" applyBorder="1"/>
    <xf numFmtId="178" fontId="83" fillId="0" borderId="5" xfId="10" applyNumberFormat="1" applyFont="1" applyBorder="1"/>
    <xf numFmtId="0" fontId="83" fillId="0" borderId="5" xfId="10" applyFont="1" applyBorder="1"/>
    <xf numFmtId="3" fontId="83" fillId="0" borderId="4" xfId="10" applyNumberFormat="1" applyFont="1" applyBorder="1"/>
    <xf numFmtId="178" fontId="83" fillId="0" borderId="4" xfId="10" applyNumberFormat="1" applyFont="1" applyBorder="1"/>
    <xf numFmtId="0" fontId="83" fillId="0" borderId="4" xfId="10" applyFont="1" applyBorder="1"/>
    <xf numFmtId="177" fontId="84" fillId="0" borderId="4" xfId="12" applyNumberFormat="1" applyFont="1" applyBorder="1"/>
    <xf numFmtId="174" fontId="83" fillId="0" borderId="5" xfId="10" applyNumberFormat="1" applyFont="1" applyBorder="1"/>
    <xf numFmtId="0" fontId="84" fillId="0" borderId="41" xfId="10" applyFont="1" applyBorder="1"/>
    <xf numFmtId="3" fontId="83" fillId="0" borderId="41" xfId="10" applyNumberFormat="1" applyFont="1" applyBorder="1"/>
    <xf numFmtId="178" fontId="83" fillId="0" borderId="41" xfId="10" applyNumberFormat="1" applyFont="1" applyBorder="1"/>
    <xf numFmtId="0" fontId="83" fillId="0" borderId="41" xfId="10" applyFont="1" applyBorder="1"/>
    <xf numFmtId="177" fontId="84" fillId="0" borderId="41" xfId="12" applyNumberFormat="1" applyFont="1" applyBorder="1"/>
    <xf numFmtId="3" fontId="83" fillId="0" borderId="0" xfId="10" applyNumberFormat="1" applyFont="1"/>
    <xf numFmtId="178" fontId="83" fillId="0" borderId="0" xfId="10" applyNumberFormat="1" applyFont="1"/>
    <xf numFmtId="10" fontId="83" fillId="5" borderId="1" xfId="10" applyNumberFormat="1" applyFont="1" applyFill="1" applyBorder="1"/>
    <xf numFmtId="1" fontId="83" fillId="0" borderId="1" xfId="10" applyNumberFormat="1" applyFont="1" applyBorder="1" applyAlignment="1">
      <alignment horizontal="center"/>
    </xf>
    <xf numFmtId="10" fontId="83" fillId="5" borderId="3" xfId="10" applyNumberFormat="1" applyFont="1" applyFill="1" applyBorder="1"/>
    <xf numFmtId="10" fontId="83" fillId="5" borderId="8" xfId="10" applyNumberFormat="1" applyFont="1" applyFill="1" applyBorder="1"/>
    <xf numFmtId="173" fontId="83" fillId="0" borderId="4" xfId="10" applyNumberFormat="1" applyFont="1" applyBorder="1"/>
    <xf numFmtId="0" fontId="84" fillId="0" borderId="5" xfId="10" applyFont="1" applyBorder="1" applyAlignment="1">
      <alignment wrapText="1"/>
    </xf>
    <xf numFmtId="0" fontId="83" fillId="0" borderId="0" xfId="10" applyFont="1" applyAlignment="1">
      <alignment horizontal="center"/>
    </xf>
    <xf numFmtId="174" fontId="83" fillId="0" borderId="1" xfId="11" applyNumberFormat="1" applyFont="1" applyBorder="1" applyAlignment="1">
      <alignment wrapText="1"/>
    </xf>
    <xf numFmtId="174" fontId="83" fillId="0" borderId="1" xfId="11" applyNumberFormat="1" applyFont="1" applyBorder="1"/>
    <xf numFmtId="174" fontId="82" fillId="0" borderId="1" xfId="11" applyNumberFormat="1" applyFont="1" applyBorder="1" applyAlignment="1">
      <alignment horizontal="center"/>
    </xf>
    <xf numFmtId="169" fontId="83" fillId="0" borderId="0" xfId="11" applyFont="1"/>
    <xf numFmtId="14" fontId="83" fillId="0" borderId="1" xfId="11" applyNumberFormat="1" applyFont="1" applyBorder="1"/>
    <xf numFmtId="14" fontId="83" fillId="0" borderId="1" xfId="10" applyNumberFormat="1" applyFont="1" applyBorder="1"/>
    <xf numFmtId="174" fontId="83" fillId="0" borderId="1" xfId="11" applyNumberFormat="1" applyFont="1" applyBorder="1" applyAlignment="1">
      <alignment horizontal="center"/>
    </xf>
    <xf numFmtId="174" fontId="83" fillId="5" borderId="1" xfId="11" applyNumberFormat="1" applyFont="1" applyFill="1" applyBorder="1" applyAlignment="1">
      <alignment horizontal="center"/>
    </xf>
    <xf numFmtId="174" fontId="83" fillId="5" borderId="1" xfId="11" applyNumberFormat="1" applyFont="1" applyFill="1" applyBorder="1"/>
    <xf numFmtId="174" fontId="84" fillId="0" borderId="1" xfId="11" applyNumberFormat="1" applyFont="1" applyBorder="1"/>
    <xf numFmtId="177" fontId="84" fillId="0" borderId="1" xfId="12" applyNumberFormat="1" applyFont="1" applyBorder="1"/>
    <xf numFmtId="177" fontId="84" fillId="0" borderId="1" xfId="12" applyNumberFormat="1" applyFont="1" applyBorder="1" applyAlignment="1">
      <alignment horizontal="center"/>
    </xf>
    <xf numFmtId="3" fontId="84" fillId="0" borderId="0" xfId="10" applyNumberFormat="1" applyFont="1"/>
    <xf numFmtId="175" fontId="83" fillId="0" borderId="1" xfId="11" applyNumberFormat="1" applyFont="1" applyBorder="1"/>
    <xf numFmtId="175" fontId="83" fillId="0" borderId="3" xfId="11" applyNumberFormat="1" applyFont="1" applyBorder="1"/>
    <xf numFmtId="177" fontId="84" fillId="0" borderId="59" xfId="12" applyNumberFormat="1" applyFont="1" applyBorder="1"/>
    <xf numFmtId="166" fontId="84" fillId="0" borderId="0" xfId="0" applyNumberFormat="1" applyFont="1"/>
    <xf numFmtId="168" fontId="84" fillId="0" borderId="1" xfId="0" applyNumberFormat="1" applyFont="1" applyBorder="1"/>
    <xf numFmtId="0" fontId="84" fillId="0" borderId="1" xfId="0" applyFont="1" applyBorder="1" applyAlignment="1">
      <alignment horizontal="left" vertical="center" wrapText="1"/>
    </xf>
    <xf numFmtId="175" fontId="83" fillId="0" borderId="1" xfId="3" applyNumberFormat="1" applyFont="1" applyBorder="1" applyAlignment="1">
      <alignment horizontal="left"/>
    </xf>
    <xf numFmtId="169" fontId="83" fillId="0" borderId="1" xfId="0" applyNumberFormat="1" applyFont="1" applyBorder="1"/>
    <xf numFmtId="0" fontId="84" fillId="0" borderId="24" xfId="0" applyFont="1" applyBorder="1" applyAlignment="1">
      <alignment horizontal="center" vertical="center" wrapText="1"/>
    </xf>
    <xf numFmtId="174" fontId="83" fillId="5" borderId="0" xfId="3" applyNumberFormat="1" applyFont="1" applyFill="1" applyBorder="1"/>
    <xf numFmtId="168" fontId="83" fillId="5" borderId="0" xfId="4" applyFont="1" applyFill="1"/>
    <xf numFmtId="0" fontId="84" fillId="5" borderId="1" xfId="0" applyFont="1" applyFill="1" applyBorder="1" applyAlignment="1">
      <alignment horizontal="left" wrapText="1"/>
    </xf>
    <xf numFmtId="169" fontId="83" fillId="5" borderId="0" xfId="3" applyFont="1" applyFill="1"/>
    <xf numFmtId="0" fontId="83" fillId="5" borderId="0" xfId="0" applyFont="1" applyFill="1"/>
    <xf numFmtId="174" fontId="83" fillId="5" borderId="0" xfId="3" applyNumberFormat="1" applyFont="1" applyFill="1"/>
    <xf numFmtId="174" fontId="83" fillId="5" borderId="1" xfId="3" applyNumberFormat="1" applyFont="1" applyFill="1" applyBorder="1"/>
    <xf numFmtId="175" fontId="83" fillId="5" borderId="1" xfId="0" applyNumberFormat="1" applyFont="1" applyFill="1" applyBorder="1" applyAlignment="1">
      <alignment vertical="center"/>
    </xf>
    <xf numFmtId="14" fontId="83" fillId="5" borderId="0" xfId="0" applyNumberFormat="1" applyFont="1" applyFill="1"/>
    <xf numFmtId="0" fontId="84" fillId="5" borderId="8" xfId="0" applyFont="1" applyFill="1" applyBorder="1"/>
    <xf numFmtId="169" fontId="83" fillId="5" borderId="1" xfId="3" applyFont="1" applyFill="1" applyBorder="1"/>
    <xf numFmtId="0" fontId="83" fillId="5" borderId="1" xfId="5" applyFont="1" applyFill="1" applyBorder="1" applyAlignment="1">
      <alignment horizontal="center"/>
    </xf>
    <xf numFmtId="0" fontId="83" fillId="5" borderId="1" xfId="5" applyFont="1" applyFill="1" applyBorder="1"/>
    <xf numFmtId="188" fontId="83" fillId="5" borderId="1" xfId="5" applyNumberFormat="1" applyFont="1" applyFill="1" applyBorder="1"/>
    <xf numFmtId="0" fontId="83" fillId="5" borderId="1" xfId="5" applyFont="1" applyFill="1" applyBorder="1" applyAlignment="1">
      <alignment horizontal="left"/>
    </xf>
    <xf numFmtId="178" fontId="83" fillId="5" borderId="1" xfId="0" applyNumberFormat="1" applyFont="1" applyFill="1" applyBorder="1"/>
    <xf numFmtId="174" fontId="83" fillId="5" borderId="3" xfId="3" applyNumberFormat="1" applyFont="1" applyFill="1" applyBorder="1"/>
    <xf numFmtId="0" fontId="84" fillId="5" borderId="1" xfId="5" applyFont="1" applyFill="1" applyBorder="1" applyAlignment="1">
      <alignment horizontal="left"/>
    </xf>
    <xf numFmtId="0" fontId="83" fillId="5" borderId="8" xfId="5" applyFont="1" applyFill="1" applyBorder="1" applyAlignment="1">
      <alignment horizontal="left" wrapText="1"/>
    </xf>
    <xf numFmtId="0" fontId="83" fillId="5" borderId="1" xfId="5" applyFont="1" applyFill="1" applyBorder="1" applyAlignment="1">
      <alignment horizontal="left" wrapText="1"/>
    </xf>
    <xf numFmtId="174" fontId="84" fillId="5" borderId="1" xfId="3" applyNumberFormat="1" applyFont="1" applyFill="1" applyBorder="1"/>
    <xf numFmtId="174" fontId="83" fillId="5" borderId="0" xfId="0" applyNumberFormat="1" applyFont="1" applyFill="1"/>
    <xf numFmtId="174" fontId="84" fillId="5" borderId="0" xfId="3" applyNumberFormat="1" applyFont="1" applyFill="1" applyBorder="1" applyAlignment="1">
      <alignment horizontal="center"/>
    </xf>
    <xf numFmtId="169" fontId="83" fillId="5" borderId="0" xfId="3" applyFont="1" applyFill="1" applyBorder="1"/>
    <xf numFmtId="177" fontId="83" fillId="5" borderId="0" xfId="4" applyNumberFormat="1" applyFont="1" applyFill="1"/>
    <xf numFmtId="0" fontId="84" fillId="5" borderId="3" xfId="0" applyFont="1" applyFill="1" applyBorder="1" applyAlignment="1">
      <alignment horizontal="center" vertical="center" wrapText="1"/>
    </xf>
    <xf numFmtId="173" fontId="83" fillId="5" borderId="1" xfId="0" applyNumberFormat="1" applyFont="1" applyFill="1" applyBorder="1"/>
    <xf numFmtId="177" fontId="84" fillId="5" borderId="1" xfId="4" applyNumberFormat="1" applyFont="1" applyFill="1" applyBorder="1"/>
    <xf numFmtId="0" fontId="83" fillId="5" borderId="1" xfId="0" applyFont="1" applyFill="1" applyBorder="1" applyAlignment="1">
      <alignment horizontal="left" wrapText="1"/>
    </xf>
    <xf numFmtId="0" fontId="83" fillId="5" borderId="3" xfId="0" applyFont="1" applyFill="1" applyBorder="1"/>
    <xf numFmtId="0" fontId="84" fillId="0" borderId="1" xfId="10" applyFont="1" applyBorder="1" applyAlignment="1">
      <alignment horizontal="center" wrapText="1"/>
    </xf>
    <xf numFmtId="0" fontId="84" fillId="0" borderId="1" xfId="10" applyFont="1" applyBorder="1" applyAlignment="1">
      <alignment horizontal="center"/>
    </xf>
    <xf numFmtId="177" fontId="83" fillId="0" borderId="4" xfId="12" applyNumberFormat="1" applyFont="1" applyBorder="1"/>
    <xf numFmtId="10" fontId="83" fillId="0" borderId="0" xfId="10" applyNumberFormat="1" applyFont="1"/>
    <xf numFmtId="177" fontId="83" fillId="0" borderId="0" xfId="12" applyNumberFormat="1" applyFont="1" applyBorder="1"/>
    <xf numFmtId="0" fontId="84" fillId="0" borderId="5" xfId="10" applyFont="1" applyBorder="1"/>
    <xf numFmtId="177" fontId="83" fillId="0" borderId="0" xfId="10" applyNumberFormat="1" applyFont="1"/>
    <xf numFmtId="1" fontId="84" fillId="0" borderId="1" xfId="10" applyNumberFormat="1" applyFont="1" applyBorder="1" applyAlignment="1">
      <alignment horizontal="center" vertical="center" wrapText="1"/>
    </xf>
    <xf numFmtId="10" fontId="83" fillId="0" borderId="1" xfId="10" applyNumberFormat="1" applyFont="1" applyBorder="1"/>
    <xf numFmtId="177" fontId="83" fillId="0" borderId="1" xfId="10" applyNumberFormat="1" applyFont="1" applyBorder="1"/>
    <xf numFmtId="1" fontId="83" fillId="0" borderId="1" xfId="10" applyNumberFormat="1" applyFont="1" applyBorder="1" applyAlignment="1">
      <alignment horizontal="center" vertical="center"/>
    </xf>
    <xf numFmtId="0" fontId="84" fillId="0" borderId="3" xfId="10" applyFont="1" applyBorder="1"/>
    <xf numFmtId="177" fontId="84" fillId="0" borderId="3" xfId="10" applyNumberFormat="1" applyFont="1" applyBorder="1"/>
    <xf numFmtId="177" fontId="84" fillId="0" borderId="1" xfId="10" applyNumberFormat="1" applyFont="1" applyBorder="1"/>
    <xf numFmtId="168" fontId="83" fillId="0" borderId="23" xfId="4" applyFont="1" applyBorder="1"/>
    <xf numFmtId="168" fontId="84" fillId="0" borderId="9" xfId="4" applyFont="1" applyBorder="1"/>
    <xf numFmtId="0" fontId="83" fillId="0" borderId="35" xfId="10" applyFont="1" applyBorder="1" applyAlignment="1">
      <alignment horizontal="center" wrapText="1"/>
    </xf>
    <xf numFmtId="10" fontId="83" fillId="0" borderId="3" xfId="10" applyNumberFormat="1" applyFont="1" applyBorder="1"/>
    <xf numFmtId="186" fontId="83" fillId="0" borderId="1" xfId="10" applyNumberFormat="1" applyFont="1" applyBorder="1"/>
    <xf numFmtId="1" fontId="83" fillId="0" borderId="1" xfId="10" applyNumberFormat="1" applyFont="1" applyBorder="1"/>
    <xf numFmtId="0" fontId="83" fillId="0" borderId="14" xfId="10" applyFont="1" applyBorder="1"/>
    <xf numFmtId="183" fontId="83" fillId="0" borderId="1" xfId="10" applyNumberFormat="1" applyFont="1" applyBorder="1"/>
    <xf numFmtId="178" fontId="83" fillId="0" borderId="1" xfId="10" applyNumberFormat="1" applyFont="1" applyBorder="1" applyAlignment="1">
      <alignment horizontal="center"/>
    </xf>
    <xf numFmtId="187" fontId="83" fillId="0" borderId="1" xfId="10" applyNumberFormat="1" applyFont="1" applyBorder="1"/>
    <xf numFmtId="3" fontId="84" fillId="0" borderId="1" xfId="10" applyNumberFormat="1" applyFont="1" applyBorder="1"/>
    <xf numFmtId="0" fontId="84" fillId="0" borderId="6" xfId="10" applyFont="1" applyBorder="1"/>
    <xf numFmtId="0" fontId="83" fillId="0" borderId="36" xfId="10" applyFont="1" applyBorder="1" applyAlignment="1">
      <alignment horizontal="center" vertical="center" wrapText="1"/>
    </xf>
    <xf numFmtId="0" fontId="83" fillId="0" borderId="35" xfId="10" applyFont="1" applyBorder="1" applyAlignment="1">
      <alignment horizontal="center" vertical="center" wrapText="1"/>
    </xf>
    <xf numFmtId="1" fontId="83" fillId="0" borderId="35" xfId="10" applyNumberFormat="1" applyFont="1" applyBorder="1" applyAlignment="1">
      <alignment horizontal="center" vertical="center" wrapText="1"/>
    </xf>
    <xf numFmtId="0" fontId="83" fillId="0" borderId="0" xfId="0" applyFont="1" applyAlignment="1">
      <alignment wrapText="1"/>
    </xf>
    <xf numFmtId="0" fontId="83" fillId="0" borderId="1" xfId="0" applyFont="1" applyBorder="1" applyAlignment="1">
      <alignment horizontal="right" vertical="center"/>
    </xf>
    <xf numFmtId="177" fontId="84" fillId="5" borderId="0" xfId="0" applyNumberFormat="1" applyFont="1" applyFill="1"/>
    <xf numFmtId="177" fontId="83" fillId="5" borderId="1" xfId="4" applyNumberFormat="1" applyFont="1" applyFill="1" applyBorder="1" applyAlignment="1">
      <alignment horizontal="right"/>
    </xf>
    <xf numFmtId="0" fontId="83" fillId="5" borderId="1" xfId="10" applyFont="1" applyFill="1" applyBorder="1"/>
    <xf numFmtId="0" fontId="84" fillId="0" borderId="3" xfId="10" applyFont="1" applyBorder="1" applyAlignment="1">
      <alignment wrapText="1"/>
    </xf>
    <xf numFmtId="177" fontId="84" fillId="0" borderId="1" xfId="12" applyNumberFormat="1" applyFont="1" applyBorder="1" applyAlignment="1">
      <alignment horizontal="center" vertical="center"/>
    </xf>
    <xf numFmtId="177" fontId="83" fillId="0" borderId="0" xfId="12" applyNumberFormat="1" applyFont="1"/>
    <xf numFmtId="196" fontId="83" fillId="0" borderId="1" xfId="55" applyNumberFormat="1" applyFont="1" applyBorder="1"/>
    <xf numFmtId="196" fontId="83" fillId="0" borderId="0" xfId="10" applyNumberFormat="1" applyFont="1"/>
    <xf numFmtId="0" fontId="83" fillId="0" borderId="42" xfId="10" applyFont="1" applyBorder="1"/>
    <xf numFmtId="177" fontId="83" fillId="0" borderId="42" xfId="12" applyNumberFormat="1" applyFont="1" applyBorder="1"/>
    <xf numFmtId="177" fontId="83" fillId="0" borderId="42" xfId="10" applyNumberFormat="1" applyFont="1" applyBorder="1"/>
    <xf numFmtId="177" fontId="83" fillId="0" borderId="5" xfId="12" applyNumberFormat="1" applyFont="1" applyBorder="1"/>
    <xf numFmtId="16" fontId="83" fillId="0" borderId="1" xfId="10" applyNumberFormat="1" applyFont="1" applyBorder="1"/>
    <xf numFmtId="177" fontId="83" fillId="0" borderId="3" xfId="12" applyNumberFormat="1" applyFont="1" applyBorder="1"/>
    <xf numFmtId="1" fontId="83" fillId="0" borderId="14" xfId="10" applyNumberFormat="1" applyFont="1" applyBorder="1" applyAlignment="1">
      <alignment horizontal="center" vertical="center"/>
    </xf>
    <xf numFmtId="0" fontId="84" fillId="0" borderId="38" xfId="10" applyFont="1" applyBorder="1"/>
    <xf numFmtId="177" fontId="83" fillId="0" borderId="38" xfId="10" applyNumberFormat="1" applyFont="1" applyBorder="1"/>
    <xf numFmtId="186" fontId="83" fillId="0" borderId="31" xfId="12" applyNumberFormat="1" applyFont="1" applyBorder="1"/>
    <xf numFmtId="186" fontId="83" fillId="0" borderId="29" xfId="10" applyNumberFormat="1" applyFont="1" applyBorder="1"/>
    <xf numFmtId="0" fontId="84" fillId="0" borderId="28" xfId="10" applyFont="1" applyBorder="1" applyAlignment="1">
      <alignment horizontal="left"/>
    </xf>
    <xf numFmtId="0" fontId="84" fillId="0" borderId="27" xfId="10" applyFont="1" applyBorder="1" applyAlignment="1">
      <alignment horizontal="left"/>
    </xf>
    <xf numFmtId="0" fontId="84" fillId="0" borderId="26" xfId="10" applyFont="1" applyBorder="1" applyAlignment="1">
      <alignment horizontal="left"/>
    </xf>
    <xf numFmtId="186" fontId="84" fillId="0" borderId="25" xfId="10" applyNumberFormat="1" applyFont="1" applyBorder="1"/>
    <xf numFmtId="0" fontId="84" fillId="0" borderId="14" xfId="0" applyFont="1" applyBorder="1"/>
    <xf numFmtId="177" fontId="84" fillId="0" borderId="0" xfId="4" applyNumberFormat="1" applyFont="1" applyAlignment="1">
      <alignment horizontal="center" vertical="center"/>
    </xf>
    <xf numFmtId="0" fontId="83" fillId="0" borderId="42" xfId="0" applyFont="1" applyBorder="1" applyAlignment="1">
      <alignment wrapText="1"/>
    </xf>
    <xf numFmtId="177" fontId="83" fillId="0" borderId="42" xfId="4" applyNumberFormat="1" applyFont="1" applyBorder="1"/>
    <xf numFmtId="177" fontId="83" fillId="0" borderId="0" xfId="4" applyNumberFormat="1" applyFont="1" applyBorder="1"/>
    <xf numFmtId="0" fontId="83" fillId="0" borderId="42" xfId="0" applyFont="1" applyBorder="1"/>
    <xf numFmtId="177" fontId="83" fillId="0" borderId="42" xfId="0" applyNumberFormat="1" applyFont="1" applyBorder="1"/>
    <xf numFmtId="4" fontId="83" fillId="0" borderId="0" xfId="10" applyNumberFormat="1" applyFont="1" applyAlignment="1">
      <alignment horizontal="right"/>
    </xf>
    <xf numFmtId="0" fontId="83" fillId="0" borderId="1" xfId="5" applyFont="1" applyBorder="1" applyAlignment="1">
      <alignment horizontal="left"/>
    </xf>
    <xf numFmtId="177" fontId="83" fillId="0" borderId="5" xfId="4" applyNumberFormat="1" applyFont="1" applyBorder="1"/>
    <xf numFmtId="1" fontId="83" fillId="0" borderId="14" xfId="0" applyNumberFormat="1" applyFont="1" applyBorder="1" applyAlignment="1">
      <alignment horizontal="center" vertical="center"/>
    </xf>
    <xf numFmtId="0" fontId="84" fillId="0" borderId="38" xfId="0" applyFont="1" applyBorder="1"/>
    <xf numFmtId="175" fontId="21" fillId="0" borderId="21" xfId="0" applyNumberFormat="1" applyFont="1" applyBorder="1"/>
    <xf numFmtId="3" fontId="22" fillId="0" borderId="1" xfId="10" applyNumberFormat="1" applyFont="1" applyBorder="1" applyAlignment="1">
      <alignment horizontal="center" wrapText="1"/>
    </xf>
    <xf numFmtId="3" fontId="22" fillId="0" borderId="23" xfId="10" applyNumberFormat="1" applyFont="1" applyBorder="1" applyAlignment="1">
      <alignment horizontal="center"/>
    </xf>
    <xf numFmtId="0" fontId="22" fillId="0" borderId="1" xfId="10" applyFont="1" applyBorder="1" applyAlignment="1">
      <alignment horizontal="center" wrapText="1"/>
    </xf>
    <xf numFmtId="1" fontId="21" fillId="0" borderId="1" xfId="0" applyNumberFormat="1" applyFont="1" applyBorder="1"/>
    <xf numFmtId="1" fontId="21" fillId="0" borderId="0" xfId="0" applyNumberFormat="1" applyFont="1"/>
    <xf numFmtId="177" fontId="21" fillId="0" borderId="0" xfId="4" applyNumberFormat="1" applyFont="1" applyBorder="1" applyAlignment="1">
      <alignment horizontal="right"/>
    </xf>
    <xf numFmtId="0" fontId="22" fillId="0" borderId="5" xfId="0" applyFont="1" applyBorder="1"/>
    <xf numFmtId="177" fontId="22" fillId="0" borderId="5" xfId="4" applyNumberFormat="1" applyFont="1" applyBorder="1" applyAlignment="1">
      <alignment horizontal="right"/>
    </xf>
    <xf numFmtId="0" fontId="84" fillId="0" borderId="4" xfId="0" applyFont="1" applyBorder="1"/>
    <xf numFmtId="0" fontId="83" fillId="0" borderId="18" xfId="10" applyFont="1" applyBorder="1"/>
    <xf numFmtId="15" fontId="83" fillId="0" borderId="1" xfId="10" applyNumberFormat="1" applyFont="1" applyBorder="1"/>
    <xf numFmtId="0" fontId="83" fillId="0" borderId="1" xfId="10" applyFont="1" applyBorder="1" applyAlignment="1">
      <alignment horizontal="left" wrapText="1"/>
    </xf>
    <xf numFmtId="2" fontId="83" fillId="0" borderId="1" xfId="10" applyNumberFormat="1" applyFont="1" applyBorder="1"/>
    <xf numFmtId="2" fontId="83" fillId="5" borderId="1" xfId="10" applyNumberFormat="1" applyFont="1" applyFill="1" applyBorder="1"/>
    <xf numFmtId="0" fontId="83" fillId="0" borderId="18" xfId="0" applyFont="1" applyBorder="1" applyAlignment="1">
      <alignment horizontal="center"/>
    </xf>
    <xf numFmtId="0" fontId="84" fillId="0" borderId="1" xfId="0" applyFont="1" applyBorder="1" applyAlignment="1">
      <alignment horizontal="left"/>
    </xf>
    <xf numFmtId="3" fontId="84" fillId="0" borderId="1" xfId="10" applyNumberFormat="1" applyFont="1" applyBorder="1" applyAlignment="1">
      <alignment horizontal="center" wrapText="1"/>
    </xf>
    <xf numFmtId="0" fontId="84" fillId="0" borderId="27" xfId="10" applyFont="1" applyBorder="1" applyAlignment="1">
      <alignment horizontal="center"/>
    </xf>
    <xf numFmtId="0" fontId="84" fillId="0" borderId="26" xfId="10" applyFont="1" applyBorder="1" applyAlignment="1">
      <alignment horizontal="center"/>
    </xf>
    <xf numFmtId="0" fontId="83" fillId="0" borderId="30" xfId="10" applyFont="1" applyBorder="1" applyAlignment="1">
      <alignment horizontal="left"/>
    </xf>
    <xf numFmtId="0" fontId="83" fillId="0" borderId="24" xfId="10" applyFont="1" applyBorder="1" applyAlignment="1">
      <alignment horizontal="left"/>
    </xf>
    <xf numFmtId="0" fontId="83" fillId="0" borderId="18" xfId="10" applyFont="1" applyBorder="1" applyAlignment="1">
      <alignment horizontal="left"/>
    </xf>
    <xf numFmtId="0" fontId="84" fillId="0" borderId="1" xfId="10" applyFont="1" applyBorder="1" applyAlignment="1">
      <alignment horizontal="left" wrapText="1"/>
    </xf>
    <xf numFmtId="14" fontId="83" fillId="0" borderId="0" xfId="10" applyNumberFormat="1" applyFont="1"/>
    <xf numFmtId="0" fontId="83" fillId="0" borderId="1" xfId="10" applyFont="1" applyBorder="1" applyAlignment="1">
      <alignment horizontal="left"/>
    </xf>
    <xf numFmtId="0" fontId="83" fillId="4" borderId="0" xfId="10" applyFont="1" applyFill="1"/>
    <xf numFmtId="3" fontId="83" fillId="0" borderId="0" xfId="10" applyNumberFormat="1" applyFont="1" applyAlignment="1">
      <alignment horizontal="right"/>
    </xf>
    <xf numFmtId="3" fontId="89" fillId="0" borderId="1" xfId="10" applyNumberFormat="1" applyFont="1" applyBorder="1" applyAlignment="1">
      <alignment horizontal="center"/>
    </xf>
    <xf numFmtId="3" fontId="89" fillId="0" borderId="1" xfId="10" applyNumberFormat="1" applyFont="1" applyBorder="1"/>
    <xf numFmtId="3" fontId="84" fillId="0" borderId="0" xfId="10" applyNumberFormat="1" applyFont="1" applyAlignment="1">
      <alignment horizontal="center"/>
    </xf>
    <xf numFmtId="0" fontId="84" fillId="0" borderId="0" xfId="10" applyFont="1" applyAlignment="1">
      <alignment horizontal="center"/>
    </xf>
    <xf numFmtId="0" fontId="84" fillId="0" borderId="0" xfId="10" applyFont="1" applyAlignment="1">
      <alignment horizontal="left"/>
    </xf>
    <xf numFmtId="186" fontId="84" fillId="0" borderId="0" xfId="10" applyNumberFormat="1" applyFont="1"/>
    <xf numFmtId="186" fontId="83" fillId="0" borderId="0" xfId="10" applyNumberFormat="1" applyFont="1"/>
    <xf numFmtId="1" fontId="83" fillId="0" borderId="0" xfId="10" applyNumberFormat="1" applyFont="1"/>
    <xf numFmtId="4" fontId="83" fillId="0" borderId="0" xfId="10" applyNumberFormat="1" applyFont="1"/>
    <xf numFmtId="0" fontId="84" fillId="0" borderId="47" xfId="10" applyFont="1" applyBorder="1" applyAlignment="1">
      <alignment horizontal="center" vertical="center" wrapText="1"/>
    </xf>
    <xf numFmtId="0" fontId="84" fillId="0" borderId="46" xfId="10" applyFont="1" applyBorder="1" applyAlignment="1">
      <alignment horizontal="center" vertical="center" wrapText="1"/>
    </xf>
    <xf numFmtId="0" fontId="84" fillId="0" borderId="38" xfId="10" applyFont="1" applyBorder="1" applyAlignment="1">
      <alignment horizontal="center" vertical="center" wrapText="1"/>
    </xf>
    <xf numFmtId="1" fontId="84" fillId="0" borderId="46" xfId="10" applyNumberFormat="1" applyFont="1" applyBorder="1" applyAlignment="1">
      <alignment horizontal="center" vertical="center" wrapText="1"/>
    </xf>
    <xf numFmtId="175" fontId="83" fillId="0" borderId="18" xfId="10" applyNumberFormat="1" applyFont="1" applyBorder="1"/>
    <xf numFmtId="10" fontId="83" fillId="0" borderId="8" xfId="10" applyNumberFormat="1" applyFont="1" applyBorder="1"/>
    <xf numFmtId="177" fontId="83" fillId="0" borderId="4" xfId="10" applyNumberFormat="1" applyFont="1" applyBorder="1"/>
    <xf numFmtId="175" fontId="83" fillId="0" borderId="18" xfId="10" applyNumberFormat="1" applyFont="1" applyBorder="1" applyAlignment="1">
      <alignment vertical="center"/>
    </xf>
    <xf numFmtId="175" fontId="83" fillId="0" borderId="1" xfId="10" applyNumberFormat="1" applyFont="1" applyBorder="1" applyAlignment="1">
      <alignment vertical="center"/>
    </xf>
    <xf numFmtId="10" fontId="83" fillId="0" borderId="3" xfId="10" applyNumberFormat="1" applyFont="1" applyBorder="1" applyAlignment="1">
      <alignment vertical="center"/>
    </xf>
    <xf numFmtId="173" fontId="83" fillId="0" borderId="1" xfId="10" applyNumberFormat="1" applyFont="1" applyBorder="1" applyAlignment="1">
      <alignment vertical="center"/>
    </xf>
    <xf numFmtId="1" fontId="84" fillId="0" borderId="14" xfId="10" applyNumberFormat="1" applyFont="1" applyBorder="1" applyAlignment="1">
      <alignment horizontal="center"/>
    </xf>
    <xf numFmtId="1" fontId="84" fillId="0" borderId="18" xfId="10" applyNumberFormat="1" applyFont="1" applyBorder="1" applyAlignment="1">
      <alignment horizontal="center"/>
    </xf>
    <xf numFmtId="175" fontId="83" fillId="0" borderId="0" xfId="10" applyNumberFormat="1" applyFont="1"/>
    <xf numFmtId="10" fontId="83" fillId="5" borderId="0" xfId="10" applyNumberFormat="1" applyFont="1" applyFill="1"/>
    <xf numFmtId="0" fontId="83" fillId="0" borderId="34" xfId="10" applyFont="1" applyBorder="1" applyAlignment="1">
      <alignment horizontal="left"/>
    </xf>
    <xf numFmtId="0" fontId="83" fillId="0" borderId="33" xfId="10" applyFont="1" applyBorder="1" applyAlignment="1">
      <alignment horizontal="left"/>
    </xf>
    <xf numFmtId="0" fontId="83" fillId="0" borderId="32" xfId="10" applyFont="1" applyBorder="1" applyAlignment="1">
      <alignment horizontal="left"/>
    </xf>
    <xf numFmtId="0" fontId="84" fillId="0" borderId="43" xfId="10" applyFont="1" applyBorder="1" applyAlignment="1">
      <alignment horizontal="left"/>
    </xf>
    <xf numFmtId="175" fontId="83" fillId="0" borderId="1" xfId="10" applyNumberFormat="1" applyFont="1" applyBorder="1" applyAlignment="1">
      <alignment horizontal="right"/>
    </xf>
    <xf numFmtId="0" fontId="83" fillId="5" borderId="1" xfId="10" applyFont="1" applyFill="1" applyBorder="1" applyAlignment="1">
      <alignment horizontal="center"/>
    </xf>
    <xf numFmtId="3" fontId="83" fillId="5" borderId="1" xfId="10" applyNumberFormat="1" applyFont="1" applyFill="1" applyBorder="1" applyAlignment="1">
      <alignment horizontal="center"/>
    </xf>
    <xf numFmtId="3" fontId="83" fillId="5" borderId="1" xfId="10" applyNumberFormat="1" applyFont="1" applyFill="1" applyBorder="1"/>
    <xf numFmtId="178" fontId="83" fillId="5" borderId="1" xfId="10" applyNumberFormat="1" applyFont="1" applyFill="1" applyBorder="1"/>
    <xf numFmtId="1" fontId="21" fillId="0" borderId="1" xfId="10" applyNumberFormat="1" applyFont="1" applyBorder="1" applyAlignment="1">
      <alignment horizontal="center" vertical="center"/>
    </xf>
    <xf numFmtId="2" fontId="83" fillId="5" borderId="1" xfId="6" applyNumberFormat="1" applyFont="1" applyFill="1" applyBorder="1" applyAlignment="1">
      <alignment horizontal="center"/>
    </xf>
    <xf numFmtId="195" fontId="83" fillId="0" borderId="0" xfId="3" applyNumberFormat="1" applyFont="1"/>
    <xf numFmtId="195" fontId="84" fillId="0" borderId="1" xfId="0" applyNumberFormat="1" applyFont="1" applyBorder="1" applyAlignment="1">
      <alignment horizontal="center" vertical="center" wrapText="1"/>
    </xf>
    <xf numFmtId="173" fontId="83" fillId="0" borderId="1" xfId="6" applyNumberFormat="1" applyFont="1" applyBorder="1"/>
    <xf numFmtId="0" fontId="83" fillId="0" borderId="8" xfId="0" applyFont="1" applyBorder="1"/>
    <xf numFmtId="177" fontId="84" fillId="0" borderId="10" xfId="0" applyNumberFormat="1" applyFont="1" applyBorder="1"/>
    <xf numFmtId="0" fontId="83" fillId="0" borderId="1" xfId="0" applyFont="1" applyBorder="1" applyAlignment="1">
      <alignment horizontal="right" wrapText="1"/>
    </xf>
    <xf numFmtId="177" fontId="83" fillId="5" borderId="3" xfId="0" applyNumberFormat="1" applyFont="1" applyFill="1" applyBorder="1"/>
    <xf numFmtId="0" fontId="22" fillId="0" borderId="14" xfId="10" applyFont="1" applyBorder="1"/>
    <xf numFmtId="0" fontId="84" fillId="0" borderId="0" xfId="0" applyFont="1" applyAlignment="1">
      <alignment horizontal="center" vertical="center" wrapText="1"/>
    </xf>
    <xf numFmtId="177" fontId="84" fillId="0" borderId="0" xfId="0" applyNumberFormat="1" applyFont="1"/>
    <xf numFmtId="186" fontId="84" fillId="0" borderId="0" xfId="0" applyNumberFormat="1" applyFont="1" applyAlignment="1">
      <alignment horizontal="center" vertical="center" wrapText="1"/>
    </xf>
    <xf numFmtId="0" fontId="22" fillId="0" borderId="4" xfId="5" applyFont="1" applyBorder="1" applyAlignment="1">
      <alignment horizontal="left"/>
    </xf>
    <xf numFmtId="186" fontId="22" fillId="0" borderId="4" xfId="5" applyNumberFormat="1" applyFont="1" applyBorder="1"/>
    <xf numFmtId="0" fontId="21" fillId="0" borderId="38" xfId="5" applyFont="1" applyBorder="1" applyAlignment="1">
      <alignment horizontal="left"/>
    </xf>
    <xf numFmtId="186" fontId="21" fillId="0" borderId="38" xfId="5" applyNumberFormat="1" applyFont="1" applyBorder="1"/>
    <xf numFmtId="0" fontId="83" fillId="0" borderId="57" xfId="10" applyFont="1" applyBorder="1" applyAlignment="1">
      <alignment horizontal="left"/>
    </xf>
    <xf numFmtId="0" fontId="83" fillId="0" borderId="2" xfId="10" applyFont="1" applyBorder="1" applyAlignment="1">
      <alignment horizontal="left"/>
    </xf>
    <xf numFmtId="0" fontId="83" fillId="0" borderId="19" xfId="10" applyFont="1" applyBorder="1" applyAlignment="1">
      <alignment horizontal="left"/>
    </xf>
    <xf numFmtId="186" fontId="83" fillId="0" borderId="58" xfId="12" applyNumberFormat="1" applyFont="1" applyBorder="1"/>
    <xf numFmtId="0" fontId="84" fillId="0" borderId="1" xfId="10" applyFont="1" applyBorder="1" applyAlignment="1">
      <alignment horizontal="left"/>
    </xf>
    <xf numFmtId="171" fontId="21" fillId="0" borderId="1" xfId="10" applyNumberFormat="1" applyFont="1" applyBorder="1"/>
    <xf numFmtId="0" fontId="20" fillId="0" borderId="0" xfId="10" applyFont="1"/>
    <xf numFmtId="177" fontId="20" fillId="0" borderId="0" xfId="4" applyNumberFormat="1" applyFont="1"/>
    <xf numFmtId="175" fontId="83" fillId="0" borderId="0" xfId="3" applyNumberFormat="1" applyFont="1" applyBorder="1"/>
    <xf numFmtId="0" fontId="83" fillId="0" borderId="0" xfId="5" applyFont="1"/>
    <xf numFmtId="0" fontId="83" fillId="0" borderId="0" xfId="5" applyFont="1" applyAlignment="1">
      <alignment horizontal="left"/>
    </xf>
    <xf numFmtId="10" fontId="83" fillId="0" borderId="0" xfId="8" applyNumberFormat="1" applyFont="1"/>
    <xf numFmtId="177" fontId="83" fillId="0" borderId="0" xfId="5" applyNumberFormat="1" applyFont="1"/>
    <xf numFmtId="1" fontId="84" fillId="0" borderId="1" xfId="5" applyNumberFormat="1" applyFont="1" applyBorder="1" applyAlignment="1">
      <alignment horizontal="right"/>
    </xf>
    <xf numFmtId="0" fontId="83" fillId="0" borderId="34" xfId="5" applyFont="1" applyBorder="1" applyAlignment="1">
      <alignment horizontal="left"/>
    </xf>
    <xf numFmtId="0" fontId="83" fillId="0" borderId="33" xfId="5" applyFont="1" applyBorder="1" applyAlignment="1">
      <alignment horizontal="left"/>
    </xf>
    <xf numFmtId="0" fontId="83" fillId="0" borderId="32" xfId="5" applyFont="1" applyBorder="1" applyAlignment="1">
      <alignment horizontal="left"/>
    </xf>
    <xf numFmtId="186" fontId="83" fillId="0" borderId="31" xfId="7" applyNumberFormat="1" applyFont="1" applyBorder="1"/>
    <xf numFmtId="1" fontId="83" fillId="0" borderId="0" xfId="5" applyNumberFormat="1" applyFont="1"/>
    <xf numFmtId="0" fontId="83" fillId="0" borderId="30" xfId="5" applyFont="1" applyBorder="1" applyAlignment="1">
      <alignment horizontal="left"/>
    </xf>
    <xf numFmtId="0" fontId="83" fillId="0" borderId="24" xfId="5" applyFont="1" applyBorder="1" applyAlignment="1">
      <alignment horizontal="left"/>
    </xf>
    <xf numFmtId="0" fontId="83" fillId="0" borderId="18" xfId="5" applyFont="1" applyBorder="1" applyAlignment="1">
      <alignment horizontal="left"/>
    </xf>
    <xf numFmtId="186" fontId="83" fillId="0" borderId="29" xfId="5" applyNumberFormat="1" applyFont="1" applyBorder="1"/>
    <xf numFmtId="0" fontId="84" fillId="0" borderId="28" xfId="5" applyFont="1" applyBorder="1" applyAlignment="1">
      <alignment horizontal="left"/>
    </xf>
    <xf numFmtId="0" fontId="84" fillId="0" borderId="27" xfId="5" applyFont="1" applyBorder="1" applyAlignment="1">
      <alignment horizontal="left"/>
    </xf>
    <xf numFmtId="0" fontId="84" fillId="0" borderId="26" xfId="5" applyFont="1" applyBorder="1" applyAlignment="1">
      <alignment horizontal="left"/>
    </xf>
    <xf numFmtId="186" fontId="84" fillId="0" borderId="25" xfId="5" applyNumberFormat="1" applyFont="1" applyBorder="1"/>
    <xf numFmtId="3" fontId="83" fillId="0" borderId="0" xfId="5" applyNumberFormat="1" applyFont="1"/>
    <xf numFmtId="3" fontId="83" fillId="0" borderId="1" xfId="5" applyNumberFormat="1" applyFont="1" applyBorder="1"/>
    <xf numFmtId="10" fontId="83" fillId="0" borderId="8" xfId="0" applyNumberFormat="1" applyFont="1" applyBorder="1"/>
    <xf numFmtId="0" fontId="84" fillId="0" borderId="1" xfId="5" applyFont="1" applyBorder="1" applyAlignment="1">
      <alignment horizontal="center"/>
    </xf>
    <xf numFmtId="14" fontId="84" fillId="0" borderId="1" xfId="5" applyNumberFormat="1" applyFont="1" applyBorder="1"/>
    <xf numFmtId="14" fontId="84" fillId="0" borderId="3" xfId="5" applyNumberFormat="1" applyFont="1" applyBorder="1"/>
    <xf numFmtId="177" fontId="83" fillId="0" borderId="3" xfId="5" applyNumberFormat="1" applyFont="1" applyBorder="1"/>
    <xf numFmtId="1" fontId="84" fillId="0" borderId="1" xfId="5" applyNumberFormat="1" applyFont="1" applyBorder="1" applyAlignment="1">
      <alignment horizontal="center" wrapText="1"/>
    </xf>
    <xf numFmtId="0" fontId="83" fillId="0" borderId="0" xfId="5" applyFont="1" applyAlignment="1">
      <alignment horizontal="center"/>
    </xf>
    <xf numFmtId="178" fontId="83" fillId="0" borderId="1" xfId="5" applyNumberFormat="1" applyFont="1" applyBorder="1"/>
    <xf numFmtId="188" fontId="83" fillId="0" borderId="1" xfId="5" applyNumberFormat="1" applyFont="1" applyBorder="1"/>
    <xf numFmtId="167" fontId="83" fillId="0" borderId="1" xfId="5" applyNumberFormat="1" applyFont="1" applyBorder="1"/>
    <xf numFmtId="0" fontId="83" fillId="0" borderId="1" xfId="5" applyFont="1" applyBorder="1" applyAlignment="1">
      <alignment horizontal="right"/>
    </xf>
    <xf numFmtId="174" fontId="83" fillId="0" borderId="1" xfId="3" applyNumberFormat="1" applyFont="1" applyBorder="1" applyAlignment="1">
      <alignment horizontal="right"/>
    </xf>
    <xf numFmtId="174" fontId="83" fillId="0" borderId="1" xfId="5" applyNumberFormat="1" applyFont="1" applyBorder="1" applyAlignment="1">
      <alignment horizontal="right"/>
    </xf>
    <xf numFmtId="14" fontId="83" fillId="0" borderId="0" xfId="5" applyNumberFormat="1" applyFont="1"/>
    <xf numFmtId="0" fontId="84" fillId="0" borderId="0" xfId="5" applyFont="1"/>
    <xf numFmtId="0" fontId="84" fillId="0" borderId="1" xfId="5" applyFont="1" applyBorder="1"/>
    <xf numFmtId="178" fontId="83" fillId="0" borderId="0" xfId="5" applyNumberFormat="1" applyFont="1"/>
    <xf numFmtId="0" fontId="83" fillId="0" borderId="1" xfId="5" applyFont="1" applyBorder="1" applyAlignment="1">
      <alignment horizontal="left" wrapText="1"/>
    </xf>
    <xf numFmtId="3" fontId="83" fillId="0" borderId="1" xfId="5" applyNumberFormat="1" applyFont="1" applyBorder="1" applyAlignment="1">
      <alignment horizontal="right"/>
    </xf>
    <xf numFmtId="14" fontId="83" fillId="0" borderId="1" xfId="5" applyNumberFormat="1" applyFont="1" applyBorder="1"/>
    <xf numFmtId="169" fontId="83" fillId="0" borderId="0" xfId="9" applyFont="1"/>
    <xf numFmtId="174" fontId="83" fillId="0" borderId="1" xfId="3" applyNumberFormat="1" applyFont="1" applyBorder="1" applyAlignment="1">
      <alignment horizontal="right" wrapText="1"/>
    </xf>
    <xf numFmtId="0" fontId="90" fillId="0" borderId="1" xfId="0" applyFont="1" applyBorder="1"/>
    <xf numFmtId="0" fontId="90" fillId="0" borderId="1" xfId="0" applyFont="1" applyBorder="1" applyAlignment="1">
      <alignment vertical="center" wrapText="1"/>
    </xf>
    <xf numFmtId="164" fontId="83" fillId="0" borderId="1" xfId="0" applyNumberFormat="1" applyFont="1" applyBorder="1"/>
    <xf numFmtId="168" fontId="83" fillId="0" borderId="3" xfId="0" applyNumberFormat="1" applyFont="1" applyBorder="1"/>
    <xf numFmtId="16" fontId="83" fillId="0" borderId="1" xfId="5" applyNumberFormat="1" applyFont="1" applyBorder="1"/>
    <xf numFmtId="177" fontId="83" fillId="0" borderId="38" xfId="0" applyNumberFormat="1" applyFont="1" applyBorder="1" applyAlignment="1">
      <alignment vertical="center"/>
    </xf>
    <xf numFmtId="9" fontId="84" fillId="0" borderId="1" xfId="0" applyNumberFormat="1" applyFont="1" applyBorder="1" applyAlignment="1">
      <alignment vertical="center"/>
    </xf>
    <xf numFmtId="177" fontId="83" fillId="0" borderId="10" xfId="4" applyNumberFormat="1" applyFont="1" applyBorder="1"/>
    <xf numFmtId="174" fontId="83" fillId="5" borderId="1" xfId="3" applyNumberFormat="1" applyFont="1" applyFill="1" applyBorder="1" applyAlignment="1">
      <alignment horizontal="center"/>
    </xf>
    <xf numFmtId="16" fontId="83" fillId="5" borderId="1" xfId="5" applyNumberFormat="1" applyFont="1" applyFill="1" applyBorder="1" applyAlignment="1">
      <alignment horizontal="center"/>
    </xf>
    <xf numFmtId="164" fontId="0" fillId="5" borderId="0" xfId="0" applyNumberFormat="1" applyFill="1"/>
    <xf numFmtId="164" fontId="0" fillId="0" borderId="0" xfId="0" applyNumberFormat="1"/>
    <xf numFmtId="0" fontId="83" fillId="0" borderId="1" xfId="10" applyFont="1" applyBorder="1" applyAlignment="1">
      <alignment horizontal="left" vertical="center"/>
    </xf>
    <xf numFmtId="0" fontId="84" fillId="0" borderId="4" xfId="10" applyFont="1" applyBorder="1" applyAlignment="1">
      <alignment horizontal="left"/>
    </xf>
    <xf numFmtId="0" fontId="82" fillId="0" borderId="0" xfId="0" applyFont="1"/>
    <xf numFmtId="164" fontId="82" fillId="0" borderId="0" xfId="0" applyNumberFormat="1" applyFont="1"/>
    <xf numFmtId="0" fontId="82" fillId="0" borderId="1" xfId="0" applyFont="1" applyBorder="1"/>
    <xf numFmtId="45" fontId="83" fillId="0" borderId="0" xfId="0" applyNumberFormat="1" applyFont="1"/>
    <xf numFmtId="164" fontId="83" fillId="5" borderId="0" xfId="0" applyNumberFormat="1" applyFont="1" applyFill="1"/>
    <xf numFmtId="164" fontId="83" fillId="0" borderId="0" xfId="0" applyNumberFormat="1" applyFont="1"/>
    <xf numFmtId="164" fontId="82" fillId="0" borderId="1" xfId="0" applyNumberFormat="1" applyFont="1" applyBorder="1"/>
    <xf numFmtId="164" fontId="89" fillId="0" borderId="1" xfId="0" applyNumberFormat="1" applyFont="1" applyBorder="1"/>
    <xf numFmtId="0" fontId="83" fillId="0" borderId="1" xfId="0" applyFont="1" applyBorder="1" applyAlignment="1">
      <alignment vertical="center"/>
    </xf>
    <xf numFmtId="15" fontId="84" fillId="0" borderId="1" xfId="10" applyNumberFormat="1" applyFont="1" applyBorder="1"/>
    <xf numFmtId="175" fontId="83" fillId="0" borderId="1" xfId="0" applyNumberFormat="1" applyFont="1" applyBorder="1" applyAlignment="1">
      <alignment vertical="center"/>
    </xf>
    <xf numFmtId="0" fontId="84" fillId="5" borderId="1" xfId="10" applyFont="1" applyFill="1" applyBorder="1" applyAlignment="1">
      <alignment horizontal="center" wrapText="1"/>
    </xf>
    <xf numFmtId="174" fontId="83" fillId="0" borderId="1" xfId="11" applyNumberFormat="1" applyFont="1" applyBorder="1" applyAlignment="1">
      <alignment vertical="center"/>
    </xf>
    <xf numFmtId="0" fontId="84" fillId="5" borderId="1" xfId="10" applyFont="1" applyFill="1" applyBorder="1"/>
    <xf numFmtId="177" fontId="83" fillId="5" borderId="1" xfId="12" applyNumberFormat="1" applyFont="1" applyFill="1" applyBorder="1" applyAlignment="1">
      <alignment horizontal="right"/>
    </xf>
    <xf numFmtId="177" fontId="83" fillId="5" borderId="5" xfId="10" applyNumberFormat="1" applyFont="1" applyFill="1" applyBorder="1"/>
    <xf numFmtId="177" fontId="83" fillId="5" borderId="0" xfId="10" applyNumberFormat="1" applyFont="1" applyFill="1"/>
    <xf numFmtId="0" fontId="84" fillId="5" borderId="1" xfId="10" applyFont="1" applyFill="1" applyBorder="1" applyAlignment="1">
      <alignment horizontal="center" vertical="center" wrapText="1"/>
    </xf>
    <xf numFmtId="177" fontId="83" fillId="5" borderId="1" xfId="10" applyNumberFormat="1" applyFont="1" applyFill="1" applyBorder="1"/>
    <xf numFmtId="0" fontId="84" fillId="5" borderId="7" xfId="10" applyFont="1" applyFill="1" applyBorder="1"/>
    <xf numFmtId="0" fontId="84" fillId="5" borderId="0" xfId="10" applyFont="1" applyFill="1"/>
    <xf numFmtId="3" fontId="84" fillId="5" borderId="1" xfId="10" applyNumberFormat="1" applyFont="1" applyFill="1" applyBorder="1" applyAlignment="1">
      <alignment horizontal="center"/>
    </xf>
    <xf numFmtId="10" fontId="83" fillId="0" borderId="0" xfId="0" applyNumberFormat="1" applyFont="1"/>
    <xf numFmtId="10" fontId="83" fillId="0" borderId="1" xfId="47" applyNumberFormat="1" applyFont="1" applyBorder="1"/>
    <xf numFmtId="180" fontId="83" fillId="0" borderId="1" xfId="11" applyNumberFormat="1" applyFont="1" applyBorder="1"/>
    <xf numFmtId="180" fontId="84" fillId="0" borderId="1" xfId="11" applyNumberFormat="1" applyFont="1" applyBorder="1"/>
    <xf numFmtId="186" fontId="83" fillId="0" borderId="0" xfId="0" applyNumberFormat="1" applyFont="1" applyAlignment="1">
      <alignment horizontal="center"/>
    </xf>
    <xf numFmtId="175" fontId="84" fillId="0" borderId="1" xfId="10" applyNumberFormat="1" applyFont="1" applyBorder="1"/>
    <xf numFmtId="0" fontId="83" fillId="0" borderId="1" xfId="10" applyFont="1" applyBorder="1" applyAlignment="1">
      <alignment horizontal="right"/>
    </xf>
    <xf numFmtId="169" fontId="83" fillId="5" borderId="0" xfId="11" applyFont="1" applyFill="1"/>
    <xf numFmtId="174" fontId="83" fillId="0" borderId="0" xfId="10" applyNumberFormat="1" applyFont="1"/>
    <xf numFmtId="174" fontId="83" fillId="5" borderId="1" xfId="11" applyNumberFormat="1" applyFont="1" applyFill="1" applyBorder="1" applyAlignment="1">
      <alignment vertical="center"/>
    </xf>
    <xf numFmtId="174" fontId="83" fillId="0" borderId="4" xfId="11" applyNumberFormat="1" applyFont="1" applyBorder="1" applyAlignment="1">
      <alignment vertical="center"/>
    </xf>
    <xf numFmtId="168" fontId="83" fillId="0" borderId="1" xfId="12" applyFont="1" applyBorder="1" applyAlignment="1">
      <alignment vertical="center"/>
    </xf>
    <xf numFmtId="174" fontId="83" fillId="0" borderId="4" xfId="11" applyNumberFormat="1" applyFont="1" applyBorder="1"/>
    <xf numFmtId="168" fontId="83" fillId="0" borderId="1" xfId="12" applyFont="1" applyBorder="1"/>
    <xf numFmtId="174" fontId="83" fillId="4" borderId="1" xfId="11" applyNumberFormat="1" applyFont="1" applyFill="1" applyBorder="1"/>
    <xf numFmtId="168" fontId="84" fillId="0" borderId="4" xfId="12" applyFont="1" applyBorder="1"/>
    <xf numFmtId="174" fontId="83" fillId="0" borderId="19" xfId="11" applyNumberFormat="1" applyFont="1" applyBorder="1"/>
    <xf numFmtId="174" fontId="83" fillId="0" borderId="1" xfId="11" applyNumberFormat="1" applyFont="1" applyFill="1" applyBorder="1"/>
    <xf numFmtId="174" fontId="83" fillId="0" borderId="24" xfId="11" applyNumberFormat="1" applyFont="1" applyFill="1" applyBorder="1"/>
    <xf numFmtId="174" fontId="83" fillId="4" borderId="18" xfId="11" applyNumberFormat="1" applyFont="1" applyFill="1" applyBorder="1"/>
    <xf numFmtId="174" fontId="83" fillId="5" borderId="18" xfId="11" applyNumberFormat="1" applyFont="1" applyFill="1" applyBorder="1"/>
    <xf numFmtId="0" fontId="84" fillId="0" borderId="14" xfId="10" applyFont="1" applyBorder="1"/>
    <xf numFmtId="174" fontId="83" fillId="5" borderId="4" xfId="11" applyNumberFormat="1" applyFont="1" applyFill="1" applyBorder="1"/>
    <xf numFmtId="168" fontId="84" fillId="0" borderId="1" xfId="12" applyFont="1" applyBorder="1"/>
    <xf numFmtId="0" fontId="88" fillId="0" borderId="4" xfId="10" applyFont="1" applyBorder="1"/>
    <xf numFmtId="0" fontId="83" fillId="0" borderId="20" xfId="10" applyFont="1" applyBorder="1"/>
    <xf numFmtId="0" fontId="84" fillId="0" borderId="20" xfId="10" applyFont="1" applyBorder="1" applyAlignment="1">
      <alignment horizontal="center"/>
    </xf>
    <xf numFmtId="10" fontId="83" fillId="0" borderId="0" xfId="47" applyNumberFormat="1" applyFont="1"/>
    <xf numFmtId="0" fontId="84" fillId="5" borderId="18" xfId="10" applyFont="1" applyFill="1" applyBorder="1"/>
    <xf numFmtId="168" fontId="83" fillId="0" borderId="0" xfId="47" applyNumberFormat="1" applyFont="1"/>
    <xf numFmtId="0" fontId="83" fillId="0" borderId="24" xfId="10" applyFont="1" applyBorder="1"/>
    <xf numFmtId="174" fontId="83" fillId="0" borderId="0" xfId="10" applyNumberFormat="1" applyFont="1" applyAlignment="1">
      <alignment horizontal="center"/>
    </xf>
    <xf numFmtId="174" fontId="83" fillId="5" borderId="0" xfId="10" applyNumberFormat="1" applyFont="1" applyFill="1" applyAlignment="1">
      <alignment horizontal="center"/>
    </xf>
    <xf numFmtId="168" fontId="84" fillId="0" borderId="0" xfId="12" applyFont="1" applyBorder="1"/>
    <xf numFmtId="174" fontId="83" fillId="5" borderId="7" xfId="10" applyNumberFormat="1" applyFont="1" applyFill="1" applyBorder="1" applyAlignment="1">
      <alignment horizontal="center"/>
    </xf>
    <xf numFmtId="169" fontId="83" fillId="0" borderId="1" xfId="11" applyFont="1" applyBorder="1"/>
    <xf numFmtId="0" fontId="88" fillId="0" borderId="1" xfId="10" applyFont="1" applyBorder="1"/>
    <xf numFmtId="174" fontId="83" fillId="0" borderId="9" xfId="11" applyNumberFormat="1" applyFont="1" applyFill="1" applyBorder="1"/>
    <xf numFmtId="174" fontId="83" fillId="0" borderId="6" xfId="11" applyNumberFormat="1" applyFont="1" applyFill="1" applyBorder="1"/>
    <xf numFmtId="168" fontId="83" fillId="5" borderId="1" xfId="12" applyFont="1" applyFill="1" applyBorder="1"/>
    <xf numFmtId="174" fontId="83" fillId="5" borderId="6" xfId="11" applyNumberFormat="1" applyFont="1" applyFill="1" applyBorder="1"/>
    <xf numFmtId="174" fontId="84" fillId="5" borderId="4" xfId="11" applyNumberFormat="1" applyFont="1" applyFill="1" applyBorder="1"/>
    <xf numFmtId="174" fontId="83" fillId="5" borderId="1" xfId="10" applyNumberFormat="1" applyFont="1" applyFill="1" applyBorder="1"/>
    <xf numFmtId="0" fontId="88" fillId="5" borderId="1" xfId="10" applyFont="1" applyFill="1" applyBorder="1"/>
    <xf numFmtId="0" fontId="83" fillId="5" borderId="20" xfId="10" applyFont="1" applyFill="1" applyBorder="1"/>
    <xf numFmtId="168" fontId="83" fillId="0" borderId="0" xfId="10" applyNumberFormat="1" applyFont="1"/>
    <xf numFmtId="174" fontId="84" fillId="0" borderId="4" xfId="11" applyNumberFormat="1" applyFont="1" applyFill="1" applyBorder="1"/>
    <xf numFmtId="174" fontId="83" fillId="5" borderId="16" xfId="10" applyNumberFormat="1" applyFont="1" applyFill="1" applyBorder="1" applyAlignment="1">
      <alignment horizontal="center"/>
    </xf>
    <xf numFmtId="174" fontId="83" fillId="0" borderId="7" xfId="10" applyNumberFormat="1" applyFont="1" applyBorder="1" applyAlignment="1">
      <alignment horizontal="center"/>
    </xf>
    <xf numFmtId="174" fontId="83" fillId="0" borderId="21" xfId="10" applyNumberFormat="1" applyFont="1" applyBorder="1" applyAlignment="1">
      <alignment horizontal="center"/>
    </xf>
    <xf numFmtId="0" fontId="84" fillId="0" borderId="2" xfId="10" applyFont="1" applyBorder="1" applyAlignment="1">
      <alignment horizontal="center"/>
    </xf>
    <xf numFmtId="0" fontId="84" fillId="0" borderId="19" xfId="10" applyFont="1" applyBorder="1" applyAlignment="1">
      <alignment horizontal="center"/>
    </xf>
    <xf numFmtId="0" fontId="84" fillId="0" borderId="24" xfId="10" applyFont="1" applyBorder="1"/>
    <xf numFmtId="0" fontId="83" fillId="0" borderId="11" xfId="10" applyFont="1" applyBorder="1"/>
    <xf numFmtId="169" fontId="83" fillId="0" borderId="0" xfId="10" applyNumberFormat="1" applyFont="1"/>
    <xf numFmtId="0" fontId="84" fillId="5" borderId="42" xfId="10" applyFont="1" applyFill="1" applyBorder="1"/>
    <xf numFmtId="168" fontId="83" fillId="0" borderId="42" xfId="10" applyNumberFormat="1" applyFont="1" applyBorder="1"/>
    <xf numFmtId="166" fontId="83" fillId="0" borderId="0" xfId="10" applyNumberFormat="1" applyFont="1"/>
    <xf numFmtId="166" fontId="83" fillId="0" borderId="42" xfId="10" applyNumberFormat="1" applyFont="1" applyBorder="1"/>
    <xf numFmtId="166" fontId="84" fillId="0" borderId="0" xfId="10" applyNumberFormat="1" applyFont="1"/>
    <xf numFmtId="174" fontId="83" fillId="5" borderId="0" xfId="11" applyNumberFormat="1" applyFont="1" applyFill="1" applyBorder="1"/>
    <xf numFmtId="2" fontId="83" fillId="0" borderId="0" xfId="47" applyNumberFormat="1" applyFont="1" applyFill="1" applyBorder="1" applyAlignment="1">
      <alignment horizontal="center"/>
    </xf>
    <xf numFmtId="0" fontId="83" fillId="0" borderId="3" xfId="10" applyFont="1" applyBorder="1"/>
    <xf numFmtId="0" fontId="83" fillId="0" borderId="7" xfId="10" applyFont="1" applyBorder="1"/>
    <xf numFmtId="174" fontId="83" fillId="0" borderId="7" xfId="10" applyNumberFormat="1" applyFont="1" applyBorder="1"/>
    <xf numFmtId="196" fontId="84" fillId="0" borderId="1" xfId="3" applyNumberFormat="1" applyFont="1" applyBorder="1" applyAlignment="1">
      <alignment horizontal="center"/>
    </xf>
    <xf numFmtId="196" fontId="84" fillId="0" borderId="1" xfId="3" applyNumberFormat="1" applyFont="1" applyBorder="1" applyAlignment="1">
      <alignment horizontal="center" vertical="center"/>
    </xf>
    <xf numFmtId="196" fontId="84" fillId="0" borderId="1" xfId="3" applyNumberFormat="1" applyFont="1" applyBorder="1" applyAlignment="1">
      <alignment horizontal="center" vertical="center" wrapText="1"/>
    </xf>
    <xf numFmtId="17" fontId="83" fillId="0" borderId="1" xfId="0" applyNumberFormat="1" applyFont="1" applyBorder="1"/>
    <xf numFmtId="196" fontId="83" fillId="0" borderId="1" xfId="3" applyNumberFormat="1" applyFont="1" applyBorder="1"/>
    <xf numFmtId="196" fontId="84" fillId="0" borderId="1" xfId="3" applyNumberFormat="1" applyFont="1" applyBorder="1"/>
    <xf numFmtId="196" fontId="83" fillId="0" borderId="0" xfId="3" applyNumberFormat="1" applyFont="1"/>
    <xf numFmtId="172" fontId="83" fillId="0" borderId="0" xfId="10" applyNumberFormat="1" applyFont="1" applyAlignment="1">
      <alignment horizontal="right"/>
    </xf>
    <xf numFmtId="174" fontId="83" fillId="0" borderId="0" xfId="3" applyNumberFormat="1" applyFont="1" applyAlignment="1">
      <alignment horizontal="right"/>
    </xf>
    <xf numFmtId="174" fontId="83" fillId="0" borderId="0" xfId="10" applyNumberFormat="1" applyFont="1" applyAlignment="1">
      <alignment horizontal="right"/>
    </xf>
    <xf numFmtId="9" fontId="83" fillId="0" borderId="0" xfId="10" applyNumberFormat="1" applyFont="1" applyAlignment="1">
      <alignment horizontal="left"/>
    </xf>
    <xf numFmtId="174" fontId="82" fillId="0" borderId="1" xfId="11" applyNumberFormat="1" applyFont="1" applyBorder="1" applyAlignment="1">
      <alignment horizontal="right"/>
    </xf>
    <xf numFmtId="174" fontId="83" fillId="0" borderId="1" xfId="11" applyNumberFormat="1" applyFont="1" applyBorder="1" applyAlignment="1">
      <alignment horizontal="right"/>
    </xf>
    <xf numFmtId="174" fontId="21" fillId="5" borderId="0" xfId="11" applyNumberFormat="1" applyFont="1" applyFill="1"/>
    <xf numFmtId="174" fontId="21" fillId="0" borderId="1" xfId="11" applyNumberFormat="1" applyFont="1" applyBorder="1"/>
    <xf numFmtId="177" fontId="22" fillId="0" borderId="6" xfId="10" applyNumberFormat="1" applyFont="1" applyBorder="1"/>
    <xf numFmtId="0" fontId="21" fillId="16" borderId="0" xfId="10" applyFont="1" applyFill="1"/>
    <xf numFmtId="0" fontId="21" fillId="17" borderId="0" xfId="10" applyFont="1" applyFill="1"/>
    <xf numFmtId="0" fontId="21" fillId="18" borderId="0" xfId="10" applyFont="1" applyFill="1"/>
    <xf numFmtId="0" fontId="92" fillId="0" borderId="0" xfId="10" applyFont="1"/>
    <xf numFmtId="0" fontId="83" fillId="0" borderId="0" xfId="10" applyFont="1" applyAlignment="1">
      <alignment horizontal="center" vertical="center"/>
    </xf>
    <xf numFmtId="174" fontId="82" fillId="0" borderId="1" xfId="11" applyNumberFormat="1" applyFont="1" applyBorder="1" applyAlignment="1">
      <alignment horizontal="center" vertical="center" wrapText="1"/>
    </xf>
    <xf numFmtId="174" fontId="82" fillId="0" borderId="1" xfId="11" applyNumberFormat="1" applyFont="1" applyBorder="1" applyAlignment="1">
      <alignment horizontal="center" vertical="center"/>
    </xf>
    <xf numFmtId="0" fontId="21" fillId="0" borderId="0" xfId="10" applyFont="1" applyAlignment="1">
      <alignment horizontal="center" vertical="center"/>
    </xf>
    <xf numFmtId="174" fontId="84" fillId="0" borderId="1" xfId="11" applyNumberFormat="1" applyFont="1" applyFill="1" applyBorder="1" applyAlignment="1">
      <alignment horizontal="center" vertical="center" wrapText="1"/>
    </xf>
    <xf numFmtId="174" fontId="84" fillId="5" borderId="1" xfId="11" applyNumberFormat="1" applyFont="1" applyFill="1" applyBorder="1" applyAlignment="1">
      <alignment horizontal="center" vertical="center"/>
    </xf>
    <xf numFmtId="174" fontId="84" fillId="0" borderId="1" xfId="11" applyNumberFormat="1" applyFont="1" applyBorder="1" applyAlignment="1">
      <alignment horizontal="center" vertical="center"/>
    </xf>
    <xf numFmtId="174" fontId="84" fillId="0" borderId="1" xfId="11" applyNumberFormat="1" applyFont="1" applyBorder="1" applyAlignment="1">
      <alignment horizontal="center" vertical="center" wrapText="1"/>
    </xf>
    <xf numFmtId="0" fontId="84" fillId="0" borderId="0" xfId="0" applyFont="1" applyAlignment="1">
      <alignment horizontal="left" wrapText="1"/>
    </xf>
    <xf numFmtId="177" fontId="84" fillId="0" borderId="1" xfId="4" applyNumberFormat="1" applyFont="1" applyBorder="1" applyAlignment="1">
      <alignment vertical="center"/>
    </xf>
    <xf numFmtId="0" fontId="53" fillId="9" borderId="1" xfId="0" applyFont="1" applyFill="1" applyBorder="1" applyAlignment="1">
      <alignment horizontal="center" vertical="center" wrapText="1"/>
    </xf>
    <xf numFmtId="175" fontId="83" fillId="0" borderId="14" xfId="3" applyNumberFormat="1" applyFont="1" applyBorder="1"/>
    <xf numFmtId="2" fontId="21" fillId="0" borderId="0" xfId="0" applyNumberFormat="1" applyFont="1"/>
    <xf numFmtId="9" fontId="21" fillId="0" borderId="1" xfId="0" applyNumberFormat="1" applyFont="1" applyBorder="1"/>
    <xf numFmtId="176" fontId="21" fillId="0" borderId="0" xfId="6" applyNumberFormat="1" applyFont="1"/>
    <xf numFmtId="0" fontId="21" fillId="0" borderId="4" xfId="0" applyFont="1" applyBorder="1" applyAlignment="1">
      <alignment horizontal="left" wrapText="1"/>
    </xf>
    <xf numFmtId="0" fontId="21" fillId="0" borderId="1" xfId="0" applyFont="1" applyBorder="1" applyAlignment="1">
      <alignment wrapText="1"/>
    </xf>
    <xf numFmtId="0" fontId="20" fillId="0" borderId="0" xfId="10" applyFont="1" applyAlignment="1">
      <alignment wrapText="1"/>
    </xf>
    <xf numFmtId="177" fontId="84" fillId="0" borderId="1" xfId="4" applyNumberFormat="1" applyFont="1" applyBorder="1" applyAlignment="1">
      <alignment horizontal="center" vertical="center"/>
    </xf>
    <xf numFmtId="177" fontId="84" fillId="0" borderId="1" xfId="4" applyNumberFormat="1" applyFont="1" applyBorder="1" applyAlignment="1">
      <alignment horizontal="left" vertical="center"/>
    </xf>
    <xf numFmtId="177" fontId="84" fillId="0" borderId="1" xfId="4" applyNumberFormat="1" applyFont="1" applyBorder="1" applyAlignment="1">
      <alignment horizontal="left" vertical="center" wrapText="1"/>
    </xf>
    <xf numFmtId="2" fontId="83" fillId="0" borderId="0" xfId="4" applyNumberFormat="1" applyFont="1"/>
    <xf numFmtId="168" fontId="84" fillId="0" borderId="1" xfId="4" applyFont="1" applyBorder="1" applyAlignment="1">
      <alignment horizontal="center"/>
    </xf>
    <xf numFmtId="174" fontId="83" fillId="0" borderId="1" xfId="3" applyNumberFormat="1" applyFont="1" applyBorder="1" applyAlignment="1">
      <alignment horizontal="center"/>
    </xf>
    <xf numFmtId="2" fontId="83" fillId="0" borderId="1" xfId="10" applyNumberFormat="1" applyFont="1" applyBorder="1" applyAlignment="1">
      <alignment horizontal="right"/>
    </xf>
    <xf numFmtId="3" fontId="84" fillId="0" borderId="4" xfId="10" applyNumberFormat="1" applyFont="1" applyBorder="1" applyAlignment="1">
      <alignment horizontal="center" vertical="center"/>
    </xf>
    <xf numFmtId="0" fontId="84" fillId="0" borderId="4" xfId="10" applyFont="1" applyBorder="1" applyAlignment="1">
      <alignment horizontal="center" vertical="center" wrapText="1"/>
    </xf>
    <xf numFmtId="0" fontId="84" fillId="0" borderId="4" xfId="0" applyFont="1" applyBorder="1" applyAlignment="1">
      <alignment horizontal="center" vertical="center" wrapText="1"/>
    </xf>
    <xf numFmtId="3" fontId="84" fillId="0" borderId="4" xfId="10" applyNumberFormat="1" applyFont="1" applyBorder="1" applyAlignment="1">
      <alignment horizontal="center" vertical="center" wrapText="1"/>
    </xf>
    <xf numFmtId="0" fontId="84" fillId="0" borderId="4" xfId="10" applyFont="1" applyBorder="1" applyAlignment="1">
      <alignment horizontal="center" vertical="center"/>
    </xf>
    <xf numFmtId="0" fontId="84" fillId="0" borderId="16" xfId="0" applyFont="1" applyBorder="1" applyAlignment="1">
      <alignment horizontal="center"/>
    </xf>
    <xf numFmtId="0" fontId="84" fillId="0" borderId="7" xfId="0" applyFont="1" applyBorder="1" applyAlignment="1">
      <alignment horizontal="center"/>
    </xf>
    <xf numFmtId="0" fontId="84" fillId="0" borderId="21" xfId="0" applyFont="1" applyBorder="1" applyAlignment="1">
      <alignment horizontal="center"/>
    </xf>
    <xf numFmtId="0" fontId="84" fillId="0" borderId="0" xfId="0" applyFont="1" applyAlignment="1">
      <alignment horizontal="center"/>
    </xf>
    <xf numFmtId="0" fontId="83" fillId="0" borderId="4" xfId="0" applyFont="1" applyBorder="1" applyAlignment="1">
      <alignment horizontal="left" wrapText="1"/>
    </xf>
    <xf numFmtId="0" fontId="83" fillId="0" borderId="0" xfId="0" applyFont="1" applyAlignment="1">
      <alignment horizontal="left" wrapText="1"/>
    </xf>
    <xf numFmtId="168" fontId="83" fillId="0" borderId="0" xfId="4" applyFont="1" applyBorder="1"/>
    <xf numFmtId="0" fontId="83" fillId="16" borderId="0" xfId="10" applyFont="1" applyFill="1"/>
    <xf numFmtId="0" fontId="83" fillId="17" borderId="0" xfId="10" applyFont="1" applyFill="1"/>
    <xf numFmtId="0" fontId="83" fillId="18" borderId="0" xfId="10" applyFont="1" applyFill="1"/>
    <xf numFmtId="0" fontId="88" fillId="0" borderId="0" xfId="10" applyFont="1"/>
    <xf numFmtId="177" fontId="83" fillId="0" borderId="1" xfId="4" applyNumberFormat="1" applyFont="1" applyBorder="1" applyAlignment="1">
      <alignment horizontal="center"/>
    </xf>
    <xf numFmtId="177" fontId="84" fillId="0" borderId="1" xfId="4" applyNumberFormat="1" applyFont="1" applyBorder="1" applyAlignment="1">
      <alignment horizontal="center"/>
    </xf>
    <xf numFmtId="0" fontId="84" fillId="0" borderId="3" xfId="0" applyFont="1" applyBorder="1"/>
    <xf numFmtId="0" fontId="90" fillId="0" borderId="0" xfId="0" applyFont="1"/>
    <xf numFmtId="0" fontId="84" fillId="0" borderId="8" xfId="0" applyFont="1" applyBorder="1" applyAlignment="1">
      <alignment wrapText="1"/>
    </xf>
    <xf numFmtId="0" fontId="93" fillId="0" borderId="1" xfId="0" applyFont="1" applyBorder="1" applyAlignment="1">
      <alignment vertical="center"/>
    </xf>
    <xf numFmtId="0" fontId="90" fillId="0" borderId="1" xfId="0" applyFont="1" applyBorder="1" applyAlignment="1">
      <alignment vertical="center"/>
    </xf>
    <xf numFmtId="0" fontId="83" fillId="0" borderId="14" xfId="0" applyFont="1" applyBorder="1" applyAlignment="1">
      <alignment horizontal="left"/>
    </xf>
    <xf numFmtId="3" fontId="21" fillId="0" borderId="0" xfId="5" applyNumberFormat="1" applyFont="1" applyAlignment="1">
      <alignment horizontal="right"/>
    </xf>
    <xf numFmtId="3" fontId="21" fillId="0" borderId="14" xfId="5" applyNumberFormat="1" applyFont="1" applyBorder="1" applyAlignment="1">
      <alignment horizontal="center"/>
    </xf>
    <xf numFmtId="3" fontId="21" fillId="0" borderId="14" xfId="5" applyNumberFormat="1" applyFont="1" applyBorder="1" applyAlignment="1">
      <alignment horizontal="right"/>
    </xf>
    <xf numFmtId="3" fontId="21" fillId="0" borderId="14" xfId="5" applyNumberFormat="1" applyFont="1" applyBorder="1"/>
    <xf numFmtId="0" fontId="18" fillId="0" borderId="14" xfId="5" applyFont="1" applyBorder="1"/>
    <xf numFmtId="0" fontId="22" fillId="0" borderId="14" xfId="5" applyFont="1" applyBorder="1" applyAlignment="1">
      <alignment horizontal="center"/>
    </xf>
    <xf numFmtId="184" fontId="22" fillId="0" borderId="14" xfId="5" applyNumberFormat="1" applyFont="1" applyBorder="1" applyAlignment="1">
      <alignment horizontal="center"/>
    </xf>
    <xf numFmtId="185" fontId="22" fillId="0" borderId="14" xfId="5" applyNumberFormat="1" applyFont="1" applyBorder="1" applyAlignment="1">
      <alignment horizontal="center"/>
    </xf>
    <xf numFmtId="0" fontId="22" fillId="0" borderId="14" xfId="5" applyFont="1" applyBorder="1"/>
    <xf numFmtId="0" fontId="21" fillId="0" borderId="18" xfId="5" applyFont="1" applyBorder="1"/>
    <xf numFmtId="0" fontId="21" fillId="0" borderId="18" xfId="5" applyFont="1" applyBorder="1" applyAlignment="1">
      <alignment horizontal="center"/>
    </xf>
    <xf numFmtId="0" fontId="19" fillId="0" borderId="18" xfId="5" applyBorder="1"/>
    <xf numFmtId="0" fontId="22" fillId="0" borderId="18" xfId="5" applyFont="1" applyBorder="1"/>
    <xf numFmtId="0" fontId="21" fillId="0" borderId="21" xfId="5" applyFont="1" applyBorder="1" applyAlignment="1">
      <alignment horizontal="left"/>
    </xf>
    <xf numFmtId="0" fontId="21" fillId="0" borderId="19" xfId="5" applyFont="1" applyBorder="1" applyAlignment="1">
      <alignment horizontal="left"/>
    </xf>
    <xf numFmtId="0" fontId="22" fillId="0" borderId="32" xfId="5" applyFont="1" applyBorder="1" applyAlignment="1">
      <alignment horizontal="left"/>
    </xf>
    <xf numFmtId="0" fontId="23" fillId="0" borderId="18" xfId="5" applyFont="1" applyBorder="1" applyAlignment="1">
      <alignment horizontal="left"/>
    </xf>
    <xf numFmtId="0" fontId="48" fillId="0" borderId="18" xfId="5" applyFont="1" applyBorder="1" applyAlignment="1">
      <alignment horizontal="left"/>
    </xf>
    <xf numFmtId="0" fontId="46" fillId="0" borderId="21" xfId="5" applyFont="1" applyBorder="1" applyAlignment="1">
      <alignment horizontal="left"/>
    </xf>
    <xf numFmtId="1" fontId="22" fillId="0" borderId="55" xfId="5" applyNumberFormat="1" applyFont="1" applyBorder="1" applyAlignment="1">
      <alignment horizontal="right"/>
    </xf>
    <xf numFmtId="0" fontId="18" fillId="0" borderId="18" xfId="5" applyFont="1" applyBorder="1"/>
    <xf numFmtId="0" fontId="22" fillId="0" borderId="18" xfId="5" applyFont="1" applyBorder="1" applyAlignment="1">
      <alignment horizontal="center"/>
    </xf>
    <xf numFmtId="0" fontId="19" fillId="0" borderId="0" xfId="5" applyAlignment="1">
      <alignment horizontal="center" vertical="center" wrapText="1"/>
    </xf>
    <xf numFmtId="174" fontId="21" fillId="0" borderId="0" xfId="3" applyNumberFormat="1" applyFont="1"/>
    <xf numFmtId="3" fontId="84" fillId="0" borderId="1" xfId="0" applyNumberFormat="1" applyFont="1" applyBorder="1"/>
    <xf numFmtId="180" fontId="83" fillId="0" borderId="0" xfId="10" applyNumberFormat="1" applyFont="1"/>
    <xf numFmtId="180" fontId="84" fillId="0" borderId="6" xfId="11" applyNumberFormat="1" applyFont="1" applyBorder="1" applyAlignment="1">
      <alignment vertical="center"/>
    </xf>
    <xf numFmtId="179" fontId="83" fillId="0" borderId="1" xfId="10" applyNumberFormat="1" applyFont="1" applyBorder="1" applyAlignment="1">
      <alignment horizontal="center" vertical="center"/>
    </xf>
    <xf numFmtId="0" fontId="84" fillId="0" borderId="0" xfId="10" applyFont="1" applyAlignment="1">
      <alignment horizontal="center" vertical="center" wrapText="1"/>
    </xf>
    <xf numFmtId="180" fontId="83" fillId="0" borderId="0" xfId="11" applyNumberFormat="1" applyFont="1" applyBorder="1"/>
    <xf numFmtId="180" fontId="84" fillId="0" borderId="0" xfId="11" applyNumberFormat="1" applyFont="1" applyBorder="1" applyAlignment="1">
      <alignment vertical="center"/>
    </xf>
    <xf numFmtId="177" fontId="21" fillId="0" borderId="1" xfId="4" applyNumberFormat="1" applyFont="1" applyBorder="1" applyAlignment="1">
      <alignment vertical="center"/>
    </xf>
    <xf numFmtId="174" fontId="83" fillId="0" borderId="3" xfId="0" applyNumberFormat="1" applyFont="1" applyBorder="1"/>
    <xf numFmtId="175" fontId="83" fillId="5" borderId="1" xfId="3" applyNumberFormat="1" applyFont="1" applyFill="1" applyBorder="1"/>
    <xf numFmtId="174" fontId="84" fillId="0" borderId="1" xfId="0" applyNumberFormat="1" applyFont="1" applyBorder="1"/>
    <xf numFmtId="183" fontId="22" fillId="0" borderId="1" xfId="5" applyNumberFormat="1" applyFont="1" applyBorder="1"/>
    <xf numFmtId="168" fontId="83" fillId="0" borderId="0" xfId="4" applyFont="1"/>
    <xf numFmtId="173" fontId="83" fillId="0" borderId="14" xfId="0" applyNumberFormat="1" applyFont="1" applyBorder="1"/>
    <xf numFmtId="174" fontId="84" fillId="0" borderId="4" xfId="3" applyNumberFormat="1" applyFont="1" applyBorder="1"/>
    <xf numFmtId="14" fontId="83" fillId="0" borderId="1" xfId="0" applyNumberFormat="1" applyFont="1" applyBorder="1" applyAlignment="1">
      <alignment horizontal="right"/>
    </xf>
    <xf numFmtId="0" fontId="93" fillId="0" borderId="1" xfId="0" applyFont="1" applyBorder="1" applyAlignment="1">
      <alignment vertical="center" wrapText="1"/>
    </xf>
    <xf numFmtId="0" fontId="93" fillId="0" borderId="1" xfId="0" applyFont="1" applyBorder="1"/>
    <xf numFmtId="0" fontId="93" fillId="6" borderId="1" xfId="0" applyFont="1" applyFill="1" applyBorder="1" applyAlignment="1">
      <alignment horizontal="left" vertical="center"/>
    </xf>
    <xf numFmtId="0" fontId="90" fillId="0" borderId="1" xfId="0" applyFont="1" applyBorder="1" applyAlignment="1">
      <alignment horizontal="right" vertical="center"/>
    </xf>
    <xf numFmtId="174" fontId="83" fillId="0" borderId="1" xfId="3" applyNumberFormat="1" applyFont="1" applyBorder="1" applyAlignment="1">
      <alignment horizontal="left"/>
    </xf>
    <xf numFmtId="177" fontId="83" fillId="0" borderId="21" xfId="4" applyNumberFormat="1" applyFont="1" applyBorder="1"/>
    <xf numFmtId="175" fontId="83" fillId="0" borderId="14" xfId="0" applyNumberFormat="1" applyFont="1" applyBorder="1"/>
    <xf numFmtId="0" fontId="90" fillId="0" borderId="1" xfId="0" applyFont="1" applyBorder="1" applyAlignment="1">
      <alignment horizontal="left" vertical="center"/>
    </xf>
    <xf numFmtId="177" fontId="83" fillId="0" borderId="1" xfId="3" applyNumberFormat="1" applyFont="1" applyBorder="1"/>
    <xf numFmtId="14" fontId="18" fillId="0" borderId="1" xfId="10" applyNumberFormat="1" applyFont="1" applyBorder="1"/>
    <xf numFmtId="14" fontId="18" fillId="0" borderId="0" xfId="10" applyNumberFormat="1" applyFont="1"/>
    <xf numFmtId="175" fontId="83" fillId="5" borderId="4" xfId="10" applyNumberFormat="1" applyFont="1" applyFill="1" applyBorder="1"/>
    <xf numFmtId="0" fontId="22" fillId="0" borderId="1" xfId="10" applyFont="1" applyBorder="1" applyAlignment="1">
      <alignment horizontal="center" vertical="center"/>
    </xf>
    <xf numFmtId="183" fontId="18" fillId="0" borderId="1" xfId="10" applyNumberFormat="1" applyFont="1" applyBorder="1"/>
    <xf numFmtId="184" fontId="22" fillId="0" borderId="1" xfId="10" applyNumberFormat="1" applyFont="1" applyBorder="1" applyAlignment="1">
      <alignment horizontal="center"/>
    </xf>
    <xf numFmtId="185" fontId="22" fillId="0" borderId="1" xfId="10" applyNumberFormat="1" applyFont="1" applyBorder="1" applyAlignment="1">
      <alignment horizontal="center"/>
    </xf>
    <xf numFmtId="3" fontId="22" fillId="0" borderId="0" xfId="10" applyNumberFormat="1" applyFont="1"/>
    <xf numFmtId="3" fontId="18" fillId="0" borderId="0" xfId="10" applyNumberFormat="1" applyFont="1"/>
    <xf numFmtId="3" fontId="17" fillId="5" borderId="0" xfId="10" applyNumberFormat="1" applyFill="1"/>
    <xf numFmtId="174" fontId="17" fillId="0" borderId="0" xfId="10" applyNumberFormat="1"/>
    <xf numFmtId="183" fontId="17" fillId="0" borderId="0" xfId="10" applyNumberFormat="1"/>
    <xf numFmtId="180" fontId="95" fillId="7" borderId="1" xfId="10" applyNumberFormat="1" applyFont="1" applyFill="1" applyBorder="1" applyAlignment="1">
      <alignment horizontal="center" vertical="center" wrapText="1"/>
    </xf>
    <xf numFmtId="175" fontId="83" fillId="0" borderId="1" xfId="0" applyNumberFormat="1" applyFont="1" applyBorder="1" applyAlignment="1">
      <alignment horizontal="left"/>
    </xf>
    <xf numFmtId="0" fontId="84" fillId="0" borderId="14" xfId="10" applyFont="1" applyBorder="1" applyAlignment="1">
      <alignment horizontal="center" wrapText="1"/>
    </xf>
    <xf numFmtId="17" fontId="54" fillId="7" borderId="1" xfId="0" applyNumberFormat="1" applyFont="1" applyFill="1" applyBorder="1" applyAlignment="1">
      <alignment horizontal="center" vertical="center" wrapText="1"/>
    </xf>
    <xf numFmtId="17" fontId="17" fillId="0" borderId="0" xfId="10" applyNumberFormat="1"/>
    <xf numFmtId="167" fontId="17" fillId="0" borderId="0" xfId="62" applyFont="1"/>
    <xf numFmtId="177" fontId="0" fillId="0" borderId="0" xfId="12" applyNumberFormat="1" applyFont="1"/>
    <xf numFmtId="0" fontId="17" fillId="0" borderId="0" xfId="10" applyAlignment="1">
      <alignment horizontal="left" wrapText="1"/>
    </xf>
    <xf numFmtId="168" fontId="0" fillId="0" borderId="1" xfId="12" applyFont="1" applyBorder="1" applyAlignment="1">
      <alignment horizontal="center" vertical="center" wrapText="1"/>
    </xf>
    <xf numFmtId="0" fontId="17" fillId="0" borderId="1" xfId="10" applyBorder="1" applyAlignment="1">
      <alignment horizontal="center" wrapText="1"/>
    </xf>
    <xf numFmtId="0" fontId="17" fillId="0" borderId="1" xfId="10" applyBorder="1" applyAlignment="1">
      <alignment horizontal="center" vertical="center"/>
    </xf>
    <xf numFmtId="0" fontId="17" fillId="49" borderId="1" xfId="10" applyFill="1" applyBorder="1" applyAlignment="1">
      <alignment horizontal="center" vertical="center" wrapText="1"/>
    </xf>
    <xf numFmtId="0" fontId="17" fillId="0" borderId="1" xfId="10" applyBorder="1" applyAlignment="1">
      <alignment horizontal="center" vertical="center" wrapText="1"/>
    </xf>
    <xf numFmtId="196" fontId="18" fillId="0" borderId="1" xfId="62" applyNumberFormat="1" applyFont="1" applyBorder="1"/>
    <xf numFmtId="0" fontId="17" fillId="49" borderId="1" xfId="10" applyFill="1" applyBorder="1"/>
    <xf numFmtId="199" fontId="18" fillId="49" borderId="1" xfId="10" applyNumberFormat="1" applyFont="1" applyFill="1" applyBorder="1" applyAlignment="1">
      <alignment horizontal="right"/>
    </xf>
    <xf numFmtId="177" fontId="0" fillId="0" borderId="1" xfId="12" applyNumberFormat="1" applyFont="1" applyBorder="1"/>
    <xf numFmtId="10" fontId="17" fillId="0" borderId="1" xfId="63" applyNumberFormat="1" applyFont="1" applyBorder="1"/>
    <xf numFmtId="179" fontId="17" fillId="0" borderId="1" xfId="10" applyNumberFormat="1" applyBorder="1" applyAlignment="1">
      <alignment horizontal="center"/>
    </xf>
    <xf numFmtId="200" fontId="17" fillId="49" borderId="1" xfId="62" applyNumberFormat="1" applyFont="1" applyFill="1" applyBorder="1" applyAlignment="1">
      <alignment horizontal="center" vertical="center"/>
    </xf>
    <xf numFmtId="180" fontId="17" fillId="0" borderId="1" xfId="10" applyNumberFormat="1" applyBorder="1"/>
    <xf numFmtId="176" fontId="17" fillId="0" borderId="1" xfId="63" applyNumberFormat="1" applyFont="1" applyBorder="1" applyAlignment="1">
      <alignment horizontal="center"/>
    </xf>
    <xf numFmtId="196" fontId="17" fillId="0" borderId="1" xfId="62" applyNumberFormat="1" applyFont="1" applyBorder="1"/>
    <xf numFmtId="176" fontId="17" fillId="49" borderId="1" xfId="63" applyNumberFormat="1" applyFont="1" applyFill="1" applyBorder="1" applyAlignment="1">
      <alignment horizontal="right"/>
    </xf>
    <xf numFmtId="199" fontId="17" fillId="49" borderId="1" xfId="10" applyNumberFormat="1" applyFill="1" applyBorder="1" applyAlignment="1">
      <alignment horizontal="right"/>
    </xf>
    <xf numFmtId="0" fontId="17" fillId="0" borderId="0" xfId="10" applyAlignment="1">
      <alignment horizontal="right"/>
    </xf>
    <xf numFmtId="0" fontId="24" fillId="0" borderId="1" xfId="10" applyFont="1" applyBorder="1" applyAlignment="1">
      <alignment horizontal="left" vertical="center"/>
    </xf>
    <xf numFmtId="200" fontId="17" fillId="0" borderId="1" xfId="10" applyNumberFormat="1" applyBorder="1" applyAlignment="1">
      <alignment horizontal="center" vertical="center"/>
    </xf>
    <xf numFmtId="199" fontId="17" fillId="49" borderId="1" xfId="10" applyNumberFormat="1" applyFill="1" applyBorder="1"/>
    <xf numFmtId="200" fontId="17" fillId="5" borderId="1" xfId="62" applyNumberFormat="1" applyFont="1" applyFill="1" applyBorder="1" applyAlignment="1">
      <alignment horizontal="left" vertical="center"/>
    </xf>
    <xf numFmtId="180" fontId="17" fillId="5" borderId="1" xfId="10" applyNumberFormat="1" applyFill="1" applyBorder="1"/>
    <xf numFmtId="10" fontId="17" fillId="5" borderId="1" xfId="63" applyNumberFormat="1" applyFont="1" applyFill="1" applyBorder="1" applyAlignment="1">
      <alignment horizontal="center"/>
    </xf>
    <xf numFmtId="196" fontId="17" fillId="5" borderId="1" xfId="62" applyNumberFormat="1" applyFont="1" applyFill="1" applyBorder="1"/>
    <xf numFmtId="199" fontId="17" fillId="0" borderId="0" xfId="10" applyNumberFormat="1"/>
    <xf numFmtId="10" fontId="17" fillId="0" borderId="1" xfId="63" applyNumberFormat="1" applyFont="1" applyBorder="1" applyAlignment="1">
      <alignment horizontal="center"/>
    </xf>
    <xf numFmtId="175" fontId="22" fillId="0" borderId="1" xfId="10" applyNumberFormat="1" applyFont="1" applyBorder="1"/>
    <xf numFmtId="177" fontId="0" fillId="50" borderId="1" xfId="12" applyNumberFormat="1" applyFont="1" applyFill="1" applyBorder="1"/>
    <xf numFmtId="177" fontId="0" fillId="5" borderId="1" xfId="12" applyNumberFormat="1" applyFont="1" applyFill="1" applyBorder="1"/>
    <xf numFmtId="196" fontId="17" fillId="0" borderId="1" xfId="10" applyNumberFormat="1" applyBorder="1"/>
    <xf numFmtId="196" fontId="17" fillId="0" borderId="0" xfId="10" applyNumberFormat="1"/>
    <xf numFmtId="180" fontId="18" fillId="5" borderId="1" xfId="64" applyNumberFormat="1" applyFont="1" applyFill="1" applyBorder="1"/>
    <xf numFmtId="0" fontId="17" fillId="0" borderId="1" xfId="10" applyBorder="1" applyAlignment="1">
      <alignment wrapText="1"/>
    </xf>
    <xf numFmtId="180" fontId="17" fillId="5" borderId="1" xfId="64" applyNumberFormat="1" applyFont="1" applyFill="1" applyBorder="1"/>
    <xf numFmtId="180" fontId="17" fillId="0" borderId="1" xfId="64" applyNumberFormat="1" applyFont="1" applyBorder="1"/>
    <xf numFmtId="0" fontId="17" fillId="0" borderId="0" xfId="10" applyAlignment="1">
      <alignment wrapText="1"/>
    </xf>
    <xf numFmtId="0" fontId="18" fillId="0" borderId="1" xfId="10" applyFont="1" applyBorder="1" applyAlignment="1">
      <alignment wrapText="1"/>
    </xf>
    <xf numFmtId="180" fontId="18" fillId="0" borderId="1" xfId="64" applyNumberFormat="1" applyFont="1" applyBorder="1"/>
    <xf numFmtId="177" fontId="18" fillId="0" borderId="1" xfId="10" applyNumberFormat="1" applyFont="1" applyBorder="1"/>
    <xf numFmtId="177" fontId="17" fillId="0" borderId="1" xfId="10" applyNumberFormat="1" applyBorder="1"/>
    <xf numFmtId="0" fontId="23" fillId="0" borderId="1" xfId="10" applyFont="1" applyBorder="1" applyAlignment="1">
      <alignment horizontal="center" vertical="center" wrapText="1"/>
    </xf>
    <xf numFmtId="182" fontId="17" fillId="0" borderId="1" xfId="10" applyNumberFormat="1" applyBorder="1"/>
    <xf numFmtId="1" fontId="17" fillId="0" borderId="1" xfId="10" applyNumberFormat="1" applyBorder="1"/>
    <xf numFmtId="10" fontId="21" fillId="5" borderId="0" xfId="10" applyNumberFormat="1" applyFont="1" applyFill="1"/>
    <xf numFmtId="182" fontId="17" fillId="0" borderId="0" xfId="10" applyNumberFormat="1"/>
    <xf numFmtId="1" fontId="17" fillId="0" borderId="1" xfId="10" applyNumberFormat="1" applyBorder="1" applyAlignment="1">
      <alignment vertical="center" wrapText="1"/>
    </xf>
    <xf numFmtId="1" fontId="17" fillId="0" borderId="1" xfId="10" applyNumberFormat="1" applyBorder="1" applyAlignment="1">
      <alignment wrapText="1"/>
    </xf>
    <xf numFmtId="168" fontId="18" fillId="0" borderId="1" xfId="10" applyNumberFormat="1" applyFont="1" applyBorder="1"/>
    <xf numFmtId="169" fontId="17" fillId="0" borderId="0" xfId="10" applyNumberFormat="1"/>
    <xf numFmtId="176" fontId="17" fillId="0" borderId="0" xfId="10" applyNumberFormat="1"/>
    <xf numFmtId="169" fontId="17" fillId="0" borderId="1" xfId="10" applyNumberFormat="1" applyBorder="1"/>
    <xf numFmtId="1" fontId="17" fillId="0" borderId="0" xfId="10" applyNumberFormat="1"/>
    <xf numFmtId="0" fontId="17" fillId="0" borderId="1" xfId="10" applyBorder="1" applyAlignment="1">
      <alignment horizontal="right"/>
    </xf>
    <xf numFmtId="174" fontId="17" fillId="0" borderId="1" xfId="11" applyNumberFormat="1" applyFont="1" applyBorder="1" applyAlignment="1">
      <alignment horizontal="right"/>
    </xf>
    <xf numFmtId="14" fontId="17" fillId="0" borderId="1" xfId="10" applyNumberFormat="1" applyBorder="1" applyAlignment="1">
      <alignment horizontal="right"/>
    </xf>
    <xf numFmtId="174" fontId="17" fillId="0" borderId="0" xfId="11" applyNumberFormat="1" applyFont="1"/>
    <xf numFmtId="173" fontId="17" fillId="0" borderId="0" xfId="10" applyNumberFormat="1"/>
    <xf numFmtId="0" fontId="24" fillId="0" borderId="11" xfId="10" applyFont="1" applyBorder="1" applyAlignment="1">
      <alignment wrapText="1"/>
    </xf>
    <xf numFmtId="172" fontId="17" fillId="4" borderId="1" xfId="10" applyNumberFormat="1" applyFill="1" applyBorder="1"/>
    <xf numFmtId="2" fontId="17" fillId="0" borderId="1" xfId="10" applyNumberFormat="1" applyBorder="1"/>
    <xf numFmtId="170" fontId="17" fillId="0" borderId="1" xfId="10" applyNumberFormat="1" applyBorder="1"/>
    <xf numFmtId="172" fontId="17" fillId="5" borderId="1" xfId="10" applyNumberFormat="1" applyFill="1" applyBorder="1"/>
    <xf numFmtId="0" fontId="18" fillId="0" borderId="1" xfId="10" applyFont="1" applyBorder="1" applyAlignment="1">
      <alignment horizontal="center" vertical="center"/>
    </xf>
    <xf numFmtId="173" fontId="17" fillId="0" borderId="1" xfId="10" applyNumberFormat="1" applyBorder="1"/>
    <xf numFmtId="1" fontId="17" fillId="0" borderId="1" xfId="10" applyNumberFormat="1" applyBorder="1" applyAlignment="1">
      <alignment horizontal="center" vertical="center"/>
    </xf>
    <xf numFmtId="169" fontId="17" fillId="0" borderId="0" xfId="11" applyFont="1"/>
    <xf numFmtId="174" fontId="84" fillId="0" borderId="0" xfId="11" applyNumberFormat="1" applyFont="1"/>
    <xf numFmtId="174" fontId="84" fillId="0" borderId="0" xfId="11" applyNumberFormat="1" applyFont="1" applyAlignment="1">
      <alignment wrapText="1"/>
    </xf>
    <xf numFmtId="169" fontId="83" fillId="0" borderId="1" xfId="10" applyNumberFormat="1" applyFont="1" applyBorder="1"/>
    <xf numFmtId="168" fontId="83" fillId="0" borderId="1" xfId="10" applyNumberFormat="1" applyFont="1" applyBorder="1"/>
    <xf numFmtId="166" fontId="83" fillId="0" borderId="1" xfId="10" applyNumberFormat="1" applyFont="1" applyBorder="1"/>
    <xf numFmtId="0" fontId="82" fillId="5" borderId="0" xfId="65" applyFont="1" applyFill="1" applyAlignment="1">
      <alignment vertical="center"/>
    </xf>
    <xf numFmtId="0" fontId="18" fillId="0" borderId="1" xfId="10" applyFont="1" applyBorder="1" applyAlignment="1">
      <alignment horizontal="center" wrapText="1"/>
    </xf>
    <xf numFmtId="177" fontId="83" fillId="0" borderId="1" xfId="10" applyNumberFormat="1" applyFont="1" applyBorder="1" applyAlignment="1">
      <alignment horizontal="center"/>
    </xf>
    <xf numFmtId="0" fontId="23" fillId="0" borderId="42" xfId="10" applyFont="1" applyBorder="1"/>
    <xf numFmtId="177" fontId="0" fillId="0" borderId="42" xfId="12" applyNumberFormat="1" applyFont="1" applyBorder="1"/>
    <xf numFmtId="177" fontId="0" fillId="0" borderId="0" xfId="12" applyNumberFormat="1" applyFont="1" applyBorder="1"/>
    <xf numFmtId="14" fontId="17" fillId="0" borderId="1" xfId="10" applyNumberFormat="1" applyBorder="1"/>
    <xf numFmtId="0" fontId="94" fillId="0" borderId="1" xfId="10" applyFont="1" applyBorder="1" applyAlignment="1">
      <alignment vertical="center"/>
    </xf>
    <xf numFmtId="0" fontId="78" fillId="0" borderId="1" xfId="10" applyFont="1" applyBorder="1" applyAlignment="1">
      <alignment vertical="center"/>
    </xf>
    <xf numFmtId="0" fontId="76" fillId="0" borderId="1" xfId="10" applyFont="1" applyBorder="1" applyAlignment="1">
      <alignment horizontal="left"/>
    </xf>
    <xf numFmtId="0" fontId="80" fillId="0" borderId="1" xfId="10" applyFont="1" applyBorder="1"/>
    <xf numFmtId="175" fontId="78" fillId="0" borderId="1" xfId="11" applyNumberFormat="1" applyFont="1" applyBorder="1"/>
    <xf numFmtId="0" fontId="80" fillId="0" borderId="1" xfId="10" applyFont="1" applyBorder="1" applyAlignment="1">
      <alignment vertical="center" wrapText="1"/>
    </xf>
    <xf numFmtId="0" fontId="83" fillId="5" borderId="1" xfId="0" applyFont="1" applyFill="1" applyBorder="1" applyAlignment="1">
      <alignment horizontal="center" vertical="center" wrapText="1"/>
    </xf>
    <xf numFmtId="0" fontId="80" fillId="0" borderId="1" xfId="0" applyFont="1" applyBorder="1"/>
    <xf numFmtId="0" fontId="80" fillId="0" borderId="0" xfId="0" applyFont="1"/>
    <xf numFmtId="0" fontId="80" fillId="0" borderId="1" xfId="0" applyFont="1" applyBorder="1" applyAlignment="1">
      <alignment wrapText="1"/>
    </xf>
    <xf numFmtId="0" fontId="80" fillId="0" borderId="63" xfId="0" applyFont="1" applyBorder="1"/>
    <xf numFmtId="0" fontId="80" fillId="0" borderId="1" xfId="0" applyFont="1" applyBorder="1" applyAlignment="1">
      <alignment horizontal="center"/>
    </xf>
    <xf numFmtId="177" fontId="80" fillId="0" borderId="1" xfId="4" applyNumberFormat="1" applyFont="1" applyBorder="1"/>
    <xf numFmtId="0" fontId="78" fillId="0" borderId="0" xfId="0" applyFont="1" applyAlignment="1">
      <alignment horizontal="center"/>
    </xf>
    <xf numFmtId="9" fontId="78" fillId="0" borderId="0" xfId="0" applyNumberFormat="1" applyFont="1"/>
    <xf numFmtId="177" fontId="78" fillId="0" borderId="0" xfId="4" applyNumberFormat="1" applyFont="1"/>
    <xf numFmtId="177" fontId="78" fillId="0" borderId="0" xfId="0" applyNumberFormat="1" applyFont="1"/>
    <xf numFmtId="0" fontId="76" fillId="0" borderId="1" xfId="10" applyFont="1" applyBorder="1" applyAlignment="1">
      <alignment horizontal="center" vertical="center" wrapText="1"/>
    </xf>
    <xf numFmtId="1" fontId="76" fillId="0" borderId="1" xfId="10" applyNumberFormat="1" applyFont="1" applyBorder="1" applyAlignment="1">
      <alignment horizontal="center" vertical="center" wrapText="1"/>
    </xf>
    <xf numFmtId="180" fontId="83" fillId="0" borderId="1" xfId="10" applyNumberFormat="1" applyFont="1" applyBorder="1"/>
    <xf numFmtId="0" fontId="81" fillId="0" borderId="0" xfId="0" applyFont="1"/>
    <xf numFmtId="0" fontId="81" fillId="0" borderId="1" xfId="0" applyFont="1" applyBorder="1"/>
    <xf numFmtId="182" fontId="83" fillId="0" borderId="0" xfId="10" applyNumberFormat="1" applyFont="1"/>
    <xf numFmtId="0" fontId="83" fillId="0" borderId="1" xfId="10" applyFont="1" applyBorder="1" applyAlignment="1">
      <alignment horizontal="center" wrapText="1"/>
    </xf>
    <xf numFmtId="172" fontId="83" fillId="5" borderId="1" xfId="10" applyNumberFormat="1" applyFont="1" applyFill="1" applyBorder="1"/>
    <xf numFmtId="172" fontId="83" fillId="0" borderId="24" xfId="10" applyNumberFormat="1" applyFont="1" applyBorder="1"/>
    <xf numFmtId="0" fontId="82" fillId="5" borderId="0" xfId="66" applyFont="1" applyFill="1" applyAlignment="1">
      <alignment vertical="center"/>
    </xf>
    <xf numFmtId="182" fontId="84" fillId="0" borderId="1" xfId="10" applyNumberFormat="1" applyFont="1" applyBorder="1" applyAlignment="1">
      <alignment horizontal="center" vertical="center"/>
    </xf>
    <xf numFmtId="10" fontId="83" fillId="0" borderId="15" xfId="10" applyNumberFormat="1" applyFont="1" applyBorder="1" applyAlignment="1">
      <alignment vertical="center" wrapText="1"/>
    </xf>
    <xf numFmtId="182" fontId="83" fillId="0" borderId="1" xfId="10" applyNumberFormat="1" applyFont="1" applyBorder="1"/>
    <xf numFmtId="10" fontId="83" fillId="0" borderId="12" xfId="10" applyNumberFormat="1" applyFont="1" applyBorder="1" applyAlignment="1">
      <alignment vertical="center" wrapText="1"/>
    </xf>
    <xf numFmtId="10" fontId="83" fillId="0" borderId="64" xfId="10" applyNumberFormat="1" applyFont="1" applyBorder="1" applyAlignment="1">
      <alignment vertical="center" wrapText="1"/>
    </xf>
    <xf numFmtId="10" fontId="83" fillId="0" borderId="13" xfId="10" applyNumberFormat="1" applyFont="1" applyBorder="1" applyAlignment="1">
      <alignment vertical="center" wrapText="1"/>
    </xf>
    <xf numFmtId="10" fontId="83" fillId="0" borderId="1" xfId="47" applyNumberFormat="1" applyFont="1" applyFill="1" applyBorder="1" applyAlignment="1"/>
    <xf numFmtId="10" fontId="83" fillId="0" borderId="3" xfId="10" applyNumberFormat="1" applyFont="1" applyBorder="1" applyAlignment="1">
      <alignment vertical="center" wrapText="1"/>
    </xf>
    <xf numFmtId="10" fontId="83" fillId="0" borderId="1" xfId="10" applyNumberFormat="1" applyFont="1" applyBorder="1" applyAlignment="1">
      <alignment vertical="center" wrapText="1"/>
    </xf>
    <xf numFmtId="9" fontId="0" fillId="0" borderId="1" xfId="47" applyFont="1" applyBorder="1"/>
    <xf numFmtId="175" fontId="17" fillId="0" borderId="1" xfId="10" applyNumberFormat="1" applyBorder="1" applyAlignment="1">
      <alignment vertical="center"/>
    </xf>
    <xf numFmtId="168" fontId="17" fillId="0" borderId="1" xfId="12" applyFont="1" applyBorder="1"/>
    <xf numFmtId="9" fontId="0" fillId="0" borderId="0" xfId="47" applyFont="1"/>
    <xf numFmtId="201" fontId="17" fillId="0" borderId="0" xfId="10" applyNumberFormat="1"/>
    <xf numFmtId="176" fontId="20" fillId="0" borderId="0" xfId="47" applyNumberFormat="1" applyFont="1" applyBorder="1"/>
    <xf numFmtId="0" fontId="78" fillId="0" borderId="1" xfId="10" applyFont="1" applyBorder="1" applyAlignment="1">
      <alignment wrapText="1"/>
    </xf>
    <xf numFmtId="0" fontId="70" fillId="5" borderId="0" xfId="66" applyFont="1" applyFill="1" applyAlignment="1">
      <alignment vertical="center"/>
    </xf>
    <xf numFmtId="0" fontId="24" fillId="0" borderId="1" xfId="10" applyFont="1" applyBorder="1" applyAlignment="1">
      <alignment horizontal="left" vertical="center" wrapText="1"/>
    </xf>
    <xf numFmtId="0" fontId="18" fillId="0" borderId="14" xfId="10" applyFont="1" applyBorder="1"/>
    <xf numFmtId="15" fontId="17" fillId="0" borderId="1" xfId="10" applyNumberFormat="1" applyBorder="1"/>
    <xf numFmtId="0" fontId="17" fillId="0" borderId="1" xfId="10" applyBorder="1" applyAlignment="1">
      <alignment horizontal="center"/>
    </xf>
    <xf numFmtId="0" fontId="18" fillId="0" borderId="0" xfId="10" applyFont="1" applyAlignment="1">
      <alignment horizontal="center" vertical="center"/>
    </xf>
    <xf numFmtId="0" fontId="18" fillId="0" borderId="0" xfId="10" applyFont="1" applyAlignment="1">
      <alignment horizontal="center"/>
    </xf>
    <xf numFmtId="15" fontId="17" fillId="0" borderId="0" xfId="10" applyNumberFormat="1"/>
    <xf numFmtId="174" fontId="0" fillId="0" borderId="0" xfId="11" applyNumberFormat="1" applyFont="1" applyAlignment="1">
      <alignment horizontal="right"/>
    </xf>
    <xf numFmtId="174" fontId="21" fillId="0" borderId="0" xfId="10" applyNumberFormat="1" applyFont="1" applyAlignment="1">
      <alignment horizontal="right"/>
    </xf>
    <xf numFmtId="177" fontId="18" fillId="0" borderId="0" xfId="12" applyNumberFormat="1" applyFont="1"/>
    <xf numFmtId="177" fontId="18" fillId="0" borderId="1" xfId="12" applyNumberFormat="1" applyFont="1" applyBorder="1"/>
    <xf numFmtId="0" fontId="22" fillId="0" borderId="14" xfId="10" applyFont="1" applyBorder="1" applyAlignment="1">
      <alignment horizontal="center" wrapText="1"/>
    </xf>
    <xf numFmtId="175" fontId="21" fillId="0" borderId="1" xfId="11" applyNumberFormat="1" applyFont="1" applyBorder="1"/>
    <xf numFmtId="0" fontId="92" fillId="4" borderId="0" xfId="10" applyFont="1" applyFill="1"/>
    <xf numFmtId="0" fontId="21" fillId="0" borderId="3" xfId="10" applyFont="1" applyBorder="1" applyAlignment="1">
      <alignment horizontal="left"/>
    </xf>
    <xf numFmtId="175" fontId="21" fillId="0" borderId="3" xfId="11" applyNumberFormat="1" applyFont="1" applyBorder="1"/>
    <xf numFmtId="182" fontId="21" fillId="0" borderId="1" xfId="10" applyNumberFormat="1" applyFont="1" applyBorder="1"/>
    <xf numFmtId="175" fontId="21" fillId="4" borderId="1" xfId="11" applyNumberFormat="1" applyFont="1" applyFill="1" applyBorder="1"/>
    <xf numFmtId="0" fontId="32" fillId="0" borderId="1" xfId="10" applyFont="1" applyBorder="1"/>
    <xf numFmtId="0" fontId="32" fillId="0" borderId="1" xfId="10" applyFont="1" applyBorder="1" applyAlignment="1">
      <alignment vertical="center"/>
    </xf>
    <xf numFmtId="174" fontId="18" fillId="0" borderId="0" xfId="11" applyNumberFormat="1" applyFont="1" applyAlignment="1">
      <alignment wrapText="1"/>
    </xf>
    <xf numFmtId="174" fontId="18" fillId="0" borderId="0" xfId="11" applyNumberFormat="1" applyFont="1"/>
    <xf numFmtId="0" fontId="22" fillId="0" borderId="4" xfId="10" applyFont="1" applyBorder="1" applyAlignment="1">
      <alignment horizontal="center"/>
    </xf>
    <xf numFmtId="3" fontId="22" fillId="0" borderId="4" xfId="10" applyNumberFormat="1" applyFont="1" applyBorder="1" applyAlignment="1">
      <alignment horizontal="center"/>
    </xf>
    <xf numFmtId="3" fontId="21" fillId="0" borderId="14" xfId="10" applyNumberFormat="1" applyFont="1" applyBorder="1" applyAlignment="1">
      <alignment horizontal="center"/>
    </xf>
    <xf numFmtId="3" fontId="21" fillId="4" borderId="1" xfId="10" applyNumberFormat="1" applyFont="1" applyFill="1" applyBorder="1" applyAlignment="1">
      <alignment horizontal="center"/>
    </xf>
    <xf numFmtId="0" fontId="32" fillId="0" borderId="0" xfId="10" applyFont="1"/>
    <xf numFmtId="166" fontId="18" fillId="0" borderId="1" xfId="10" applyNumberFormat="1" applyFont="1" applyBorder="1"/>
    <xf numFmtId="0" fontId="76" fillId="0" borderId="1" xfId="10" applyFont="1" applyBorder="1" applyAlignment="1">
      <alignment horizontal="left" vertical="center"/>
    </xf>
    <xf numFmtId="0" fontId="76" fillId="0" borderId="1" xfId="10" applyFont="1" applyBorder="1" applyAlignment="1">
      <alignment vertical="center"/>
    </xf>
    <xf numFmtId="0" fontId="76" fillId="0" borderId="1" xfId="10" applyFont="1" applyBorder="1" applyAlignment="1">
      <alignment horizontal="center"/>
    </xf>
    <xf numFmtId="0" fontId="71" fillId="0" borderId="1" xfId="54" applyBorder="1" applyAlignment="1">
      <alignment wrapText="1"/>
    </xf>
    <xf numFmtId="0" fontId="71" fillId="0" borderId="1" xfId="54" applyBorder="1" applyAlignment="1">
      <alignment vertical="center" wrapText="1"/>
    </xf>
    <xf numFmtId="0" fontId="17" fillId="0" borderId="0" xfId="0" applyFont="1" applyAlignment="1">
      <alignment vertical="center"/>
    </xf>
    <xf numFmtId="0" fontId="37" fillId="0" borderId="0" xfId="0" applyFont="1" applyAlignment="1">
      <alignment horizontal="center" vertical="center" wrapText="1"/>
    </xf>
    <xf numFmtId="0" fontId="23" fillId="0" borderId="0" xfId="0" applyFont="1" applyAlignment="1">
      <alignment vertical="center"/>
    </xf>
    <xf numFmtId="0" fontId="19" fillId="0" borderId="0" xfId="0" applyFont="1" applyAlignment="1">
      <alignment vertical="center"/>
    </xf>
    <xf numFmtId="0" fontId="23" fillId="0" borderId="0" xfId="0" applyFont="1" applyAlignment="1">
      <alignment horizontal="center" vertical="center"/>
    </xf>
    <xf numFmtId="174" fontId="0" fillId="0" borderId="0" xfId="3" applyNumberFormat="1" applyFont="1" applyFill="1" applyBorder="1" applyAlignment="1">
      <alignment vertical="center"/>
    </xf>
    <xf numFmtId="181" fontId="0" fillId="0" borderId="0" xfId="3" applyNumberFormat="1" applyFont="1" applyFill="1" applyBorder="1" applyAlignment="1">
      <alignment vertical="center"/>
    </xf>
    <xf numFmtId="169" fontId="23" fillId="0" borderId="0" xfId="3" applyFont="1" applyFill="1" applyBorder="1" applyAlignment="1">
      <alignment horizontal="center" vertical="center"/>
    </xf>
    <xf numFmtId="0" fontId="80" fillId="0" borderId="1" xfId="10" applyFont="1" applyBorder="1" applyAlignment="1">
      <alignment wrapText="1"/>
    </xf>
    <xf numFmtId="0" fontId="80" fillId="0" borderId="63" xfId="0" applyFont="1" applyBorder="1" applyAlignment="1">
      <alignment wrapText="1"/>
    </xf>
    <xf numFmtId="0" fontId="17" fillId="0" borderId="1" xfId="0" applyFont="1" applyBorder="1" applyAlignment="1">
      <alignment vertical="center"/>
    </xf>
    <xf numFmtId="181" fontId="0" fillId="0" borderId="1" xfId="3" applyNumberFormat="1" applyFont="1" applyFill="1" applyBorder="1" applyAlignment="1">
      <alignment vertical="center"/>
    </xf>
    <xf numFmtId="0" fontId="71" fillId="0" borderId="1" xfId="54" applyFill="1" applyBorder="1" applyAlignment="1">
      <alignment wrapText="1"/>
    </xf>
    <xf numFmtId="174" fontId="0" fillId="0" borderId="1" xfId="3" applyNumberFormat="1" applyFont="1" applyFill="1" applyBorder="1" applyAlignment="1">
      <alignment vertical="center"/>
    </xf>
    <xf numFmtId="0" fontId="39" fillId="6" borderId="1" xfId="10" applyFont="1" applyFill="1" applyBorder="1" applyAlignment="1">
      <alignment horizontal="left" vertical="center"/>
    </xf>
    <xf numFmtId="174" fontId="17" fillId="0" borderId="1" xfId="11" applyNumberFormat="1" applyFont="1" applyBorder="1"/>
    <xf numFmtId="169" fontId="0" fillId="0" borderId="1" xfId="11" applyFont="1" applyBorder="1"/>
    <xf numFmtId="0" fontId="18" fillId="0" borderId="1" xfId="10" applyFont="1" applyBorder="1" applyAlignment="1">
      <alignment vertical="center"/>
    </xf>
    <xf numFmtId="166" fontId="17" fillId="0" borderId="1" xfId="10" applyNumberFormat="1" applyBorder="1"/>
    <xf numFmtId="202" fontId="17" fillId="0" borderId="0" xfId="10" applyNumberFormat="1"/>
    <xf numFmtId="180" fontId="78" fillId="0" borderId="1" xfId="10" applyNumberFormat="1" applyFont="1" applyBorder="1"/>
    <xf numFmtId="175" fontId="83" fillId="0" borderId="1" xfId="0" applyNumberFormat="1" applyFont="1" applyBorder="1" applyAlignment="1">
      <alignment horizontal="center"/>
    </xf>
    <xf numFmtId="17" fontId="78" fillId="0" borderId="1" xfId="0" applyNumberFormat="1" applyFont="1" applyBorder="1"/>
    <xf numFmtId="3" fontId="84" fillId="0" borderId="1" xfId="10" applyNumberFormat="1" applyFont="1" applyBorder="1" applyAlignment="1">
      <alignment horizontal="center" vertical="center" wrapText="1"/>
    </xf>
    <xf numFmtId="0" fontId="83" fillId="0" borderId="14" xfId="0" applyFont="1" applyBorder="1" applyAlignment="1">
      <alignment horizontal="center"/>
    </xf>
    <xf numFmtId="177" fontId="83" fillId="0" borderId="0" xfId="0" applyNumberFormat="1" applyFont="1" applyAlignment="1">
      <alignment vertical="center"/>
    </xf>
    <xf numFmtId="168" fontId="83" fillId="0" borderId="0" xfId="0" applyNumberFormat="1" applyFont="1"/>
    <xf numFmtId="0" fontId="84" fillId="0" borderId="38" xfId="0" applyFont="1" applyBorder="1" applyAlignment="1">
      <alignment horizontal="left"/>
    </xf>
    <xf numFmtId="168" fontId="83" fillId="0" borderId="38" xfId="0" applyNumberFormat="1" applyFont="1" applyBorder="1"/>
    <xf numFmtId="168" fontId="83" fillId="0" borderId="5" xfId="4" applyFont="1" applyBorder="1"/>
    <xf numFmtId="0" fontId="83" fillId="4" borderId="1" xfId="0" applyFont="1" applyFill="1" applyBorder="1"/>
    <xf numFmtId="177" fontId="83" fillId="4" borderId="1" xfId="4" applyNumberFormat="1" applyFont="1" applyFill="1" applyBorder="1"/>
    <xf numFmtId="0" fontId="83" fillId="4" borderId="5" xfId="0" applyFont="1" applyFill="1" applyBorder="1"/>
    <xf numFmtId="4" fontId="44" fillId="51" borderId="1" xfId="0" applyNumberFormat="1" applyFont="1" applyFill="1" applyBorder="1" applyAlignment="1">
      <alignment horizontal="right" vertical="top" wrapText="1"/>
    </xf>
    <xf numFmtId="0" fontId="83" fillId="22" borderId="1" xfId="10" applyFont="1" applyFill="1" applyBorder="1"/>
    <xf numFmtId="0" fontId="83" fillId="5" borderId="22" xfId="0" applyFont="1" applyFill="1" applyBorder="1"/>
    <xf numFmtId="177" fontId="83" fillId="5" borderId="22" xfId="4" applyNumberFormat="1" applyFont="1" applyFill="1" applyBorder="1"/>
    <xf numFmtId="0" fontId="83" fillId="4" borderId="1" xfId="5" applyFont="1" applyFill="1" applyBorder="1"/>
    <xf numFmtId="0" fontId="83" fillId="4" borderId="1" xfId="5" applyFont="1" applyFill="1" applyBorder="1" applyAlignment="1">
      <alignment wrapText="1"/>
    </xf>
    <xf numFmtId="174" fontId="83" fillId="4" borderId="0" xfId="3" applyNumberFormat="1" applyFont="1" applyFill="1"/>
    <xf numFmtId="0" fontId="83" fillId="4" borderId="0" xfId="0" applyFont="1" applyFill="1"/>
    <xf numFmtId="177" fontId="83" fillId="4" borderId="5" xfId="4" applyNumberFormat="1" applyFont="1" applyFill="1" applyBorder="1"/>
    <xf numFmtId="0" fontId="83" fillId="52" borderId="1" xfId="10" applyFont="1" applyFill="1" applyBorder="1"/>
    <xf numFmtId="16" fontId="83" fillId="4" borderId="1" xfId="5" applyNumberFormat="1" applyFont="1" applyFill="1" applyBorder="1"/>
    <xf numFmtId="3" fontId="83" fillId="4" borderId="1" xfId="10" applyNumberFormat="1" applyFont="1" applyFill="1" applyBorder="1" applyAlignment="1">
      <alignment horizontal="right"/>
    </xf>
    <xf numFmtId="16" fontId="83" fillId="5" borderId="0" xfId="5" applyNumberFormat="1" applyFont="1" applyFill="1"/>
    <xf numFmtId="3" fontId="83" fillId="5" borderId="0" xfId="10" applyNumberFormat="1" applyFont="1" applyFill="1" applyAlignment="1">
      <alignment horizontal="right"/>
    </xf>
    <xf numFmtId="0" fontId="21" fillId="5" borderId="0" xfId="0" applyFont="1" applyFill="1"/>
    <xf numFmtId="0" fontId="83" fillId="0" borderId="22" xfId="0" applyFont="1" applyBorder="1"/>
    <xf numFmtId="0" fontId="83" fillId="0" borderId="38" xfId="0" applyFont="1" applyBorder="1"/>
    <xf numFmtId="177" fontId="83" fillId="0" borderId="38" xfId="4" applyNumberFormat="1" applyFont="1" applyBorder="1"/>
    <xf numFmtId="177" fontId="83" fillId="5" borderId="66" xfId="4" applyNumberFormat="1" applyFont="1" applyFill="1" applyBorder="1"/>
    <xf numFmtId="177" fontId="83" fillId="4" borderId="0" xfId="0" applyNumberFormat="1" applyFont="1" applyFill="1"/>
    <xf numFmtId="168" fontId="83" fillId="0" borderId="1" xfId="0" applyNumberFormat="1" applyFont="1" applyBorder="1" applyAlignment="1">
      <alignment horizontal="center"/>
    </xf>
    <xf numFmtId="0" fontId="23" fillId="0" borderId="1" xfId="0" applyFont="1" applyBorder="1" applyAlignment="1">
      <alignment vertical="center"/>
    </xf>
    <xf numFmtId="0" fontId="94" fillId="5" borderId="1" xfId="10" applyFont="1" applyFill="1" applyBorder="1" applyAlignment="1">
      <alignment vertical="center"/>
    </xf>
    <xf numFmtId="0" fontId="78" fillId="5" borderId="1" xfId="10" applyFont="1" applyFill="1" applyBorder="1" applyAlignment="1">
      <alignment vertical="center"/>
    </xf>
    <xf numFmtId="0" fontId="78" fillId="5" borderId="1" xfId="10" applyFont="1" applyFill="1" applyBorder="1"/>
    <xf numFmtId="0" fontId="71" fillId="5" borderId="1" xfId="54" applyFill="1" applyBorder="1" applyAlignment="1">
      <alignment wrapText="1"/>
    </xf>
    <xf numFmtId="0" fontId="28" fillId="5" borderId="0" xfId="0" applyFont="1" applyFill="1"/>
    <xf numFmtId="168" fontId="84" fillId="5" borderId="1" xfId="0" applyNumberFormat="1" applyFont="1" applyFill="1" applyBorder="1"/>
    <xf numFmtId="170" fontId="83" fillId="52" borderId="1" xfId="10" applyNumberFormat="1" applyFont="1" applyFill="1" applyBorder="1"/>
    <xf numFmtId="0" fontId="83" fillId="52" borderId="0" xfId="10" applyFont="1" applyFill="1"/>
    <xf numFmtId="177" fontId="84" fillId="0" borderId="3" xfId="0" applyNumberFormat="1" applyFont="1" applyBorder="1"/>
    <xf numFmtId="177" fontId="84" fillId="0" borderId="4" xfId="4" applyNumberFormat="1" applyFont="1" applyBorder="1"/>
    <xf numFmtId="0" fontId="78" fillId="0" borderId="1" xfId="0" applyFont="1" applyBorder="1" applyAlignment="1">
      <alignment horizontal="right"/>
    </xf>
    <xf numFmtId="0" fontId="81" fillId="0" borderId="0" xfId="10" applyFont="1"/>
    <xf numFmtId="3" fontId="81" fillId="0" borderId="0" xfId="10" applyNumberFormat="1" applyFont="1"/>
    <xf numFmtId="0" fontId="28" fillId="0" borderId="0" xfId="10" applyFont="1"/>
    <xf numFmtId="3" fontId="28" fillId="0" borderId="0" xfId="10" applyNumberFormat="1" applyFont="1"/>
    <xf numFmtId="0" fontId="84" fillId="5" borderId="4" xfId="5" applyFont="1" applyFill="1" applyBorder="1" applyAlignment="1">
      <alignment horizontal="left" wrapText="1"/>
    </xf>
    <xf numFmtId="174" fontId="84" fillId="5" borderId="8" xfId="3" applyNumberFormat="1" applyFont="1" applyFill="1" applyBorder="1"/>
    <xf numFmtId="0" fontId="83" fillId="5" borderId="38" xfId="5" applyFont="1" applyFill="1" applyBorder="1" applyAlignment="1">
      <alignment horizontal="left"/>
    </xf>
    <xf numFmtId="174" fontId="83" fillId="5" borderId="38" xfId="3" applyNumberFormat="1" applyFont="1" applyFill="1" applyBorder="1"/>
    <xf numFmtId="0" fontId="83" fillId="5" borderId="1" xfId="5" applyFont="1" applyFill="1" applyBorder="1" applyAlignment="1">
      <alignment horizontal="left" vertical="top" wrapText="1"/>
    </xf>
    <xf numFmtId="174" fontId="83" fillId="5" borderId="1" xfId="3" applyNumberFormat="1" applyFont="1" applyFill="1" applyBorder="1" applyAlignment="1">
      <alignment vertical="center"/>
    </xf>
    <xf numFmtId="0" fontId="83" fillId="4" borderId="1" xfId="5" applyFont="1" applyFill="1" applyBorder="1" applyAlignment="1">
      <alignment horizontal="left"/>
    </xf>
    <xf numFmtId="174" fontId="83" fillId="4" borderId="1" xfId="3" applyNumberFormat="1" applyFont="1" applyFill="1" applyBorder="1"/>
    <xf numFmtId="174" fontId="84" fillId="4" borderId="0" xfId="3" applyNumberFormat="1" applyFont="1" applyFill="1"/>
    <xf numFmtId="177" fontId="21" fillId="0" borderId="0" xfId="0" applyNumberFormat="1" applyFont="1"/>
    <xf numFmtId="1" fontId="84" fillId="5" borderId="0" xfId="5" applyNumberFormat="1" applyFont="1" applyFill="1" applyAlignment="1">
      <alignment horizontal="center" wrapText="1"/>
    </xf>
    <xf numFmtId="177" fontId="84" fillId="5" borderId="0" xfId="4" applyNumberFormat="1" applyFont="1" applyFill="1" applyBorder="1"/>
    <xf numFmtId="3" fontId="84" fillId="5" borderId="1" xfId="10" applyNumberFormat="1" applyFont="1" applyFill="1" applyBorder="1" applyAlignment="1">
      <alignment horizontal="center" vertical="center"/>
    </xf>
    <xf numFmtId="0" fontId="83" fillId="0" borderId="16" xfId="10" applyFont="1" applyBorder="1"/>
    <xf numFmtId="0" fontId="84" fillId="0" borderId="17" xfId="10" applyFont="1" applyBorder="1" applyAlignment="1">
      <alignment wrapText="1"/>
    </xf>
    <xf numFmtId="3" fontId="83" fillId="0" borderId="1" xfId="5" applyNumberFormat="1" applyFont="1" applyBorder="1" applyAlignment="1">
      <alignment horizontal="left" wrapText="1"/>
    </xf>
    <xf numFmtId="0" fontId="83" fillId="0" borderId="24" xfId="0" applyFont="1" applyBorder="1" applyAlignment="1">
      <alignment horizontal="left" vertical="center"/>
    </xf>
    <xf numFmtId="0" fontId="83" fillId="0" borderId="24" xfId="0" applyFont="1" applyBorder="1" applyAlignment="1">
      <alignment horizontal="center" vertical="center"/>
    </xf>
    <xf numFmtId="0" fontId="54" fillId="7" borderId="1" xfId="10" applyFont="1" applyFill="1" applyBorder="1" applyAlignment="1">
      <alignment horizontal="center" vertical="top" wrapText="1"/>
    </xf>
    <xf numFmtId="3" fontId="22" fillId="4" borderId="1" xfId="10" applyNumberFormat="1" applyFont="1" applyFill="1" applyBorder="1"/>
    <xf numFmtId="0" fontId="22" fillId="4" borderId="0" xfId="0" applyFont="1" applyFill="1"/>
    <xf numFmtId="174" fontId="18" fillId="4" borderId="0" xfId="0" applyNumberFormat="1" applyFont="1" applyFill="1"/>
    <xf numFmtId="180" fontId="18" fillId="4" borderId="0" xfId="0" applyNumberFormat="1" applyFont="1" applyFill="1"/>
    <xf numFmtId="0" fontId="22" fillId="4" borderId="0" xfId="0" applyFont="1" applyFill="1" applyAlignment="1">
      <alignment wrapText="1"/>
    </xf>
    <xf numFmtId="15" fontId="18" fillId="4" borderId="0" xfId="0" applyNumberFormat="1" applyFont="1" applyFill="1" applyAlignment="1">
      <alignment wrapText="1"/>
    </xf>
    <xf numFmtId="0" fontId="84" fillId="5" borderId="1" xfId="10" applyFont="1" applyFill="1" applyBorder="1" applyAlignment="1">
      <alignment horizontal="left" wrapText="1"/>
    </xf>
    <xf numFmtId="169" fontId="83" fillId="5" borderId="0" xfId="71" applyFont="1" applyFill="1"/>
    <xf numFmtId="174" fontId="83" fillId="5" borderId="0" xfId="71" applyNumberFormat="1" applyFont="1" applyFill="1"/>
    <xf numFmtId="174" fontId="83" fillId="5" borderId="1" xfId="71" applyNumberFormat="1" applyFont="1" applyFill="1" applyBorder="1"/>
    <xf numFmtId="175" fontId="83" fillId="5" borderId="1" xfId="10" applyNumberFormat="1" applyFont="1" applyFill="1" applyBorder="1" applyAlignment="1">
      <alignment vertical="center"/>
    </xf>
    <xf numFmtId="14" fontId="83" fillId="5" borderId="0" xfId="10" applyNumberFormat="1" applyFont="1" applyFill="1"/>
    <xf numFmtId="0" fontId="84" fillId="5" borderId="8" xfId="10" applyFont="1" applyFill="1" applyBorder="1"/>
    <xf numFmtId="169" fontId="83" fillId="5" borderId="1" xfId="71" applyFont="1" applyFill="1" applyBorder="1"/>
    <xf numFmtId="2" fontId="83" fillId="5" borderId="1" xfId="48" applyNumberFormat="1" applyFont="1" applyFill="1" applyBorder="1" applyAlignment="1">
      <alignment horizontal="center"/>
    </xf>
    <xf numFmtId="188" fontId="83" fillId="5" borderId="1" xfId="10" applyNumberFormat="1" applyFont="1" applyFill="1" applyBorder="1"/>
    <xf numFmtId="0" fontId="83" fillId="5" borderId="1" xfId="10" applyFont="1" applyFill="1" applyBorder="1" applyAlignment="1">
      <alignment horizontal="left"/>
    </xf>
    <xf numFmtId="0" fontId="83" fillId="5" borderId="1" xfId="10" applyFont="1" applyFill="1" applyBorder="1" applyAlignment="1">
      <alignment horizontal="left" wrapText="1"/>
    </xf>
    <xf numFmtId="174" fontId="83" fillId="5" borderId="1" xfId="71" applyNumberFormat="1" applyFont="1" applyFill="1" applyBorder="1" applyAlignment="1">
      <alignment vertical="center"/>
    </xf>
    <xf numFmtId="0" fontId="83" fillId="5" borderId="1" xfId="10" applyFont="1" applyFill="1" applyBorder="1" applyAlignment="1">
      <alignment horizontal="left" vertical="top" wrapText="1"/>
    </xf>
    <xf numFmtId="174" fontId="83" fillId="5" borderId="0" xfId="10" applyNumberFormat="1" applyFont="1" applyFill="1"/>
    <xf numFmtId="0" fontId="83" fillId="5" borderId="38" xfId="10" applyFont="1" applyFill="1" applyBorder="1" applyAlignment="1">
      <alignment horizontal="left"/>
    </xf>
    <xf numFmtId="174" fontId="83" fillId="5" borderId="38" xfId="71" applyNumberFormat="1" applyFont="1" applyFill="1" applyBorder="1"/>
    <xf numFmtId="0" fontId="84" fillId="5" borderId="4" xfId="10" applyFont="1" applyFill="1" applyBorder="1" applyAlignment="1">
      <alignment horizontal="left" wrapText="1"/>
    </xf>
    <xf numFmtId="174" fontId="84" fillId="5" borderId="8" xfId="71" applyNumberFormat="1" applyFont="1" applyFill="1" applyBorder="1"/>
    <xf numFmtId="177" fontId="83" fillId="5" borderId="1" xfId="72" applyNumberFormat="1" applyFont="1" applyFill="1" applyBorder="1"/>
    <xf numFmtId="0" fontId="84" fillId="5" borderId="1" xfId="10" applyFont="1" applyFill="1" applyBorder="1" applyAlignment="1">
      <alignment horizontal="left"/>
    </xf>
    <xf numFmtId="0" fontId="83" fillId="5" borderId="8" xfId="10" applyFont="1" applyFill="1" applyBorder="1" applyAlignment="1">
      <alignment horizontal="left" wrapText="1"/>
    </xf>
    <xf numFmtId="174" fontId="83" fillId="5" borderId="3" xfId="71" applyNumberFormat="1" applyFont="1" applyFill="1" applyBorder="1"/>
    <xf numFmtId="174" fontId="84" fillId="5" borderId="1" xfId="71" applyNumberFormat="1" applyFont="1" applyFill="1" applyBorder="1"/>
    <xf numFmtId="0" fontId="18" fillId="4" borderId="1" xfId="10" applyFont="1" applyFill="1" applyBorder="1" applyAlignment="1">
      <alignment horizontal="center"/>
    </xf>
    <xf numFmtId="174" fontId="84" fillId="5" borderId="0" xfId="71" applyNumberFormat="1" applyFont="1" applyFill="1" applyBorder="1" applyAlignment="1">
      <alignment horizontal="center"/>
    </xf>
    <xf numFmtId="169" fontId="83" fillId="5" borderId="0" xfId="71" applyFont="1" applyFill="1" applyBorder="1"/>
    <xf numFmtId="174" fontId="83" fillId="5" borderId="0" xfId="71" applyNumberFormat="1" applyFont="1" applyFill="1" applyBorder="1"/>
    <xf numFmtId="177" fontId="83" fillId="5" borderId="0" xfId="72" applyNumberFormat="1" applyFont="1" applyFill="1"/>
    <xf numFmtId="0" fontId="84" fillId="5" borderId="1" xfId="10" applyFont="1" applyFill="1" applyBorder="1" applyAlignment="1">
      <alignment horizontal="center" vertical="center"/>
    </xf>
    <xf numFmtId="0" fontId="84" fillId="5" borderId="3" xfId="10" applyFont="1" applyFill="1" applyBorder="1" applyAlignment="1">
      <alignment horizontal="center" vertical="center" wrapText="1"/>
    </xf>
    <xf numFmtId="173" fontId="83" fillId="5" borderId="1" xfId="10" applyNumberFormat="1" applyFont="1" applyFill="1" applyBorder="1"/>
    <xf numFmtId="1" fontId="83" fillId="5" borderId="1" xfId="10" applyNumberFormat="1" applyFont="1" applyFill="1" applyBorder="1" applyAlignment="1">
      <alignment horizontal="center" vertical="center"/>
    </xf>
    <xf numFmtId="168" fontId="83" fillId="5" borderId="0" xfId="72" applyFont="1" applyFill="1"/>
    <xf numFmtId="177" fontId="84" fillId="5" borderId="1" xfId="72" applyNumberFormat="1" applyFont="1" applyFill="1" applyBorder="1"/>
    <xf numFmtId="1" fontId="84" fillId="5" borderId="0" xfId="10" applyNumberFormat="1" applyFont="1" applyFill="1" applyAlignment="1">
      <alignment horizontal="center" wrapText="1"/>
    </xf>
    <xf numFmtId="177" fontId="84" fillId="5" borderId="0" xfId="72" applyNumberFormat="1" applyFont="1" applyFill="1" applyBorder="1"/>
    <xf numFmtId="0" fontId="83" fillId="5" borderId="3" xfId="10" applyFont="1" applyFill="1" applyBorder="1"/>
    <xf numFmtId="177" fontId="83" fillId="5" borderId="3" xfId="10" applyNumberFormat="1" applyFont="1" applyFill="1" applyBorder="1"/>
    <xf numFmtId="169" fontId="0" fillId="0" borderId="0" xfId="71" applyFont="1"/>
    <xf numFmtId="0" fontId="84" fillId="5" borderId="5" xfId="10" applyFont="1" applyFill="1" applyBorder="1"/>
    <xf numFmtId="177" fontId="84" fillId="5" borderId="5" xfId="10" applyNumberFormat="1" applyFont="1" applyFill="1" applyBorder="1"/>
    <xf numFmtId="0" fontId="22" fillId="0" borderId="0" xfId="73" applyFont="1"/>
    <xf numFmtId="174" fontId="0" fillId="0" borderId="0" xfId="71" applyNumberFormat="1" applyFont="1"/>
    <xf numFmtId="169" fontId="0" fillId="0" borderId="0" xfId="71" applyFont="1" applyBorder="1"/>
    <xf numFmtId="0" fontId="21" fillId="0" borderId="0" xfId="73" applyFont="1"/>
    <xf numFmtId="177" fontId="21" fillId="0" borderId="0" xfId="10" applyNumberFormat="1" applyFont="1"/>
    <xf numFmtId="0" fontId="70" fillId="0" borderId="0" xfId="74" applyFont="1" applyAlignment="1">
      <alignment vertical="center"/>
    </xf>
    <xf numFmtId="0" fontId="18" fillId="0" borderId="0" xfId="73" applyFont="1"/>
    <xf numFmtId="17" fontId="17" fillId="0" borderId="1" xfId="10" applyNumberFormat="1" applyBorder="1"/>
    <xf numFmtId="174" fontId="0" fillId="0" borderId="0" xfId="71" applyNumberFormat="1" applyFont="1" applyBorder="1"/>
    <xf numFmtId="168" fontId="0" fillId="0" borderId="0" xfId="72" applyFont="1"/>
    <xf numFmtId="17" fontId="18" fillId="0" borderId="1" xfId="10" applyNumberFormat="1" applyFont="1" applyBorder="1" applyAlignment="1">
      <alignment horizontal="right"/>
    </xf>
    <xf numFmtId="0" fontId="18" fillId="0" borderId="0" xfId="10" applyFont="1" applyAlignment="1">
      <alignment horizontal="right"/>
    </xf>
    <xf numFmtId="169" fontId="18" fillId="0" borderId="0" xfId="71" applyFont="1"/>
    <xf numFmtId="10" fontId="18" fillId="0" borderId="1" xfId="10" applyNumberFormat="1" applyFont="1" applyBorder="1" applyAlignment="1">
      <alignment vertical="center" wrapText="1"/>
    </xf>
    <xf numFmtId="169" fontId="0" fillId="0" borderId="1" xfId="71" applyFont="1" applyBorder="1"/>
    <xf numFmtId="169" fontId="18" fillId="4" borderId="1" xfId="71" applyFont="1" applyFill="1" applyBorder="1"/>
    <xf numFmtId="169" fontId="18" fillId="0" borderId="1" xfId="71" applyFont="1" applyBorder="1" applyAlignment="1">
      <alignment vertical="center" wrapText="1"/>
    </xf>
    <xf numFmtId="0" fontId="17" fillId="5" borderId="1" xfId="10" applyFill="1" applyBorder="1"/>
    <xf numFmtId="1" fontId="17" fillId="5" borderId="1" xfId="10" applyNumberFormat="1" applyFill="1" applyBorder="1"/>
    <xf numFmtId="196" fontId="83" fillId="5" borderId="1" xfId="3" applyNumberFormat="1" applyFont="1" applyFill="1" applyBorder="1"/>
    <xf numFmtId="178" fontId="21" fillId="4" borderId="1" xfId="10" applyNumberFormat="1" applyFont="1" applyFill="1" applyBorder="1"/>
    <xf numFmtId="0" fontId="24" fillId="0" borderId="0" xfId="10" applyFont="1" applyAlignment="1">
      <alignment wrapText="1"/>
    </xf>
    <xf numFmtId="0" fontId="23" fillId="0" borderId="1" xfId="10" applyFont="1" applyBorder="1" applyAlignment="1">
      <alignment horizontal="center" wrapText="1"/>
    </xf>
    <xf numFmtId="0" fontId="24" fillId="0" borderId="0" xfId="0" applyFont="1" applyAlignment="1">
      <alignment horizontal="center" vertical="center"/>
    </xf>
    <xf numFmtId="0" fontId="18" fillId="4" borderId="0" xfId="0" applyFont="1" applyFill="1"/>
    <xf numFmtId="177" fontId="18" fillId="4" borderId="0" xfId="0" applyNumberFormat="1" applyFont="1" applyFill="1"/>
    <xf numFmtId="0" fontId="18" fillId="5" borderId="1" xfId="10" applyFont="1" applyFill="1" applyBorder="1" applyAlignment="1">
      <alignment horizontal="center"/>
    </xf>
    <xf numFmtId="174" fontId="17" fillId="5" borderId="1" xfId="10" applyNumberFormat="1" applyFill="1" applyBorder="1"/>
    <xf numFmtId="0" fontId="23" fillId="0" borderId="1" xfId="0" applyFont="1" applyBorder="1" applyAlignment="1">
      <alignment horizontal="center" vertical="center"/>
    </xf>
    <xf numFmtId="168" fontId="22" fillId="0" borderId="1" xfId="4" applyFont="1" applyBorder="1"/>
    <xf numFmtId="169" fontId="21" fillId="0" borderId="1" xfId="4" applyNumberFormat="1" applyFont="1" applyBorder="1"/>
    <xf numFmtId="169" fontId="21" fillId="0" borderId="38" xfId="4" applyNumberFormat="1" applyFont="1" applyBorder="1"/>
    <xf numFmtId="169" fontId="21" fillId="0" borderId="4" xfId="4" applyNumberFormat="1" applyFont="1" applyBorder="1"/>
    <xf numFmtId="168" fontId="21" fillId="0" borderId="1" xfId="0" applyNumberFormat="1" applyFont="1" applyBorder="1"/>
    <xf numFmtId="168" fontId="21" fillId="0" borderId="38" xfId="0" applyNumberFormat="1" applyFont="1" applyBorder="1"/>
    <xf numFmtId="168" fontId="21" fillId="0" borderId="4" xfId="0" applyNumberFormat="1" applyFont="1" applyBorder="1"/>
    <xf numFmtId="0" fontId="76" fillId="0" borderId="1" xfId="10" applyFont="1" applyBorder="1" applyAlignment="1">
      <alignment horizontal="left" vertical="center" wrapText="1"/>
    </xf>
    <xf numFmtId="10" fontId="83" fillId="0" borderId="1" xfId="0" applyNumberFormat="1" applyFont="1" applyBorder="1" applyAlignment="1">
      <alignment vertical="center"/>
    </xf>
    <xf numFmtId="182" fontId="83" fillId="0" borderId="1" xfId="0" applyNumberFormat="1" applyFont="1" applyBorder="1" applyAlignment="1">
      <alignment vertical="center"/>
    </xf>
    <xf numFmtId="186" fontId="0" fillId="0" borderId="0" xfId="0" applyNumberFormat="1"/>
    <xf numFmtId="0" fontId="17" fillId="0" borderId="1" xfId="0" applyFont="1" applyBorder="1" applyAlignment="1">
      <alignment wrapText="1"/>
    </xf>
    <xf numFmtId="0" fontId="17" fillId="0" borderId="1" xfId="0" applyFont="1" applyBorder="1" applyAlignment="1">
      <alignment horizontal="center" vertical="center" wrapText="1"/>
    </xf>
    <xf numFmtId="174" fontId="83" fillId="0" borderId="0" xfId="0" applyNumberFormat="1" applyFont="1"/>
    <xf numFmtId="10" fontId="17" fillId="0" borderId="0" xfId="63" applyNumberFormat="1" applyFont="1" applyBorder="1"/>
    <xf numFmtId="200" fontId="17" fillId="5" borderId="0" xfId="62" applyNumberFormat="1" applyFont="1" applyFill="1" applyBorder="1" applyAlignment="1">
      <alignment horizontal="left" vertical="center"/>
    </xf>
    <xf numFmtId="200" fontId="17" fillId="49" borderId="0" xfId="62" applyNumberFormat="1" applyFont="1" applyFill="1" applyBorder="1" applyAlignment="1">
      <alignment horizontal="center" vertical="center"/>
    </xf>
    <xf numFmtId="174" fontId="18" fillId="0" borderId="0" xfId="3" applyNumberFormat="1" applyFont="1"/>
    <xf numFmtId="168" fontId="83" fillId="0" borderId="1" xfId="4" applyFont="1" applyBorder="1" applyAlignment="1">
      <alignment vertical="center"/>
    </xf>
    <xf numFmtId="169" fontId="84" fillId="0" borderId="1" xfId="0" applyNumberFormat="1" applyFont="1" applyBorder="1"/>
    <xf numFmtId="169" fontId="83" fillId="0" borderId="0" xfId="0" applyNumberFormat="1" applyFont="1"/>
    <xf numFmtId="166" fontId="78" fillId="0" borderId="0" xfId="10" applyNumberFormat="1" applyFont="1"/>
    <xf numFmtId="168" fontId="78" fillId="0" borderId="0" xfId="4" applyFont="1"/>
    <xf numFmtId="0" fontId="54" fillId="12" borderId="1" xfId="10" applyFont="1" applyFill="1" applyBorder="1" applyAlignment="1">
      <alignment vertical="top" wrapText="1"/>
    </xf>
    <xf numFmtId="0" fontId="97" fillId="0" borderId="1" xfId="10" applyFont="1" applyBorder="1" applyAlignment="1">
      <alignment horizontal="left" wrapText="1"/>
    </xf>
    <xf numFmtId="0" fontId="78" fillId="0" borderId="1" xfId="10" applyFont="1" applyBorder="1" applyAlignment="1">
      <alignment horizontal="left" vertical="top" wrapText="1"/>
    </xf>
    <xf numFmtId="0" fontId="21" fillId="0" borderId="1" xfId="10" applyFont="1" applyBorder="1" applyAlignment="1">
      <alignment horizontal="left" wrapText="1"/>
    </xf>
    <xf numFmtId="0" fontId="53" fillId="6" borderId="1" xfId="0" applyFont="1" applyFill="1" applyBorder="1" applyAlignment="1">
      <alignment horizontal="center" vertical="top" wrapText="1"/>
    </xf>
    <xf numFmtId="0" fontId="53" fillId="5" borderId="1" xfId="0" applyFont="1" applyFill="1" applyBorder="1" applyAlignment="1">
      <alignment horizontal="center" vertical="top" wrapText="1"/>
    </xf>
    <xf numFmtId="0" fontId="58" fillId="5" borderId="1" xfId="0" applyFont="1" applyFill="1" applyBorder="1" applyAlignment="1">
      <alignment vertical="top"/>
    </xf>
    <xf numFmtId="0" fontId="54" fillId="9" borderId="1" xfId="0" applyFont="1" applyFill="1" applyBorder="1" applyAlignment="1">
      <alignment horizontal="center" vertical="top" wrapText="1"/>
    </xf>
    <xf numFmtId="0" fontId="54" fillId="12" borderId="1" xfId="0" applyFont="1" applyFill="1" applyBorder="1" applyAlignment="1">
      <alignment horizontal="center" vertical="top" wrapText="1"/>
    </xf>
    <xf numFmtId="0" fontId="54" fillId="5" borderId="1" xfId="0" applyFont="1" applyFill="1" applyBorder="1" applyAlignment="1">
      <alignment horizontal="center" vertical="top" wrapText="1"/>
    </xf>
    <xf numFmtId="0" fontId="54" fillId="7" borderId="1" xfId="0" applyFont="1" applyFill="1" applyBorder="1" applyAlignment="1">
      <alignment horizontal="center" vertical="top" wrapText="1"/>
    </xf>
    <xf numFmtId="0" fontId="54" fillId="6" borderId="1" xfId="0" applyFont="1" applyFill="1" applyBorder="1" applyAlignment="1">
      <alignment horizontal="center" vertical="top" wrapText="1"/>
    </xf>
    <xf numFmtId="0" fontId="53" fillId="5" borderId="1" xfId="0" applyFont="1" applyFill="1" applyBorder="1" applyAlignment="1">
      <alignment vertical="top" wrapText="1"/>
    </xf>
    <xf numFmtId="0" fontId="53" fillId="7" borderId="1" xfId="0" applyFont="1" applyFill="1" applyBorder="1" applyAlignment="1">
      <alignment horizontal="center" vertical="top" wrapText="1"/>
    </xf>
    <xf numFmtId="0" fontId="54" fillId="11" borderId="1" xfId="0" applyFont="1" applyFill="1" applyBorder="1" applyAlignment="1">
      <alignment horizontal="center" vertical="top" wrapText="1"/>
    </xf>
    <xf numFmtId="0" fontId="28" fillId="5" borderId="1" xfId="0" applyFont="1" applyFill="1" applyBorder="1" applyAlignment="1">
      <alignment vertical="top"/>
    </xf>
    <xf numFmtId="0" fontId="28" fillId="0" borderId="1" xfId="0" applyFont="1" applyBorder="1" applyAlignment="1">
      <alignment vertical="top"/>
    </xf>
    <xf numFmtId="0" fontId="0" fillId="0" borderId="1" xfId="0" applyBorder="1" applyAlignment="1">
      <alignment vertical="top"/>
    </xf>
    <xf numFmtId="0" fontId="0" fillId="0" borderId="0" xfId="0" applyAlignment="1">
      <alignment vertical="top"/>
    </xf>
    <xf numFmtId="0" fontId="53" fillId="5" borderId="1" xfId="0" applyFont="1" applyFill="1" applyBorder="1" applyAlignment="1">
      <alignment horizontal="left" wrapText="1"/>
    </xf>
    <xf numFmtId="0" fontId="50" fillId="2" borderId="1" xfId="1" applyFont="1" applyBorder="1" applyAlignment="1">
      <alignment horizontal="center" vertical="center" wrapText="1"/>
    </xf>
    <xf numFmtId="0" fontId="71" fillId="5" borderId="1" xfId="54" applyFill="1" applyBorder="1" applyAlignment="1">
      <alignment vertical="center" wrapText="1"/>
    </xf>
    <xf numFmtId="0" fontId="53" fillId="7" borderId="1" xfId="0" applyFont="1" applyFill="1" applyBorder="1" applyAlignment="1">
      <alignment horizontal="left" vertical="top" wrapText="1"/>
    </xf>
    <xf numFmtId="2" fontId="17" fillId="5" borderId="1" xfId="62" applyNumberFormat="1" applyFont="1" applyFill="1" applyBorder="1" applyAlignment="1">
      <alignment horizontal="right" vertical="center"/>
    </xf>
    <xf numFmtId="0" fontId="84" fillId="0" borderId="14" xfId="10" applyFont="1" applyBorder="1" applyAlignment="1">
      <alignment horizontal="center" vertical="center" wrapText="1"/>
    </xf>
    <xf numFmtId="169" fontId="83" fillId="0" borderId="0" xfId="3" applyFont="1" applyAlignment="1">
      <alignment horizontal="center"/>
    </xf>
    <xf numFmtId="173" fontId="83" fillId="0" borderId="1" xfId="47" applyNumberFormat="1" applyFont="1" applyBorder="1"/>
    <xf numFmtId="0" fontId="76" fillId="0" borderId="1" xfId="10" applyFont="1" applyBorder="1" applyAlignment="1">
      <alignment wrapText="1"/>
    </xf>
    <xf numFmtId="0" fontId="76" fillId="0" borderId="1" xfId="10" applyFont="1" applyBorder="1" applyAlignment="1">
      <alignment horizontal="center" wrapText="1"/>
    </xf>
    <xf numFmtId="10" fontId="78" fillId="0" borderId="1" xfId="10" applyNumberFormat="1" applyFont="1" applyBorder="1"/>
    <xf numFmtId="174" fontId="77" fillId="0" borderId="1" xfId="11" applyNumberFormat="1" applyFont="1" applyBorder="1"/>
    <xf numFmtId="174" fontId="77" fillId="0" borderId="1" xfId="10" applyNumberFormat="1" applyFont="1" applyBorder="1"/>
    <xf numFmtId="10" fontId="77" fillId="0" borderId="1" xfId="10" applyNumberFormat="1" applyFont="1" applyBorder="1"/>
    <xf numFmtId="10" fontId="77" fillId="0" borderId="1" xfId="47" applyNumberFormat="1" applyFont="1" applyBorder="1"/>
    <xf numFmtId="168" fontId="77" fillId="0" borderId="1" xfId="10" applyNumberFormat="1" applyFont="1" applyBorder="1"/>
    <xf numFmtId="0" fontId="84" fillId="0" borderId="1" xfId="10" applyFont="1" applyBorder="1" applyAlignment="1">
      <alignment horizontal="left" vertical="center"/>
    </xf>
    <xf numFmtId="0" fontId="83" fillId="0" borderId="0" xfId="0" applyFont="1" applyAlignment="1">
      <alignment vertical="center"/>
    </xf>
    <xf numFmtId="0" fontId="84" fillId="0" borderId="1" xfId="10" applyFont="1" applyBorder="1" applyAlignment="1">
      <alignment horizontal="left" vertical="center" wrapText="1"/>
    </xf>
    <xf numFmtId="2" fontId="83" fillId="0" borderId="0" xfId="0" applyNumberFormat="1" applyFont="1" applyAlignment="1">
      <alignment vertical="center"/>
    </xf>
    <xf numFmtId="169" fontId="83" fillId="0" borderId="0" xfId="3" applyFont="1" applyAlignment="1">
      <alignment vertical="center"/>
    </xf>
    <xf numFmtId="167" fontId="83" fillId="0" borderId="0" xfId="0" applyNumberFormat="1" applyFont="1" applyAlignment="1">
      <alignment vertical="center"/>
    </xf>
    <xf numFmtId="0" fontId="78" fillId="0" borderId="0" xfId="0" applyFont="1" applyAlignment="1">
      <alignment horizontal="left"/>
    </xf>
    <xf numFmtId="173" fontId="78" fillId="0" borderId="14" xfId="10" applyNumberFormat="1" applyFont="1" applyBorder="1"/>
    <xf numFmtId="0" fontId="80" fillId="0" borderId="0" xfId="0" applyFont="1" applyAlignment="1">
      <alignment horizontal="center" wrapText="1"/>
    </xf>
    <xf numFmtId="198" fontId="17" fillId="0" borderId="0" xfId="10" applyNumberFormat="1"/>
    <xf numFmtId="14" fontId="23" fillId="0" borderId="1" xfId="0" applyNumberFormat="1" applyFont="1" applyBorder="1" applyAlignment="1">
      <alignment horizontal="center" vertical="center"/>
    </xf>
    <xf numFmtId="0" fontId="82" fillId="0" borderId="1" xfId="0" applyFont="1" applyBorder="1" applyAlignment="1">
      <alignment horizontal="center" vertical="center"/>
    </xf>
    <xf numFmtId="164" fontId="82" fillId="5" borderId="1" xfId="0" applyNumberFormat="1" applyFont="1" applyFill="1" applyBorder="1" applyAlignment="1">
      <alignment horizontal="center" vertical="center"/>
    </xf>
    <xf numFmtId="0" fontId="82" fillId="5" borderId="1" xfId="0" applyFont="1" applyFill="1" applyBorder="1" applyAlignment="1">
      <alignment horizontal="center" vertical="center"/>
    </xf>
    <xf numFmtId="174" fontId="0" fillId="0" borderId="0" xfId="3" applyNumberFormat="1" applyFont="1" applyAlignment="1">
      <alignment horizontal="left" indent="1"/>
    </xf>
    <xf numFmtId="168" fontId="0" fillId="0" borderId="0" xfId="0" applyNumberFormat="1"/>
    <xf numFmtId="0" fontId="99" fillId="5" borderId="1" xfId="0" applyFont="1" applyFill="1" applyBorder="1" applyAlignment="1">
      <alignment wrapText="1"/>
    </xf>
    <xf numFmtId="168" fontId="84" fillId="0" borderId="6" xfId="0" applyNumberFormat="1" applyFont="1" applyBorder="1"/>
    <xf numFmtId="0" fontId="84" fillId="0" borderId="18" xfId="10" applyFont="1" applyBorder="1" applyAlignment="1">
      <alignment horizontal="center"/>
    </xf>
    <xf numFmtId="174" fontId="100" fillId="0" borderId="1" xfId="11" applyNumberFormat="1" applyFont="1" applyBorder="1" applyAlignment="1">
      <alignment horizontal="right"/>
    </xf>
    <xf numFmtId="174" fontId="100" fillId="0" borderId="1" xfId="11" applyNumberFormat="1" applyFont="1" applyBorder="1" applyAlignment="1">
      <alignment horizontal="center"/>
    </xf>
    <xf numFmtId="196" fontId="83" fillId="0" borderId="0" xfId="76" applyNumberFormat="1" applyFont="1"/>
    <xf numFmtId="167" fontId="83" fillId="0" borderId="0" xfId="76" applyFont="1"/>
    <xf numFmtId="174" fontId="100" fillId="0" borderId="1" xfId="11" applyNumberFormat="1" applyFont="1" applyBorder="1" applyAlignment="1">
      <alignment horizontal="center" vertical="center" wrapText="1"/>
    </xf>
    <xf numFmtId="174" fontId="100" fillId="0" borderId="1" xfId="11" applyNumberFormat="1" applyFont="1" applyBorder="1" applyAlignment="1">
      <alignment horizontal="center" vertical="center"/>
    </xf>
    <xf numFmtId="174" fontId="84" fillId="53" borderId="1" xfId="11" applyNumberFormat="1" applyFont="1" applyFill="1" applyBorder="1" applyAlignment="1">
      <alignment horizontal="center" vertical="center"/>
    </xf>
    <xf numFmtId="174" fontId="83" fillId="53" borderId="1" xfId="11" applyNumberFormat="1" applyFont="1" applyFill="1" applyBorder="1"/>
    <xf numFmtId="174" fontId="83" fillId="53" borderId="1" xfId="11" applyNumberFormat="1" applyFont="1" applyFill="1" applyBorder="1" applyAlignment="1">
      <alignment horizontal="center"/>
    </xf>
    <xf numFmtId="174" fontId="83" fillId="54" borderId="1" xfId="11" applyNumberFormat="1" applyFont="1" applyFill="1" applyBorder="1"/>
    <xf numFmtId="3" fontId="84" fillId="0" borderId="3" xfId="10" applyNumberFormat="1" applyFont="1" applyBorder="1" applyAlignment="1">
      <alignment horizontal="center"/>
    </xf>
    <xf numFmtId="0" fontId="84" fillId="0" borderId="3" xfId="10" applyFont="1" applyBorder="1" applyAlignment="1">
      <alignment horizontal="center"/>
    </xf>
    <xf numFmtId="3" fontId="83" fillId="53" borderId="1" xfId="10" applyNumberFormat="1" applyFont="1" applyFill="1" applyBorder="1"/>
    <xf numFmtId="0" fontId="83" fillId="53" borderId="1" xfId="10" applyFont="1" applyFill="1" applyBorder="1"/>
    <xf numFmtId="178" fontId="83" fillId="53" borderId="1" xfId="10" applyNumberFormat="1" applyFont="1" applyFill="1" applyBorder="1"/>
    <xf numFmtId="167" fontId="83" fillId="0" borderId="0" xfId="10" applyNumberFormat="1" applyFont="1"/>
    <xf numFmtId="0" fontId="84" fillId="53" borderId="1" xfId="10" applyFont="1" applyFill="1" applyBorder="1"/>
    <xf numFmtId="174" fontId="22" fillId="0" borderId="1" xfId="11" applyNumberFormat="1" applyFont="1" applyBorder="1"/>
    <xf numFmtId="0" fontId="84" fillId="0" borderId="4" xfId="10" applyFont="1" applyBorder="1" applyAlignment="1">
      <alignment horizontal="center"/>
    </xf>
    <xf numFmtId="0" fontId="83" fillId="53" borderId="5" xfId="10" applyFont="1" applyFill="1" applyBorder="1"/>
    <xf numFmtId="3" fontId="83" fillId="53" borderId="5" xfId="10" applyNumberFormat="1" applyFont="1" applyFill="1" applyBorder="1"/>
    <xf numFmtId="0" fontId="84" fillId="53" borderId="1" xfId="10" applyFont="1" applyFill="1" applyBorder="1" applyAlignment="1">
      <alignment horizontal="center"/>
    </xf>
    <xf numFmtId="3" fontId="84" fillId="53" borderId="1" xfId="10" applyNumberFormat="1" applyFont="1" applyFill="1" applyBorder="1" applyAlignment="1">
      <alignment horizontal="center"/>
    </xf>
    <xf numFmtId="3" fontId="84" fillId="53" borderId="1" xfId="10" applyNumberFormat="1" applyFont="1" applyFill="1" applyBorder="1" applyAlignment="1">
      <alignment horizontal="left" vertical="top"/>
    </xf>
    <xf numFmtId="174" fontId="21" fillId="53" borderId="1" xfId="11" applyNumberFormat="1" applyFont="1" applyFill="1" applyBorder="1"/>
    <xf numFmtId="196" fontId="83" fillId="0" borderId="0" xfId="76" applyNumberFormat="1" applyFont="1" applyAlignment="1">
      <alignment horizontal="center"/>
    </xf>
    <xf numFmtId="0" fontId="84" fillId="53" borderId="41" xfId="10" applyFont="1" applyFill="1" applyBorder="1"/>
    <xf numFmtId="3" fontId="83" fillId="53" borderId="41" xfId="10" applyNumberFormat="1" applyFont="1" applyFill="1" applyBorder="1"/>
    <xf numFmtId="178" fontId="83" fillId="53" borderId="41" xfId="10" applyNumberFormat="1" applyFont="1" applyFill="1" applyBorder="1"/>
    <xf numFmtId="0" fontId="83" fillId="53" borderId="41" xfId="10" applyFont="1" applyFill="1" applyBorder="1"/>
    <xf numFmtId="174" fontId="21" fillId="53" borderId="0" xfId="11" applyNumberFormat="1" applyFont="1" applyFill="1"/>
    <xf numFmtId="196" fontId="84" fillId="0" borderId="0" xfId="10" applyNumberFormat="1" applyFont="1" applyAlignment="1">
      <alignment horizontal="center"/>
    </xf>
    <xf numFmtId="0" fontId="84" fillId="53" borderId="0" xfId="10" applyFont="1" applyFill="1"/>
    <xf numFmtId="3" fontId="83" fillId="53" borderId="0" xfId="10" applyNumberFormat="1" applyFont="1" applyFill="1"/>
    <xf numFmtId="178" fontId="83" fillId="53" borderId="0" xfId="10" applyNumberFormat="1" applyFont="1" applyFill="1"/>
    <xf numFmtId="0" fontId="83" fillId="53" borderId="0" xfId="10" applyFont="1" applyFill="1"/>
    <xf numFmtId="177" fontId="84" fillId="53" borderId="41" xfId="12" applyNumberFormat="1" applyFont="1" applyFill="1" applyBorder="1"/>
    <xf numFmtId="177" fontId="83" fillId="0" borderId="0" xfId="10" applyNumberFormat="1" applyFont="1" applyAlignment="1">
      <alignment horizontal="center"/>
    </xf>
    <xf numFmtId="0" fontId="84" fillId="0" borderId="1" xfId="10" applyFont="1" applyBorder="1" applyAlignment="1">
      <alignment horizontal="centerContinuous"/>
    </xf>
    <xf numFmtId="10" fontId="83" fillId="53" borderId="1" xfId="10" applyNumberFormat="1" applyFont="1" applyFill="1" applyBorder="1"/>
    <xf numFmtId="10" fontId="83" fillId="53" borderId="3" xfId="10" applyNumberFormat="1" applyFont="1" applyFill="1" applyBorder="1"/>
    <xf numFmtId="10" fontId="83" fillId="53" borderId="8" xfId="10" applyNumberFormat="1" applyFont="1" applyFill="1" applyBorder="1"/>
    <xf numFmtId="0" fontId="84" fillId="0" borderId="14" xfId="10" applyFont="1" applyBorder="1" applyAlignment="1">
      <alignment horizontal="centerContinuous" wrapText="1"/>
    </xf>
    <xf numFmtId="0" fontId="84" fillId="0" borderId="18" xfId="10" applyFont="1" applyBorder="1" applyAlignment="1">
      <alignment horizontal="centerContinuous" wrapText="1"/>
    </xf>
    <xf numFmtId="0" fontId="100" fillId="53" borderId="0" xfId="77" applyFont="1" applyFill="1" applyAlignment="1">
      <alignment vertical="center"/>
    </xf>
    <xf numFmtId="177" fontId="84" fillId="53" borderId="0" xfId="10" applyNumberFormat="1" applyFont="1" applyFill="1"/>
    <xf numFmtId="174" fontId="83" fillId="53" borderId="0" xfId="11" applyNumberFormat="1" applyFont="1" applyFill="1"/>
    <xf numFmtId="180" fontId="21" fillId="0" borderId="1" xfId="78" applyNumberFormat="1" applyFont="1" applyBorder="1"/>
    <xf numFmtId="174" fontId="22" fillId="0" borderId="14" xfId="11" applyNumberFormat="1" applyFont="1" applyBorder="1" applyAlignment="1">
      <alignment horizontal="centerContinuous"/>
    </xf>
    <xf numFmtId="174" fontId="22" fillId="0" borderId="24" xfId="11" applyNumberFormat="1" applyFont="1" applyBorder="1" applyAlignment="1">
      <alignment horizontal="centerContinuous"/>
    </xf>
    <xf numFmtId="177" fontId="22" fillId="0" borderId="18" xfId="10" applyNumberFormat="1" applyFont="1" applyBorder="1"/>
    <xf numFmtId="0" fontId="84" fillId="55" borderId="0" xfId="10" applyFont="1" applyFill="1" applyAlignment="1">
      <alignment horizontal="centerContinuous" wrapText="1"/>
    </xf>
    <xf numFmtId="174" fontId="83" fillId="55" borderId="0" xfId="11" applyNumberFormat="1" applyFont="1" applyFill="1"/>
    <xf numFmtId="0" fontId="21" fillId="55" borderId="0" xfId="10" applyFont="1" applyFill="1"/>
    <xf numFmtId="0" fontId="84" fillId="55" borderId="0" xfId="10" applyFont="1" applyFill="1"/>
    <xf numFmtId="0" fontId="84" fillId="55" borderId="0" xfId="10" applyFont="1" applyFill="1" applyAlignment="1">
      <alignment wrapText="1"/>
    </xf>
    <xf numFmtId="0" fontId="102" fillId="55" borderId="0" xfId="10" applyFont="1" applyFill="1" applyAlignment="1">
      <alignment horizontal="center"/>
    </xf>
    <xf numFmtId="0" fontId="83" fillId="55" borderId="0" xfId="10" applyFont="1" applyFill="1" applyAlignment="1">
      <alignment wrapText="1"/>
    </xf>
    <xf numFmtId="196" fontId="83" fillId="55" borderId="0" xfId="76" applyNumberFormat="1" applyFont="1" applyFill="1"/>
    <xf numFmtId="196" fontId="103" fillId="55" borderId="1" xfId="10" applyNumberFormat="1" applyFont="1" applyFill="1" applyBorder="1"/>
    <xf numFmtId="0" fontId="83" fillId="55" borderId="10" xfId="10" applyFont="1" applyFill="1" applyBorder="1" applyAlignment="1">
      <alignment wrapText="1"/>
    </xf>
    <xf numFmtId="196" fontId="83" fillId="55" borderId="10" xfId="76" applyNumberFormat="1" applyFont="1" applyFill="1" applyBorder="1"/>
    <xf numFmtId="0" fontId="83" fillId="55" borderId="0" xfId="10" applyFont="1" applyFill="1"/>
    <xf numFmtId="196" fontId="21" fillId="0" borderId="0" xfId="76" applyNumberFormat="1" applyFont="1"/>
    <xf numFmtId="196" fontId="21" fillId="0" borderId="0" xfId="10" applyNumberFormat="1" applyFont="1"/>
    <xf numFmtId="0" fontId="21" fillId="56" borderId="0" xfId="10" applyFont="1" applyFill="1"/>
    <xf numFmtId="0" fontId="21" fillId="57" borderId="0" xfId="10" applyFont="1" applyFill="1"/>
    <xf numFmtId="0" fontId="21" fillId="58" borderId="0" xfId="10" applyFont="1" applyFill="1"/>
    <xf numFmtId="0" fontId="103" fillId="0" borderId="0" xfId="10" applyFont="1"/>
    <xf numFmtId="166" fontId="79" fillId="0" borderId="6" xfId="11" applyNumberFormat="1" applyFont="1" applyBorder="1" applyAlignment="1">
      <alignment vertical="center"/>
    </xf>
    <xf numFmtId="168" fontId="0" fillId="0" borderId="0" xfId="6" applyNumberFormat="1" applyFont="1"/>
    <xf numFmtId="177" fontId="83" fillId="0" borderId="38" xfId="0" applyNumberFormat="1" applyFont="1" applyBorder="1"/>
    <xf numFmtId="168" fontId="83" fillId="0" borderId="1" xfId="7" applyFont="1" applyBorder="1"/>
    <xf numFmtId="168" fontId="83" fillId="0" borderId="4" xfId="7" applyFont="1" applyBorder="1"/>
    <xf numFmtId="203" fontId="83" fillId="0" borderId="1" xfId="10" applyNumberFormat="1" applyFont="1" applyBorder="1"/>
    <xf numFmtId="203" fontId="84" fillId="0" borderId="6" xfId="10" applyNumberFormat="1" applyFont="1" applyBorder="1"/>
    <xf numFmtId="168" fontId="83" fillId="4" borderId="1" xfId="7" applyFont="1" applyFill="1" applyBorder="1"/>
    <xf numFmtId="168" fontId="84" fillId="0" borderId="6" xfId="10" applyNumberFormat="1" applyFont="1" applyBorder="1"/>
    <xf numFmtId="168" fontId="83" fillId="0" borderId="10" xfId="4" applyFont="1" applyBorder="1"/>
    <xf numFmtId="168" fontId="83" fillId="0" borderId="3" xfId="4" applyFont="1" applyBorder="1"/>
    <xf numFmtId="0" fontId="53" fillId="6" borderId="1" xfId="0" applyFont="1" applyFill="1" applyBorder="1" applyAlignment="1">
      <alignment horizontal="left" vertical="top" wrapText="1"/>
    </xf>
    <xf numFmtId="0" fontId="76" fillId="0" borderId="1" xfId="10" applyFont="1" applyBorder="1" applyAlignment="1">
      <alignment horizontal="center" vertical="center"/>
    </xf>
    <xf numFmtId="0" fontId="78" fillId="0" borderId="3" xfId="10" applyFont="1" applyBorder="1" applyAlignment="1">
      <alignment horizontal="center" vertical="center"/>
    </xf>
    <xf numFmtId="9" fontId="80" fillId="0" borderId="3" xfId="47" applyFont="1" applyBorder="1" applyAlignment="1">
      <alignment horizontal="center" vertical="center" wrapText="1"/>
    </xf>
    <xf numFmtId="0" fontId="80" fillId="0" borderId="3" xfId="10" applyFont="1" applyBorder="1" applyAlignment="1">
      <alignment horizontal="center" vertical="center"/>
    </xf>
    <xf numFmtId="0" fontId="76" fillId="0" borderId="3" xfId="10" applyFont="1" applyBorder="1" applyAlignment="1">
      <alignment horizontal="center" vertical="center" wrapText="1"/>
    </xf>
    <xf numFmtId="175" fontId="78" fillId="0" borderId="1" xfId="10" applyNumberFormat="1" applyFont="1" applyBorder="1"/>
    <xf numFmtId="10" fontId="78" fillId="0" borderId="1" xfId="10" applyNumberFormat="1" applyFont="1" applyBorder="1" applyAlignment="1">
      <alignment vertical="center" wrapText="1"/>
    </xf>
    <xf numFmtId="1" fontId="78" fillId="0" borderId="1" xfId="10" applyNumberFormat="1" applyFont="1" applyBorder="1"/>
    <xf numFmtId="10" fontId="78" fillId="5" borderId="1" xfId="10" applyNumberFormat="1" applyFont="1" applyFill="1" applyBorder="1" applyAlignment="1">
      <alignment vertical="center" wrapText="1"/>
    </xf>
    <xf numFmtId="9" fontId="78" fillId="0" borderId="0" xfId="47" applyFont="1"/>
    <xf numFmtId="0" fontId="79" fillId="0" borderId="22" xfId="10" applyFont="1" applyBorder="1"/>
    <xf numFmtId="168" fontId="80" fillId="0" borderId="1" xfId="10" applyNumberFormat="1" applyFont="1" applyBorder="1"/>
    <xf numFmtId="168" fontId="79" fillId="0" borderId="1" xfId="12" applyFont="1" applyBorder="1"/>
    <xf numFmtId="0" fontId="80" fillId="4" borderId="1" xfId="10" applyFont="1" applyFill="1" applyBorder="1" applyAlignment="1">
      <alignment horizontal="center" vertical="center"/>
    </xf>
    <xf numFmtId="177" fontId="83" fillId="4" borderId="1" xfId="12" applyNumberFormat="1" applyFont="1" applyFill="1" applyBorder="1"/>
    <xf numFmtId="180" fontId="80" fillId="4" borderId="22" xfId="10" applyNumberFormat="1" applyFont="1" applyFill="1" applyBorder="1"/>
    <xf numFmtId="0" fontId="78" fillId="4" borderId="0" xfId="10" applyFont="1" applyFill="1"/>
    <xf numFmtId="173" fontId="78" fillId="0" borderId="1" xfId="47" applyNumberFormat="1" applyFont="1" applyBorder="1"/>
    <xf numFmtId="1" fontId="78" fillId="0" borderId="1" xfId="10" applyNumberFormat="1" applyFont="1" applyBorder="1" applyAlignment="1">
      <alignment horizontal="right" vertical="center"/>
    </xf>
    <xf numFmtId="10" fontId="78" fillId="0" borderId="0" xfId="10" applyNumberFormat="1" applyFont="1"/>
    <xf numFmtId="176" fontId="77" fillId="0" borderId="0" xfId="47" applyNumberFormat="1" applyFont="1" applyBorder="1"/>
    <xf numFmtId="176" fontId="76" fillId="0" borderId="65" xfId="47" applyNumberFormat="1" applyFont="1" applyBorder="1"/>
    <xf numFmtId="0" fontId="76" fillId="5" borderId="4" xfId="10" applyFont="1" applyFill="1" applyBorder="1"/>
    <xf numFmtId="174" fontId="77" fillId="0" borderId="0" xfId="11" applyNumberFormat="1" applyFont="1"/>
    <xf numFmtId="0" fontId="77" fillId="5" borderId="0" xfId="10" applyFont="1" applyFill="1"/>
    <xf numFmtId="174" fontId="77" fillId="5" borderId="0" xfId="11" applyNumberFormat="1" applyFont="1" applyFill="1"/>
    <xf numFmtId="0" fontId="77" fillId="5" borderId="0" xfId="10" applyFont="1" applyFill="1" applyAlignment="1">
      <alignment horizontal="center" vertical="center"/>
    </xf>
    <xf numFmtId="0" fontId="76" fillId="5" borderId="0" xfId="10" applyFont="1" applyFill="1"/>
    <xf numFmtId="0" fontId="77" fillId="0" borderId="0" xfId="10" applyFont="1" applyAlignment="1">
      <alignment horizontal="center" vertical="center"/>
    </xf>
    <xf numFmtId="182" fontId="77" fillId="0" borderId="1" xfId="10" applyNumberFormat="1" applyFont="1" applyBorder="1"/>
    <xf numFmtId="1" fontId="77" fillId="0" borderId="1" xfId="10" applyNumberFormat="1" applyFont="1" applyBorder="1" applyAlignment="1">
      <alignment horizontal="center" vertical="center"/>
    </xf>
    <xf numFmtId="177" fontId="77" fillId="0" borderId="1" xfId="10" applyNumberFormat="1" applyFont="1" applyBorder="1"/>
    <xf numFmtId="175" fontId="77" fillId="0" borderId="4" xfId="10" applyNumberFormat="1" applyFont="1" applyBorder="1"/>
    <xf numFmtId="10" fontId="77" fillId="0" borderId="0" xfId="10" applyNumberFormat="1" applyFont="1"/>
    <xf numFmtId="10" fontId="77" fillId="0" borderId="0" xfId="47" applyNumberFormat="1" applyFont="1"/>
    <xf numFmtId="182" fontId="77" fillId="0" borderId="0" xfId="10" applyNumberFormat="1" applyFont="1"/>
    <xf numFmtId="174" fontId="77" fillId="0" borderId="0" xfId="10" applyNumberFormat="1" applyFont="1"/>
    <xf numFmtId="1" fontId="77" fillId="0" borderId="0" xfId="10" applyNumberFormat="1" applyFont="1" applyAlignment="1">
      <alignment horizontal="center" vertical="center"/>
    </xf>
    <xf numFmtId="177" fontId="77" fillId="0" borderId="0" xfId="10" applyNumberFormat="1" applyFont="1"/>
    <xf numFmtId="0" fontId="76" fillId="0" borderId="3" xfId="10" applyFont="1" applyBorder="1" applyAlignment="1">
      <alignment horizontal="center" wrapText="1"/>
    </xf>
    <xf numFmtId="175" fontId="77" fillId="0" borderId="3" xfId="10" applyNumberFormat="1" applyFont="1" applyBorder="1"/>
    <xf numFmtId="169" fontId="77" fillId="0" borderId="0" xfId="11" applyFont="1"/>
    <xf numFmtId="180" fontId="77" fillId="0" borderId="0" xfId="10" applyNumberFormat="1" applyFont="1"/>
    <xf numFmtId="10" fontId="77" fillId="5" borderId="1" xfId="10" applyNumberFormat="1" applyFont="1" applyFill="1" applyBorder="1" applyAlignment="1">
      <alignment vertical="center" wrapText="1"/>
    </xf>
    <xf numFmtId="177" fontId="76" fillId="0" borderId="1" xfId="10" applyNumberFormat="1" applyFont="1" applyBorder="1"/>
    <xf numFmtId="0" fontId="76" fillId="5" borderId="22" xfId="10" applyFont="1" applyFill="1" applyBorder="1" applyAlignment="1">
      <alignment horizontal="center" vertical="center" wrapText="1"/>
    </xf>
    <xf numFmtId="180" fontId="76" fillId="0" borderId="22" xfId="10" applyNumberFormat="1" applyFont="1" applyBorder="1"/>
    <xf numFmtId="0" fontId="53" fillId="53" borderId="1" xfId="10" applyFont="1" applyFill="1" applyBorder="1" applyAlignment="1">
      <alignment horizontal="center" vertical="center"/>
    </xf>
    <xf numFmtId="0" fontId="22" fillId="0" borderId="1" xfId="0" applyFont="1" applyBorder="1" applyAlignment="1">
      <alignment wrapText="1"/>
    </xf>
    <xf numFmtId="169" fontId="18" fillId="0" borderId="1" xfId="3" applyFont="1" applyBorder="1"/>
    <xf numFmtId="169" fontId="0" fillId="0" borderId="0" xfId="3" applyFont="1" applyAlignment="1">
      <alignment vertical="center"/>
    </xf>
    <xf numFmtId="169" fontId="0" fillId="0" borderId="1" xfId="0" applyNumberFormat="1" applyBorder="1" applyAlignment="1">
      <alignment vertical="center"/>
    </xf>
    <xf numFmtId="14" fontId="37" fillId="6" borderId="18" xfId="0" applyNumberFormat="1" applyFont="1" applyFill="1" applyBorder="1" applyAlignment="1">
      <alignment horizontal="center" vertical="center" wrapText="1"/>
    </xf>
    <xf numFmtId="180" fontId="54" fillId="7" borderId="18" xfId="0" applyNumberFormat="1" applyFont="1" applyFill="1" applyBorder="1" applyAlignment="1">
      <alignment horizontal="center" vertical="center" wrapText="1"/>
    </xf>
    <xf numFmtId="0" fontId="49" fillId="3" borderId="69" xfId="2" applyFont="1" applyBorder="1" applyAlignment="1">
      <alignment vertical="center"/>
    </xf>
    <xf numFmtId="0" fontId="49" fillId="3" borderId="70" xfId="2" applyFont="1" applyBorder="1" applyAlignment="1">
      <alignment vertical="center"/>
    </xf>
    <xf numFmtId="14" fontId="50" fillId="2" borderId="1" xfId="1" applyNumberFormat="1" applyFont="1" applyBorder="1" applyAlignment="1">
      <alignment horizontal="center" vertical="center" wrapText="1"/>
    </xf>
    <xf numFmtId="174" fontId="50" fillId="2" borderId="1" xfId="3" applyNumberFormat="1" applyFont="1" applyFill="1" applyBorder="1" applyAlignment="1">
      <alignment horizontal="center" vertical="center" wrapText="1"/>
    </xf>
    <xf numFmtId="181" fontId="50" fillId="2" borderId="1" xfId="3" applyNumberFormat="1" applyFont="1" applyFill="1" applyBorder="1" applyAlignment="1">
      <alignment horizontal="center" vertical="center" wrapText="1"/>
    </xf>
    <xf numFmtId="180" fontId="50" fillId="2" borderId="1" xfId="1" applyNumberFormat="1" applyFont="1" applyBorder="1" applyAlignment="1">
      <alignment horizontal="center" vertical="center" wrapText="1"/>
    </xf>
    <xf numFmtId="0" fontId="71" fillId="53" borderId="1" xfId="54" applyFill="1" applyBorder="1" applyAlignment="1">
      <alignment vertical="center" wrapText="1"/>
    </xf>
    <xf numFmtId="0" fontId="37" fillId="9" borderId="1" xfId="10" applyFont="1" applyFill="1" applyBorder="1" applyAlignment="1">
      <alignment horizontal="center" wrapText="1"/>
    </xf>
    <xf numFmtId="166" fontId="54" fillId="7" borderId="1" xfId="0" applyNumberFormat="1" applyFont="1" applyFill="1" applyBorder="1" applyAlignment="1">
      <alignment horizontal="center" vertical="center" wrapText="1"/>
    </xf>
    <xf numFmtId="2" fontId="23" fillId="0" borderId="1" xfId="0" applyNumberFormat="1" applyFont="1" applyBorder="1"/>
    <xf numFmtId="169" fontId="83" fillId="0" borderId="1" xfId="3" applyFont="1" applyBorder="1" applyAlignment="1">
      <alignment horizontal="center" vertical="center"/>
    </xf>
    <xf numFmtId="168" fontId="83" fillId="0" borderId="1" xfId="10" applyNumberFormat="1" applyFont="1" applyBorder="1" applyAlignment="1">
      <alignment horizontal="center"/>
    </xf>
    <xf numFmtId="0" fontId="23" fillId="0" borderId="1" xfId="0" applyFont="1" applyBorder="1" applyAlignment="1">
      <alignment horizontal="right"/>
    </xf>
    <xf numFmtId="0" fontId="80" fillId="0" borderId="3" xfId="10" applyFont="1" applyBorder="1" applyAlignment="1">
      <alignment horizontal="center" vertical="center" wrapText="1"/>
    </xf>
    <xf numFmtId="173" fontId="78" fillId="0" borderId="1" xfId="10" applyNumberFormat="1" applyFont="1" applyBorder="1"/>
    <xf numFmtId="177" fontId="78" fillId="0" borderId="1" xfId="10" applyNumberFormat="1" applyFont="1" applyBorder="1"/>
    <xf numFmtId="169" fontId="78" fillId="0" borderId="42" xfId="11" applyFont="1" applyBorder="1"/>
    <xf numFmtId="0" fontId="78" fillId="0" borderId="44" xfId="10" applyFont="1" applyBorder="1"/>
    <xf numFmtId="167" fontId="78" fillId="0" borderId="60" xfId="10" applyNumberFormat="1" applyFont="1" applyBorder="1"/>
    <xf numFmtId="174" fontId="78" fillId="0" borderId="0" xfId="10" applyNumberFormat="1" applyFont="1"/>
    <xf numFmtId="0" fontId="80" fillId="0" borderId="1" xfId="10" applyFont="1" applyBorder="1" applyAlignment="1">
      <alignment horizontal="left"/>
    </xf>
    <xf numFmtId="177" fontId="78" fillId="0" borderId="4" xfId="10" applyNumberFormat="1" applyFont="1" applyBorder="1"/>
    <xf numFmtId="169" fontId="78" fillId="0" borderId="1" xfId="10" applyNumberFormat="1" applyFont="1" applyBorder="1"/>
    <xf numFmtId="168" fontId="78" fillId="0" borderId="1" xfId="12" applyFont="1" applyBorder="1"/>
    <xf numFmtId="168" fontId="78" fillId="0" borderId="1" xfId="10" applyNumberFormat="1" applyFont="1" applyBorder="1"/>
    <xf numFmtId="0" fontId="78" fillId="0" borderId="1" xfId="10" applyFont="1" applyBorder="1" applyAlignment="1">
      <alignment horizontal="left" vertical="center" wrapText="1"/>
    </xf>
    <xf numFmtId="180" fontId="78" fillId="0" borderId="1" xfId="10" applyNumberFormat="1" applyFont="1" applyBorder="1" applyAlignment="1">
      <alignment vertical="center"/>
    </xf>
    <xf numFmtId="167" fontId="78" fillId="0" borderId="0" xfId="10" applyNumberFormat="1" applyFont="1"/>
    <xf numFmtId="173" fontId="83" fillId="0" borderId="0" xfId="0" applyNumberFormat="1" applyFont="1"/>
    <xf numFmtId="0" fontId="22" fillId="0" borderId="0" xfId="0" applyFont="1" applyAlignment="1">
      <alignment horizontal="left"/>
    </xf>
    <xf numFmtId="0" fontId="79" fillId="0" borderId="1" xfId="10" applyFont="1" applyBorder="1" applyAlignment="1">
      <alignment horizontal="left" wrapText="1"/>
    </xf>
    <xf numFmtId="0" fontId="17" fillId="0" borderId="0" xfId="0" applyFont="1" applyAlignment="1">
      <alignment wrapText="1"/>
    </xf>
    <xf numFmtId="0" fontId="18" fillId="0" borderId="0" xfId="0" applyFont="1" applyAlignment="1">
      <alignment horizontal="center" wrapText="1"/>
    </xf>
    <xf numFmtId="0" fontId="18" fillId="0" borderId="0" xfId="0" applyFont="1" applyAlignment="1">
      <alignment horizontal="center" vertical="center"/>
    </xf>
    <xf numFmtId="0" fontId="18" fillId="0" borderId="0" xfId="0" applyFont="1" applyAlignment="1">
      <alignment horizontal="center" vertical="center" wrapText="1"/>
    </xf>
    <xf numFmtId="175" fontId="81" fillId="0" borderId="1" xfId="11" applyNumberFormat="1" applyFont="1" applyBorder="1"/>
    <xf numFmtId="0" fontId="17" fillId="0" borderId="0" xfId="0" applyFont="1" applyAlignment="1">
      <alignment horizontal="center"/>
    </xf>
    <xf numFmtId="165" fontId="0" fillId="0" borderId="0" xfId="0" applyNumberFormat="1"/>
    <xf numFmtId="168" fontId="18" fillId="0" borderId="56" xfId="4" applyFont="1" applyBorder="1"/>
    <xf numFmtId="167" fontId="18" fillId="0" borderId="0" xfId="0" applyNumberFormat="1" applyFont="1"/>
    <xf numFmtId="16" fontId="21" fillId="0" borderId="1" xfId="10" applyNumberFormat="1" applyFont="1" applyBorder="1" applyAlignment="1">
      <alignment horizontal="left"/>
    </xf>
    <xf numFmtId="3" fontId="21" fillId="0" borderId="1" xfId="10" applyNumberFormat="1" applyFont="1" applyBorder="1" applyAlignment="1">
      <alignment horizontal="center" wrapText="1"/>
    </xf>
    <xf numFmtId="1" fontId="84" fillId="0" borderId="1" xfId="5" applyNumberFormat="1" applyFont="1" applyBorder="1" applyAlignment="1">
      <alignment horizontal="center" vertical="center" wrapText="1"/>
    </xf>
    <xf numFmtId="173" fontId="83" fillId="0" borderId="18" xfId="0" applyNumberFormat="1" applyFont="1" applyBorder="1"/>
    <xf numFmtId="0" fontId="22" fillId="0" borderId="1" xfId="10" applyFont="1" applyBorder="1" applyAlignment="1">
      <alignment vertical="center" wrapText="1"/>
    </xf>
    <xf numFmtId="3" fontId="22" fillId="0" borderId="1" xfId="10" applyNumberFormat="1" applyFont="1" applyBorder="1" applyAlignment="1">
      <alignment vertical="center"/>
    </xf>
    <xf numFmtId="1" fontId="78" fillId="0" borderId="1" xfId="10" applyNumberFormat="1" applyFont="1" applyBorder="1" applyAlignment="1">
      <alignment horizontal="center"/>
    </xf>
    <xf numFmtId="14" fontId="105" fillId="53" borderId="1" xfId="0" applyNumberFormat="1" applyFont="1" applyFill="1" applyBorder="1" applyAlignment="1">
      <alignment horizontal="center" vertical="center"/>
    </xf>
    <xf numFmtId="14" fontId="54" fillId="5" borderId="16" xfId="0" applyNumberFormat="1" applyFont="1" applyFill="1" applyBorder="1" applyAlignment="1">
      <alignment horizontal="center" vertical="center" wrapText="1"/>
    </xf>
    <xf numFmtId="10" fontId="78" fillId="4" borderId="1" xfId="10" applyNumberFormat="1" applyFont="1" applyFill="1" applyBorder="1" applyAlignment="1">
      <alignment vertical="center" wrapText="1"/>
    </xf>
    <xf numFmtId="180" fontId="78" fillId="4" borderId="1" xfId="10" applyNumberFormat="1" applyFont="1" applyFill="1" applyBorder="1"/>
    <xf numFmtId="169" fontId="17" fillId="4" borderId="0" xfId="10" applyNumberFormat="1" applyFill="1"/>
    <xf numFmtId="0" fontId="17" fillId="0" borderId="1" xfId="10" applyBorder="1" applyAlignment="1">
      <alignment horizontal="left" wrapText="1"/>
    </xf>
    <xf numFmtId="0" fontId="84" fillId="0" borderId="3" xfId="10" applyFont="1" applyBorder="1" applyAlignment="1">
      <alignment horizontal="center" vertical="center" wrapText="1"/>
    </xf>
    <xf numFmtId="9" fontId="80" fillId="4" borderId="1" xfId="47" applyFont="1" applyFill="1" applyBorder="1" applyAlignment="1">
      <alignment vertical="center" wrapText="1"/>
    </xf>
    <xf numFmtId="9" fontId="78" fillId="4" borderId="1" xfId="47" applyFont="1" applyFill="1" applyBorder="1" applyAlignment="1">
      <alignment vertical="center" wrapText="1"/>
    </xf>
    <xf numFmtId="168" fontId="83" fillId="0" borderId="3" xfId="10" applyNumberFormat="1" applyFont="1" applyBorder="1"/>
    <xf numFmtId="175" fontId="17" fillId="0" borderId="1" xfId="11" applyNumberFormat="1" applyFont="1" applyBorder="1" applyAlignment="1">
      <alignment horizontal="right"/>
    </xf>
    <xf numFmtId="175" fontId="83" fillId="4" borderId="1" xfId="11" applyNumberFormat="1" applyFont="1" applyFill="1" applyBorder="1"/>
    <xf numFmtId="166" fontId="84" fillId="0" borderId="1" xfId="10" applyNumberFormat="1" applyFont="1" applyBorder="1"/>
    <xf numFmtId="1" fontId="83" fillId="0" borderId="3" xfId="10" applyNumberFormat="1" applyFont="1" applyBorder="1"/>
    <xf numFmtId="0" fontId="84" fillId="0" borderId="44" xfId="10" applyFont="1" applyBorder="1"/>
    <xf numFmtId="0" fontId="83" fillId="0" borderId="45" xfId="10" applyFont="1" applyBorder="1"/>
    <xf numFmtId="168" fontId="84" fillId="0" borderId="60" xfId="10" applyNumberFormat="1" applyFont="1" applyBorder="1"/>
    <xf numFmtId="0" fontId="84" fillId="0" borderId="61" xfId="10" applyFont="1" applyBorder="1"/>
    <xf numFmtId="0" fontId="84" fillId="0" borderId="42" xfId="10" applyFont="1" applyBorder="1"/>
    <xf numFmtId="166" fontId="84" fillId="0" borderId="62" xfId="10" applyNumberFormat="1" applyFont="1" applyBorder="1"/>
    <xf numFmtId="11" fontId="83" fillId="0" borderId="0" xfId="10" applyNumberFormat="1" applyFont="1"/>
    <xf numFmtId="0" fontId="84" fillId="0" borderId="0" xfId="0" applyFont="1" applyAlignment="1">
      <alignment vertical="center"/>
    </xf>
    <xf numFmtId="169" fontId="78" fillId="0" borderId="1" xfId="3" applyFont="1" applyBorder="1"/>
    <xf numFmtId="169" fontId="78" fillId="0" borderId="1" xfId="0" applyNumberFormat="1" applyFont="1" applyBorder="1"/>
    <xf numFmtId="169" fontId="78" fillId="0" borderId="0" xfId="0" applyNumberFormat="1" applyFont="1"/>
    <xf numFmtId="169" fontId="80" fillId="0" borderId="1" xfId="4" applyNumberFormat="1" applyFont="1" applyBorder="1"/>
    <xf numFmtId="169" fontId="76" fillId="0" borderId="1" xfId="10" applyNumberFormat="1" applyFont="1" applyBorder="1" applyAlignment="1">
      <alignment horizontal="center" vertical="center" wrapText="1"/>
    </xf>
    <xf numFmtId="168" fontId="78" fillId="0" borderId="1" xfId="0" applyNumberFormat="1" applyFont="1" applyBorder="1"/>
    <xf numFmtId="14" fontId="83" fillId="0" borderId="1" xfId="0" applyNumberFormat="1" applyFont="1" applyBorder="1" applyAlignment="1">
      <alignment vertical="center"/>
    </xf>
    <xf numFmtId="16" fontId="21" fillId="0" borderId="1" xfId="5" applyNumberFormat="1" applyFont="1" applyBorder="1" applyAlignment="1">
      <alignment horizontal="left"/>
    </xf>
    <xf numFmtId="0" fontId="83" fillId="0" borderId="1" xfId="0" applyFont="1" applyBorder="1" applyAlignment="1">
      <alignment vertical="center" wrapText="1"/>
    </xf>
    <xf numFmtId="175" fontId="78" fillId="4" borderId="1" xfId="11" applyNumberFormat="1" applyFont="1" applyFill="1" applyBorder="1"/>
    <xf numFmtId="0" fontId="24" fillId="0" borderId="1" xfId="5" applyFont="1" applyBorder="1" applyAlignment="1">
      <alignment horizontal="center"/>
    </xf>
    <xf numFmtId="178" fontId="22" fillId="0" borderId="1" xfId="5" applyNumberFormat="1" applyFont="1" applyBorder="1" applyAlignment="1">
      <alignment horizontal="center"/>
    </xf>
    <xf numFmtId="0" fontId="76" fillId="4" borderId="1" xfId="10" applyFont="1" applyFill="1" applyBorder="1" applyAlignment="1">
      <alignment horizontal="left"/>
    </xf>
    <xf numFmtId="175" fontId="83" fillId="4" borderId="1" xfId="0" applyNumberFormat="1" applyFont="1" applyFill="1" applyBorder="1"/>
    <xf numFmtId="167" fontId="0" fillId="0" borderId="0" xfId="0" applyNumberFormat="1"/>
    <xf numFmtId="180" fontId="0" fillId="5" borderId="0" xfId="0" applyNumberFormat="1" applyFill="1" applyAlignment="1">
      <alignment vertical="center"/>
    </xf>
    <xf numFmtId="175" fontId="83" fillId="0" borderId="14" xfId="0" applyNumberFormat="1" applyFont="1" applyBorder="1" applyAlignment="1">
      <alignment vertical="center"/>
    </xf>
    <xf numFmtId="175" fontId="83" fillId="0" borderId="24" xfId="0" applyNumberFormat="1" applyFont="1" applyBorder="1" applyAlignment="1">
      <alignment vertical="center"/>
    </xf>
    <xf numFmtId="1" fontId="83" fillId="0" borderId="24" xfId="0" applyNumberFormat="1" applyFont="1" applyBorder="1" applyAlignment="1">
      <alignment horizontal="center" vertical="center"/>
    </xf>
    <xf numFmtId="10" fontId="83" fillId="0" borderId="24" xfId="0" applyNumberFormat="1" applyFont="1" applyBorder="1" applyAlignment="1">
      <alignment vertical="center"/>
    </xf>
    <xf numFmtId="182" fontId="83" fillId="0" borderId="18" xfId="0" applyNumberFormat="1" applyFont="1" applyBorder="1" applyAlignment="1">
      <alignment vertical="center"/>
    </xf>
    <xf numFmtId="10" fontId="83" fillId="0" borderId="18" xfId="0" applyNumberFormat="1" applyFont="1" applyBorder="1" applyAlignment="1">
      <alignment vertical="center"/>
    </xf>
    <xf numFmtId="0" fontId="80" fillId="0" borderId="1" xfId="10" applyFont="1" applyBorder="1" applyAlignment="1">
      <alignment horizontal="center"/>
    </xf>
    <xf numFmtId="0" fontId="53" fillId="60" borderId="1" xfId="0" applyFont="1" applyFill="1" applyBorder="1" applyAlignment="1">
      <alignment horizontal="center" vertical="center" wrapText="1"/>
    </xf>
    <xf numFmtId="0" fontId="54" fillId="20" borderId="1" xfId="0" applyFont="1" applyFill="1" applyBorder="1" applyAlignment="1">
      <alignment horizontal="center" vertical="center" wrapText="1"/>
    </xf>
    <xf numFmtId="0" fontId="53" fillId="4" borderId="1" xfId="0" applyFont="1" applyFill="1" applyBorder="1" applyAlignment="1">
      <alignment horizontal="center" vertical="center" wrapText="1"/>
    </xf>
    <xf numFmtId="0" fontId="53" fillId="4" borderId="1" xfId="0" applyFont="1" applyFill="1" applyBorder="1" applyAlignment="1">
      <alignment horizontal="center" vertical="center"/>
    </xf>
    <xf numFmtId="0" fontId="71" fillId="4" borderId="1" xfId="54" applyFill="1" applyBorder="1" applyAlignment="1">
      <alignment wrapText="1"/>
    </xf>
    <xf numFmtId="0" fontId="78" fillId="0" borderId="1" xfId="10" applyFont="1" applyBorder="1" applyAlignment="1">
      <alignment horizontal="center" wrapText="1"/>
    </xf>
    <xf numFmtId="174" fontId="78" fillId="0" borderId="1" xfId="3" applyNumberFormat="1" applyFont="1" applyBorder="1"/>
    <xf numFmtId="0" fontId="23" fillId="0" borderId="8" xfId="0" applyFont="1" applyBorder="1"/>
    <xf numFmtId="10" fontId="78" fillId="0" borderId="1" xfId="6" applyNumberFormat="1" applyFont="1" applyBorder="1"/>
    <xf numFmtId="10" fontId="78" fillId="0" borderId="1" xfId="0" applyNumberFormat="1" applyFont="1" applyBorder="1"/>
    <xf numFmtId="167" fontId="83" fillId="0" borderId="0" xfId="0" applyNumberFormat="1" applyFont="1"/>
    <xf numFmtId="0" fontId="83" fillId="4" borderId="1" xfId="0" applyFont="1" applyFill="1" applyBorder="1" applyAlignment="1">
      <alignment horizontal="right"/>
    </xf>
    <xf numFmtId="0" fontId="54" fillId="0" borderId="1" xfId="0" applyFont="1" applyBorder="1" applyAlignment="1">
      <alignment horizontal="center" vertical="center"/>
    </xf>
    <xf numFmtId="0" fontId="53" fillId="0" borderId="1" xfId="0" applyFont="1" applyBorder="1" applyAlignment="1">
      <alignment horizontal="center" vertical="center" wrapText="1"/>
    </xf>
    <xf numFmtId="0" fontId="53" fillId="0" borderId="1" xfId="0" applyFont="1" applyBorder="1" applyAlignment="1">
      <alignment horizontal="center" vertical="top" wrapText="1"/>
    </xf>
    <xf numFmtId="0" fontId="54" fillId="0" borderId="1" xfId="10" applyFont="1" applyBorder="1" applyAlignment="1">
      <alignment horizontal="center" vertical="center" wrapText="1"/>
    </xf>
    <xf numFmtId="180" fontId="54" fillId="0" borderId="1" xfId="0" applyNumberFormat="1" applyFont="1" applyBorder="1" applyAlignment="1">
      <alignment horizontal="center" vertical="center" wrapText="1"/>
    </xf>
    <xf numFmtId="17" fontId="54" fillId="0" borderId="1" xfId="0" applyNumberFormat="1" applyFont="1" applyBorder="1" applyAlignment="1">
      <alignment horizontal="center" vertical="center"/>
    </xf>
    <xf numFmtId="0" fontId="0" fillId="0" borderId="1" xfId="0" applyBorder="1" applyAlignment="1">
      <alignment vertical="center" wrapText="1"/>
    </xf>
    <xf numFmtId="175" fontId="78" fillId="5" borderId="1" xfId="10" applyNumberFormat="1" applyFont="1" applyFill="1" applyBorder="1"/>
    <xf numFmtId="168" fontId="83" fillId="0" borderId="0" xfId="12" applyFont="1" applyBorder="1"/>
    <xf numFmtId="0" fontId="17" fillId="0" borderId="1" xfId="0" applyFont="1" applyBorder="1" applyAlignment="1">
      <alignment vertical="top" wrapText="1"/>
    </xf>
    <xf numFmtId="0" fontId="78" fillId="0" borderId="1" xfId="0" applyFont="1" applyBorder="1" applyAlignment="1">
      <alignment horizontal="left"/>
    </xf>
    <xf numFmtId="174" fontId="78" fillId="0" borderId="1" xfId="0" applyNumberFormat="1" applyFont="1" applyBorder="1"/>
    <xf numFmtId="0" fontId="78" fillId="0" borderId="1" xfId="0" applyFont="1" applyBorder="1" applyAlignment="1">
      <alignment horizontal="left" wrapText="1"/>
    </xf>
    <xf numFmtId="2" fontId="78" fillId="0" borderId="0" xfId="0" applyNumberFormat="1" applyFont="1"/>
    <xf numFmtId="14" fontId="78" fillId="0" borderId="0" xfId="0" applyNumberFormat="1" applyFont="1"/>
    <xf numFmtId="0" fontId="78" fillId="0" borderId="1" xfId="0" applyFont="1" applyBorder="1" applyAlignment="1">
      <alignment horizontal="center"/>
    </xf>
    <xf numFmtId="0" fontId="78" fillId="0" borderId="1" xfId="10" applyFont="1" applyBorder="1" applyAlignment="1">
      <alignment horizontal="center"/>
    </xf>
    <xf numFmtId="197" fontId="77" fillId="0" borderId="1" xfId="10" applyNumberFormat="1" applyFont="1" applyBorder="1"/>
    <xf numFmtId="0" fontId="78" fillId="5" borderId="1" xfId="0" applyFont="1" applyFill="1" applyBorder="1"/>
    <xf numFmtId="0" fontId="77" fillId="5" borderId="1" xfId="10" applyFont="1" applyFill="1" applyBorder="1" applyAlignment="1">
      <alignment horizontal="left" wrapText="1"/>
    </xf>
    <xf numFmtId="2" fontId="77" fillId="5" borderId="1" xfId="10" applyNumberFormat="1" applyFont="1" applyFill="1" applyBorder="1"/>
    <xf numFmtId="0" fontId="77" fillId="5" borderId="1" xfId="10" applyFont="1" applyFill="1" applyBorder="1"/>
    <xf numFmtId="180" fontId="81" fillId="0" borderId="1" xfId="3" applyNumberFormat="1" applyFont="1" applyBorder="1" applyAlignment="1">
      <alignment horizontal="right"/>
    </xf>
    <xf numFmtId="166" fontId="78" fillId="0" borderId="1" xfId="0" applyNumberFormat="1" applyFont="1" applyBorder="1"/>
    <xf numFmtId="169" fontId="78" fillId="0" borderId="1" xfId="11" applyFont="1" applyBorder="1"/>
    <xf numFmtId="175" fontId="77" fillId="5" borderId="1" xfId="10" applyNumberFormat="1" applyFont="1" applyFill="1" applyBorder="1"/>
    <xf numFmtId="0" fontId="80" fillId="0" borderId="1" xfId="0" applyFont="1" applyBorder="1" applyAlignment="1">
      <alignment horizontal="left" vertical="center" wrapText="1"/>
    </xf>
    <xf numFmtId="14" fontId="54" fillId="4" borderId="1" xfId="0" applyNumberFormat="1" applyFont="1" applyFill="1" applyBorder="1" applyAlignment="1">
      <alignment horizontal="center" vertical="center" wrapText="1"/>
    </xf>
    <xf numFmtId="175" fontId="78" fillId="4" borderId="1" xfId="10" applyNumberFormat="1" applyFont="1" applyFill="1" applyBorder="1"/>
    <xf numFmtId="0" fontId="54" fillId="9" borderId="1" xfId="0" applyFont="1" applyFill="1" applyBorder="1" applyAlignment="1">
      <alignment horizontal="left" vertical="top" wrapText="1"/>
    </xf>
    <xf numFmtId="3" fontId="0" fillId="0" borderId="0" xfId="0" applyNumberFormat="1"/>
    <xf numFmtId="0" fontId="53" fillId="59" borderId="1" xfId="0" applyFont="1" applyFill="1" applyBorder="1" applyAlignment="1">
      <alignment horizontal="center" vertical="center" wrapText="1"/>
    </xf>
    <xf numFmtId="0" fontId="53" fillId="61" borderId="1" xfId="0" applyFont="1" applyFill="1" applyBorder="1" applyAlignment="1">
      <alignment horizontal="center" vertical="center" wrapText="1"/>
    </xf>
    <xf numFmtId="0" fontId="53" fillId="59" borderId="1" xfId="0" applyFont="1" applyFill="1" applyBorder="1" applyAlignment="1">
      <alignment horizontal="center" wrapText="1"/>
    </xf>
    <xf numFmtId="0" fontId="49" fillId="3" borderId="68" xfId="2" applyFont="1" applyBorder="1" applyAlignment="1">
      <alignment vertical="center"/>
    </xf>
    <xf numFmtId="0" fontId="80" fillId="0" borderId="1" xfId="0" applyFont="1" applyBorder="1" applyAlignment="1">
      <alignment vertical="center"/>
    </xf>
    <xf numFmtId="175" fontId="78" fillId="0" borderId="1" xfId="10" applyNumberFormat="1" applyFont="1" applyBorder="1" applyAlignment="1">
      <alignment vertical="center"/>
    </xf>
    <xf numFmtId="175" fontId="78" fillId="0" borderId="3" xfId="10" applyNumberFormat="1" applyFont="1" applyBorder="1" applyAlignment="1">
      <alignment vertical="center"/>
    </xf>
    <xf numFmtId="167" fontId="78" fillId="0" borderId="0" xfId="79" applyFont="1"/>
    <xf numFmtId="0" fontId="79" fillId="0" borderId="1" xfId="10" applyFont="1" applyBorder="1" applyAlignment="1">
      <alignment wrapText="1"/>
    </xf>
    <xf numFmtId="180" fontId="78" fillId="0" borderId="0" xfId="10" applyNumberFormat="1" applyFont="1"/>
    <xf numFmtId="14" fontId="78" fillId="0" borderId="0" xfId="10" applyNumberFormat="1" applyFont="1"/>
    <xf numFmtId="9" fontId="78" fillId="0" borderId="0" xfId="47" applyFont="1" applyBorder="1"/>
    <xf numFmtId="0" fontId="82" fillId="5" borderId="0" xfId="80" applyFont="1" applyFill="1" applyAlignment="1">
      <alignment vertical="center"/>
    </xf>
    <xf numFmtId="169" fontId="78" fillId="0" borderId="0" xfId="11" applyFont="1" applyBorder="1"/>
    <xf numFmtId="0" fontId="80" fillId="0" borderId="1" xfId="10" applyFont="1" applyBorder="1" applyAlignment="1">
      <alignment vertical="center"/>
    </xf>
    <xf numFmtId="0" fontId="80" fillId="0" borderId="1" xfId="10" applyFont="1" applyBorder="1" applyAlignment="1">
      <alignment horizontal="left" vertical="center"/>
    </xf>
    <xf numFmtId="0" fontId="78" fillId="0" borderId="1" xfId="10" applyFont="1" applyBorder="1" applyAlignment="1">
      <alignment horizontal="right"/>
    </xf>
    <xf numFmtId="168" fontId="83" fillId="0" borderId="1" xfId="10" applyNumberFormat="1" applyFont="1" applyBorder="1" applyAlignment="1">
      <alignment vertical="center"/>
    </xf>
    <xf numFmtId="175" fontId="78" fillId="0" borderId="1" xfId="10" applyNumberFormat="1" applyFont="1" applyBorder="1" applyAlignment="1">
      <alignment horizontal="right"/>
    </xf>
    <xf numFmtId="0" fontId="80" fillId="0" borderId="3" xfId="0" applyFont="1" applyBorder="1" applyAlignment="1">
      <alignment horizontal="center"/>
    </xf>
    <xf numFmtId="0" fontId="78" fillId="0" borderId="1" xfId="0" applyFont="1" applyBorder="1" applyAlignment="1">
      <alignment vertical="top"/>
    </xf>
    <xf numFmtId="169" fontId="80" fillId="0" borderId="1" xfId="0" applyNumberFormat="1" applyFont="1" applyBorder="1"/>
    <xf numFmtId="175" fontId="78" fillId="0" borderId="14" xfId="10" applyNumberFormat="1" applyFont="1" applyBorder="1" applyAlignment="1">
      <alignment horizontal="right"/>
    </xf>
    <xf numFmtId="175" fontId="78" fillId="0" borderId="4" xfId="10" applyNumberFormat="1" applyFont="1" applyBorder="1" applyAlignment="1">
      <alignment horizontal="right"/>
    </xf>
    <xf numFmtId="0" fontId="78" fillId="0" borderId="1" xfId="0" applyFont="1" applyBorder="1" applyAlignment="1">
      <alignment horizontal="center" vertical="center"/>
    </xf>
    <xf numFmtId="167" fontId="78" fillId="0" borderId="1" xfId="0" applyNumberFormat="1" applyFont="1" applyBorder="1"/>
    <xf numFmtId="167" fontId="80" fillId="0" borderId="1" xfId="0" applyNumberFormat="1" applyFont="1" applyBorder="1"/>
    <xf numFmtId="0" fontId="78" fillId="0" borderId="0" xfId="0" applyFont="1" applyAlignment="1">
      <alignment horizontal="center" vertical="center" wrapText="1"/>
    </xf>
    <xf numFmtId="2" fontId="78" fillId="0" borderId="1" xfId="0" applyNumberFormat="1" applyFont="1" applyBorder="1" applyAlignment="1">
      <alignment horizontal="center"/>
    </xf>
    <xf numFmtId="0" fontId="21" fillId="4" borderId="1" xfId="10" applyFont="1" applyFill="1" applyBorder="1" applyAlignment="1">
      <alignment horizontal="center"/>
    </xf>
    <xf numFmtId="174" fontId="78" fillId="0" borderId="0" xfId="3" applyNumberFormat="1" applyFont="1"/>
    <xf numFmtId="0" fontId="80" fillId="0" borderId="1" xfId="0" applyFont="1" applyBorder="1" applyAlignment="1">
      <alignment horizontal="left"/>
    </xf>
    <xf numFmtId="172" fontId="83" fillId="0" borderId="1" xfId="0" applyNumberFormat="1" applyFont="1" applyBorder="1"/>
    <xf numFmtId="0" fontId="79" fillId="0" borderId="1" xfId="0" applyFont="1" applyBorder="1"/>
    <xf numFmtId="0" fontId="78" fillId="0" borderId="3" xfId="0" applyFont="1" applyBorder="1" applyAlignment="1">
      <alignment wrapText="1"/>
    </xf>
    <xf numFmtId="168" fontId="80" fillId="0" borderId="1" xfId="0" applyNumberFormat="1" applyFont="1" applyBorder="1"/>
    <xf numFmtId="0" fontId="53" fillId="62" borderId="1" xfId="0" applyFont="1" applyFill="1" applyBorder="1" applyAlignment="1">
      <alignment horizontal="center" vertical="center"/>
    </xf>
    <xf numFmtId="0" fontId="17" fillId="63" borderId="1" xfId="0" applyFont="1" applyFill="1" applyBorder="1" applyAlignment="1">
      <alignment vertical="center"/>
    </xf>
    <xf numFmtId="0" fontId="53" fillId="63" borderId="1" xfId="0" applyFont="1" applyFill="1" applyBorder="1" applyAlignment="1">
      <alignment horizontal="center" vertical="center" wrapText="1"/>
    </xf>
    <xf numFmtId="0" fontId="53" fillId="63" borderId="1" xfId="0" applyFont="1" applyFill="1" applyBorder="1" applyAlignment="1">
      <alignment horizontal="center" vertical="top" wrapText="1"/>
    </xf>
    <xf numFmtId="0" fontId="23" fillId="63" borderId="1" xfId="0" applyFont="1" applyFill="1" applyBorder="1" applyAlignment="1">
      <alignment horizontal="center" vertical="center"/>
    </xf>
    <xf numFmtId="0" fontId="53" fillId="61" borderId="1" xfId="10" applyFont="1" applyFill="1" applyBorder="1" applyAlignment="1">
      <alignment horizontal="center" vertical="center" wrapText="1"/>
    </xf>
    <xf numFmtId="181" fontId="17" fillId="63" borderId="1" xfId="3" applyNumberFormat="1" applyFont="1" applyFill="1" applyBorder="1" applyAlignment="1">
      <alignment vertical="center"/>
    </xf>
    <xf numFmtId="181" fontId="17" fillId="63" borderId="1" xfId="0" applyNumberFormat="1" applyFont="1" applyFill="1" applyBorder="1" applyAlignment="1">
      <alignment vertical="center"/>
    </xf>
    <xf numFmtId="17" fontId="53" fillId="61" borderId="1" xfId="0" applyNumberFormat="1" applyFont="1" applyFill="1" applyBorder="1" applyAlignment="1">
      <alignment horizontal="center" vertical="center"/>
    </xf>
    <xf numFmtId="175" fontId="77" fillId="0" borderId="0" xfId="10" applyNumberFormat="1" applyFont="1"/>
    <xf numFmtId="10" fontId="78" fillId="0" borderId="0" xfId="47" applyNumberFormat="1" applyFont="1" applyBorder="1"/>
    <xf numFmtId="1" fontId="78" fillId="0" borderId="0" xfId="10" applyNumberFormat="1" applyFont="1" applyAlignment="1">
      <alignment horizontal="center" vertical="center"/>
    </xf>
    <xf numFmtId="174" fontId="78" fillId="0" borderId="16" xfId="11" applyNumberFormat="1" applyFont="1" applyBorder="1"/>
    <xf numFmtId="10" fontId="78" fillId="0" borderId="21" xfId="47" applyNumberFormat="1" applyFont="1" applyBorder="1"/>
    <xf numFmtId="166" fontId="78" fillId="0" borderId="7" xfId="11" applyNumberFormat="1" applyFont="1" applyBorder="1"/>
    <xf numFmtId="0" fontId="80" fillId="0" borderId="1" xfId="10" applyFont="1" applyBorder="1" applyAlignment="1">
      <alignment horizontal="left" wrapText="1"/>
    </xf>
    <xf numFmtId="0" fontId="81" fillId="0" borderId="1" xfId="10" applyFont="1" applyBorder="1" applyAlignment="1">
      <alignment horizontal="left" wrapText="1"/>
    </xf>
    <xf numFmtId="169" fontId="18" fillId="0" borderId="1" xfId="0" applyNumberFormat="1" applyFont="1" applyBorder="1"/>
    <xf numFmtId="0" fontId="104" fillId="0" borderId="14" xfId="10" applyFont="1" applyBorder="1" applyAlignment="1">
      <alignment horizontal="centerContinuous"/>
    </xf>
    <xf numFmtId="0" fontId="104" fillId="0" borderId="18" xfId="10" applyFont="1" applyBorder="1" applyAlignment="1">
      <alignment horizontal="centerContinuous"/>
    </xf>
    <xf numFmtId="167" fontId="78" fillId="0" borderId="0" xfId="117" applyFont="1"/>
    <xf numFmtId="0" fontId="80" fillId="0" borderId="14" xfId="10" applyFont="1" applyBorder="1" applyAlignment="1">
      <alignment horizontal="centerContinuous"/>
    </xf>
    <xf numFmtId="0" fontId="80" fillId="0" borderId="24" xfId="10" applyFont="1" applyBorder="1" applyAlignment="1">
      <alignment horizontal="centerContinuous"/>
    </xf>
    <xf numFmtId="0" fontId="80" fillId="0" borderId="18" xfId="10" applyFont="1" applyBorder="1" applyAlignment="1">
      <alignment horizontal="centerContinuous"/>
    </xf>
    <xf numFmtId="0" fontId="80" fillId="0" borderId="1" xfId="10" applyFont="1" applyBorder="1" applyAlignment="1">
      <alignment horizontal="centerContinuous" vertical="center" wrapText="1"/>
    </xf>
    <xf numFmtId="10" fontId="78" fillId="53" borderId="1" xfId="10" applyNumberFormat="1" applyFont="1" applyFill="1" applyBorder="1" applyAlignment="1">
      <alignment vertical="center" wrapText="1"/>
    </xf>
    <xf numFmtId="175" fontId="78" fillId="53" borderId="1" xfId="10" applyNumberFormat="1" applyFont="1" applyFill="1" applyBorder="1"/>
    <xf numFmtId="0" fontId="78" fillId="53" borderId="0" xfId="10" applyFont="1" applyFill="1"/>
    <xf numFmtId="0" fontId="80" fillId="0" borderId="22" xfId="10" applyFont="1" applyBorder="1"/>
    <xf numFmtId="168" fontId="80" fillId="0" borderId="1" xfId="12" applyFont="1" applyBorder="1"/>
    <xf numFmtId="0" fontId="80" fillId="0" borderId="1" xfId="10" applyFont="1" applyBorder="1" applyAlignment="1">
      <alignment horizontal="centerContinuous" wrapText="1"/>
    </xf>
    <xf numFmtId="0" fontId="100" fillId="53" borderId="0" xfId="118" applyFont="1" applyFill="1" applyAlignment="1">
      <alignment vertical="center"/>
    </xf>
    <xf numFmtId="167" fontId="78" fillId="0" borderId="0" xfId="76" applyFont="1"/>
    <xf numFmtId="167" fontId="78" fillId="0" borderId="1" xfId="76" applyFont="1" applyBorder="1"/>
    <xf numFmtId="167" fontId="80" fillId="0" borderId="1" xfId="76" applyFont="1" applyBorder="1"/>
    <xf numFmtId="166" fontId="80" fillId="0" borderId="1" xfId="10" applyNumberFormat="1" applyFont="1" applyBorder="1"/>
    <xf numFmtId="0" fontId="83" fillId="64" borderId="1" xfId="10" applyFont="1" applyFill="1" applyBorder="1" applyAlignment="1">
      <alignment horizontal="center" vertical="top" wrapText="1"/>
    </xf>
    <xf numFmtId="0" fontId="105" fillId="65" borderId="1" xfId="10" applyFont="1" applyFill="1" applyBorder="1" applyAlignment="1">
      <alignment horizontal="center" vertical="center" wrapText="1"/>
    </xf>
    <xf numFmtId="0" fontId="100" fillId="65" borderId="1" xfId="10" applyFont="1" applyFill="1" applyBorder="1" applyAlignment="1">
      <alignment horizontal="center" wrapText="1"/>
    </xf>
    <xf numFmtId="0" fontId="83" fillId="55" borderId="1" xfId="10" applyFont="1" applyFill="1" applyBorder="1" applyAlignment="1">
      <alignment horizontal="center" vertical="center" wrapText="1"/>
    </xf>
    <xf numFmtId="0" fontId="105" fillId="65" borderId="1" xfId="10" applyFont="1" applyFill="1" applyBorder="1" applyAlignment="1">
      <alignment horizontal="center" wrapText="1"/>
    </xf>
    <xf numFmtId="0" fontId="83" fillId="55" borderId="1" xfId="10" applyFont="1" applyFill="1" applyBorder="1" applyAlignment="1">
      <alignment vertical="center"/>
    </xf>
    <xf numFmtId="0" fontId="83" fillId="55" borderId="1" xfId="10" applyFont="1" applyFill="1" applyBorder="1"/>
    <xf numFmtId="0" fontId="83" fillId="55" borderId="1" xfId="10" applyFont="1" applyFill="1" applyBorder="1" applyAlignment="1">
      <alignment horizontal="center" vertical="center"/>
    </xf>
    <xf numFmtId="0" fontId="83" fillId="55" borderId="1" xfId="10" applyFont="1" applyFill="1" applyBorder="1" applyAlignment="1">
      <alignment horizontal="center" wrapText="1"/>
    </xf>
    <xf numFmtId="0" fontId="83" fillId="55" borderId="14" xfId="10" applyFont="1" applyFill="1" applyBorder="1" applyAlignment="1">
      <alignment horizontal="center" vertical="center"/>
    </xf>
    <xf numFmtId="0" fontId="17" fillId="53" borderId="1" xfId="10" applyFill="1" applyBorder="1" applyAlignment="1">
      <alignment wrapText="1"/>
    </xf>
    <xf numFmtId="0" fontId="83" fillId="64" borderId="1" xfId="10" applyFont="1" applyFill="1" applyBorder="1" applyAlignment="1">
      <alignment horizontal="center" vertical="center" wrapText="1"/>
    </xf>
    <xf numFmtId="0" fontId="17" fillId="0" borderId="1" xfId="0" applyFont="1" applyBorder="1" applyAlignment="1">
      <alignment horizontal="center"/>
    </xf>
    <xf numFmtId="166" fontId="79" fillId="0" borderId="5" xfId="11" applyNumberFormat="1" applyFont="1" applyBorder="1" applyAlignment="1">
      <alignment vertical="center"/>
    </xf>
    <xf numFmtId="0" fontId="100" fillId="53" borderId="0" xfId="119" applyFont="1" applyFill="1" applyAlignment="1">
      <alignment vertical="center"/>
    </xf>
    <xf numFmtId="176" fontId="84" fillId="0" borderId="65" xfId="47" applyNumberFormat="1" applyFont="1" applyBorder="1"/>
    <xf numFmtId="176" fontId="83" fillId="0" borderId="0" xfId="47" applyNumberFormat="1" applyFont="1" applyBorder="1"/>
    <xf numFmtId="168" fontId="83" fillId="53" borderId="1" xfId="12" applyFont="1" applyFill="1" applyBorder="1"/>
    <xf numFmtId="1" fontId="83" fillId="53" borderId="1" xfId="10" applyNumberFormat="1" applyFont="1" applyFill="1" applyBorder="1" applyAlignment="1">
      <alignment horizontal="right" vertical="center"/>
    </xf>
    <xf numFmtId="173" fontId="83" fillId="53" borderId="1" xfId="47" applyNumberFormat="1" applyFont="1" applyFill="1" applyBorder="1"/>
    <xf numFmtId="10" fontId="83" fillId="53" borderId="1" xfId="10" applyNumberFormat="1" applyFont="1" applyFill="1" applyBorder="1" applyAlignment="1">
      <alignment vertical="center" wrapText="1"/>
    </xf>
    <xf numFmtId="166" fontId="83" fillId="53" borderId="1" xfId="10" applyNumberFormat="1" applyFont="1" applyFill="1" applyBorder="1"/>
    <xf numFmtId="175" fontId="83" fillId="53" borderId="1" xfId="11" applyNumberFormat="1" applyFont="1" applyFill="1" applyBorder="1"/>
    <xf numFmtId="1" fontId="83" fillId="0" borderId="1" xfId="10" applyNumberFormat="1" applyFont="1" applyBorder="1" applyAlignment="1">
      <alignment horizontal="right" vertical="center"/>
    </xf>
    <xf numFmtId="0" fontId="84" fillId="0" borderId="18" xfId="10" applyFont="1" applyBorder="1" applyAlignment="1">
      <alignment horizontal="centerContinuous" vertical="center" wrapText="1"/>
    </xf>
    <xf numFmtId="0" fontId="84" fillId="0" borderId="14" xfId="10" applyFont="1" applyBorder="1" applyAlignment="1">
      <alignment horizontal="centerContinuous" vertical="center" wrapText="1"/>
    </xf>
    <xf numFmtId="14" fontId="55" fillId="53" borderId="16" xfId="10" applyNumberFormat="1" applyFont="1" applyFill="1" applyBorder="1" applyAlignment="1">
      <alignment horizontal="center" vertical="center" wrapText="1"/>
    </xf>
    <xf numFmtId="166" fontId="78" fillId="0" borderId="1" xfId="10" applyNumberFormat="1" applyFont="1" applyBorder="1" applyAlignment="1">
      <alignment vertical="center"/>
    </xf>
    <xf numFmtId="0" fontId="79" fillId="0" borderId="18" xfId="10" applyFont="1" applyBorder="1" applyAlignment="1">
      <alignment horizontal="centerContinuous"/>
    </xf>
    <xf numFmtId="0" fontId="79" fillId="0" borderId="24" xfId="10" applyFont="1" applyBorder="1" applyAlignment="1">
      <alignment horizontal="centerContinuous"/>
    </xf>
    <xf numFmtId="0" fontId="79" fillId="0" borderId="14" xfId="10" applyFont="1" applyBorder="1" applyAlignment="1">
      <alignment horizontal="centerContinuous"/>
    </xf>
    <xf numFmtId="0" fontId="0" fillId="4" borderId="1" xfId="0" applyFill="1" applyBorder="1"/>
    <xf numFmtId="0" fontId="28" fillId="5" borderId="1" xfId="0" applyFont="1" applyFill="1" applyBorder="1"/>
    <xf numFmtId="0" fontId="28" fillId="5" borderId="1" xfId="0" applyFont="1" applyFill="1" applyBorder="1" applyAlignment="1">
      <alignment vertical="center"/>
    </xf>
    <xf numFmtId="14" fontId="105" fillId="5" borderId="1" xfId="0" applyNumberFormat="1" applyFont="1" applyFill="1" applyBorder="1" applyAlignment="1">
      <alignment horizontal="center" vertical="center"/>
    </xf>
    <xf numFmtId="0" fontId="96" fillId="5" borderId="1" xfId="0" applyFont="1" applyFill="1" applyBorder="1" applyAlignment="1">
      <alignment horizontal="center" vertical="center"/>
    </xf>
    <xf numFmtId="0" fontId="17" fillId="5" borderId="1" xfId="0" applyFont="1" applyFill="1" applyBorder="1" applyAlignment="1">
      <alignment wrapText="1"/>
    </xf>
    <xf numFmtId="0" fontId="54" fillId="9" borderId="1" xfId="0" applyFont="1" applyFill="1" applyBorder="1" applyAlignment="1">
      <alignment horizontal="left" vertical="center" wrapText="1"/>
    </xf>
    <xf numFmtId="0" fontId="28" fillId="5" borderId="1" xfId="0" applyFont="1" applyFill="1" applyBorder="1" applyAlignment="1">
      <alignment vertical="center" wrapText="1"/>
    </xf>
    <xf numFmtId="0" fontId="21" fillId="5" borderId="1" xfId="0" applyFont="1" applyFill="1" applyBorder="1" applyAlignment="1">
      <alignment vertical="top" wrapText="1"/>
    </xf>
    <xf numFmtId="0" fontId="21" fillId="5" borderId="1" xfId="0" applyFont="1" applyFill="1" applyBorder="1" applyAlignment="1">
      <alignment vertical="center" wrapText="1"/>
    </xf>
    <xf numFmtId="0" fontId="76" fillId="0" borderId="4" xfId="10" applyFont="1" applyBorder="1" applyAlignment="1">
      <alignment horizontal="left" wrapText="1"/>
    </xf>
    <xf numFmtId="0" fontId="54" fillId="7" borderId="0" xfId="0" applyFont="1" applyFill="1" applyAlignment="1">
      <alignment horizontal="center" vertical="center" wrapText="1"/>
    </xf>
    <xf numFmtId="169" fontId="80" fillId="0" borderId="1" xfId="10" applyNumberFormat="1" applyFont="1" applyBorder="1"/>
    <xf numFmtId="168" fontId="84" fillId="0" borderId="1" xfId="10" applyNumberFormat="1" applyFont="1" applyBorder="1"/>
    <xf numFmtId="166" fontId="83" fillId="0" borderId="1" xfId="11" applyNumberFormat="1" applyFont="1" applyBorder="1"/>
    <xf numFmtId="0" fontId="80" fillId="0" borderId="0" xfId="10" applyFont="1" applyAlignment="1">
      <alignment horizontal="center"/>
    </xf>
    <xf numFmtId="169" fontId="80" fillId="0" borderId="0" xfId="10" applyNumberFormat="1" applyFont="1"/>
    <xf numFmtId="169" fontId="78" fillId="0" borderId="0" xfId="10" applyNumberFormat="1" applyFont="1"/>
    <xf numFmtId="0" fontId="106" fillId="6" borderId="1" xfId="10" applyFont="1" applyFill="1" applyBorder="1" applyAlignment="1">
      <alignment horizontal="left" vertical="center"/>
    </xf>
    <xf numFmtId="0" fontId="107" fillId="6" borderId="1" xfId="10" applyFont="1" applyFill="1" applyBorder="1" applyAlignment="1">
      <alignment horizontal="right" wrapText="1"/>
    </xf>
    <xf numFmtId="0" fontId="78" fillId="0" borderId="1" xfId="10" applyFont="1" applyBorder="1" applyAlignment="1">
      <alignment horizontal="right" wrapText="1"/>
    </xf>
    <xf numFmtId="0" fontId="107" fillId="6" borderId="1" xfId="10" applyFont="1" applyFill="1" applyBorder="1" applyAlignment="1">
      <alignment horizontal="center" wrapText="1"/>
    </xf>
    <xf numFmtId="0" fontId="80" fillId="4" borderId="1" xfId="10" applyFont="1" applyFill="1" applyBorder="1" applyAlignment="1">
      <alignment vertical="center"/>
    </xf>
    <xf numFmtId="177" fontId="78" fillId="0" borderId="1" xfId="12" applyNumberFormat="1" applyFont="1" applyBorder="1"/>
    <xf numFmtId="0" fontId="78" fillId="4" borderId="1" xfId="10" applyFont="1" applyFill="1" applyBorder="1"/>
    <xf numFmtId="1" fontId="80" fillId="0" borderId="1" xfId="10" applyNumberFormat="1" applyFont="1" applyBorder="1" applyAlignment="1">
      <alignment horizontal="center" vertical="center" wrapText="1"/>
    </xf>
    <xf numFmtId="0" fontId="78" fillId="4" borderId="1" xfId="10" applyFont="1" applyFill="1" applyBorder="1" applyAlignment="1">
      <alignment wrapText="1"/>
    </xf>
    <xf numFmtId="177" fontId="78" fillId="0" borderId="0" xfId="10" applyNumberFormat="1" applyFont="1"/>
    <xf numFmtId="0" fontId="78" fillId="0" borderId="3" xfId="10" applyFont="1" applyBorder="1"/>
    <xf numFmtId="177" fontId="78" fillId="4" borderId="1" xfId="10" applyNumberFormat="1" applyFont="1" applyFill="1" applyBorder="1"/>
    <xf numFmtId="0" fontId="80" fillId="4" borderId="0" xfId="10" applyFont="1" applyFill="1"/>
    <xf numFmtId="0" fontId="80" fillId="4" borderId="0" xfId="0" applyFont="1" applyFill="1"/>
    <xf numFmtId="168" fontId="78" fillId="0" borderId="0" xfId="0" applyNumberFormat="1" applyFont="1"/>
    <xf numFmtId="174" fontId="24" fillId="0" borderId="1" xfId="11" applyNumberFormat="1" applyFont="1" applyBorder="1" applyAlignment="1">
      <alignment horizontal="center" wrapText="1"/>
    </xf>
    <xf numFmtId="174" fontId="18" fillId="0" borderId="0" xfId="10" applyNumberFormat="1" applyFont="1"/>
    <xf numFmtId="0" fontId="78" fillId="0" borderId="1" xfId="0" applyFont="1" applyBorder="1" applyAlignment="1">
      <alignment horizontal="right" wrapText="1"/>
    </xf>
    <xf numFmtId="168" fontId="78" fillId="0" borderId="1" xfId="4" applyFont="1" applyBorder="1"/>
    <xf numFmtId="0" fontId="108" fillId="0" borderId="0" xfId="0" applyFont="1"/>
    <xf numFmtId="0" fontId="78" fillId="0" borderId="1" xfId="0" applyFont="1" applyBorder="1" applyAlignment="1">
      <alignment vertical="center"/>
    </xf>
    <xf numFmtId="168" fontId="17" fillId="0" borderId="0" xfId="4"/>
    <xf numFmtId="180" fontId="0" fillId="5" borderId="0" xfId="0" applyNumberFormat="1" applyFill="1"/>
    <xf numFmtId="0" fontId="83" fillId="55" borderId="38" xfId="10" applyFont="1" applyFill="1" applyBorder="1" applyAlignment="1">
      <alignment horizontal="center" vertical="center"/>
    </xf>
    <xf numFmtId="0" fontId="17" fillId="53" borderId="38" xfId="10" applyFill="1" applyBorder="1" applyAlignment="1">
      <alignment vertical="top" wrapText="1"/>
    </xf>
    <xf numFmtId="174" fontId="0" fillId="0" borderId="38" xfId="3" applyNumberFormat="1" applyFont="1" applyFill="1" applyBorder="1" applyAlignment="1">
      <alignment vertical="center"/>
    </xf>
    <xf numFmtId="181" fontId="0" fillId="0" borderId="38" xfId="3" applyNumberFormat="1" applyFont="1" applyFill="1" applyBorder="1" applyAlignment="1">
      <alignment vertical="center"/>
    </xf>
    <xf numFmtId="0" fontId="0" fillId="0" borderId="38" xfId="0" applyBorder="1" applyAlignment="1">
      <alignment vertical="center"/>
    </xf>
    <xf numFmtId="180" fontId="54" fillId="7" borderId="38" xfId="0" applyNumberFormat="1" applyFont="1" applyFill="1" applyBorder="1" applyAlignment="1">
      <alignment horizontal="center" vertical="center" wrapText="1"/>
    </xf>
    <xf numFmtId="166" fontId="37" fillId="7" borderId="1" xfId="0" applyNumberFormat="1" applyFont="1" applyFill="1" applyBorder="1" applyAlignment="1">
      <alignment horizontal="center" vertical="center" wrapText="1"/>
    </xf>
    <xf numFmtId="166" fontId="54" fillId="5" borderId="1" xfId="0" applyNumberFormat="1" applyFont="1" applyFill="1" applyBorder="1" applyAlignment="1">
      <alignment horizontal="center" vertical="center" wrapText="1"/>
    </xf>
    <xf numFmtId="166" fontId="0" fillId="5" borderId="1" xfId="3" applyNumberFormat="1" applyFont="1" applyFill="1" applyBorder="1" applyAlignment="1">
      <alignment vertical="center"/>
    </xf>
    <xf numFmtId="166" fontId="0" fillId="0" borderId="1" xfId="3" applyNumberFormat="1" applyFont="1" applyFill="1" applyBorder="1" applyAlignment="1">
      <alignment vertical="center"/>
    </xf>
    <xf numFmtId="166" fontId="78" fillId="0" borderId="1" xfId="11" applyNumberFormat="1" applyFont="1" applyBorder="1" applyAlignment="1">
      <alignment vertical="center"/>
    </xf>
    <xf numFmtId="166" fontId="54" fillId="7" borderId="1" xfId="10" applyNumberFormat="1" applyFont="1" applyFill="1" applyBorder="1" applyAlignment="1">
      <alignment horizontal="center" vertical="center" wrapText="1"/>
    </xf>
    <xf numFmtId="166" fontId="28" fillId="5" borderId="1" xfId="0" applyNumberFormat="1" applyFont="1" applyFill="1" applyBorder="1" applyAlignment="1">
      <alignment vertical="center"/>
    </xf>
    <xf numFmtId="166" fontId="28" fillId="5" borderId="1" xfId="0" applyNumberFormat="1" applyFont="1" applyFill="1" applyBorder="1"/>
    <xf numFmtId="204" fontId="78" fillId="0" borderId="0" xfId="10" applyNumberFormat="1" applyFont="1"/>
    <xf numFmtId="205" fontId="78" fillId="0" borderId="0" xfId="10" applyNumberFormat="1" applyFont="1"/>
    <xf numFmtId="49" fontId="78" fillId="0" borderId="0" xfId="10" applyNumberFormat="1" applyFont="1"/>
    <xf numFmtId="0" fontId="17" fillId="0" borderId="1" xfId="0" applyFont="1" applyBorder="1" applyAlignment="1">
      <alignment horizontal="center" vertical="center"/>
    </xf>
    <xf numFmtId="0" fontId="84" fillId="0" borderId="19" xfId="0" applyFont="1" applyBorder="1"/>
    <xf numFmtId="166" fontId="78" fillId="0" borderId="0" xfId="0" applyNumberFormat="1" applyFont="1"/>
    <xf numFmtId="167" fontId="78" fillId="0" borderId="0" xfId="0" applyNumberFormat="1" applyFont="1"/>
    <xf numFmtId="166" fontId="54" fillId="20" borderId="1" xfId="0" applyNumberFormat="1" applyFont="1" applyFill="1" applyBorder="1" applyAlignment="1">
      <alignment horizontal="center" vertical="center" wrapText="1"/>
    </xf>
    <xf numFmtId="0" fontId="0" fillId="4" borderId="1" xfId="0" applyFill="1" applyBorder="1" applyAlignment="1">
      <alignment vertical="center"/>
    </xf>
    <xf numFmtId="168" fontId="22" fillId="0" borderId="1" xfId="12" applyFont="1" applyBorder="1"/>
    <xf numFmtId="168" fontId="83" fillId="0" borderId="10" xfId="12" applyFont="1" applyBorder="1"/>
    <xf numFmtId="0" fontId="80" fillId="0" borderId="1" xfId="10" applyFont="1" applyBorder="1" applyAlignment="1">
      <alignment horizontal="left" vertical="center" wrapText="1"/>
    </xf>
    <xf numFmtId="0" fontId="21" fillId="0" borderId="1" xfId="10" applyFont="1" applyBorder="1" applyAlignment="1">
      <alignment horizontal="center" vertical="center"/>
    </xf>
    <xf numFmtId="166" fontId="18" fillId="4" borderId="0" xfId="10" applyNumberFormat="1" applyFont="1" applyFill="1"/>
    <xf numFmtId="168" fontId="76" fillId="0" borderId="1" xfId="12" applyFont="1" applyBorder="1"/>
    <xf numFmtId="0" fontId="96" fillId="0" borderId="71" xfId="0" applyFont="1" applyBorder="1" applyAlignment="1">
      <alignment horizontal="center" vertical="center" wrapText="1"/>
    </xf>
    <xf numFmtId="14" fontId="96" fillId="0" borderId="71" xfId="0" applyNumberFormat="1" applyFont="1" applyBorder="1" applyAlignment="1">
      <alignment horizontal="center" vertical="center" wrapText="1"/>
    </xf>
    <xf numFmtId="0" fontId="111" fillId="0" borderId="71" xfId="0" applyFont="1" applyBorder="1" applyAlignment="1">
      <alignment horizontal="center" vertical="center" wrapText="1"/>
    </xf>
    <xf numFmtId="0" fontId="71" fillId="0" borderId="18" xfId="54" applyFill="1" applyBorder="1" applyAlignment="1">
      <alignment wrapText="1"/>
    </xf>
    <xf numFmtId="0" fontId="0" fillId="0" borderId="18" xfId="0" applyBorder="1"/>
    <xf numFmtId="0" fontId="96" fillId="0" borderId="1" xfId="0" applyFont="1" applyBorder="1" applyAlignment="1">
      <alignment horizontal="center" vertical="center" wrapText="1"/>
    </xf>
    <xf numFmtId="0" fontId="110" fillId="0" borderId="1" xfId="0" applyFont="1" applyBorder="1" applyAlignment="1">
      <alignment horizontal="center" vertical="top" wrapText="1" readingOrder="1"/>
    </xf>
    <xf numFmtId="14" fontId="96" fillId="0" borderId="1" xfId="0" applyNumberFormat="1" applyFont="1" applyBorder="1" applyAlignment="1">
      <alignment horizontal="center" vertical="center" wrapText="1"/>
    </xf>
    <xf numFmtId="0" fontId="96" fillId="0" borderId="1" xfId="0" applyFont="1" applyBorder="1" applyAlignment="1">
      <alignment horizontal="center" vertical="top" wrapText="1"/>
    </xf>
    <xf numFmtId="0" fontId="112" fillId="0" borderId="1" xfId="0" applyFont="1" applyBorder="1" applyAlignment="1">
      <alignment horizontal="center" vertical="center" wrapText="1"/>
    </xf>
    <xf numFmtId="0" fontId="17" fillId="0" borderId="1" xfId="0" applyFont="1" applyBorder="1" applyAlignment="1">
      <alignment vertical="center" wrapText="1"/>
    </xf>
    <xf numFmtId="176" fontId="84" fillId="0" borderId="65" xfId="47" applyNumberFormat="1" applyFont="1" applyBorder="1" applyAlignment="1">
      <alignment horizontal="center"/>
    </xf>
    <xf numFmtId="0" fontId="0" fillId="0" borderId="1" xfId="0" applyBorder="1" applyAlignment="1">
      <alignment wrapText="1"/>
    </xf>
    <xf numFmtId="175" fontId="78" fillId="0" borderId="1" xfId="11" applyNumberFormat="1" applyFont="1" applyBorder="1" applyAlignment="1"/>
    <xf numFmtId="175" fontId="78" fillId="0" borderId="0" xfId="11" applyNumberFormat="1" applyFont="1" applyBorder="1"/>
    <xf numFmtId="10" fontId="78" fillId="0" borderId="0" xfId="10" applyNumberFormat="1" applyFont="1" applyAlignment="1">
      <alignment vertical="center" wrapText="1"/>
    </xf>
    <xf numFmtId="173" fontId="78" fillId="0" borderId="0" xfId="47" applyNumberFormat="1" applyFont="1" applyBorder="1"/>
    <xf numFmtId="1" fontId="78" fillId="0" borderId="11" xfId="10" applyNumberFormat="1" applyFont="1" applyBorder="1" applyAlignment="1">
      <alignment horizontal="right" vertical="center"/>
    </xf>
    <xf numFmtId="175" fontId="83" fillId="53" borderId="0" xfId="11" applyNumberFormat="1" applyFont="1" applyFill="1" applyBorder="1"/>
    <xf numFmtId="166" fontId="83" fillId="53" borderId="0" xfId="10" applyNumberFormat="1" applyFont="1" applyFill="1"/>
    <xf numFmtId="10" fontId="83" fillId="53" borderId="0" xfId="10" applyNumberFormat="1" applyFont="1" applyFill="1" applyAlignment="1">
      <alignment vertical="center" wrapText="1"/>
    </xf>
    <xf numFmtId="173" fontId="83" fillId="53" borderId="0" xfId="47" applyNumberFormat="1" applyFont="1" applyFill="1" applyBorder="1"/>
    <xf numFmtId="1" fontId="83" fillId="53" borderId="11" xfId="10" applyNumberFormat="1" applyFont="1" applyFill="1" applyBorder="1" applyAlignment="1">
      <alignment horizontal="right" vertical="center"/>
    </xf>
    <xf numFmtId="177" fontId="78" fillId="0" borderId="1" xfId="4" applyNumberFormat="1" applyFont="1" applyBorder="1"/>
    <xf numFmtId="0" fontId="83" fillId="4" borderId="1" xfId="0" applyFont="1" applyFill="1" applyBorder="1" applyAlignment="1">
      <alignment vertical="center"/>
    </xf>
    <xf numFmtId="168" fontId="78" fillId="4" borderId="1" xfId="10" applyNumberFormat="1" applyFont="1" applyFill="1" applyBorder="1"/>
    <xf numFmtId="0" fontId="28" fillId="4" borderId="1" xfId="0" applyFont="1" applyFill="1" applyBorder="1"/>
    <xf numFmtId="1" fontId="83" fillId="0" borderId="38" xfId="0" applyNumberFormat="1" applyFont="1" applyBorder="1" applyAlignment="1">
      <alignment horizontal="center" vertical="center"/>
    </xf>
    <xf numFmtId="168" fontId="83" fillId="0" borderId="38" xfId="4" applyFont="1" applyBorder="1"/>
    <xf numFmtId="168" fontId="83" fillId="0" borderId="4" xfId="4" applyFont="1" applyBorder="1"/>
    <xf numFmtId="1" fontId="83" fillId="0" borderId="0" xfId="0" applyNumberFormat="1" applyFont="1" applyAlignment="1">
      <alignment horizontal="center" vertical="center"/>
    </xf>
    <xf numFmtId="169" fontId="83" fillId="0" borderId="42" xfId="3" applyFont="1" applyBorder="1"/>
    <xf numFmtId="169" fontId="84" fillId="0" borderId="0" xfId="3" applyFont="1"/>
    <xf numFmtId="167" fontId="84" fillId="0" borderId="0" xfId="0" applyNumberFormat="1" applyFont="1"/>
    <xf numFmtId="0" fontId="0" fillId="0" borderId="1" xfId="0" applyBorder="1" applyAlignment="1">
      <alignment horizontal="right"/>
    </xf>
    <xf numFmtId="0" fontId="0" fillId="0" borderId="1" xfId="0" applyBorder="1" applyAlignment="1">
      <alignment horizontal="right" wrapText="1"/>
    </xf>
    <xf numFmtId="169" fontId="0" fillId="0" borderId="1" xfId="3" applyFont="1" applyBorder="1" applyAlignment="1">
      <alignment horizontal="right"/>
    </xf>
    <xf numFmtId="175" fontId="78" fillId="0" borderId="1" xfId="11" applyNumberFormat="1" applyFont="1" applyBorder="1" applyAlignment="1">
      <alignment horizontal="right"/>
    </xf>
    <xf numFmtId="0" fontId="0" fillId="4" borderId="1" xfId="0" applyFill="1" applyBorder="1" applyAlignment="1">
      <alignment horizontal="right"/>
    </xf>
    <xf numFmtId="0" fontId="84" fillId="0" borderId="24" xfId="10" applyFont="1" applyBorder="1" applyAlignment="1">
      <alignment wrapText="1"/>
    </xf>
    <xf numFmtId="177" fontId="83" fillId="0" borderId="24" xfId="4" applyNumberFormat="1" applyFont="1" applyBorder="1"/>
    <xf numFmtId="0" fontId="53" fillId="4" borderId="1" xfId="0" applyFont="1" applyFill="1" applyBorder="1" applyAlignment="1">
      <alignment vertical="center"/>
    </xf>
    <xf numFmtId="14" fontId="53" fillId="60" borderId="1" xfId="0" applyNumberFormat="1" applyFont="1" applyFill="1" applyBorder="1" applyAlignment="1">
      <alignment vertical="center" wrapText="1"/>
    </xf>
    <xf numFmtId="0" fontId="78" fillId="4" borderId="1" xfId="10" applyFont="1" applyFill="1" applyBorder="1" applyAlignment="1">
      <alignment vertical="center"/>
    </xf>
    <xf numFmtId="0" fontId="76" fillId="0" borderId="1" xfId="10" applyFont="1" applyBorder="1" applyAlignment="1">
      <alignment horizontal="centerContinuous"/>
    </xf>
    <xf numFmtId="0" fontId="77" fillId="0" borderId="1" xfId="10" applyFont="1" applyBorder="1" applyAlignment="1">
      <alignment horizontal="right"/>
    </xf>
    <xf numFmtId="168" fontId="78" fillId="0" borderId="0" xfId="12" applyFont="1"/>
    <xf numFmtId="168" fontId="78" fillId="0" borderId="42" xfId="12" applyFont="1" applyBorder="1"/>
    <xf numFmtId="168" fontId="80" fillId="0" borderId="0" xfId="12" applyFont="1"/>
    <xf numFmtId="175" fontId="84" fillId="0" borderId="1" xfId="10" applyNumberFormat="1" applyFont="1" applyBorder="1" applyAlignment="1">
      <alignment horizontal="center"/>
    </xf>
    <xf numFmtId="1" fontId="78" fillId="0" borderId="3" xfId="10" applyNumberFormat="1" applyFont="1" applyBorder="1"/>
    <xf numFmtId="166" fontId="80" fillId="0" borderId="0" xfId="10" applyNumberFormat="1" applyFont="1"/>
    <xf numFmtId="0" fontId="23" fillId="0" borderId="1" xfId="0" applyFont="1" applyBorder="1" applyAlignment="1">
      <alignment vertical="center" wrapText="1"/>
    </xf>
    <xf numFmtId="0" fontId="80" fillId="0" borderId="1" xfId="10" applyFont="1" applyBorder="1" applyAlignment="1">
      <alignment horizontal="center" vertical="top" wrapText="1"/>
    </xf>
    <xf numFmtId="174" fontId="17" fillId="0" borderId="1" xfId="3" applyNumberFormat="1" applyFont="1" applyFill="1" applyBorder="1" applyAlignment="1">
      <alignment vertical="center"/>
    </xf>
    <xf numFmtId="14" fontId="53" fillId="4" borderId="1" xfId="0" applyNumberFormat="1" applyFont="1" applyFill="1" applyBorder="1" applyAlignment="1">
      <alignment horizontal="center" vertical="center"/>
    </xf>
    <xf numFmtId="168" fontId="80" fillId="0" borderId="0" xfId="0" applyNumberFormat="1" applyFont="1"/>
    <xf numFmtId="10" fontId="78" fillId="0" borderId="0" xfId="0" applyNumberFormat="1" applyFont="1"/>
    <xf numFmtId="0" fontId="80" fillId="0" borderId="1" xfId="0" applyFont="1" applyBorder="1" applyAlignment="1">
      <alignment horizontal="center" vertical="center" wrapText="1"/>
    </xf>
    <xf numFmtId="0" fontId="0" fillId="0" borderId="0" xfId="0" pivotButton="1"/>
    <xf numFmtId="0" fontId="0" fillId="0" borderId="0" xfId="0" applyAlignment="1">
      <alignment horizontal="left"/>
    </xf>
    <xf numFmtId="0" fontId="0" fillId="4" borderId="0" xfId="0" applyFill="1" applyAlignment="1">
      <alignment horizontal="left"/>
    </xf>
    <xf numFmtId="169" fontId="0" fillId="4" borderId="0" xfId="3" applyFont="1" applyFill="1"/>
    <xf numFmtId="0" fontId="0" fillId="4" borderId="0" xfId="0" applyFill="1"/>
    <xf numFmtId="169" fontId="0" fillId="5" borderId="0" xfId="3" applyFont="1" applyFill="1"/>
    <xf numFmtId="2" fontId="78" fillId="0" borderId="0" xfId="3" applyNumberFormat="1" applyFont="1"/>
    <xf numFmtId="0" fontId="80" fillId="0" borderId="1" xfId="0" applyFont="1" applyBorder="1" applyAlignment="1">
      <alignment horizontal="center" vertical="center"/>
    </xf>
    <xf numFmtId="169" fontId="80" fillId="0" borderId="1" xfId="0" applyNumberFormat="1" applyFont="1" applyBorder="1" applyAlignment="1">
      <alignment horizontal="center" vertical="center" wrapText="1"/>
    </xf>
    <xf numFmtId="0" fontId="83" fillId="0" borderId="1" xfId="0" applyFont="1" applyBorder="1" applyAlignment="1">
      <alignment horizontal="center"/>
    </xf>
    <xf numFmtId="177" fontId="78" fillId="0" borderId="1" xfId="0" applyNumberFormat="1" applyFont="1" applyBorder="1"/>
    <xf numFmtId="169" fontId="78" fillId="0" borderId="1" xfId="4" applyNumberFormat="1" applyFont="1" applyBorder="1"/>
    <xf numFmtId="14" fontId="54" fillId="6" borderId="0" xfId="0" applyNumberFormat="1" applyFont="1" applyFill="1" applyAlignment="1">
      <alignment horizontal="center" vertical="center"/>
    </xf>
    <xf numFmtId="0" fontId="0" fillId="5" borderId="18" xfId="0" applyFill="1" applyBorder="1"/>
    <xf numFmtId="166" fontId="0" fillId="0" borderId="0" xfId="0" applyNumberFormat="1"/>
    <xf numFmtId="168" fontId="37" fillId="7" borderId="1" xfId="4" applyFont="1" applyFill="1" applyBorder="1" applyAlignment="1">
      <alignment horizontal="center" vertical="center" wrapText="1"/>
    </xf>
    <xf numFmtId="168" fontId="54" fillId="7" borderId="1" xfId="4" applyFont="1" applyFill="1" applyBorder="1" applyAlignment="1">
      <alignment horizontal="center" vertical="center" wrapText="1"/>
    </xf>
    <xf numFmtId="168" fontId="54" fillId="5" borderId="1" xfId="4" applyFont="1" applyFill="1" applyBorder="1" applyAlignment="1">
      <alignment horizontal="center" vertical="center" wrapText="1"/>
    </xf>
    <xf numFmtId="168" fontId="0" fillId="5" borderId="1" xfId="4" applyFont="1" applyFill="1" applyBorder="1" applyAlignment="1">
      <alignment vertical="center"/>
    </xf>
    <xf numFmtId="168" fontId="0" fillId="0" borderId="1" xfId="4" applyFont="1" applyFill="1" applyBorder="1" applyAlignment="1">
      <alignment vertical="center"/>
    </xf>
    <xf numFmtId="168" fontId="54" fillId="20" borderId="1" xfId="4" applyFont="1" applyFill="1" applyBorder="1" applyAlignment="1">
      <alignment horizontal="center" vertical="center" wrapText="1"/>
    </xf>
    <xf numFmtId="168" fontId="0" fillId="0" borderId="1" xfId="4" applyFont="1" applyBorder="1" applyAlignment="1">
      <alignment vertical="center"/>
    </xf>
    <xf numFmtId="168" fontId="78" fillId="0" borderId="1" xfId="4" applyFont="1" applyBorder="1" applyAlignment="1">
      <alignment vertical="center"/>
    </xf>
    <xf numFmtId="168" fontId="95" fillId="7" borderId="1" xfId="4" applyFont="1" applyFill="1" applyBorder="1" applyAlignment="1">
      <alignment horizontal="center" vertical="center" wrapText="1"/>
    </xf>
    <xf numFmtId="168" fontId="28" fillId="5" borderId="1" xfId="4" applyFont="1" applyFill="1" applyBorder="1"/>
    <xf numFmtId="168" fontId="54" fillId="7" borderId="1" xfId="4" applyFont="1" applyFill="1" applyBorder="1" applyAlignment="1">
      <alignment horizontal="center" wrapText="1"/>
    </xf>
    <xf numFmtId="168" fontId="28" fillId="5" borderId="1" xfId="4" applyFont="1" applyFill="1" applyBorder="1" applyAlignment="1">
      <alignment vertical="center"/>
    </xf>
    <xf numFmtId="168" fontId="28" fillId="4" borderId="1" xfId="4" applyFont="1" applyFill="1" applyBorder="1"/>
    <xf numFmtId="206" fontId="54" fillId="8" borderId="1" xfId="0" applyNumberFormat="1" applyFont="1" applyFill="1" applyBorder="1" applyAlignment="1">
      <alignment horizontal="center" vertical="center"/>
    </xf>
    <xf numFmtId="168" fontId="49" fillId="3" borderId="69" xfId="4" applyFont="1" applyFill="1" applyBorder="1" applyAlignment="1">
      <alignment vertical="center"/>
    </xf>
    <xf numFmtId="169" fontId="78" fillId="4" borderId="0" xfId="10" applyNumberFormat="1" applyFont="1" applyFill="1"/>
    <xf numFmtId="0" fontId="107" fillId="0" borderId="0" xfId="0" applyFont="1"/>
    <xf numFmtId="0" fontId="107" fillId="0" borderId="0" xfId="0" applyFont="1" applyAlignment="1">
      <alignment horizontal="right" vertical="center"/>
    </xf>
    <xf numFmtId="0" fontId="107" fillId="0" borderId="0" xfId="0" applyFont="1" applyAlignment="1">
      <alignment horizontal="left" vertical="center"/>
    </xf>
    <xf numFmtId="0" fontId="71" fillId="0" borderId="0" xfId="54" applyAlignment="1">
      <alignment vertical="top" wrapText="1"/>
    </xf>
    <xf numFmtId="0" fontId="96" fillId="0" borderId="3" xfId="0" applyFont="1" applyBorder="1" applyAlignment="1">
      <alignment horizontal="center" vertical="center" wrapText="1"/>
    </xf>
    <xf numFmtId="0" fontId="53" fillId="6" borderId="3" xfId="0" applyFont="1" applyFill="1" applyBorder="1" applyAlignment="1">
      <alignment horizontal="center" vertical="center" wrapText="1"/>
    </xf>
    <xf numFmtId="0" fontId="0" fillId="0" borderId="3" xfId="0" applyBorder="1" applyAlignment="1">
      <alignment vertical="top"/>
    </xf>
    <xf numFmtId="14" fontId="96" fillId="0" borderId="3" xfId="0" applyNumberFormat="1" applyFont="1" applyBorder="1" applyAlignment="1">
      <alignment horizontal="center" vertical="center" wrapText="1"/>
    </xf>
    <xf numFmtId="0" fontId="23" fillId="0" borderId="3" xfId="0" applyFont="1" applyBorder="1" applyAlignment="1">
      <alignment horizontal="center" vertical="center"/>
    </xf>
    <xf numFmtId="0" fontId="17" fillId="0" borderId="3" xfId="0" applyFont="1" applyBorder="1" applyAlignment="1">
      <alignment vertical="center"/>
    </xf>
    <xf numFmtId="0" fontId="0" fillId="0" borderId="3" xfId="0" applyBorder="1" applyAlignment="1">
      <alignment vertical="center"/>
    </xf>
    <xf numFmtId="0" fontId="54" fillId="7" borderId="3" xfId="10" applyFont="1" applyFill="1" applyBorder="1" applyAlignment="1">
      <alignment horizontal="center" vertical="center" wrapText="1"/>
    </xf>
    <xf numFmtId="166" fontId="54" fillId="7" borderId="3" xfId="0" applyNumberFormat="1" applyFont="1" applyFill="1" applyBorder="1" applyAlignment="1">
      <alignment horizontal="center" vertical="center" wrapText="1"/>
    </xf>
    <xf numFmtId="181" fontId="0" fillId="0" borderId="3" xfId="3" applyNumberFormat="1" applyFont="1" applyFill="1" applyBorder="1" applyAlignment="1">
      <alignment vertical="center"/>
    </xf>
    <xf numFmtId="0" fontId="53" fillId="5" borderId="3" xfId="0" applyFont="1" applyFill="1" applyBorder="1" applyAlignment="1">
      <alignment horizontal="center" vertical="center"/>
    </xf>
    <xf numFmtId="174" fontId="0" fillId="0" borderId="3" xfId="3" applyNumberFormat="1" applyFont="1" applyFill="1" applyBorder="1" applyAlignment="1">
      <alignment vertical="center"/>
    </xf>
    <xf numFmtId="174" fontId="0" fillId="0" borderId="8" xfId="3" applyNumberFormat="1" applyFont="1" applyFill="1" applyBorder="1" applyAlignment="1">
      <alignment vertical="center"/>
    </xf>
    <xf numFmtId="0" fontId="71" fillId="0" borderId="1" xfId="54" applyBorder="1" applyAlignment="1">
      <alignment vertical="top" wrapText="1"/>
    </xf>
    <xf numFmtId="0" fontId="53" fillId="6" borderId="1" xfId="10" applyFont="1" applyFill="1" applyBorder="1" applyAlignment="1">
      <alignment vertical="top" wrapText="1"/>
    </xf>
    <xf numFmtId="0" fontId="17" fillId="0" borderId="1" xfId="0" applyFont="1" applyBorder="1" applyAlignment="1">
      <alignment horizontal="left"/>
    </xf>
    <xf numFmtId="166" fontId="17" fillId="5" borderId="0" xfId="0" applyNumberFormat="1" applyFont="1" applyFill="1"/>
    <xf numFmtId="0" fontId="17" fillId="0" borderId="0" xfId="0" applyFont="1" applyAlignment="1">
      <alignment horizontal="center" wrapText="1"/>
    </xf>
    <xf numFmtId="0" fontId="17" fillId="0" borderId="4" xfId="0" applyFont="1" applyBorder="1"/>
    <xf numFmtId="180" fontId="17" fillId="0" borderId="1" xfId="0" applyNumberFormat="1" applyFont="1" applyBorder="1"/>
    <xf numFmtId="0" fontId="17" fillId="0" borderId="7" xfId="0" applyFont="1" applyBorder="1" applyAlignment="1">
      <alignment horizontal="left" wrapText="1"/>
    </xf>
    <xf numFmtId="4" fontId="44" fillId="51" borderId="67" xfId="0" applyNumberFormat="1" applyFont="1" applyFill="1" applyBorder="1" applyAlignment="1">
      <alignment horizontal="right" vertical="top" wrapText="1"/>
    </xf>
    <xf numFmtId="180" fontId="17" fillId="0" borderId="1" xfId="0" applyNumberFormat="1" applyFont="1" applyBorder="1" applyAlignment="1">
      <alignment horizontal="center" vertical="center" wrapText="1"/>
    </xf>
    <xf numFmtId="168" fontId="17" fillId="0" borderId="1" xfId="4" applyFont="1" applyBorder="1" applyAlignment="1">
      <alignment horizontal="center" vertical="center" wrapText="1"/>
    </xf>
    <xf numFmtId="173" fontId="17" fillId="0" borderId="0" xfId="6" applyNumberFormat="1" applyFont="1"/>
    <xf numFmtId="9" fontId="17" fillId="0" borderId="0" xfId="6" applyFont="1"/>
    <xf numFmtId="168" fontId="17" fillId="0" borderId="1" xfId="4" applyFont="1" applyBorder="1"/>
    <xf numFmtId="180" fontId="17" fillId="5" borderId="1" xfId="0" applyNumberFormat="1" applyFont="1" applyFill="1" applyBorder="1"/>
    <xf numFmtId="180" fontId="17" fillId="5" borderId="4" xfId="0" applyNumberFormat="1" applyFont="1" applyFill="1" applyBorder="1"/>
    <xf numFmtId="10" fontId="17" fillId="0" borderId="12" xfId="0" applyNumberFormat="1" applyFont="1" applyBorder="1" applyAlignment="1">
      <alignment vertical="center" wrapText="1"/>
    </xf>
    <xf numFmtId="10" fontId="17" fillId="0" borderId="13" xfId="0" applyNumberFormat="1" applyFont="1" applyBorder="1" applyAlignment="1">
      <alignment vertical="center" wrapText="1"/>
    </xf>
    <xf numFmtId="10" fontId="17" fillId="0" borderId="14" xfId="0" applyNumberFormat="1" applyFont="1" applyBorder="1" applyAlignment="1">
      <alignment vertical="center" wrapText="1"/>
    </xf>
    <xf numFmtId="10" fontId="17" fillId="0" borderId="15" xfId="0" applyNumberFormat="1" applyFont="1" applyBorder="1" applyAlignment="1">
      <alignment vertical="center" wrapText="1"/>
    </xf>
    <xf numFmtId="10" fontId="17" fillId="0" borderId="11" xfId="0" applyNumberFormat="1" applyFont="1" applyBorder="1" applyAlignment="1">
      <alignment vertical="center" wrapText="1"/>
    </xf>
    <xf numFmtId="10" fontId="17" fillId="0" borderId="3" xfId="0" applyNumberFormat="1" applyFont="1" applyBorder="1" applyAlignment="1">
      <alignment vertical="center" wrapText="1"/>
    </xf>
    <xf numFmtId="10" fontId="17" fillId="0" borderId="1" xfId="0" applyNumberFormat="1" applyFont="1" applyBorder="1" applyAlignment="1">
      <alignment vertical="center" wrapText="1"/>
    </xf>
    <xf numFmtId="10" fontId="17" fillId="0" borderId="8" xfId="0" applyNumberFormat="1" applyFont="1" applyBorder="1" applyAlignment="1">
      <alignment vertical="center" wrapText="1"/>
    </xf>
    <xf numFmtId="174" fontId="17" fillId="5" borderId="1" xfId="3" applyNumberFormat="1" applyFont="1" applyFill="1" applyBorder="1" applyAlignment="1">
      <alignment vertical="center"/>
    </xf>
    <xf numFmtId="0" fontId="17" fillId="5" borderId="1" xfId="0" applyFont="1" applyFill="1" applyBorder="1" applyAlignment="1">
      <alignment vertical="center"/>
    </xf>
    <xf numFmtId="17" fontId="17" fillId="0" borderId="1" xfId="0" applyNumberFormat="1" applyFont="1" applyBorder="1" applyAlignment="1">
      <alignment vertical="center"/>
    </xf>
    <xf numFmtId="168" fontId="17" fillId="0" borderId="1" xfId="4" applyFont="1" applyBorder="1" applyAlignment="1">
      <alignment vertical="center"/>
    </xf>
    <xf numFmtId="0" fontId="115" fillId="53" borderId="0" xfId="118" applyFont="1" applyFill="1" applyAlignment="1">
      <alignment vertical="center"/>
    </xf>
    <xf numFmtId="0" fontId="18" fillId="0" borderId="3" xfId="10" applyFont="1" applyBorder="1"/>
    <xf numFmtId="172" fontId="17" fillId="0" borderId="3" xfId="10" applyNumberFormat="1" applyBorder="1"/>
    <xf numFmtId="0" fontId="17" fillId="0" borderId="3" xfId="10" applyBorder="1"/>
    <xf numFmtId="207" fontId="22" fillId="0" borderId="1" xfId="10" applyNumberFormat="1" applyFont="1" applyBorder="1"/>
    <xf numFmtId="168" fontId="84" fillId="0" borderId="4" xfId="0" applyNumberFormat="1" applyFont="1" applyBorder="1"/>
    <xf numFmtId="10" fontId="78" fillId="0" borderId="1" xfId="6" applyNumberFormat="1" applyFont="1" applyFill="1" applyBorder="1"/>
    <xf numFmtId="17" fontId="54" fillId="66" borderId="1" xfId="0" applyNumberFormat="1" applyFont="1" applyFill="1" applyBorder="1" applyAlignment="1">
      <alignment horizontal="center" vertical="center"/>
    </xf>
    <xf numFmtId="0" fontId="54" fillId="12" borderId="1" xfId="0" applyFont="1" applyFill="1" applyBorder="1" applyAlignment="1">
      <alignment vertical="top" wrapText="1"/>
    </xf>
    <xf numFmtId="175" fontId="77" fillId="0" borderId="18" xfId="0" applyNumberFormat="1" applyFont="1" applyBorder="1"/>
    <xf numFmtId="0" fontId="76" fillId="0" borderId="63" xfId="10" applyFont="1" applyBorder="1" applyAlignment="1">
      <alignment horizontal="left"/>
    </xf>
    <xf numFmtId="0" fontId="53" fillId="5" borderId="18" xfId="0" applyFont="1" applyFill="1" applyBorder="1" applyAlignment="1">
      <alignment horizontal="center" vertical="center"/>
    </xf>
    <xf numFmtId="0" fontId="17" fillId="0" borderId="18" xfId="0" applyFont="1" applyBorder="1" applyAlignment="1">
      <alignment horizontal="center" vertical="center"/>
    </xf>
    <xf numFmtId="0" fontId="53" fillId="5" borderId="0" xfId="0" applyFont="1" applyFill="1" applyAlignment="1">
      <alignment horizontal="center" vertical="center"/>
    </xf>
    <xf numFmtId="0" fontId="71" fillId="5" borderId="18" xfId="54" applyFill="1" applyBorder="1" applyAlignment="1">
      <alignment vertical="center" wrapText="1"/>
    </xf>
    <xf numFmtId="0" fontId="71" fillId="5" borderId="18" xfId="54" applyFill="1" applyBorder="1" applyAlignment="1">
      <alignment wrapText="1"/>
    </xf>
    <xf numFmtId="14" fontId="53" fillId="6" borderId="1" xfId="0" applyNumberFormat="1" applyFont="1" applyFill="1" applyBorder="1" applyAlignment="1">
      <alignment vertical="center" wrapText="1"/>
    </xf>
    <xf numFmtId="168" fontId="79" fillId="0" borderId="1" xfId="10" applyNumberFormat="1" applyFont="1" applyBorder="1"/>
    <xf numFmtId="0" fontId="24" fillId="0" borderId="1" xfId="10" applyFont="1" applyBorder="1" applyAlignment="1">
      <alignment horizontal="center" vertical="center"/>
    </xf>
    <xf numFmtId="0" fontId="24" fillId="0" borderId="1" xfId="10" applyFont="1" applyBorder="1" applyAlignment="1">
      <alignment horizontal="center" vertical="center" wrapText="1"/>
    </xf>
    <xf numFmtId="3" fontId="22" fillId="0" borderId="14" xfId="10" applyNumberFormat="1" applyFont="1" applyBorder="1" applyAlignment="1">
      <alignment horizontal="center" vertical="center"/>
    </xf>
    <xf numFmtId="3" fontId="22" fillId="0" borderId="24" xfId="10" applyNumberFormat="1" applyFont="1" applyBorder="1" applyAlignment="1">
      <alignment horizontal="center" vertical="center"/>
    </xf>
    <xf numFmtId="3" fontId="22" fillId="0" borderId="18" xfId="10" applyNumberFormat="1" applyFont="1" applyBorder="1" applyAlignment="1">
      <alignment horizontal="center" vertical="center"/>
    </xf>
    <xf numFmtId="174" fontId="21" fillId="0" borderId="16" xfId="3" applyNumberFormat="1" applyFont="1" applyBorder="1" applyAlignment="1">
      <alignment horizontal="center"/>
    </xf>
    <xf numFmtId="174" fontId="21" fillId="0" borderId="7" xfId="3" applyNumberFormat="1" applyFont="1" applyBorder="1" applyAlignment="1">
      <alignment horizontal="center"/>
    </xf>
    <xf numFmtId="174" fontId="21" fillId="0" borderId="21" xfId="3" applyNumberFormat="1" applyFont="1" applyBorder="1" applyAlignment="1">
      <alignment horizontal="center"/>
    </xf>
    <xf numFmtId="0" fontId="18" fillId="0" borderId="1" xfId="0" applyFont="1" applyBorder="1" applyAlignment="1">
      <alignment horizontal="center"/>
    </xf>
    <xf numFmtId="0" fontId="18" fillId="0" borderId="14" xfId="10" applyFont="1" applyBorder="1" applyAlignment="1">
      <alignment horizontal="center" vertical="center" wrapText="1"/>
    </xf>
    <xf numFmtId="0" fontId="18" fillId="0" borderId="24" xfId="10" applyFont="1" applyBorder="1" applyAlignment="1">
      <alignment horizontal="center" vertical="center" wrapText="1"/>
    </xf>
    <xf numFmtId="0" fontId="18" fillId="0" borderId="18" xfId="10" applyFont="1" applyBorder="1" applyAlignment="1">
      <alignment horizontal="center" vertical="center" wrapText="1"/>
    </xf>
    <xf numFmtId="174" fontId="18" fillId="0" borderId="1" xfId="0" applyNumberFormat="1" applyFont="1" applyBorder="1" applyAlignment="1">
      <alignment horizontal="center" wrapText="1"/>
    </xf>
    <xf numFmtId="0" fontId="18" fillId="0" borderId="14" xfId="10" applyFont="1" applyBorder="1" applyAlignment="1">
      <alignment horizontal="center"/>
    </xf>
    <xf numFmtId="0" fontId="18" fillId="0" borderId="24" xfId="10" applyFont="1" applyBorder="1" applyAlignment="1">
      <alignment horizontal="center"/>
    </xf>
    <xf numFmtId="0" fontId="18" fillId="0" borderId="18" xfId="10" applyFont="1" applyBorder="1" applyAlignment="1">
      <alignment horizontal="center"/>
    </xf>
    <xf numFmtId="0" fontId="18" fillId="0" borderId="2" xfId="0" applyFont="1" applyBorder="1" applyAlignment="1">
      <alignment horizontal="center" wrapText="1"/>
    </xf>
    <xf numFmtId="0" fontId="84" fillId="0" borderId="1" xfId="0" applyFont="1" applyBorder="1" applyAlignment="1">
      <alignment horizontal="center" vertical="center"/>
    </xf>
    <xf numFmtId="0" fontId="84" fillId="0" borderId="1" xfId="0" applyFont="1" applyBorder="1" applyAlignment="1">
      <alignment horizontal="center"/>
    </xf>
    <xf numFmtId="0" fontId="24" fillId="0" borderId="1" xfId="0" applyFont="1" applyBorder="1" applyAlignment="1">
      <alignment horizontal="center"/>
    </xf>
    <xf numFmtId="3" fontId="18" fillId="0" borderId="24" xfId="10" applyNumberFormat="1" applyFont="1" applyBorder="1" applyAlignment="1">
      <alignment horizontal="center" wrapText="1"/>
    </xf>
    <xf numFmtId="3" fontId="18" fillId="0" borderId="18" xfId="10" applyNumberFormat="1" applyFont="1" applyBorder="1" applyAlignment="1">
      <alignment horizontal="center" wrapText="1"/>
    </xf>
    <xf numFmtId="3" fontId="24" fillId="0" borderId="1" xfId="10" applyNumberFormat="1" applyFont="1" applyBorder="1" applyAlignment="1">
      <alignment horizontal="center"/>
    </xf>
    <xf numFmtId="3" fontId="18" fillId="0" borderId="2" xfId="10" applyNumberFormat="1" applyFont="1" applyBorder="1" applyAlignment="1">
      <alignment horizontal="center"/>
    </xf>
    <xf numFmtId="3" fontId="18" fillId="0" borderId="19" xfId="10" applyNumberFormat="1" applyFont="1" applyBorder="1" applyAlignment="1">
      <alignment horizontal="center"/>
    </xf>
    <xf numFmtId="3" fontId="24" fillId="0" borderId="14" xfId="10" applyNumberFormat="1" applyFont="1" applyBorder="1" applyAlignment="1">
      <alignment horizontal="center"/>
    </xf>
    <xf numFmtId="3" fontId="24" fillId="0" borderId="24" xfId="10" applyNumberFormat="1" applyFont="1" applyBorder="1" applyAlignment="1">
      <alignment horizontal="center"/>
    </xf>
    <xf numFmtId="3" fontId="24" fillId="0" borderId="18" xfId="10" applyNumberFormat="1" applyFont="1" applyBorder="1" applyAlignment="1">
      <alignment horizontal="center"/>
    </xf>
    <xf numFmtId="0" fontId="22" fillId="0" borderId="1" xfId="10" applyFont="1" applyBorder="1" applyAlignment="1">
      <alignment horizontal="center" wrapText="1"/>
    </xf>
    <xf numFmtId="0" fontId="84" fillId="0" borderId="14" xfId="10" applyFont="1" applyBorder="1" applyAlignment="1">
      <alignment horizontal="center" vertical="center" wrapText="1"/>
    </xf>
    <xf numFmtId="0" fontId="84" fillId="0" borderId="18" xfId="10" applyFont="1" applyBorder="1" applyAlignment="1">
      <alignment horizontal="center" vertical="center" wrapText="1"/>
    </xf>
    <xf numFmtId="0" fontId="83" fillId="0" borderId="14" xfId="0" applyFont="1" applyBorder="1" applyAlignment="1">
      <alignment horizontal="center" wrapText="1"/>
    </xf>
    <xf numFmtId="0" fontId="83" fillId="0" borderId="18" xfId="0" applyFont="1" applyBorder="1" applyAlignment="1">
      <alignment horizontal="center" wrapText="1"/>
    </xf>
    <xf numFmtId="0" fontId="18" fillId="0" borderId="1" xfId="10" applyFont="1" applyBorder="1" applyAlignment="1">
      <alignment horizontal="center"/>
    </xf>
    <xf numFmtId="177" fontId="18" fillId="5" borderId="17" xfId="10" applyNumberFormat="1" applyFont="1" applyFill="1" applyBorder="1" applyAlignment="1">
      <alignment horizontal="center"/>
    </xf>
    <xf numFmtId="177" fontId="18" fillId="5" borderId="6" xfId="10" applyNumberFormat="1" applyFont="1" applyFill="1" applyBorder="1" applyAlignment="1">
      <alignment horizontal="center"/>
    </xf>
    <xf numFmtId="177" fontId="18" fillId="5" borderId="9" xfId="10" applyNumberFormat="1" applyFont="1" applyFill="1" applyBorder="1" applyAlignment="1">
      <alignment horizontal="center"/>
    </xf>
    <xf numFmtId="0" fontId="24" fillId="0" borderId="1" xfId="10" applyFont="1" applyBorder="1" applyAlignment="1">
      <alignment horizontal="center"/>
    </xf>
    <xf numFmtId="0" fontId="84" fillId="0" borderId="1" xfId="0" applyFont="1" applyBorder="1" applyAlignment="1">
      <alignment horizontal="center" wrapText="1"/>
    </xf>
    <xf numFmtId="0" fontId="84" fillId="0" borderId="16" xfId="10" applyFont="1" applyBorder="1" applyAlignment="1">
      <alignment horizontal="center"/>
    </xf>
    <xf numFmtId="0" fontId="84" fillId="0" borderId="7" xfId="10" applyFont="1" applyBorder="1" applyAlignment="1">
      <alignment horizontal="center"/>
    </xf>
    <xf numFmtId="0" fontId="84" fillId="0" borderId="21" xfId="10" applyFont="1" applyBorder="1" applyAlignment="1">
      <alignment horizontal="center"/>
    </xf>
    <xf numFmtId="0" fontId="83" fillId="0" borderId="14" xfId="10" applyFont="1" applyBorder="1" applyAlignment="1">
      <alignment horizontal="left"/>
    </xf>
    <xf numFmtId="0" fontId="83" fillId="0" borderId="18" xfId="10" applyFont="1" applyBorder="1" applyAlignment="1">
      <alignment horizontal="left"/>
    </xf>
    <xf numFmtId="0" fontId="84" fillId="0" borderId="6" xfId="0" applyFont="1" applyBorder="1" applyAlignment="1">
      <alignment horizontal="center" vertical="center" wrapText="1"/>
    </xf>
    <xf numFmtId="0" fontId="22" fillId="0" borderId="16" xfId="5" applyFont="1" applyBorder="1" applyAlignment="1">
      <alignment horizontal="center"/>
    </xf>
    <xf numFmtId="0" fontId="22" fillId="0" borderId="7" xfId="5" applyFont="1" applyBorder="1" applyAlignment="1">
      <alignment horizontal="center"/>
    </xf>
    <xf numFmtId="0" fontId="22" fillId="0" borderId="21" xfId="5" applyFont="1" applyBorder="1" applyAlignment="1">
      <alignment horizontal="center"/>
    </xf>
    <xf numFmtId="0" fontId="21" fillId="0" borderId="14" xfId="5" applyFont="1" applyBorder="1" applyAlignment="1">
      <alignment horizontal="left"/>
    </xf>
    <xf numFmtId="0" fontId="21" fillId="0" borderId="18" xfId="5" applyFont="1" applyBorder="1" applyAlignment="1">
      <alignment horizontal="left"/>
    </xf>
    <xf numFmtId="0" fontId="84" fillId="0" borderId="1" xfId="10" applyFont="1" applyBorder="1" applyAlignment="1">
      <alignment horizontal="center"/>
    </xf>
    <xf numFmtId="0" fontId="84" fillId="0" borderId="43" xfId="10" applyFont="1" applyBorder="1" applyAlignment="1">
      <alignment horizontal="center"/>
    </xf>
    <xf numFmtId="0" fontId="84" fillId="0" borderId="27" xfId="10" applyFont="1" applyBorder="1" applyAlignment="1">
      <alignment horizontal="center"/>
    </xf>
    <xf numFmtId="0" fontId="84" fillId="0" borderId="26" xfId="10" applyFont="1" applyBorder="1" applyAlignment="1">
      <alignment horizontal="center"/>
    </xf>
    <xf numFmtId="0" fontId="83" fillId="0" borderId="34" xfId="10" applyFont="1" applyBorder="1" applyAlignment="1">
      <alignment horizontal="left" wrapText="1"/>
    </xf>
    <xf numFmtId="0" fontId="83" fillId="0" borderId="33" xfId="10" applyFont="1" applyBorder="1" applyAlignment="1">
      <alignment horizontal="left" wrapText="1"/>
    </xf>
    <xf numFmtId="0" fontId="83" fillId="0" borderId="32" xfId="10" applyFont="1" applyBorder="1" applyAlignment="1">
      <alignment horizontal="left" wrapText="1"/>
    </xf>
    <xf numFmtId="0" fontId="83" fillId="0" borderId="30" xfId="10" applyFont="1" applyBorder="1" applyAlignment="1">
      <alignment horizontal="left"/>
    </xf>
    <xf numFmtId="0" fontId="83" fillId="0" borderId="24" xfId="10" applyFont="1" applyBorder="1" applyAlignment="1">
      <alignment horizontal="left"/>
    </xf>
    <xf numFmtId="0" fontId="83" fillId="0" borderId="0" xfId="5" applyFont="1" applyAlignment="1">
      <alignment horizontal="center" vertical="center" wrapText="1"/>
    </xf>
    <xf numFmtId="0" fontId="83" fillId="0" borderId="14" xfId="5" applyFont="1" applyBorder="1" applyAlignment="1">
      <alignment horizontal="center"/>
    </xf>
    <xf numFmtId="0" fontId="83" fillId="0" borderId="24" xfId="5" applyFont="1" applyBorder="1" applyAlignment="1">
      <alignment horizontal="center"/>
    </xf>
    <xf numFmtId="0" fontId="83" fillId="0" borderId="18" xfId="5" applyFont="1" applyBorder="1" applyAlignment="1">
      <alignment horizontal="center"/>
    </xf>
    <xf numFmtId="0" fontId="84" fillId="0" borderId="14" xfId="10" applyFont="1" applyBorder="1" applyAlignment="1">
      <alignment horizontal="center"/>
    </xf>
    <xf numFmtId="0" fontId="84" fillId="0" borderId="18" xfId="10" applyFont="1" applyBorder="1" applyAlignment="1">
      <alignment horizontal="center"/>
    </xf>
    <xf numFmtId="1" fontId="84" fillId="0" borderId="1" xfId="5" applyNumberFormat="1" applyFont="1" applyBorder="1" applyAlignment="1">
      <alignment horizontal="center"/>
    </xf>
    <xf numFmtId="0" fontId="84" fillId="0" borderId="1" xfId="5" applyFont="1" applyBorder="1" applyAlignment="1">
      <alignment horizontal="center" wrapText="1"/>
    </xf>
    <xf numFmtId="0" fontId="84" fillId="0" borderId="1" xfId="5" applyFont="1" applyBorder="1" applyAlignment="1">
      <alignment horizontal="center"/>
    </xf>
    <xf numFmtId="0" fontId="22" fillId="0" borderId="43" xfId="5" applyFont="1" applyBorder="1" applyAlignment="1">
      <alignment horizontal="center"/>
    </xf>
    <xf numFmtId="0" fontId="22" fillId="0" borderId="27" xfId="5" applyFont="1" applyBorder="1" applyAlignment="1">
      <alignment horizontal="center"/>
    </xf>
    <xf numFmtId="0" fontId="22" fillId="0" borderId="26" xfId="5" applyFont="1" applyBorder="1" applyAlignment="1">
      <alignment horizontal="center"/>
    </xf>
    <xf numFmtId="0" fontId="84" fillId="5" borderId="14" xfId="10" applyFont="1" applyFill="1" applyBorder="1" applyAlignment="1">
      <alignment horizontal="center" vertical="center" wrapText="1"/>
    </xf>
    <xf numFmtId="0" fontId="84" fillId="5" borderId="18" xfId="10" applyFont="1" applyFill="1" applyBorder="1" applyAlignment="1">
      <alignment horizontal="center" vertical="center" wrapText="1"/>
    </xf>
    <xf numFmtId="1" fontId="84" fillId="5" borderId="1" xfId="10" applyNumberFormat="1" applyFont="1" applyFill="1" applyBorder="1" applyAlignment="1">
      <alignment horizontal="center" wrapText="1"/>
    </xf>
    <xf numFmtId="0" fontId="84" fillId="5" borderId="1" xfId="10" applyFont="1" applyFill="1" applyBorder="1" applyAlignment="1">
      <alignment horizontal="center"/>
    </xf>
    <xf numFmtId="0" fontId="78" fillId="0" borderId="14" xfId="10" applyFont="1" applyBorder="1" applyAlignment="1">
      <alignment horizontal="center"/>
    </xf>
    <xf numFmtId="0" fontId="78" fillId="0" borderId="18" xfId="10" applyFont="1" applyBorder="1" applyAlignment="1">
      <alignment horizontal="center"/>
    </xf>
    <xf numFmtId="174" fontId="84" fillId="5" borderId="1" xfId="71" applyNumberFormat="1" applyFont="1" applyFill="1" applyBorder="1" applyAlignment="1">
      <alignment horizontal="center"/>
    </xf>
    <xf numFmtId="0" fontId="84" fillId="4" borderId="1" xfId="10" applyFont="1" applyFill="1" applyBorder="1" applyAlignment="1">
      <alignment horizontal="center" wrapText="1"/>
    </xf>
    <xf numFmtId="0" fontId="18" fillId="5" borderId="3" xfId="10" applyFont="1" applyFill="1" applyBorder="1" applyAlignment="1">
      <alignment horizontal="center" vertical="center" wrapText="1"/>
    </xf>
    <xf numFmtId="0" fontId="18" fillId="5" borderId="4" xfId="10" applyFont="1" applyFill="1" applyBorder="1" applyAlignment="1">
      <alignment horizontal="center" vertical="center" wrapText="1"/>
    </xf>
    <xf numFmtId="0" fontId="80" fillId="4" borderId="1" xfId="10" applyFont="1" applyFill="1" applyBorder="1" applyAlignment="1">
      <alignment horizontal="center" wrapText="1"/>
    </xf>
    <xf numFmtId="0" fontId="18" fillId="4" borderId="1" xfId="10" applyFont="1" applyFill="1" applyBorder="1" applyAlignment="1">
      <alignment horizontal="center" vertical="center" wrapText="1"/>
    </xf>
    <xf numFmtId="0" fontId="83" fillId="5" borderId="14" xfId="10" applyFont="1" applyFill="1" applyBorder="1" applyAlignment="1">
      <alignment horizontal="center"/>
    </xf>
    <xf numFmtId="0" fontId="83" fillId="5" borderId="24" xfId="10" applyFont="1" applyFill="1" applyBorder="1" applyAlignment="1">
      <alignment horizontal="center"/>
    </xf>
    <xf numFmtId="0" fontId="83" fillId="5" borderId="18" xfId="10" applyFont="1" applyFill="1" applyBorder="1" applyAlignment="1">
      <alignment horizontal="center"/>
    </xf>
    <xf numFmtId="1" fontId="84" fillId="5" borderId="1" xfId="5" applyNumberFormat="1" applyFont="1" applyFill="1" applyBorder="1" applyAlignment="1">
      <alignment horizontal="center" wrapText="1"/>
    </xf>
    <xf numFmtId="0" fontId="84" fillId="5" borderId="1" xfId="0" applyFont="1" applyFill="1" applyBorder="1" applyAlignment="1">
      <alignment horizontal="center"/>
    </xf>
    <xf numFmtId="0" fontId="78" fillId="0" borderId="14" xfId="0" applyFont="1" applyBorder="1" applyAlignment="1">
      <alignment horizontal="center"/>
    </xf>
    <xf numFmtId="0" fontId="78" fillId="0" borderId="18" xfId="0" applyFont="1" applyBorder="1" applyAlignment="1">
      <alignment horizontal="center"/>
    </xf>
    <xf numFmtId="0" fontId="83" fillId="5" borderId="14" xfId="5" applyFont="1" applyFill="1" applyBorder="1" applyAlignment="1">
      <alignment horizontal="center"/>
    </xf>
    <xf numFmtId="0" fontId="83" fillId="5" borderId="24" xfId="5" applyFont="1" applyFill="1" applyBorder="1" applyAlignment="1">
      <alignment horizontal="center"/>
    </xf>
    <xf numFmtId="0" fontId="83" fillId="5" borderId="18" xfId="5" applyFont="1" applyFill="1" applyBorder="1" applyAlignment="1">
      <alignment horizontal="center"/>
    </xf>
    <xf numFmtId="174" fontId="84" fillId="5" borderId="1" xfId="3" applyNumberFormat="1" applyFont="1" applyFill="1" applyBorder="1" applyAlignment="1">
      <alignment horizontal="center"/>
    </xf>
    <xf numFmtId="0" fontId="84" fillId="5" borderId="14" xfId="0" applyFont="1" applyFill="1" applyBorder="1" applyAlignment="1">
      <alignment horizontal="center" vertical="center" wrapText="1"/>
    </xf>
    <xf numFmtId="0" fontId="84" fillId="5" borderId="18" xfId="0" applyFont="1" applyFill="1" applyBorder="1" applyAlignment="1">
      <alignment horizontal="center" vertical="center" wrapText="1"/>
    </xf>
    <xf numFmtId="0" fontId="22" fillId="0" borderId="44" xfId="5" applyFont="1" applyBorder="1" applyAlignment="1">
      <alignment horizontal="center"/>
    </xf>
    <xf numFmtId="0" fontId="22" fillId="0" borderId="45" xfId="5" applyFont="1" applyBorder="1" applyAlignment="1">
      <alignment horizontal="center"/>
    </xf>
    <xf numFmtId="0" fontId="22" fillId="0" borderId="55" xfId="5" applyFont="1" applyBorder="1" applyAlignment="1">
      <alignment horizontal="center"/>
    </xf>
    <xf numFmtId="173" fontId="84" fillId="5" borderId="1" xfId="0" applyNumberFormat="1" applyFont="1" applyFill="1" applyBorder="1" applyAlignment="1">
      <alignment horizontal="center" vertical="center"/>
    </xf>
    <xf numFmtId="0" fontId="22" fillId="0" borderId="44" xfId="5" applyFont="1" applyBorder="1" applyAlignment="1">
      <alignment wrapText="1"/>
    </xf>
    <xf numFmtId="0" fontId="22" fillId="0" borderId="45" xfId="5" applyFont="1" applyBorder="1" applyAlignment="1">
      <alignment wrapText="1"/>
    </xf>
    <xf numFmtId="0" fontId="22" fillId="0" borderId="55" xfId="5" applyFont="1" applyBorder="1" applyAlignment="1">
      <alignment wrapText="1"/>
    </xf>
    <xf numFmtId="0" fontId="84" fillId="0" borderId="14" xfId="0" applyFont="1" applyBorder="1" applyAlignment="1">
      <alignment horizontal="center"/>
    </xf>
    <xf numFmtId="0" fontId="84" fillId="0" borderId="24" xfId="0" applyFont="1" applyBorder="1" applyAlignment="1">
      <alignment horizontal="center"/>
    </xf>
    <xf numFmtId="0" fontId="84" fillId="0" borderId="18" xfId="0" applyFont="1" applyBorder="1" applyAlignment="1">
      <alignment horizontal="center"/>
    </xf>
    <xf numFmtId="0" fontId="22" fillId="0" borderId="44" xfId="5" applyFont="1" applyBorder="1" applyAlignment="1">
      <alignment horizontal="left" wrapText="1"/>
    </xf>
    <xf numFmtId="0" fontId="22" fillId="0" borderId="45" xfId="5" applyFont="1" applyBorder="1" applyAlignment="1">
      <alignment horizontal="left" wrapText="1"/>
    </xf>
    <xf numFmtId="0" fontId="22" fillId="0" borderId="55" xfId="5" applyFont="1" applyBorder="1" applyAlignment="1">
      <alignment horizontal="left" wrapText="1"/>
    </xf>
    <xf numFmtId="0" fontId="72" fillId="0" borderId="14" xfId="0" applyFont="1" applyBorder="1" applyAlignment="1">
      <alignment horizontal="center"/>
    </xf>
    <xf numFmtId="0" fontId="72" fillId="0" borderId="24" xfId="0" applyFont="1" applyBorder="1" applyAlignment="1">
      <alignment horizontal="center"/>
    </xf>
    <xf numFmtId="0" fontId="72" fillId="0" borderId="18" xfId="0" applyFont="1" applyBorder="1" applyAlignment="1">
      <alignment horizontal="center"/>
    </xf>
    <xf numFmtId="173" fontId="20" fillId="5" borderId="3" xfId="0" applyNumberFormat="1" applyFont="1" applyFill="1" applyBorder="1" applyAlignment="1">
      <alignment horizontal="center" vertical="center"/>
    </xf>
    <xf numFmtId="173" fontId="20" fillId="5" borderId="1" xfId="0" applyNumberFormat="1" applyFont="1" applyFill="1" applyBorder="1" applyAlignment="1">
      <alignment horizontal="center" vertical="center"/>
    </xf>
    <xf numFmtId="1" fontId="22" fillId="0" borderId="7" xfId="10" applyNumberFormat="1" applyFont="1" applyBorder="1" applyAlignment="1">
      <alignment horizontal="center" wrapText="1"/>
    </xf>
    <xf numFmtId="1" fontId="22" fillId="0" borderId="21" xfId="10" applyNumberFormat="1" applyFont="1" applyBorder="1" applyAlignment="1">
      <alignment horizontal="center" wrapText="1"/>
    </xf>
    <xf numFmtId="0" fontId="84" fillId="0" borderId="43" xfId="10" applyFont="1" applyBorder="1" applyAlignment="1">
      <alignment horizontal="left"/>
    </xf>
    <xf numFmtId="0" fontId="84" fillId="0" borderId="27" xfId="10" applyFont="1" applyBorder="1" applyAlignment="1">
      <alignment horizontal="left"/>
    </xf>
    <xf numFmtId="0" fontId="84" fillId="0" borderId="26" xfId="10" applyFont="1" applyBorder="1" applyAlignment="1">
      <alignment horizontal="left"/>
    </xf>
    <xf numFmtId="0" fontId="17" fillId="0" borderId="0" xfId="10" applyAlignment="1">
      <alignment horizontal="center" vertical="center" wrapText="1"/>
    </xf>
    <xf numFmtId="3" fontId="84" fillId="0" borderId="1" xfId="10" applyNumberFormat="1" applyFont="1" applyBorder="1" applyAlignment="1">
      <alignment horizontal="center"/>
    </xf>
    <xf numFmtId="0" fontId="84" fillId="0" borderId="2" xfId="10" applyFont="1" applyBorder="1" applyAlignment="1">
      <alignment horizontal="left"/>
    </xf>
    <xf numFmtId="0" fontId="80" fillId="0" borderId="1" xfId="10" applyFont="1" applyBorder="1" applyAlignment="1">
      <alignment horizontal="center"/>
    </xf>
    <xf numFmtId="0" fontId="76" fillId="0" borderId="14" xfId="10" applyFont="1" applyBorder="1" applyAlignment="1">
      <alignment horizontal="center"/>
    </xf>
    <xf numFmtId="0" fontId="76" fillId="0" borderId="24" xfId="10" applyFont="1" applyBorder="1" applyAlignment="1">
      <alignment horizontal="center"/>
    </xf>
    <xf numFmtId="0" fontId="76" fillId="0" borderId="18" xfId="10" applyFont="1" applyBorder="1" applyAlignment="1">
      <alignment horizontal="center"/>
    </xf>
    <xf numFmtId="0" fontId="80" fillId="0" borderId="14" xfId="10" applyFont="1" applyBorder="1" applyAlignment="1">
      <alignment horizontal="center"/>
    </xf>
    <xf numFmtId="0" fontId="80" fillId="0" borderId="24" xfId="10" applyFont="1" applyBorder="1" applyAlignment="1">
      <alignment horizontal="center"/>
    </xf>
    <xf numFmtId="0" fontId="80" fillId="0" borderId="18" xfId="10" applyFont="1" applyBorder="1" applyAlignment="1">
      <alignment horizontal="center"/>
    </xf>
    <xf numFmtId="0" fontId="80" fillId="0" borderId="17" xfId="10" applyFont="1" applyBorder="1" applyAlignment="1">
      <alignment horizontal="center" vertical="center" wrapText="1"/>
    </xf>
    <xf numFmtId="0" fontId="80" fillId="0" borderId="9" xfId="10" applyFont="1" applyBorder="1" applyAlignment="1">
      <alignment horizontal="center" vertical="center" wrapText="1"/>
    </xf>
    <xf numFmtId="0" fontId="76" fillId="0" borderId="1" xfId="0" applyFont="1" applyBorder="1" applyAlignment="1">
      <alignment horizontal="center"/>
    </xf>
    <xf numFmtId="1" fontId="76" fillId="0" borderId="1" xfId="0" applyNumberFormat="1" applyFont="1" applyBorder="1" applyAlignment="1">
      <alignment horizontal="center"/>
    </xf>
    <xf numFmtId="1" fontId="84" fillId="0" borderId="1" xfId="0" applyNumberFormat="1" applyFont="1" applyBorder="1" applyAlignment="1">
      <alignment horizontal="center"/>
    </xf>
    <xf numFmtId="0" fontId="76" fillId="0" borderId="14" xfId="10" applyFont="1" applyBorder="1" applyAlignment="1">
      <alignment horizontal="left"/>
    </xf>
    <xf numFmtId="0" fontId="76" fillId="0" borderId="24" xfId="10" applyFont="1" applyBorder="1" applyAlignment="1">
      <alignment horizontal="left"/>
    </xf>
    <xf numFmtId="0" fontId="76" fillId="0" borderId="1" xfId="0" applyFont="1" applyBorder="1" applyAlignment="1">
      <alignment horizontal="center" wrapText="1"/>
    </xf>
    <xf numFmtId="0" fontId="76" fillId="0" borderId="14" xfId="10" applyFont="1" applyBorder="1" applyAlignment="1">
      <alignment horizontal="center" vertical="center" wrapText="1"/>
    </xf>
    <xf numFmtId="0" fontId="76" fillId="0" borderId="18" xfId="10" applyFont="1" applyBorder="1" applyAlignment="1">
      <alignment horizontal="center" vertical="center" wrapText="1"/>
    </xf>
    <xf numFmtId="0" fontId="83" fillId="5" borderId="1" xfId="5" applyFont="1" applyFill="1" applyBorder="1" applyAlignment="1">
      <alignment horizontal="center"/>
    </xf>
    <xf numFmtId="0" fontId="84" fillId="0" borderId="24" xfId="10" applyFont="1" applyBorder="1" applyAlignment="1">
      <alignment horizontal="center"/>
    </xf>
    <xf numFmtId="174" fontId="83" fillId="0" borderId="1" xfId="10" applyNumberFormat="1" applyFont="1" applyBorder="1" applyAlignment="1">
      <alignment horizontal="center"/>
    </xf>
    <xf numFmtId="0" fontId="84" fillId="0" borderId="2" xfId="10" applyFont="1" applyBorder="1" applyAlignment="1">
      <alignment horizontal="center"/>
    </xf>
    <xf numFmtId="0" fontId="84" fillId="0" borderId="0" xfId="10" applyFont="1" applyAlignment="1">
      <alignment horizontal="center"/>
    </xf>
    <xf numFmtId="0" fontId="84" fillId="0" borderId="42" xfId="10" applyFont="1" applyBorder="1" applyAlignment="1">
      <alignment horizontal="center"/>
    </xf>
    <xf numFmtId="0" fontId="84" fillId="0" borderId="1" xfId="10" applyFont="1" applyBorder="1" applyAlignment="1">
      <alignment horizontal="center" wrapText="1"/>
    </xf>
    <xf numFmtId="0" fontId="84" fillId="0" borderId="14" xfId="10" applyFont="1" applyBorder="1" applyAlignment="1">
      <alignment horizontal="center" wrapText="1"/>
    </xf>
    <xf numFmtId="0" fontId="84" fillId="0" borderId="18" xfId="10" applyFont="1" applyBorder="1" applyAlignment="1">
      <alignment horizontal="center" wrapText="1"/>
    </xf>
    <xf numFmtId="174" fontId="83" fillId="0" borderId="16" xfId="10" applyNumberFormat="1" applyFont="1" applyBorder="1" applyAlignment="1">
      <alignment horizontal="center"/>
    </xf>
    <xf numFmtId="174" fontId="83" fillId="0" borderId="7" xfId="10" applyNumberFormat="1" applyFont="1" applyBorder="1" applyAlignment="1">
      <alignment horizontal="center"/>
    </xf>
    <xf numFmtId="174" fontId="83" fillId="0" borderId="21" xfId="10" applyNumberFormat="1" applyFont="1" applyBorder="1" applyAlignment="1">
      <alignment horizontal="center"/>
    </xf>
    <xf numFmtId="0" fontId="84" fillId="0" borderId="20" xfId="10" applyFont="1" applyBorder="1" applyAlignment="1">
      <alignment horizontal="center"/>
    </xf>
    <xf numFmtId="0" fontId="84" fillId="0" borderId="19" xfId="10" applyFont="1" applyBorder="1" applyAlignment="1">
      <alignment horizontal="center"/>
    </xf>
    <xf numFmtId="175" fontId="83" fillId="0" borderId="24" xfId="10" applyNumberFormat="1" applyFont="1" applyBorder="1" applyAlignment="1">
      <alignment horizontal="center"/>
    </xf>
    <xf numFmtId="0" fontId="84" fillId="0" borderId="24" xfId="10" applyFont="1" applyBorder="1" applyAlignment="1">
      <alignment horizontal="center" wrapText="1"/>
    </xf>
    <xf numFmtId="0" fontId="84" fillId="5" borderId="20" xfId="10" applyFont="1" applyFill="1" applyBorder="1" applyAlignment="1">
      <alignment horizontal="center"/>
    </xf>
    <xf numFmtId="0" fontId="84" fillId="5" borderId="2" xfId="10" applyFont="1" applyFill="1" applyBorder="1" applyAlignment="1">
      <alignment horizontal="center"/>
    </xf>
    <xf numFmtId="0" fontId="84" fillId="5" borderId="19" xfId="10" applyFont="1" applyFill="1" applyBorder="1" applyAlignment="1">
      <alignment horizontal="center"/>
    </xf>
    <xf numFmtId="0" fontId="84" fillId="5" borderId="14" xfId="10" applyFont="1" applyFill="1" applyBorder="1" applyAlignment="1">
      <alignment horizontal="center"/>
    </xf>
    <xf numFmtId="0" fontId="84" fillId="5" borderId="24" xfId="10" applyFont="1" applyFill="1" applyBorder="1" applyAlignment="1">
      <alignment horizontal="center"/>
    </xf>
    <xf numFmtId="0" fontId="84" fillId="5" borderId="18" xfId="10" applyFont="1" applyFill="1" applyBorder="1" applyAlignment="1">
      <alignment horizontal="center"/>
    </xf>
    <xf numFmtId="175" fontId="83" fillId="5" borderId="24" xfId="10" applyNumberFormat="1" applyFont="1" applyFill="1" applyBorder="1" applyAlignment="1">
      <alignment horizontal="center"/>
    </xf>
    <xf numFmtId="174" fontId="83" fillId="0" borderId="14" xfId="10" applyNumberFormat="1" applyFont="1" applyBorder="1" applyAlignment="1">
      <alignment horizontal="center"/>
    </xf>
    <xf numFmtId="174" fontId="83" fillId="0" borderId="24" xfId="10" applyNumberFormat="1" applyFont="1" applyBorder="1" applyAlignment="1">
      <alignment horizontal="center"/>
    </xf>
    <xf numFmtId="174" fontId="83" fillId="0" borderId="18" xfId="10" applyNumberFormat="1" applyFont="1" applyBorder="1" applyAlignment="1">
      <alignment horizontal="center"/>
    </xf>
    <xf numFmtId="177" fontId="84" fillId="0" borderId="44" xfId="0" applyNumberFormat="1" applyFont="1" applyBorder="1" applyAlignment="1">
      <alignment horizontal="center" wrapText="1"/>
    </xf>
    <xf numFmtId="177" fontId="84" fillId="0" borderId="55" xfId="0" applyNumberFormat="1" applyFont="1" applyBorder="1" applyAlignment="1">
      <alignment horizontal="center" wrapText="1"/>
    </xf>
    <xf numFmtId="0" fontId="84" fillId="0" borderId="14" xfId="10" applyFont="1" applyBorder="1" applyAlignment="1">
      <alignment horizontal="left"/>
    </xf>
    <xf numFmtId="0" fontId="84" fillId="0" borderId="24" xfId="10" applyFont="1" applyBorder="1" applyAlignment="1">
      <alignment horizontal="left"/>
    </xf>
    <xf numFmtId="0" fontId="18" fillId="0" borderId="14" xfId="0" applyFont="1" applyBorder="1" applyAlignment="1">
      <alignment horizontal="center" wrapText="1"/>
    </xf>
    <xf numFmtId="0" fontId="18" fillId="0" borderId="18" xfId="0" applyFont="1" applyBorder="1" applyAlignment="1">
      <alignment horizontal="center" wrapText="1"/>
    </xf>
    <xf numFmtId="0" fontId="84" fillId="0" borderId="14" xfId="0" applyFont="1" applyBorder="1" applyAlignment="1">
      <alignment horizontal="center" vertical="center" wrapText="1"/>
    </xf>
    <xf numFmtId="0" fontId="84" fillId="0" borderId="18" xfId="0" applyFont="1" applyBorder="1" applyAlignment="1">
      <alignment horizontal="center" vertical="center" wrapText="1"/>
    </xf>
    <xf numFmtId="0" fontId="22" fillId="0" borderId="1" xfId="0" applyFont="1" applyBorder="1" applyAlignment="1">
      <alignment horizontal="center"/>
    </xf>
    <xf numFmtId="0" fontId="22" fillId="0" borderId="14"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1" xfId="10" applyFont="1" applyBorder="1" applyAlignment="1">
      <alignment horizontal="center"/>
    </xf>
    <xf numFmtId="0" fontId="22" fillId="5" borderId="1" xfId="0" applyFont="1" applyFill="1" applyBorder="1" applyAlignment="1">
      <alignment horizontal="center"/>
    </xf>
    <xf numFmtId="0" fontId="84" fillId="0" borderId="14" xfId="5" applyFont="1" applyBorder="1" applyAlignment="1">
      <alignment horizontal="center" wrapText="1"/>
    </xf>
    <xf numFmtId="0" fontId="84" fillId="0" borderId="18" xfId="5" applyFont="1" applyBorder="1" applyAlignment="1">
      <alignment horizontal="center" wrapText="1"/>
    </xf>
    <xf numFmtId="0" fontId="84" fillId="0" borderId="3" xfId="0" applyFont="1" applyBorder="1" applyAlignment="1">
      <alignment horizontal="center"/>
    </xf>
    <xf numFmtId="0" fontId="84" fillId="0" borderId="43" xfId="0" applyFont="1" applyBorder="1" applyAlignment="1">
      <alignment horizontal="center" vertical="center" wrapText="1"/>
    </xf>
    <xf numFmtId="0" fontId="84" fillId="0" borderId="26" xfId="0" applyFont="1" applyBorder="1" applyAlignment="1">
      <alignment horizontal="center" vertical="center" wrapText="1"/>
    </xf>
    <xf numFmtId="0" fontId="22" fillId="0" borderId="14" xfId="0" applyFont="1" applyBorder="1" applyAlignment="1">
      <alignment horizontal="center"/>
    </xf>
    <xf numFmtId="0" fontId="22" fillId="0" borderId="18" xfId="0" applyFont="1" applyBorder="1" applyAlignment="1">
      <alignment horizontal="center"/>
    </xf>
    <xf numFmtId="0" fontId="19" fillId="0" borderId="0" xfId="5" applyAlignment="1">
      <alignment horizontal="center" vertical="center" wrapText="1"/>
    </xf>
    <xf numFmtId="0" fontId="84" fillId="0" borderId="1" xfId="0" applyFont="1" applyBorder="1" applyAlignment="1">
      <alignment horizontal="center" vertical="center" wrapText="1"/>
    </xf>
    <xf numFmtId="0" fontId="18" fillId="0" borderId="1" xfId="5" applyFont="1" applyBorder="1" applyAlignment="1">
      <alignment horizontal="center"/>
    </xf>
    <xf numFmtId="0" fontId="22" fillId="0" borderId="1" xfId="5" applyFont="1" applyBorder="1" applyAlignment="1">
      <alignment horizontal="center"/>
    </xf>
    <xf numFmtId="0" fontId="83" fillId="0" borderId="14" xfId="0" applyFont="1" applyBorder="1" applyAlignment="1">
      <alignment horizontal="left"/>
    </xf>
    <xf numFmtId="0" fontId="83" fillId="0" borderId="18" xfId="0" applyFont="1" applyBorder="1" applyAlignment="1">
      <alignment horizontal="left"/>
    </xf>
    <xf numFmtId="0" fontId="24" fillId="0" borderId="14" xfId="0" applyFont="1" applyBorder="1" applyAlignment="1">
      <alignment horizontal="left" wrapText="1"/>
    </xf>
    <xf numFmtId="0" fontId="24" fillId="0" borderId="18" xfId="0" applyFont="1" applyBorder="1" applyAlignment="1">
      <alignment horizontal="left" wrapText="1"/>
    </xf>
    <xf numFmtId="0" fontId="84" fillId="0" borderId="1" xfId="10" applyFont="1" applyBorder="1" applyAlignment="1">
      <alignment horizontal="left" wrapText="1"/>
    </xf>
    <xf numFmtId="1" fontId="84" fillId="0" borderId="14" xfId="5" applyNumberFormat="1" applyFont="1" applyBorder="1" applyAlignment="1">
      <alignment horizontal="center"/>
    </xf>
    <xf numFmtId="1" fontId="84" fillId="0" borderId="24" xfId="5" applyNumberFormat="1" applyFont="1" applyBorder="1" applyAlignment="1">
      <alignment horizontal="center"/>
    </xf>
    <xf numFmtId="1" fontId="84" fillId="0" borderId="18" xfId="5" applyNumberFormat="1" applyFont="1" applyBorder="1" applyAlignment="1">
      <alignment horizontal="center"/>
    </xf>
    <xf numFmtId="0" fontId="84" fillId="0" borderId="0" xfId="0" applyFont="1" applyAlignment="1">
      <alignment horizontal="center"/>
    </xf>
    <xf numFmtId="0" fontId="84" fillId="0" borderId="14" xfId="5" applyFont="1" applyBorder="1" applyAlignment="1">
      <alignment horizontal="center" vertical="center" wrapText="1"/>
    </xf>
    <xf numFmtId="0" fontId="84" fillId="0" borderId="18" xfId="5" applyFont="1" applyBorder="1" applyAlignment="1">
      <alignment horizontal="center" vertical="center" wrapText="1"/>
    </xf>
    <xf numFmtId="0" fontId="84" fillId="0" borderId="4" xfId="10" applyFont="1" applyBorder="1" applyAlignment="1">
      <alignment horizontal="center" wrapText="1"/>
    </xf>
    <xf numFmtId="0" fontId="84" fillId="0" borderId="20" xfId="0" applyFont="1" applyBorder="1" applyAlignment="1">
      <alignment horizontal="center"/>
    </xf>
    <xf numFmtId="0" fontId="84" fillId="0" borderId="19" xfId="0" applyFont="1" applyBorder="1" applyAlignment="1">
      <alignment horizontal="center"/>
    </xf>
    <xf numFmtId="0" fontId="84" fillId="0" borderId="16" xfId="0" applyFont="1" applyBorder="1" applyAlignment="1">
      <alignment horizontal="center"/>
    </xf>
    <xf numFmtId="0" fontId="84" fillId="0" borderId="21" xfId="0" applyFont="1" applyBorder="1" applyAlignment="1">
      <alignment horizontal="center"/>
    </xf>
    <xf numFmtId="0" fontId="83" fillId="0" borderId="1" xfId="0" applyFont="1" applyBorder="1" applyAlignment="1">
      <alignment horizontal="center" wrapText="1"/>
    </xf>
    <xf numFmtId="0" fontId="83" fillId="0" borderId="14" xfId="0" applyFont="1" applyBorder="1" applyAlignment="1">
      <alignment horizontal="center"/>
    </xf>
    <xf numFmtId="0" fontId="83" fillId="0" borderId="18" xfId="0" applyFont="1" applyBorder="1" applyAlignment="1">
      <alignment horizontal="center"/>
    </xf>
    <xf numFmtId="0" fontId="30" fillId="0" borderId="1" xfId="10" applyFont="1" applyBorder="1" applyAlignment="1">
      <alignment horizontal="center"/>
    </xf>
    <xf numFmtId="0" fontId="104" fillId="0" borderId="1" xfId="10" applyFont="1" applyBorder="1" applyAlignment="1">
      <alignment horizontal="center"/>
    </xf>
    <xf numFmtId="0" fontId="80" fillId="0" borderId="1" xfId="10" applyFont="1" applyBorder="1" applyAlignment="1">
      <alignment horizontal="center" wrapText="1"/>
    </xf>
    <xf numFmtId="0" fontId="84" fillId="0" borderId="1" xfId="5" applyFont="1" applyBorder="1" applyAlignment="1">
      <alignment horizontal="center" vertical="center" wrapText="1"/>
    </xf>
    <xf numFmtId="0" fontId="104" fillId="0" borderId="14" xfId="10" applyFont="1" applyBorder="1" applyAlignment="1">
      <alignment horizontal="center"/>
    </xf>
    <xf numFmtId="0" fontId="104" fillId="0" borderId="18" xfId="10" applyFont="1" applyBorder="1" applyAlignment="1">
      <alignment horizontal="center"/>
    </xf>
    <xf numFmtId="1" fontId="17" fillId="0" borderId="14" xfId="10" applyNumberFormat="1" applyBorder="1" applyAlignment="1">
      <alignment horizontal="center"/>
    </xf>
    <xf numFmtId="1" fontId="17" fillId="0" borderId="24" xfId="10" applyNumberFormat="1" applyBorder="1" applyAlignment="1">
      <alignment horizontal="center"/>
    </xf>
    <xf numFmtId="1" fontId="17" fillId="0" borderId="18" xfId="10" applyNumberFormat="1" applyBorder="1" applyAlignment="1">
      <alignment horizontal="center"/>
    </xf>
    <xf numFmtId="175" fontId="24" fillId="0" borderId="1" xfId="10" applyNumberFormat="1" applyFont="1" applyBorder="1" applyAlignment="1">
      <alignment horizontal="center" wrapText="1"/>
    </xf>
    <xf numFmtId="0" fontId="18" fillId="0" borderId="14" xfId="10" applyFont="1" applyBorder="1" applyAlignment="1">
      <alignment horizontal="center" wrapText="1"/>
    </xf>
    <xf numFmtId="0" fontId="18" fillId="0" borderId="24" xfId="10" applyFont="1" applyBorder="1" applyAlignment="1">
      <alignment horizontal="center" wrapText="1"/>
    </xf>
    <xf numFmtId="0" fontId="18" fillId="0" borderId="18" xfId="10" applyFont="1" applyBorder="1" applyAlignment="1">
      <alignment horizontal="center" wrapText="1"/>
    </xf>
    <xf numFmtId="0" fontId="24" fillId="0" borderId="14" xfId="10" applyFont="1" applyBorder="1" applyAlignment="1">
      <alignment horizontal="left" vertical="center"/>
    </xf>
    <xf numFmtId="0" fontId="24" fillId="0" borderId="24" xfId="10" applyFont="1" applyBorder="1" applyAlignment="1">
      <alignment horizontal="left" vertical="center"/>
    </xf>
    <xf numFmtId="0" fontId="24" fillId="0" borderId="18" xfId="10" applyFont="1" applyBorder="1" applyAlignment="1">
      <alignment horizontal="left" vertical="center"/>
    </xf>
    <xf numFmtId="0" fontId="18" fillId="0" borderId="7" xfId="10" applyFont="1" applyBorder="1" applyAlignment="1">
      <alignment horizontal="center"/>
    </xf>
    <xf numFmtId="0" fontId="24" fillId="0" borderId="14" xfId="10" applyFont="1" applyBorder="1" applyAlignment="1">
      <alignment horizontal="center"/>
    </xf>
    <xf numFmtId="0" fontId="24" fillId="0" borderId="24" xfId="10" applyFont="1" applyBorder="1" applyAlignment="1">
      <alignment horizontal="center"/>
    </xf>
    <xf numFmtId="0" fontId="24" fillId="0" borderId="18" xfId="10" applyFont="1" applyBorder="1" applyAlignment="1">
      <alignment horizontal="center"/>
    </xf>
    <xf numFmtId="0" fontId="18" fillId="0" borderId="1" xfId="0" applyFont="1" applyBorder="1" applyAlignment="1">
      <alignment horizontal="center" wrapText="1"/>
    </xf>
    <xf numFmtId="0" fontId="18" fillId="0" borderId="24" xfId="0" applyFont="1" applyBorder="1" applyAlignment="1">
      <alignment horizontal="center"/>
    </xf>
    <xf numFmtId="3" fontId="84" fillId="0" borderId="14" xfId="10" applyNumberFormat="1" applyFont="1" applyBorder="1" applyAlignment="1">
      <alignment horizontal="center"/>
    </xf>
    <xf numFmtId="3" fontId="84" fillId="0" borderId="18" xfId="10" applyNumberFormat="1" applyFont="1" applyBorder="1" applyAlignment="1">
      <alignment horizontal="center"/>
    </xf>
    <xf numFmtId="17" fontId="22" fillId="0" borderId="14" xfId="10" applyNumberFormat="1" applyFont="1" applyBorder="1" applyAlignment="1">
      <alignment horizontal="center"/>
    </xf>
    <xf numFmtId="17" fontId="22" fillId="0" borderId="18" xfId="10" applyNumberFormat="1" applyFont="1" applyBorder="1" applyAlignment="1">
      <alignment horizontal="center"/>
    </xf>
    <xf numFmtId="0" fontId="22" fillId="0" borderId="1" xfId="10" applyFont="1" applyBorder="1" applyAlignment="1">
      <alignment horizontal="left"/>
    </xf>
    <xf numFmtId="0" fontId="79" fillId="0" borderId="1" xfId="10" applyFont="1" applyBorder="1" applyAlignment="1">
      <alignment horizontal="center"/>
    </xf>
    <xf numFmtId="0" fontId="80" fillId="0" borderId="14" xfId="0" applyFont="1" applyBorder="1" applyAlignment="1">
      <alignment horizontal="center" vertical="center" wrapText="1"/>
    </xf>
    <xf numFmtId="0" fontId="80" fillId="0" borderId="24" xfId="0" applyFont="1" applyBorder="1" applyAlignment="1">
      <alignment horizontal="center" vertical="center" wrapText="1"/>
    </xf>
    <xf numFmtId="0" fontId="80" fillId="0" borderId="18" xfId="0" applyFont="1" applyBorder="1" applyAlignment="1">
      <alignment horizontal="center" vertical="center" wrapText="1"/>
    </xf>
    <xf numFmtId="0" fontId="24" fillId="0" borderId="14" xfId="0" applyFont="1" applyBorder="1" applyAlignment="1">
      <alignment horizontal="center"/>
    </xf>
    <xf numFmtId="0" fontId="24" fillId="0" borderId="24" xfId="0" applyFont="1" applyBorder="1" applyAlignment="1">
      <alignment horizontal="center"/>
    </xf>
    <xf numFmtId="0" fontId="24" fillId="0" borderId="18" xfId="0" applyFont="1" applyBorder="1" applyAlignment="1">
      <alignment horizontal="center"/>
    </xf>
    <xf numFmtId="0" fontId="18" fillId="0" borderId="14" xfId="0" applyFont="1" applyBorder="1" applyAlignment="1">
      <alignment horizontal="center"/>
    </xf>
    <xf numFmtId="0" fontId="18" fillId="0" borderId="18" xfId="0" applyFont="1" applyBorder="1" applyAlignment="1">
      <alignment horizontal="center"/>
    </xf>
    <xf numFmtId="0" fontId="18" fillId="5" borderId="1" xfId="0" applyFont="1" applyFill="1" applyBorder="1" applyAlignment="1">
      <alignment horizontal="center" vertical="center" wrapText="1"/>
    </xf>
    <xf numFmtId="0" fontId="20" fillId="5" borderId="5" xfId="0" applyFont="1" applyFill="1" applyBorder="1" applyAlignment="1">
      <alignment horizontal="center" vertical="center" wrapText="1"/>
    </xf>
    <xf numFmtId="0" fontId="0" fillId="0" borderId="0" xfId="0" applyAlignment="1">
      <alignment horizontal="center"/>
    </xf>
    <xf numFmtId="0" fontId="22" fillId="5" borderId="22" xfId="0" applyFont="1" applyFill="1" applyBorder="1" applyAlignment="1">
      <alignment horizontal="left" vertical="center" wrapText="1"/>
    </xf>
    <xf numFmtId="0" fontId="22" fillId="5" borderId="5" xfId="0" applyFont="1" applyFill="1" applyBorder="1" applyAlignment="1">
      <alignment horizontal="left" vertical="center" wrapText="1"/>
    </xf>
    <xf numFmtId="0" fontId="24" fillId="0" borderId="0" xfId="0" applyFont="1" applyAlignment="1">
      <alignment horizontal="center"/>
    </xf>
    <xf numFmtId="0" fontId="18" fillId="0" borderId="14" xfId="0" applyFont="1" applyBorder="1" applyAlignment="1">
      <alignment horizontal="center" vertical="center"/>
    </xf>
    <xf numFmtId="0" fontId="18" fillId="0" borderId="18" xfId="0" applyFont="1" applyBorder="1" applyAlignment="1">
      <alignment horizontal="center" vertical="center"/>
    </xf>
    <xf numFmtId="1" fontId="84" fillId="0" borderId="1" xfId="10" applyNumberFormat="1" applyFont="1" applyBorder="1" applyAlignment="1">
      <alignment horizontal="center"/>
    </xf>
    <xf numFmtId="0" fontId="80" fillId="0" borderId="20" xfId="10" applyFont="1" applyBorder="1" applyAlignment="1">
      <alignment horizontal="center"/>
    </xf>
    <xf numFmtId="0" fontId="80" fillId="0" borderId="2" xfId="10" applyFont="1" applyBorder="1" applyAlignment="1">
      <alignment horizontal="center"/>
    </xf>
    <xf numFmtId="0" fontId="83" fillId="0" borderId="14" xfId="10" applyFont="1" applyBorder="1" applyAlignment="1">
      <alignment horizontal="center"/>
    </xf>
    <xf numFmtId="0" fontId="83" fillId="0" borderId="24" xfId="10" applyFont="1" applyBorder="1" applyAlignment="1">
      <alignment horizontal="center"/>
    </xf>
    <xf numFmtId="0" fontId="83" fillId="0" borderId="18" xfId="10" applyFont="1" applyBorder="1" applyAlignment="1">
      <alignment horizontal="center"/>
    </xf>
    <xf numFmtId="0" fontId="83" fillId="0" borderId="14" xfId="0" applyFont="1" applyBorder="1" applyAlignment="1">
      <alignment horizontal="left" vertical="center"/>
    </xf>
    <xf numFmtId="0" fontId="83" fillId="0" borderId="24" xfId="0" applyFont="1" applyBorder="1" applyAlignment="1">
      <alignment horizontal="left" vertical="center"/>
    </xf>
    <xf numFmtId="0" fontId="83" fillId="0" borderId="18" xfId="0" applyFont="1" applyBorder="1" applyAlignment="1">
      <alignment horizontal="left" vertical="center"/>
    </xf>
    <xf numFmtId="0" fontId="83" fillId="0" borderId="1" xfId="0" applyFont="1" applyBorder="1" applyAlignment="1">
      <alignment horizontal="left" vertical="center"/>
    </xf>
    <xf numFmtId="0" fontId="84" fillId="0" borderId="1" xfId="0" applyFont="1" applyBorder="1" applyAlignment="1">
      <alignment horizontal="left" vertical="center"/>
    </xf>
    <xf numFmtId="0" fontId="17" fillId="0" borderId="14" xfId="0" applyFont="1" applyBorder="1" applyAlignment="1">
      <alignment horizontal="center"/>
    </xf>
    <xf numFmtId="0" fontId="0" fillId="0" borderId="18" xfId="0" applyBorder="1" applyAlignment="1">
      <alignment horizontal="center"/>
    </xf>
    <xf numFmtId="10" fontId="83" fillId="0" borderId="14" xfId="0" applyNumberFormat="1" applyFont="1" applyBorder="1" applyAlignment="1">
      <alignment horizontal="center"/>
    </xf>
    <xf numFmtId="10" fontId="83" fillId="0" borderId="18" xfId="0" applyNumberFormat="1" applyFont="1" applyBorder="1" applyAlignment="1">
      <alignment horizontal="center"/>
    </xf>
    <xf numFmtId="0" fontId="22" fillId="0" borderId="1" xfId="0" applyFont="1" applyBorder="1" applyAlignment="1">
      <alignment horizontal="center" vertical="center" wrapText="1"/>
    </xf>
    <xf numFmtId="0" fontId="22" fillId="0" borderId="24" xfId="0" applyFont="1" applyBorder="1" applyAlignment="1">
      <alignment horizontal="center" vertical="center" wrapText="1"/>
    </xf>
    <xf numFmtId="0" fontId="80" fillId="0" borderId="1" xfId="0" applyFont="1" applyBorder="1" applyAlignment="1">
      <alignment horizontal="center"/>
    </xf>
    <xf numFmtId="0" fontId="80" fillId="0" borderId="1" xfId="0" applyFont="1" applyBorder="1" applyAlignment="1">
      <alignment horizontal="center" vertical="center" wrapText="1"/>
    </xf>
    <xf numFmtId="0" fontId="84" fillId="5" borderId="1" xfId="10" applyFont="1" applyFill="1" applyBorder="1" applyAlignment="1">
      <alignment horizontal="center" wrapText="1"/>
    </xf>
    <xf numFmtId="3" fontId="22" fillId="0" borderId="20" xfId="10" applyNumberFormat="1" applyFont="1" applyBorder="1" applyAlignment="1">
      <alignment horizontal="center"/>
    </xf>
    <xf numFmtId="3" fontId="22" fillId="0" borderId="2" xfId="10" applyNumberFormat="1" applyFont="1" applyBorder="1" applyAlignment="1">
      <alignment horizontal="center"/>
    </xf>
    <xf numFmtId="3" fontId="22" fillId="0" borderId="1" xfId="10" applyNumberFormat="1" applyFont="1" applyBorder="1" applyAlignment="1">
      <alignment horizontal="center"/>
    </xf>
    <xf numFmtId="0" fontId="18" fillId="0" borderId="11" xfId="10" applyFont="1" applyBorder="1" applyAlignment="1">
      <alignment horizontal="center"/>
    </xf>
    <xf numFmtId="0" fontId="18" fillId="0" borderId="0" xfId="10" applyFont="1" applyAlignment="1">
      <alignment horizontal="center"/>
    </xf>
    <xf numFmtId="0" fontId="17" fillId="0" borderId="1" xfId="0" applyFont="1" applyBorder="1" applyAlignment="1">
      <alignment horizontal="center"/>
    </xf>
    <xf numFmtId="0" fontId="0" fillId="0" borderId="1" xfId="0" applyBorder="1" applyAlignment="1">
      <alignment horizontal="center"/>
    </xf>
    <xf numFmtId="0" fontId="84" fillId="0" borderId="14" xfId="5" applyFont="1" applyBorder="1" applyAlignment="1">
      <alignment horizontal="center" vertical="center"/>
    </xf>
    <xf numFmtId="0" fontId="84" fillId="0" borderId="24" xfId="5" applyFont="1" applyBorder="1" applyAlignment="1">
      <alignment horizontal="center" vertical="center"/>
    </xf>
    <xf numFmtId="0" fontId="84" fillId="0" borderId="18" xfId="5" applyFont="1" applyBorder="1" applyAlignment="1">
      <alignment horizontal="center" vertical="center"/>
    </xf>
    <xf numFmtId="0" fontId="18" fillId="0" borderId="4" xfId="0" applyFont="1" applyBorder="1" applyAlignment="1">
      <alignment horizontal="center"/>
    </xf>
    <xf numFmtId="0" fontId="76" fillId="0" borderId="1" xfId="10" applyFont="1" applyBorder="1" applyAlignment="1">
      <alignment horizontal="center"/>
    </xf>
    <xf numFmtId="0" fontId="84" fillId="0" borderId="17" xfId="10" applyFont="1" applyBorder="1" applyAlignment="1">
      <alignment horizontal="center" vertical="center" wrapText="1"/>
    </xf>
    <xf numFmtId="0" fontId="84" fillId="0" borderId="9" xfId="10" applyFont="1" applyBorder="1" applyAlignment="1">
      <alignment horizontal="center" vertical="center" wrapText="1"/>
    </xf>
    <xf numFmtId="0" fontId="22" fillId="0" borderId="14" xfId="10" applyFont="1" applyBorder="1" applyAlignment="1">
      <alignment horizontal="center" vertical="center" wrapText="1"/>
    </xf>
    <xf numFmtId="0" fontId="22" fillId="0" borderId="18" xfId="10" applyFont="1" applyBorder="1" applyAlignment="1">
      <alignment horizontal="center" vertical="center" wrapText="1"/>
    </xf>
    <xf numFmtId="0" fontId="22" fillId="0" borderId="14" xfId="10" applyFont="1" applyBorder="1" applyAlignment="1">
      <alignment horizontal="center"/>
    </xf>
    <xf numFmtId="0" fontId="22" fillId="0" borderId="18" xfId="10" applyFont="1" applyBorder="1" applyAlignment="1">
      <alignment horizontal="center"/>
    </xf>
    <xf numFmtId="0" fontId="17" fillId="0" borderId="1" xfId="0" applyFont="1" applyBorder="1" applyAlignment="1">
      <alignment horizontal="center" wrapText="1"/>
    </xf>
    <xf numFmtId="0" fontId="0" fillId="0" borderId="1" xfId="0" applyBorder="1" applyAlignment="1">
      <alignment horizontal="center" wrapText="1"/>
    </xf>
    <xf numFmtId="0" fontId="80" fillId="0" borderId="14" xfId="0" applyFont="1" applyBorder="1" applyAlignment="1">
      <alignment horizontal="center"/>
    </xf>
    <xf numFmtId="0" fontId="80" fillId="0" borderId="18" xfId="0" applyFont="1" applyBorder="1" applyAlignment="1">
      <alignment horizontal="center"/>
    </xf>
    <xf numFmtId="0" fontId="76" fillId="0" borderId="1" xfId="0" applyFont="1" applyBorder="1" applyAlignment="1">
      <alignment horizontal="center" vertical="center" wrapText="1"/>
    </xf>
    <xf numFmtId="0" fontId="80" fillId="0" borderId="19" xfId="10" applyFont="1" applyBorder="1" applyAlignment="1">
      <alignment horizontal="center"/>
    </xf>
    <xf numFmtId="0" fontId="80" fillId="0" borderId="14" xfId="10" applyFont="1" applyBorder="1" applyAlignment="1">
      <alignment horizontal="center" vertical="center" wrapText="1"/>
    </xf>
    <xf numFmtId="0" fontId="80" fillId="0" borderId="18" xfId="10" applyFont="1" applyBorder="1" applyAlignment="1">
      <alignment horizontal="center" vertical="center" wrapText="1"/>
    </xf>
    <xf numFmtId="0" fontId="80" fillId="0" borderId="1" xfId="0" applyFont="1" applyBorder="1" applyAlignment="1">
      <alignment horizontal="center" wrapText="1"/>
    </xf>
    <xf numFmtId="0" fontId="80" fillId="0" borderId="14" xfId="0" applyFont="1" applyBorder="1" applyAlignment="1">
      <alignment horizontal="center" wrapText="1"/>
    </xf>
    <xf numFmtId="0" fontId="80" fillId="0" borderId="18" xfId="0" applyFont="1" applyBorder="1" applyAlignment="1">
      <alignment horizontal="center" wrapText="1"/>
    </xf>
    <xf numFmtId="0" fontId="80" fillId="0" borderId="1" xfId="0" applyFont="1" applyBorder="1" applyAlignment="1">
      <alignment horizontal="left" vertical="center"/>
    </xf>
    <xf numFmtId="0" fontId="80" fillId="0" borderId="1" xfId="0" applyFont="1" applyBorder="1" applyAlignment="1">
      <alignment horizontal="left"/>
    </xf>
    <xf numFmtId="0" fontId="22" fillId="0" borderId="4" xfId="0" applyFont="1" applyBorder="1" applyAlignment="1">
      <alignment horizontal="left"/>
    </xf>
    <xf numFmtId="0" fontId="22" fillId="0" borderId="7" xfId="0" applyFont="1" applyBorder="1" applyAlignment="1">
      <alignment horizontal="center"/>
    </xf>
    <xf numFmtId="0" fontId="22" fillId="0" borderId="21" xfId="0" applyFont="1" applyBorder="1" applyAlignment="1">
      <alignment horizontal="center"/>
    </xf>
    <xf numFmtId="0" fontId="22" fillId="0" borderId="1" xfId="0" applyFont="1" applyBorder="1" applyAlignment="1">
      <alignment horizontal="left"/>
    </xf>
    <xf numFmtId="175" fontId="76" fillId="0" borderId="24" xfId="10" applyNumberFormat="1" applyFont="1" applyBorder="1" applyAlignment="1">
      <alignment horizontal="right"/>
    </xf>
    <xf numFmtId="175" fontId="76" fillId="0" borderId="18" xfId="10" applyNumberFormat="1" applyFont="1" applyBorder="1" applyAlignment="1">
      <alignment horizontal="right"/>
    </xf>
    <xf numFmtId="175" fontId="76" fillId="0" borderId="1" xfId="10" applyNumberFormat="1" applyFont="1" applyBorder="1" applyAlignment="1">
      <alignment horizontal="right"/>
    </xf>
    <xf numFmtId="0" fontId="78" fillId="0" borderId="0" xfId="10" applyFont="1" applyAlignment="1">
      <alignment horizontal="center"/>
    </xf>
    <xf numFmtId="0" fontId="80" fillId="0" borderId="1" xfId="10" applyFont="1" applyBorder="1" applyAlignment="1">
      <alignment horizontal="left"/>
    </xf>
    <xf numFmtId="0" fontId="17" fillId="0" borderId="8" xfId="0" applyFont="1" applyBorder="1" applyAlignment="1">
      <alignment horizontal="center" vertical="center"/>
    </xf>
    <xf numFmtId="0" fontId="0" fillId="0" borderId="8" xfId="0" applyBorder="1" applyAlignment="1">
      <alignment horizontal="center" vertical="center"/>
    </xf>
    <xf numFmtId="0" fontId="17" fillId="0" borderId="1" xfId="0" applyFont="1" applyBorder="1" applyAlignment="1">
      <alignment horizontal="center" vertical="center"/>
    </xf>
    <xf numFmtId="0" fontId="0" fillId="0" borderId="1" xfId="0" applyBorder="1" applyAlignment="1">
      <alignment horizontal="center" vertical="center"/>
    </xf>
  </cellXfs>
  <cellStyles count="121">
    <cellStyle name="20% - Énfasis1" xfId="1" builtinId="30"/>
    <cellStyle name="20% - Énfasis1 2" xfId="35" xr:uid="{B51F1E08-17D1-4D31-9746-E00E3FAAAAEB}"/>
    <cellStyle name="20% - Énfasis1 2 2" xfId="93" xr:uid="{118E9699-C3D4-44A0-9AD7-ECFDF13B0526}"/>
    <cellStyle name="20% - Énfasis1 3" xfId="56" xr:uid="{A719BA02-EBFB-4912-A9CE-A00BDB5C406C}"/>
    <cellStyle name="20% - Énfasis1 3 2" xfId="98" xr:uid="{670381C3-7007-4ED4-8779-101E5A1A798E}"/>
    <cellStyle name="20% - Énfasis1 4" xfId="67" xr:uid="{457448C9-214C-4F98-B954-CE536BA2332F}"/>
    <cellStyle name="20% - Énfasis1 4 2" xfId="109" xr:uid="{A0147F14-3D7D-46CF-8DA4-011E78402A9A}"/>
    <cellStyle name="20% - Énfasis1 5" xfId="75" xr:uid="{B6DF036D-2049-4ED5-83E7-3FA5E2BD184C}"/>
    <cellStyle name="20% - Énfasis1 5 2" xfId="113" xr:uid="{8628FB56-891D-46E8-AD49-B71C8DB18935}"/>
    <cellStyle name="20% - Énfasis1 6" xfId="81" xr:uid="{A4C4A780-B10F-48BC-B06E-26EAA58D7A65}"/>
    <cellStyle name="20% - Énfasis2" xfId="21" builtinId="34" customBuiltin="1"/>
    <cellStyle name="20% - Énfasis2 2" xfId="83" xr:uid="{9430A0EA-F6E3-4E49-82E3-D08E1F0CA20F}"/>
    <cellStyle name="20% - Énfasis3" xfId="24" builtinId="38" customBuiltin="1"/>
    <cellStyle name="20% - Énfasis3 2" xfId="85" xr:uid="{84CB8F8E-62EC-401C-9413-BDD5933F8317}"/>
    <cellStyle name="20% - Énfasis4" xfId="27" builtinId="42" customBuiltin="1"/>
    <cellStyle name="20% - Énfasis4 2" xfId="87" xr:uid="{B74634B6-1792-4113-8782-6FE2E4F600C1}"/>
    <cellStyle name="20% - Énfasis5" xfId="30" builtinId="46" customBuiltin="1"/>
    <cellStyle name="20% - Énfasis5 2" xfId="89" xr:uid="{11161EBB-C255-42E5-8BD3-4D2076311A2F}"/>
    <cellStyle name="20% - Énfasis6" xfId="33" builtinId="50" customBuiltin="1"/>
    <cellStyle name="20% - Énfasis6 2" xfId="91" xr:uid="{50C8E7AE-4D23-4E9A-9529-0178BE2177D3}"/>
    <cellStyle name="40% - Énfasis1" xfId="19" builtinId="31" customBuiltin="1"/>
    <cellStyle name="40% - Énfasis1 2" xfId="82" xr:uid="{6D409919-FE55-4812-884A-8AB74E37FD4D}"/>
    <cellStyle name="40% - Énfasis2" xfId="22" builtinId="35" customBuiltin="1"/>
    <cellStyle name="40% - Énfasis2 2" xfId="84" xr:uid="{E567541A-06A1-4A45-A00D-1C6100D035CE}"/>
    <cellStyle name="40% - Énfasis3" xfId="25" builtinId="39" customBuiltin="1"/>
    <cellStyle name="40% - Énfasis3 2" xfId="86" xr:uid="{CB1AFFBF-BF8F-4DAC-9CA3-A7843C4460E0}"/>
    <cellStyle name="40% - Énfasis4" xfId="28" builtinId="43" customBuiltin="1"/>
    <cellStyle name="40% - Énfasis4 2" xfId="88" xr:uid="{8431C234-A4B4-4605-95A0-713C4DAA7297}"/>
    <cellStyle name="40% - Énfasis5" xfId="31" builtinId="47" customBuiltin="1"/>
    <cellStyle name="40% - Énfasis5 2" xfId="90" xr:uid="{B4CB195A-5449-4266-8593-0D156D0AEC8B}"/>
    <cellStyle name="40% - Énfasis6" xfId="34" builtinId="51" customBuiltin="1"/>
    <cellStyle name="40% - Énfasis6 2" xfId="92" xr:uid="{2C85E210-FA13-4C82-8CF8-542594A5FBDD}"/>
    <cellStyle name="60% - Énfasis1" xfId="2" builtinId="32" customBuiltin="1"/>
    <cellStyle name="60% - Énfasis2 2" xfId="36" xr:uid="{8B831F9D-E2E1-42EF-B012-488D60BD37BC}"/>
    <cellStyle name="60% - Énfasis3 2" xfId="37" xr:uid="{9DE19CA4-A631-46AF-91BB-0689E3DE1884}"/>
    <cellStyle name="60% - Énfasis4 2" xfId="38" xr:uid="{E51D7337-CD0C-4AD4-8BC7-13A4BA5FA664}"/>
    <cellStyle name="60% - Énfasis5 2" xfId="39" xr:uid="{9DEBD926-C105-4AE4-A6E0-276D7C4A78B9}"/>
    <cellStyle name="60% - Énfasis6 2" xfId="40" xr:uid="{DB26AEC1-BE95-4BAA-A135-5A7F0325873B}"/>
    <cellStyle name="Cálculo 2" xfId="41" xr:uid="{0B953396-FB77-4D21-907E-8C72EE4B49A8}"/>
    <cellStyle name="Celda vinculada" xfId="16" builtinId="24" customBuiltin="1"/>
    <cellStyle name="Encabezado 4" xfId="13" builtinId="19" customBuiltin="1"/>
    <cellStyle name="Énfasis1" xfId="18" builtinId="29" customBuiltin="1"/>
    <cellStyle name="Énfasis2" xfId="20" builtinId="33" customBuiltin="1"/>
    <cellStyle name="Énfasis3" xfId="23" builtinId="37" customBuiltin="1"/>
    <cellStyle name="Énfasis4" xfId="26" builtinId="41" customBuiltin="1"/>
    <cellStyle name="Énfasis5" xfId="29" builtinId="45" customBuiltin="1"/>
    <cellStyle name="Énfasis6" xfId="32" builtinId="49" customBuiltin="1"/>
    <cellStyle name="Entrada" xfId="15" builtinId="20" customBuiltin="1"/>
    <cellStyle name="Euro" xfId="42" xr:uid="{A804186D-54FF-402C-ACB3-FD67BDF3F7E2}"/>
    <cellStyle name="Euro 2" xfId="43" xr:uid="{036CBD73-DB8C-4462-83F5-A93A5ED944E6}"/>
    <cellStyle name="Hipervínculo" xfId="54" builtinId="8"/>
    <cellStyle name="Hipervínculo 2" xfId="68" xr:uid="{C55A8963-6A1F-436B-9F0B-C39769CE5E4C}"/>
    <cellStyle name="Incorrecto" xfId="14" builtinId="27" customBuiltin="1"/>
    <cellStyle name="Millares" xfId="3" builtinId="3"/>
    <cellStyle name="Millares 2" xfId="9" xr:uid="{369EA4E5-06CE-4EE7-AE42-C7452B6655D0}"/>
    <cellStyle name="Millares 2 2" xfId="11" xr:uid="{386A7A62-1BA2-4F35-8B8A-D811022D0A5C}"/>
    <cellStyle name="Millares 2 3" xfId="76" xr:uid="{013DA2EC-078A-4171-AC76-EEA981FA0A0D}"/>
    <cellStyle name="Millares 2 3 2" xfId="114" xr:uid="{B6D5AC72-5BA6-4387-B9C2-50F0CF737A3E}"/>
    <cellStyle name="Millares 3" xfId="55" xr:uid="{AA988323-3805-4BC8-85D0-DFBD4959A8D3}"/>
    <cellStyle name="Millares 3 2" xfId="71" xr:uid="{C317EA65-A7B8-4F2B-881C-66C6F56CDE00}"/>
    <cellStyle name="Millares 3 3" xfId="97" xr:uid="{5391ACBA-B017-4568-A17C-10AC6129F292}"/>
    <cellStyle name="Millares 4" xfId="57" xr:uid="{187163F6-20BF-4AD9-A80B-8DB9E6829430}"/>
    <cellStyle name="Millares 4 2" xfId="99" xr:uid="{55370622-EE70-4E88-B507-417B436AFB72}"/>
    <cellStyle name="Millares 5" xfId="62" xr:uid="{474C90C6-6742-426F-940F-2FCCF4526735}"/>
    <cellStyle name="Millares 5 2" xfId="104" xr:uid="{50E85B11-AA6A-47AA-B2E5-B61AA3D4EEAD}"/>
    <cellStyle name="Millares 6" xfId="69" xr:uid="{0BB9483F-0184-4C0D-8C5B-EF038364B961}"/>
    <cellStyle name="Millares 6 2" xfId="110" xr:uid="{51610622-4C0D-4D63-BC4C-225ED45C5BF0}"/>
    <cellStyle name="Millares 7" xfId="79" xr:uid="{BED4C9A8-3DC0-495A-8AFD-EBE7F0248DEC}"/>
    <cellStyle name="Millares 7 2" xfId="117" xr:uid="{A5542610-A647-41F6-92E5-A0EE51F46067}"/>
    <cellStyle name="Moneda" xfId="4" builtinId="4"/>
    <cellStyle name="Moneda 2" xfId="7" xr:uid="{531AEDF4-60F8-418D-B2D4-EB8CFEDEC209}"/>
    <cellStyle name="Moneda 2 2" xfId="12" xr:uid="{76A89041-F09A-474F-A8F9-7B25FCFFB6BF}"/>
    <cellStyle name="Moneda 3" xfId="60" xr:uid="{10CD3AF1-3F53-4CDA-AE50-4DA06786C4FA}"/>
    <cellStyle name="Moneda 3 2" xfId="72" xr:uid="{EB51D621-86B8-4F9E-9D0B-FFFCBACB3F80}"/>
    <cellStyle name="Moneda 3 3" xfId="78" xr:uid="{28F4BE6E-1085-4D5B-BF20-13D2D217E4CE}"/>
    <cellStyle name="Moneda 3 3 2" xfId="116" xr:uid="{094BE52F-5F93-4397-8C94-F5E71B3D0521}"/>
    <cellStyle name="Moneda 3 4" xfId="102" xr:uid="{283D1AE6-43EA-42DC-9393-80270AFA50EF}"/>
    <cellStyle name="Moneda 4" xfId="64" xr:uid="{F9303B7E-5265-4F40-90F9-79C0F2C719CF}"/>
    <cellStyle name="Moneda 4 2" xfId="106" xr:uid="{8A5FC448-24BB-4D51-9BE5-747820ADA4F7}"/>
    <cellStyle name="Neutral 2" xfId="44" xr:uid="{8A81B31E-E9B1-43DD-8F59-743B424C1393}"/>
    <cellStyle name="Normal" xfId="0" builtinId="0"/>
    <cellStyle name="Normal 2" xfId="5" xr:uid="{00000000-0005-0000-0000-000005000000}"/>
    <cellStyle name="Normal 2 2" xfId="10" xr:uid="{143A5E62-AD93-4AC3-9545-F498FC92F55A}"/>
    <cellStyle name="Normal 2 2 2" xfId="73" xr:uid="{64467FA6-8878-4E1D-A31D-89B1BE3A5C7A}"/>
    <cellStyle name="Normal 2 3" xfId="45" xr:uid="{6F168FAF-E050-41A2-AD9F-CAE975895C06}"/>
    <cellStyle name="Normal 2 3 2" xfId="94" xr:uid="{E6E86CA0-7606-480B-88C1-41822D9A7874}"/>
    <cellStyle name="Normal 3" xfId="51" xr:uid="{AF10B018-9BD8-4F5C-8218-6F3A556F85BE}"/>
    <cellStyle name="Normal 4" xfId="52" xr:uid="{8691FFB7-69F3-471C-A164-CC84D4406192}"/>
    <cellStyle name="Normal 5" xfId="53" xr:uid="{2B36B688-8AF0-4AF7-9565-A5C43BF6B84F}"/>
    <cellStyle name="Normal 5 2" xfId="61" xr:uid="{C3405883-4531-499E-9BD7-B10668476DB4}"/>
    <cellStyle name="Normal 5 2 2" xfId="103" xr:uid="{5E19465D-3857-46A9-9028-A9DA0CC960AA}"/>
    <cellStyle name="Normal 5 3" xfId="65" xr:uid="{77917B11-278A-4BB2-97D1-DF9C48C1320E}"/>
    <cellStyle name="Normal 5 3 2" xfId="107" xr:uid="{E5881630-A15A-442C-964B-8AF8228E91B3}"/>
    <cellStyle name="Normal 5 4" xfId="66" xr:uid="{72BAA44B-12C3-4A0E-B569-C506665EA7C0}"/>
    <cellStyle name="Normal 5 4 2" xfId="80" xr:uid="{1C597DCB-EB7F-4F02-81F4-DE1B0C55B06D}"/>
    <cellStyle name="Normal 5 4 2 2" xfId="118" xr:uid="{898B82F5-3F8F-46D8-8988-8F25DF1E5A46}"/>
    <cellStyle name="Normal 5 4 3" xfId="108" xr:uid="{B3B10275-E0A5-4462-B99C-534057087FB0}"/>
    <cellStyle name="Normal 5 4 4" xfId="119" xr:uid="{0D6F55C2-F52E-4544-88D8-7C16326106DE}"/>
    <cellStyle name="Normal 5 4 5" xfId="120" xr:uid="{091936F4-49A4-4E33-ADE5-441812DE654C}"/>
    <cellStyle name="Normal 5 5" xfId="74" xr:uid="{AB3CED01-6500-4171-A9BE-313A3F7DB6BB}"/>
    <cellStyle name="Normal 5 5 2" xfId="112" xr:uid="{18BF59BE-09B2-4B94-95BD-C91B158CE60D}"/>
    <cellStyle name="Normal 5 6" xfId="77" xr:uid="{062A8CD3-745E-4D90-846A-BD9B0F9E8A9F}"/>
    <cellStyle name="Normal 5 6 2" xfId="115" xr:uid="{6170ECD3-404D-48DB-AA24-2726669E9390}"/>
    <cellStyle name="Normal 5 7" xfId="96" xr:uid="{8414B03D-F405-4862-B2ED-9E9E38E626ED}"/>
    <cellStyle name="Normal 6" xfId="58" xr:uid="{0A81DF8B-6EBB-4403-AF5E-8E4D772A2A6F}"/>
    <cellStyle name="Normal 6 2" xfId="100" xr:uid="{1B565BFB-1186-43EF-B00E-7D194EED8C50}"/>
    <cellStyle name="Normal 7" xfId="70" xr:uid="{932E8022-1EFB-4721-A575-0E8CB0E9529D}"/>
    <cellStyle name="Normal 7 2" xfId="111" xr:uid="{6849EB59-8320-419B-9352-EDF1C5047D64}"/>
    <cellStyle name="Notas 2" xfId="46" xr:uid="{A8F8EC10-3662-4C1D-B3E6-7445FD401771}"/>
    <cellStyle name="Notas 2 2" xfId="95" xr:uid="{DE0711B3-1827-4652-A809-F07F11977A24}"/>
    <cellStyle name="Porcentaje" xfId="6" builtinId="5"/>
    <cellStyle name="Porcentaje 2" xfId="8" xr:uid="{A17E289F-8F00-4939-BD40-441DD6028E91}"/>
    <cellStyle name="Porcentaje 2 2" xfId="47" xr:uid="{1C5EDA36-59BF-4EB8-AF80-DA4BF9C3DCC9}"/>
    <cellStyle name="Porcentaje 3" xfId="48" xr:uid="{FE5F711B-C010-4D99-A626-7584ED7CCE93}"/>
    <cellStyle name="Porcentaje 4" xfId="59" xr:uid="{3B3FA263-D147-4F6C-95D5-6CFC6B6BB822}"/>
    <cellStyle name="Porcentaje 4 2" xfId="101" xr:uid="{324C867D-CED6-4467-8DD0-39D388B4FA5D}"/>
    <cellStyle name="Porcentaje 5" xfId="63" xr:uid="{38878FF7-2776-4096-9804-C86223BA8EAF}"/>
    <cellStyle name="Porcentaje 5 2" xfId="105" xr:uid="{13CAF7DF-B7A0-47E7-B634-23032C40B97B}"/>
    <cellStyle name="Salida 2" xfId="49" xr:uid="{D234178C-9E32-417E-A9EA-1230852DF4AE}"/>
    <cellStyle name="Título 4" xfId="50" xr:uid="{104BF2BF-BCFA-4180-8FA7-DA542A7D68BA}"/>
    <cellStyle name="Total" xfId="17" builtinId="25" customBuiltin="1"/>
  </cellStyles>
  <dxfs count="7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9" formatCode="_ * #,##0.00_ ;_ * \-#,##0.00_ ;_ * &quot;-&quot;??_ ;_ @_ "/>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colors>
    <mruColors>
      <color rgb="FFFF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pivotCacheDefinition" Target="pivotCache/pivotCacheDefinition1.xml"/><Relationship Id="rId128" Type="http://schemas.microsoft.com/office/2017/10/relationships/person" Target="persons/perso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pivotCacheDefinition" Target="pivotCache/pivotCacheDefinition2.xml"/><Relationship Id="rId129"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5.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4.png"/></Relationships>
</file>

<file path=xl/drawings/_rels/drawing75.xml.rels><?xml version="1.0" encoding="UTF-8" standalone="yes"?>
<Relationships xmlns="http://schemas.openxmlformats.org/package/2006/relationships"><Relationship Id="rId1" Type="http://schemas.openxmlformats.org/officeDocument/2006/relationships/image" Target="../media/image4.png"/></Relationships>
</file>

<file path=xl/drawings/_rels/drawing7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88376</xdr:colOff>
      <xdr:row>140</xdr:row>
      <xdr:rowOff>88376</xdr:rowOff>
    </xdr:from>
    <xdr:to>
      <xdr:col>1</xdr:col>
      <xdr:colOff>1364726</xdr:colOff>
      <xdr:row>142</xdr:row>
      <xdr:rowOff>6286</xdr:rowOff>
    </xdr:to>
    <xdr:pic>
      <xdr:nvPicPr>
        <xdr:cNvPr id="3" name="Imagen 5">
          <a:extLst>
            <a:ext uri="{FF2B5EF4-FFF2-40B4-BE49-F238E27FC236}">
              <a16:creationId xmlns:a16="http://schemas.microsoft.com/office/drawing/2014/main" id="{41A54C8F-88D3-4ACB-BA62-166C822500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176" y="17966801"/>
          <a:ext cx="1276350" cy="251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88376</xdr:colOff>
      <xdr:row>96</xdr:row>
      <xdr:rowOff>88376</xdr:rowOff>
    </xdr:from>
    <xdr:to>
      <xdr:col>1</xdr:col>
      <xdr:colOff>1364726</xdr:colOff>
      <xdr:row>98</xdr:row>
      <xdr:rowOff>6286</xdr:rowOff>
    </xdr:to>
    <xdr:pic>
      <xdr:nvPicPr>
        <xdr:cNvPr id="2" name="Imagen 5">
          <a:extLst>
            <a:ext uri="{FF2B5EF4-FFF2-40B4-BE49-F238E27FC236}">
              <a16:creationId xmlns:a16="http://schemas.microsoft.com/office/drawing/2014/main" id="{46D319EF-C84B-4868-9BC5-E869EDEA79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451" y="25739201"/>
          <a:ext cx="12763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88376</xdr:colOff>
      <xdr:row>96</xdr:row>
      <xdr:rowOff>88376</xdr:rowOff>
    </xdr:from>
    <xdr:to>
      <xdr:col>1</xdr:col>
      <xdr:colOff>1364726</xdr:colOff>
      <xdr:row>98</xdr:row>
      <xdr:rowOff>6286</xdr:rowOff>
    </xdr:to>
    <xdr:pic>
      <xdr:nvPicPr>
        <xdr:cNvPr id="3" name="Imagen 5">
          <a:extLst>
            <a:ext uri="{FF2B5EF4-FFF2-40B4-BE49-F238E27FC236}">
              <a16:creationId xmlns:a16="http://schemas.microsoft.com/office/drawing/2014/main" id="{98988ED1-953C-44F8-9009-A4297E017C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451" y="25739201"/>
          <a:ext cx="12763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88376</xdr:colOff>
      <xdr:row>148</xdr:row>
      <xdr:rowOff>88376</xdr:rowOff>
    </xdr:from>
    <xdr:to>
      <xdr:col>1</xdr:col>
      <xdr:colOff>1364726</xdr:colOff>
      <xdr:row>150</xdr:row>
      <xdr:rowOff>6286</xdr:rowOff>
    </xdr:to>
    <xdr:pic>
      <xdr:nvPicPr>
        <xdr:cNvPr id="2" name="Imagen 5">
          <a:extLst>
            <a:ext uri="{FF2B5EF4-FFF2-40B4-BE49-F238E27FC236}">
              <a16:creationId xmlns:a16="http://schemas.microsoft.com/office/drawing/2014/main" id="{30FBC4EB-8146-4C1D-B73A-99FF6DEB67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451" y="27434651"/>
          <a:ext cx="981075" cy="260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88376</xdr:colOff>
      <xdr:row>148</xdr:row>
      <xdr:rowOff>88376</xdr:rowOff>
    </xdr:from>
    <xdr:to>
      <xdr:col>1</xdr:col>
      <xdr:colOff>1364726</xdr:colOff>
      <xdr:row>150</xdr:row>
      <xdr:rowOff>6286</xdr:rowOff>
    </xdr:to>
    <xdr:pic>
      <xdr:nvPicPr>
        <xdr:cNvPr id="3" name="Imagen 5">
          <a:extLst>
            <a:ext uri="{FF2B5EF4-FFF2-40B4-BE49-F238E27FC236}">
              <a16:creationId xmlns:a16="http://schemas.microsoft.com/office/drawing/2014/main" id="{1AECCF0B-DC88-43D2-A8F9-E1C350573A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451" y="27434651"/>
          <a:ext cx="981075" cy="260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88376</xdr:colOff>
      <xdr:row>148</xdr:row>
      <xdr:rowOff>88376</xdr:rowOff>
    </xdr:from>
    <xdr:to>
      <xdr:col>1</xdr:col>
      <xdr:colOff>1364726</xdr:colOff>
      <xdr:row>150</xdr:row>
      <xdr:rowOff>6286</xdr:rowOff>
    </xdr:to>
    <xdr:pic>
      <xdr:nvPicPr>
        <xdr:cNvPr id="2" name="Imagen 5">
          <a:extLst>
            <a:ext uri="{FF2B5EF4-FFF2-40B4-BE49-F238E27FC236}">
              <a16:creationId xmlns:a16="http://schemas.microsoft.com/office/drawing/2014/main" id="{C4E3AA0C-B69F-4E8C-B55B-0558597B60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451" y="13261451"/>
          <a:ext cx="1095375"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88376</xdr:colOff>
      <xdr:row>148</xdr:row>
      <xdr:rowOff>88376</xdr:rowOff>
    </xdr:from>
    <xdr:to>
      <xdr:col>1</xdr:col>
      <xdr:colOff>1364726</xdr:colOff>
      <xdr:row>150</xdr:row>
      <xdr:rowOff>6286</xdr:rowOff>
    </xdr:to>
    <xdr:pic>
      <xdr:nvPicPr>
        <xdr:cNvPr id="3" name="Imagen 5">
          <a:extLst>
            <a:ext uri="{FF2B5EF4-FFF2-40B4-BE49-F238E27FC236}">
              <a16:creationId xmlns:a16="http://schemas.microsoft.com/office/drawing/2014/main" id="{BE73CC89-98AD-4539-A288-85DFF924F3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451" y="13261451"/>
          <a:ext cx="1095375"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88376</xdr:colOff>
      <xdr:row>79</xdr:row>
      <xdr:rowOff>88376</xdr:rowOff>
    </xdr:from>
    <xdr:to>
      <xdr:col>1</xdr:col>
      <xdr:colOff>1364726</xdr:colOff>
      <xdr:row>81</xdr:row>
      <xdr:rowOff>6286</xdr:rowOff>
    </xdr:to>
    <xdr:pic>
      <xdr:nvPicPr>
        <xdr:cNvPr id="2" name="Imagen 5">
          <a:extLst>
            <a:ext uri="{FF2B5EF4-FFF2-40B4-BE49-F238E27FC236}">
              <a16:creationId xmlns:a16="http://schemas.microsoft.com/office/drawing/2014/main" id="{3B1D99EE-6C99-4D81-AC3C-7D0EC6D099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6026" y="12375626"/>
          <a:ext cx="11620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88376</xdr:colOff>
      <xdr:row>79</xdr:row>
      <xdr:rowOff>88376</xdr:rowOff>
    </xdr:from>
    <xdr:to>
      <xdr:col>1</xdr:col>
      <xdr:colOff>1364726</xdr:colOff>
      <xdr:row>81</xdr:row>
      <xdr:rowOff>6286</xdr:rowOff>
    </xdr:to>
    <xdr:pic>
      <xdr:nvPicPr>
        <xdr:cNvPr id="3" name="Imagen 5">
          <a:extLst>
            <a:ext uri="{FF2B5EF4-FFF2-40B4-BE49-F238E27FC236}">
              <a16:creationId xmlns:a16="http://schemas.microsoft.com/office/drawing/2014/main" id="{5980E241-583D-45EF-890C-0902CC8A85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6026" y="12375626"/>
          <a:ext cx="11620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88376</xdr:colOff>
      <xdr:row>136</xdr:row>
      <xdr:rowOff>88376</xdr:rowOff>
    </xdr:from>
    <xdr:to>
      <xdr:col>1</xdr:col>
      <xdr:colOff>1364726</xdr:colOff>
      <xdr:row>138</xdr:row>
      <xdr:rowOff>6286</xdr:rowOff>
    </xdr:to>
    <xdr:pic>
      <xdr:nvPicPr>
        <xdr:cNvPr id="2" name="Imagen 5">
          <a:extLst>
            <a:ext uri="{FF2B5EF4-FFF2-40B4-BE49-F238E27FC236}">
              <a16:creationId xmlns:a16="http://schemas.microsoft.com/office/drawing/2014/main" id="{CD9D4DB1-C946-4EB3-94A0-C9542CFAC2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6026" y="26434526"/>
          <a:ext cx="1162050" cy="298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88376</xdr:colOff>
      <xdr:row>136</xdr:row>
      <xdr:rowOff>88376</xdr:rowOff>
    </xdr:from>
    <xdr:to>
      <xdr:col>1</xdr:col>
      <xdr:colOff>1364726</xdr:colOff>
      <xdr:row>138</xdr:row>
      <xdr:rowOff>6286</xdr:rowOff>
    </xdr:to>
    <xdr:pic>
      <xdr:nvPicPr>
        <xdr:cNvPr id="3" name="Imagen 5">
          <a:extLst>
            <a:ext uri="{FF2B5EF4-FFF2-40B4-BE49-F238E27FC236}">
              <a16:creationId xmlns:a16="http://schemas.microsoft.com/office/drawing/2014/main" id="{962A638C-4CE4-4D6C-8E60-65262AEE31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6026" y="26434526"/>
          <a:ext cx="1162050" cy="298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88376</xdr:colOff>
      <xdr:row>142</xdr:row>
      <xdr:rowOff>88376</xdr:rowOff>
    </xdr:from>
    <xdr:to>
      <xdr:col>0</xdr:col>
      <xdr:colOff>1364726</xdr:colOff>
      <xdr:row>144</xdr:row>
      <xdr:rowOff>6286</xdr:rowOff>
    </xdr:to>
    <xdr:pic>
      <xdr:nvPicPr>
        <xdr:cNvPr id="6" name="Imagen 5">
          <a:extLst>
            <a:ext uri="{FF2B5EF4-FFF2-40B4-BE49-F238E27FC236}">
              <a16:creationId xmlns:a16="http://schemas.microsoft.com/office/drawing/2014/main" id="{23845636-27F6-40E1-B688-8C1F8597C1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3651" y="22681676"/>
          <a:ext cx="1095375"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88376</xdr:colOff>
      <xdr:row>141</xdr:row>
      <xdr:rowOff>133551</xdr:rowOff>
    </xdr:from>
    <xdr:to>
      <xdr:col>1</xdr:col>
      <xdr:colOff>691910</xdr:colOff>
      <xdr:row>144</xdr:row>
      <xdr:rowOff>6285</xdr:rowOff>
    </xdr:to>
    <xdr:pic>
      <xdr:nvPicPr>
        <xdr:cNvPr id="7" name="Imagen 5">
          <a:extLst>
            <a:ext uri="{FF2B5EF4-FFF2-40B4-BE49-F238E27FC236}">
              <a16:creationId xmlns:a16="http://schemas.microsoft.com/office/drawing/2014/main" id="{962480AC-8ED9-4BE1-A6FB-4E811BEE71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376" y="25042325"/>
          <a:ext cx="864124" cy="357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88376</xdr:colOff>
      <xdr:row>145</xdr:row>
      <xdr:rowOff>88376</xdr:rowOff>
    </xdr:from>
    <xdr:to>
      <xdr:col>0</xdr:col>
      <xdr:colOff>1364726</xdr:colOff>
      <xdr:row>147</xdr:row>
      <xdr:rowOff>6286</xdr:rowOff>
    </xdr:to>
    <xdr:pic>
      <xdr:nvPicPr>
        <xdr:cNvPr id="2" name="Imagen 1">
          <a:extLst>
            <a:ext uri="{FF2B5EF4-FFF2-40B4-BE49-F238E27FC236}">
              <a16:creationId xmlns:a16="http://schemas.microsoft.com/office/drawing/2014/main" id="{13B12061-6889-4EB3-B7B2-5F7F997C7F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376" y="25253426"/>
          <a:ext cx="295275"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88376</xdr:colOff>
      <xdr:row>144</xdr:row>
      <xdr:rowOff>133551</xdr:rowOff>
    </xdr:from>
    <xdr:to>
      <xdr:col>1</xdr:col>
      <xdr:colOff>691910</xdr:colOff>
      <xdr:row>147</xdr:row>
      <xdr:rowOff>6285</xdr:rowOff>
    </xdr:to>
    <xdr:pic>
      <xdr:nvPicPr>
        <xdr:cNvPr id="3" name="Imagen 5">
          <a:extLst>
            <a:ext uri="{FF2B5EF4-FFF2-40B4-BE49-F238E27FC236}">
              <a16:creationId xmlns:a16="http://schemas.microsoft.com/office/drawing/2014/main" id="{26380901-D1BB-49A0-9D75-9C771A41D0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376" y="25136676"/>
          <a:ext cx="984534" cy="3585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88376</xdr:colOff>
      <xdr:row>150</xdr:row>
      <xdr:rowOff>88376</xdr:rowOff>
    </xdr:from>
    <xdr:to>
      <xdr:col>1</xdr:col>
      <xdr:colOff>1364726</xdr:colOff>
      <xdr:row>152</xdr:row>
      <xdr:rowOff>6286</xdr:rowOff>
    </xdr:to>
    <xdr:pic>
      <xdr:nvPicPr>
        <xdr:cNvPr id="2" name="Imagen 5">
          <a:extLst>
            <a:ext uri="{FF2B5EF4-FFF2-40B4-BE49-F238E27FC236}">
              <a16:creationId xmlns:a16="http://schemas.microsoft.com/office/drawing/2014/main" id="{C3AB6370-9D14-46AF-AD29-EA2CDEB4F9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926" y="14890226"/>
          <a:ext cx="12763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88376</xdr:colOff>
      <xdr:row>150</xdr:row>
      <xdr:rowOff>88376</xdr:rowOff>
    </xdr:from>
    <xdr:to>
      <xdr:col>1</xdr:col>
      <xdr:colOff>1364726</xdr:colOff>
      <xdr:row>152</xdr:row>
      <xdr:rowOff>6286</xdr:rowOff>
    </xdr:to>
    <xdr:pic>
      <xdr:nvPicPr>
        <xdr:cNvPr id="3" name="Imagen 5">
          <a:extLst>
            <a:ext uri="{FF2B5EF4-FFF2-40B4-BE49-F238E27FC236}">
              <a16:creationId xmlns:a16="http://schemas.microsoft.com/office/drawing/2014/main" id="{0AC2FED0-5A95-4379-90AB-3EF1409B51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926" y="14890226"/>
          <a:ext cx="12763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88376</xdr:colOff>
      <xdr:row>145</xdr:row>
      <xdr:rowOff>88376</xdr:rowOff>
    </xdr:from>
    <xdr:to>
      <xdr:col>1</xdr:col>
      <xdr:colOff>1364726</xdr:colOff>
      <xdr:row>147</xdr:row>
      <xdr:rowOff>6286</xdr:rowOff>
    </xdr:to>
    <xdr:pic>
      <xdr:nvPicPr>
        <xdr:cNvPr id="3" name="Imagen 5">
          <a:extLst>
            <a:ext uri="{FF2B5EF4-FFF2-40B4-BE49-F238E27FC236}">
              <a16:creationId xmlns:a16="http://schemas.microsoft.com/office/drawing/2014/main" id="{831C56A8-743C-4E2B-9EE6-F6573C5818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4601" y="27968051"/>
          <a:ext cx="106680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88376</xdr:colOff>
      <xdr:row>152</xdr:row>
      <xdr:rowOff>88376</xdr:rowOff>
    </xdr:from>
    <xdr:to>
      <xdr:col>2</xdr:col>
      <xdr:colOff>3461</xdr:colOff>
      <xdr:row>154</xdr:row>
      <xdr:rowOff>6286</xdr:rowOff>
    </xdr:to>
    <xdr:pic>
      <xdr:nvPicPr>
        <xdr:cNvPr id="2" name="Imagen 5">
          <a:extLst>
            <a:ext uri="{FF2B5EF4-FFF2-40B4-BE49-F238E27FC236}">
              <a16:creationId xmlns:a16="http://schemas.microsoft.com/office/drawing/2014/main" id="{B3A4C8F4-26B2-4C81-9B09-7F2E345071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501" y="27472751"/>
          <a:ext cx="1239060" cy="298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581025</xdr:colOff>
      <xdr:row>6</xdr:row>
      <xdr:rowOff>57150</xdr:rowOff>
    </xdr:to>
    <xdr:pic>
      <xdr:nvPicPr>
        <xdr:cNvPr id="2" name="Imagen 1">
          <a:extLst>
            <a:ext uri="{FF2B5EF4-FFF2-40B4-BE49-F238E27FC236}">
              <a16:creationId xmlns:a16="http://schemas.microsoft.com/office/drawing/2014/main" id="{B1F82D49-FB0C-4994-89C3-A216DA8115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3</xdr:col>
      <xdr:colOff>581025</xdr:colOff>
      <xdr:row>6</xdr:row>
      <xdr:rowOff>57150</xdr:rowOff>
    </xdr:to>
    <xdr:pic>
      <xdr:nvPicPr>
        <xdr:cNvPr id="3" name="Imagen 2">
          <a:extLst>
            <a:ext uri="{FF2B5EF4-FFF2-40B4-BE49-F238E27FC236}">
              <a16:creationId xmlns:a16="http://schemas.microsoft.com/office/drawing/2014/main" id="{B9DA744A-A998-4919-95A9-D6649DB537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88376</xdr:colOff>
      <xdr:row>152</xdr:row>
      <xdr:rowOff>88376</xdr:rowOff>
    </xdr:from>
    <xdr:to>
      <xdr:col>2</xdr:col>
      <xdr:colOff>3461</xdr:colOff>
      <xdr:row>154</xdr:row>
      <xdr:rowOff>6286</xdr:rowOff>
    </xdr:to>
    <xdr:pic>
      <xdr:nvPicPr>
        <xdr:cNvPr id="2" name="Imagen 5">
          <a:extLst>
            <a:ext uri="{FF2B5EF4-FFF2-40B4-BE49-F238E27FC236}">
              <a16:creationId xmlns:a16="http://schemas.microsoft.com/office/drawing/2014/main" id="{1D0737F2-249A-471C-8580-C043DC77DE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1567" y="27518349"/>
          <a:ext cx="1242506" cy="262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88376</xdr:colOff>
      <xdr:row>151</xdr:row>
      <xdr:rowOff>88376</xdr:rowOff>
    </xdr:from>
    <xdr:to>
      <xdr:col>1</xdr:col>
      <xdr:colOff>1364726</xdr:colOff>
      <xdr:row>153</xdr:row>
      <xdr:rowOff>6286</xdr:rowOff>
    </xdr:to>
    <xdr:pic>
      <xdr:nvPicPr>
        <xdr:cNvPr id="3" name="Imagen 5">
          <a:extLst>
            <a:ext uri="{FF2B5EF4-FFF2-40B4-BE49-F238E27FC236}">
              <a16:creationId xmlns:a16="http://schemas.microsoft.com/office/drawing/2014/main" id="{EF5F8A5B-43F7-4CD1-B06E-983D4310E6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5076" y="60153026"/>
          <a:ext cx="9715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9</xdr:col>
      <xdr:colOff>88376</xdr:colOff>
      <xdr:row>81</xdr:row>
      <xdr:rowOff>88376</xdr:rowOff>
    </xdr:from>
    <xdr:to>
      <xdr:col>9</xdr:col>
      <xdr:colOff>1364726</xdr:colOff>
      <xdr:row>83</xdr:row>
      <xdr:rowOff>6286</xdr:rowOff>
    </xdr:to>
    <xdr:pic>
      <xdr:nvPicPr>
        <xdr:cNvPr id="2" name="Imagen 5">
          <a:extLst>
            <a:ext uri="{FF2B5EF4-FFF2-40B4-BE49-F238E27FC236}">
              <a16:creationId xmlns:a16="http://schemas.microsoft.com/office/drawing/2014/main" id="{056D1349-3673-4AF0-B34B-BACC35A98E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351" y="27091751"/>
          <a:ext cx="12763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88376</xdr:colOff>
      <xdr:row>317</xdr:row>
      <xdr:rowOff>88376</xdr:rowOff>
    </xdr:from>
    <xdr:to>
      <xdr:col>1</xdr:col>
      <xdr:colOff>1364726</xdr:colOff>
      <xdr:row>319</xdr:row>
      <xdr:rowOff>6286</xdr:rowOff>
    </xdr:to>
    <xdr:pic>
      <xdr:nvPicPr>
        <xdr:cNvPr id="3" name="Imagen 5">
          <a:extLst>
            <a:ext uri="{FF2B5EF4-FFF2-40B4-BE49-F238E27FC236}">
              <a16:creationId xmlns:a16="http://schemas.microsoft.com/office/drawing/2014/main" id="{CDE3A963-E65F-42CD-8B4F-CFA9D69021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27376" y="17252426"/>
          <a:ext cx="1276350" cy="260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88376</xdr:colOff>
      <xdr:row>281</xdr:row>
      <xdr:rowOff>88376</xdr:rowOff>
    </xdr:from>
    <xdr:to>
      <xdr:col>1</xdr:col>
      <xdr:colOff>1364726</xdr:colOff>
      <xdr:row>283</xdr:row>
      <xdr:rowOff>6286</xdr:rowOff>
    </xdr:to>
    <xdr:pic>
      <xdr:nvPicPr>
        <xdr:cNvPr id="2" name="Imagen 5">
          <a:extLst>
            <a:ext uri="{FF2B5EF4-FFF2-40B4-BE49-F238E27FC236}">
              <a16:creationId xmlns:a16="http://schemas.microsoft.com/office/drawing/2014/main" id="{5C9A842D-0108-46F7-9E5A-3A9AB2A9B0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3026" y="14185376"/>
          <a:ext cx="12763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88376</xdr:colOff>
      <xdr:row>54</xdr:row>
      <xdr:rowOff>88376</xdr:rowOff>
    </xdr:from>
    <xdr:to>
      <xdr:col>0</xdr:col>
      <xdr:colOff>1364726</xdr:colOff>
      <xdr:row>56</xdr:row>
      <xdr:rowOff>6286</xdr:rowOff>
    </xdr:to>
    <xdr:pic>
      <xdr:nvPicPr>
        <xdr:cNvPr id="2" name="Imagen 5">
          <a:extLst>
            <a:ext uri="{FF2B5EF4-FFF2-40B4-BE49-F238E27FC236}">
              <a16:creationId xmlns:a16="http://schemas.microsoft.com/office/drawing/2014/main" id="{564EEEFD-E76C-4D6B-95CE-06E7CB9507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876" y="30320726"/>
          <a:ext cx="12763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88376</xdr:colOff>
      <xdr:row>273</xdr:row>
      <xdr:rowOff>88376</xdr:rowOff>
    </xdr:from>
    <xdr:to>
      <xdr:col>1</xdr:col>
      <xdr:colOff>1364726</xdr:colOff>
      <xdr:row>275</xdr:row>
      <xdr:rowOff>6286</xdr:rowOff>
    </xdr:to>
    <xdr:pic>
      <xdr:nvPicPr>
        <xdr:cNvPr id="2" name="Imagen 5">
          <a:extLst>
            <a:ext uri="{FF2B5EF4-FFF2-40B4-BE49-F238E27FC236}">
              <a16:creationId xmlns:a16="http://schemas.microsoft.com/office/drawing/2014/main" id="{0EE00918-2EB4-4872-8F95-D07CB27CAD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351" y="27091751"/>
          <a:ext cx="12763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88376</xdr:colOff>
      <xdr:row>352</xdr:row>
      <xdr:rowOff>88376</xdr:rowOff>
    </xdr:from>
    <xdr:to>
      <xdr:col>1</xdr:col>
      <xdr:colOff>1364726</xdr:colOff>
      <xdr:row>354</xdr:row>
      <xdr:rowOff>6286</xdr:rowOff>
    </xdr:to>
    <xdr:pic>
      <xdr:nvPicPr>
        <xdr:cNvPr id="2" name="Imagen 5">
          <a:extLst>
            <a:ext uri="{FF2B5EF4-FFF2-40B4-BE49-F238E27FC236}">
              <a16:creationId xmlns:a16="http://schemas.microsoft.com/office/drawing/2014/main" id="{D793AF1D-FC9A-4A15-91CC-BCDC5BA11D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351" y="76364576"/>
          <a:ext cx="1276350" cy="270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88376</xdr:colOff>
      <xdr:row>351</xdr:row>
      <xdr:rowOff>150726</xdr:rowOff>
    </xdr:from>
    <xdr:to>
      <xdr:col>1</xdr:col>
      <xdr:colOff>1166813</xdr:colOff>
      <xdr:row>353</xdr:row>
      <xdr:rowOff>6286</xdr:rowOff>
    </xdr:to>
    <xdr:pic>
      <xdr:nvPicPr>
        <xdr:cNvPr id="2" name="Imagen 5">
          <a:extLst>
            <a:ext uri="{FF2B5EF4-FFF2-40B4-BE49-F238E27FC236}">
              <a16:creationId xmlns:a16="http://schemas.microsoft.com/office/drawing/2014/main" id="{5D94DBED-AC6D-4CAE-9307-F7E39B98E2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26" y="28717789"/>
          <a:ext cx="1078437" cy="339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88376</xdr:colOff>
      <xdr:row>56</xdr:row>
      <xdr:rowOff>88376</xdr:rowOff>
    </xdr:from>
    <xdr:to>
      <xdr:col>1</xdr:col>
      <xdr:colOff>1364726</xdr:colOff>
      <xdr:row>58</xdr:row>
      <xdr:rowOff>6286</xdr:rowOff>
    </xdr:to>
    <xdr:pic>
      <xdr:nvPicPr>
        <xdr:cNvPr id="2" name="Imagen 5">
          <a:extLst>
            <a:ext uri="{FF2B5EF4-FFF2-40B4-BE49-F238E27FC236}">
              <a16:creationId xmlns:a16="http://schemas.microsoft.com/office/drawing/2014/main" id="{4EDB0007-5668-41AA-A866-E0415B1146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451" y="13347176"/>
          <a:ext cx="1133475"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88376</xdr:colOff>
      <xdr:row>89</xdr:row>
      <xdr:rowOff>88376</xdr:rowOff>
    </xdr:from>
    <xdr:to>
      <xdr:col>1</xdr:col>
      <xdr:colOff>1364726</xdr:colOff>
      <xdr:row>91</xdr:row>
      <xdr:rowOff>6286</xdr:rowOff>
    </xdr:to>
    <xdr:pic>
      <xdr:nvPicPr>
        <xdr:cNvPr id="2" name="Imagen 5">
          <a:extLst>
            <a:ext uri="{FF2B5EF4-FFF2-40B4-BE49-F238E27FC236}">
              <a16:creationId xmlns:a16="http://schemas.microsoft.com/office/drawing/2014/main" id="{FE0E47A9-5984-47A1-8C52-51DEDB3BD8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451" y="12366101"/>
          <a:ext cx="12763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257175</xdr:colOff>
      <xdr:row>7</xdr:row>
      <xdr:rowOff>9525</xdr:rowOff>
    </xdr:from>
    <xdr:to>
      <xdr:col>17</xdr:col>
      <xdr:colOff>466725</xdr:colOff>
      <xdr:row>13</xdr:row>
      <xdr:rowOff>76200</xdr:rowOff>
    </xdr:to>
    <xdr:pic>
      <xdr:nvPicPr>
        <xdr:cNvPr id="2" name="Imagen 1">
          <a:extLst>
            <a:ext uri="{FF2B5EF4-FFF2-40B4-BE49-F238E27FC236}">
              <a16:creationId xmlns:a16="http://schemas.microsoft.com/office/drawing/2014/main" id="{37443779-6BCF-4EB7-943E-5A17B0F533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01525" y="1285875"/>
          <a:ext cx="4019550"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88376</xdr:colOff>
      <xdr:row>101</xdr:row>
      <xdr:rowOff>88376</xdr:rowOff>
    </xdr:from>
    <xdr:to>
      <xdr:col>1</xdr:col>
      <xdr:colOff>1364726</xdr:colOff>
      <xdr:row>103</xdr:row>
      <xdr:rowOff>6286</xdr:rowOff>
    </xdr:to>
    <xdr:pic>
      <xdr:nvPicPr>
        <xdr:cNvPr id="3" name="Imagen 5">
          <a:extLst>
            <a:ext uri="{FF2B5EF4-FFF2-40B4-BE49-F238E27FC236}">
              <a16:creationId xmlns:a16="http://schemas.microsoft.com/office/drawing/2014/main" id="{2827D5FA-9EA2-4F31-8AB9-E7BE661833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3176" y="17966801"/>
          <a:ext cx="1276350" cy="251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126476</xdr:colOff>
      <xdr:row>53</xdr:row>
      <xdr:rowOff>21701</xdr:rowOff>
    </xdr:from>
    <xdr:to>
      <xdr:col>2</xdr:col>
      <xdr:colOff>2651</xdr:colOff>
      <xdr:row>54</xdr:row>
      <xdr:rowOff>101536</xdr:rowOff>
    </xdr:to>
    <xdr:pic>
      <xdr:nvPicPr>
        <xdr:cNvPr id="2" name="Imagen 5">
          <a:extLst>
            <a:ext uri="{FF2B5EF4-FFF2-40B4-BE49-F238E27FC236}">
              <a16:creationId xmlns:a16="http://schemas.microsoft.com/office/drawing/2014/main" id="{33A9930E-4BEA-4FF5-BEF2-4F68C35756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6026" y="8956151"/>
          <a:ext cx="12763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88376</xdr:colOff>
      <xdr:row>26</xdr:row>
      <xdr:rowOff>88376</xdr:rowOff>
    </xdr:from>
    <xdr:to>
      <xdr:col>1</xdr:col>
      <xdr:colOff>1364726</xdr:colOff>
      <xdr:row>28</xdr:row>
      <xdr:rowOff>6286</xdr:rowOff>
    </xdr:to>
    <xdr:pic>
      <xdr:nvPicPr>
        <xdr:cNvPr id="2" name="Imagen 5">
          <a:extLst>
            <a:ext uri="{FF2B5EF4-FFF2-40B4-BE49-F238E27FC236}">
              <a16:creationId xmlns:a16="http://schemas.microsoft.com/office/drawing/2014/main" id="{29D52E2E-4900-447F-868B-8E159A6482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351" y="27091751"/>
          <a:ext cx="12763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88376</xdr:colOff>
      <xdr:row>49</xdr:row>
      <xdr:rowOff>88376</xdr:rowOff>
    </xdr:from>
    <xdr:to>
      <xdr:col>1</xdr:col>
      <xdr:colOff>1364726</xdr:colOff>
      <xdr:row>51</xdr:row>
      <xdr:rowOff>6286</xdr:rowOff>
    </xdr:to>
    <xdr:pic>
      <xdr:nvPicPr>
        <xdr:cNvPr id="2" name="Imagen 5">
          <a:extLst>
            <a:ext uri="{FF2B5EF4-FFF2-40B4-BE49-F238E27FC236}">
              <a16:creationId xmlns:a16="http://schemas.microsoft.com/office/drawing/2014/main" id="{20914785-C58A-461D-B21F-C5D9B80BFB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3651" y="6165326"/>
          <a:ext cx="99060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88376</xdr:colOff>
      <xdr:row>49</xdr:row>
      <xdr:rowOff>88376</xdr:rowOff>
    </xdr:from>
    <xdr:to>
      <xdr:col>1</xdr:col>
      <xdr:colOff>1364726</xdr:colOff>
      <xdr:row>51</xdr:row>
      <xdr:rowOff>6286</xdr:rowOff>
    </xdr:to>
    <xdr:pic>
      <xdr:nvPicPr>
        <xdr:cNvPr id="2" name="Imagen 5">
          <a:extLst>
            <a:ext uri="{FF2B5EF4-FFF2-40B4-BE49-F238E27FC236}">
              <a16:creationId xmlns:a16="http://schemas.microsoft.com/office/drawing/2014/main" id="{16F3EC75-1FF9-4D52-9C65-8D367C192C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451" y="9422876"/>
          <a:ext cx="1143000" cy="260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88376</xdr:colOff>
      <xdr:row>52</xdr:row>
      <xdr:rowOff>88376</xdr:rowOff>
    </xdr:from>
    <xdr:to>
      <xdr:col>1</xdr:col>
      <xdr:colOff>1364726</xdr:colOff>
      <xdr:row>54</xdr:row>
      <xdr:rowOff>6286</xdr:rowOff>
    </xdr:to>
    <xdr:pic>
      <xdr:nvPicPr>
        <xdr:cNvPr id="2" name="Imagen 5">
          <a:extLst>
            <a:ext uri="{FF2B5EF4-FFF2-40B4-BE49-F238E27FC236}">
              <a16:creationId xmlns:a16="http://schemas.microsoft.com/office/drawing/2014/main" id="{C35808B8-EEC8-4C36-8B34-7934726F1B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3026" y="14185376"/>
          <a:ext cx="12763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88376</xdr:colOff>
      <xdr:row>99</xdr:row>
      <xdr:rowOff>88376</xdr:rowOff>
    </xdr:from>
    <xdr:to>
      <xdr:col>1</xdr:col>
      <xdr:colOff>1364726</xdr:colOff>
      <xdr:row>101</xdr:row>
      <xdr:rowOff>6286</xdr:rowOff>
    </xdr:to>
    <xdr:pic>
      <xdr:nvPicPr>
        <xdr:cNvPr id="2" name="Imagen 5">
          <a:extLst>
            <a:ext uri="{FF2B5EF4-FFF2-40B4-BE49-F238E27FC236}">
              <a16:creationId xmlns:a16="http://schemas.microsoft.com/office/drawing/2014/main" id="{47E9B4FE-57BD-4F34-BA50-07477039DE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351" y="8708501"/>
          <a:ext cx="12763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88376</xdr:colOff>
      <xdr:row>111</xdr:row>
      <xdr:rowOff>88376</xdr:rowOff>
    </xdr:from>
    <xdr:to>
      <xdr:col>1</xdr:col>
      <xdr:colOff>1364726</xdr:colOff>
      <xdr:row>113</xdr:row>
      <xdr:rowOff>6286</xdr:rowOff>
    </xdr:to>
    <xdr:pic>
      <xdr:nvPicPr>
        <xdr:cNvPr id="2" name="Imagen 5">
          <a:extLst>
            <a:ext uri="{FF2B5EF4-FFF2-40B4-BE49-F238E27FC236}">
              <a16:creationId xmlns:a16="http://schemas.microsoft.com/office/drawing/2014/main" id="{D96AA686-1273-4FD5-A591-E116973367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926" y="18071576"/>
          <a:ext cx="942975" cy="260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88376</xdr:colOff>
      <xdr:row>101</xdr:row>
      <xdr:rowOff>88376</xdr:rowOff>
    </xdr:from>
    <xdr:to>
      <xdr:col>0</xdr:col>
      <xdr:colOff>1364726</xdr:colOff>
      <xdr:row>103</xdr:row>
      <xdr:rowOff>6286</xdr:rowOff>
    </xdr:to>
    <xdr:pic>
      <xdr:nvPicPr>
        <xdr:cNvPr id="2" name="Imagen 5">
          <a:extLst>
            <a:ext uri="{FF2B5EF4-FFF2-40B4-BE49-F238E27FC236}">
              <a16:creationId xmlns:a16="http://schemas.microsoft.com/office/drawing/2014/main" id="{06649F75-753E-424E-958B-5D8FAE5702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926" y="17500076"/>
          <a:ext cx="1200150" cy="260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88376</xdr:colOff>
      <xdr:row>112</xdr:row>
      <xdr:rowOff>88376</xdr:rowOff>
    </xdr:from>
    <xdr:to>
      <xdr:col>0</xdr:col>
      <xdr:colOff>1364726</xdr:colOff>
      <xdr:row>114</xdr:row>
      <xdr:rowOff>6286</xdr:rowOff>
    </xdr:to>
    <xdr:pic>
      <xdr:nvPicPr>
        <xdr:cNvPr id="2" name="Imagen 5">
          <a:extLst>
            <a:ext uri="{FF2B5EF4-FFF2-40B4-BE49-F238E27FC236}">
              <a16:creationId xmlns:a16="http://schemas.microsoft.com/office/drawing/2014/main" id="{A62A4DE7-0FDD-4582-BAFF-F648E78744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376" y="13632926"/>
          <a:ext cx="12763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88376</xdr:colOff>
      <xdr:row>168</xdr:row>
      <xdr:rowOff>88376</xdr:rowOff>
    </xdr:from>
    <xdr:to>
      <xdr:col>1</xdr:col>
      <xdr:colOff>1364726</xdr:colOff>
      <xdr:row>170</xdr:row>
      <xdr:rowOff>6286</xdr:rowOff>
    </xdr:to>
    <xdr:pic>
      <xdr:nvPicPr>
        <xdr:cNvPr id="2" name="Imagen 5">
          <a:extLst>
            <a:ext uri="{FF2B5EF4-FFF2-40B4-BE49-F238E27FC236}">
              <a16:creationId xmlns:a16="http://schemas.microsoft.com/office/drawing/2014/main" id="{7E7D88A9-3111-4441-B302-EE1B147E05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876" y="32635301"/>
          <a:ext cx="1276350" cy="298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88376</xdr:colOff>
      <xdr:row>104</xdr:row>
      <xdr:rowOff>88376</xdr:rowOff>
    </xdr:from>
    <xdr:to>
      <xdr:col>1</xdr:col>
      <xdr:colOff>1364726</xdr:colOff>
      <xdr:row>106</xdr:row>
      <xdr:rowOff>6286</xdr:rowOff>
    </xdr:to>
    <xdr:pic>
      <xdr:nvPicPr>
        <xdr:cNvPr id="2" name="Imagen 5">
          <a:extLst>
            <a:ext uri="{FF2B5EF4-FFF2-40B4-BE49-F238E27FC236}">
              <a16:creationId xmlns:a16="http://schemas.microsoft.com/office/drawing/2014/main" id="{AE84B1D8-8719-4631-B4FD-921699F765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876" y="29730176"/>
          <a:ext cx="1276350" cy="251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88376</xdr:colOff>
      <xdr:row>26</xdr:row>
      <xdr:rowOff>88376</xdr:rowOff>
    </xdr:from>
    <xdr:to>
      <xdr:col>0</xdr:col>
      <xdr:colOff>1364726</xdr:colOff>
      <xdr:row>28</xdr:row>
      <xdr:rowOff>6286</xdr:rowOff>
    </xdr:to>
    <xdr:pic>
      <xdr:nvPicPr>
        <xdr:cNvPr id="2" name="Imagen 5">
          <a:extLst>
            <a:ext uri="{FF2B5EF4-FFF2-40B4-BE49-F238E27FC236}">
              <a16:creationId xmlns:a16="http://schemas.microsoft.com/office/drawing/2014/main" id="{DDE48FF0-F6DD-45EE-9971-3FD54E892F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76" y="4365101"/>
          <a:ext cx="866775"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107426</xdr:colOff>
      <xdr:row>135</xdr:row>
      <xdr:rowOff>2651</xdr:rowOff>
    </xdr:from>
    <xdr:to>
      <xdr:col>1</xdr:col>
      <xdr:colOff>1383776</xdr:colOff>
      <xdr:row>136</xdr:row>
      <xdr:rowOff>101536</xdr:rowOff>
    </xdr:to>
    <xdr:pic>
      <xdr:nvPicPr>
        <xdr:cNvPr id="2" name="Imagen 5">
          <a:extLst>
            <a:ext uri="{FF2B5EF4-FFF2-40B4-BE49-F238E27FC236}">
              <a16:creationId xmlns:a16="http://schemas.microsoft.com/office/drawing/2014/main" id="{98139465-C7AD-4DF2-B277-65311658B0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2701" y="17033351"/>
          <a:ext cx="12763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1</xdr:col>
      <xdr:colOff>88376</xdr:colOff>
      <xdr:row>31</xdr:row>
      <xdr:rowOff>0</xdr:rowOff>
    </xdr:from>
    <xdr:to>
      <xdr:col>1</xdr:col>
      <xdr:colOff>1364726</xdr:colOff>
      <xdr:row>31</xdr:row>
      <xdr:rowOff>6286</xdr:rowOff>
    </xdr:to>
    <xdr:pic>
      <xdr:nvPicPr>
        <xdr:cNvPr id="2" name="Imagen 5">
          <a:extLst>
            <a:ext uri="{FF2B5EF4-FFF2-40B4-BE49-F238E27FC236}">
              <a16:creationId xmlns:a16="http://schemas.microsoft.com/office/drawing/2014/main" id="{51749538-467C-4555-8B52-BF25425909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501" y="19100276"/>
          <a:ext cx="771525"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88376</xdr:colOff>
      <xdr:row>22</xdr:row>
      <xdr:rowOff>88376</xdr:rowOff>
    </xdr:from>
    <xdr:to>
      <xdr:col>1</xdr:col>
      <xdr:colOff>1364726</xdr:colOff>
      <xdr:row>24</xdr:row>
      <xdr:rowOff>6286</xdr:rowOff>
    </xdr:to>
    <xdr:pic>
      <xdr:nvPicPr>
        <xdr:cNvPr id="3" name="Imagen 5">
          <a:extLst>
            <a:ext uri="{FF2B5EF4-FFF2-40B4-BE49-F238E27FC236}">
              <a16:creationId xmlns:a16="http://schemas.microsoft.com/office/drawing/2014/main" id="{5B89063D-0FED-48A5-BC2F-A14779656E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376" y="6555851"/>
          <a:ext cx="723900" cy="251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88376</xdr:colOff>
      <xdr:row>41</xdr:row>
      <xdr:rowOff>88376</xdr:rowOff>
    </xdr:from>
    <xdr:to>
      <xdr:col>1</xdr:col>
      <xdr:colOff>1364726</xdr:colOff>
      <xdr:row>43</xdr:row>
      <xdr:rowOff>6286</xdr:rowOff>
    </xdr:to>
    <xdr:pic>
      <xdr:nvPicPr>
        <xdr:cNvPr id="2" name="Imagen 5">
          <a:extLst>
            <a:ext uri="{FF2B5EF4-FFF2-40B4-BE49-F238E27FC236}">
              <a16:creationId xmlns:a16="http://schemas.microsoft.com/office/drawing/2014/main" id="{A2194C7B-D85C-4B0E-84D7-CF2795537A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376" y="6555851"/>
          <a:ext cx="723900" cy="251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1</xdr:col>
      <xdr:colOff>88376</xdr:colOff>
      <xdr:row>41</xdr:row>
      <xdr:rowOff>88376</xdr:rowOff>
    </xdr:from>
    <xdr:to>
      <xdr:col>1</xdr:col>
      <xdr:colOff>1364726</xdr:colOff>
      <xdr:row>43</xdr:row>
      <xdr:rowOff>6286</xdr:rowOff>
    </xdr:to>
    <xdr:pic>
      <xdr:nvPicPr>
        <xdr:cNvPr id="2" name="Imagen 5">
          <a:extLst>
            <a:ext uri="{FF2B5EF4-FFF2-40B4-BE49-F238E27FC236}">
              <a16:creationId xmlns:a16="http://schemas.microsoft.com/office/drawing/2014/main" id="{39AD42F8-38CE-45E8-B698-F3026157A1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351" y="7060676"/>
          <a:ext cx="9334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1</xdr:col>
      <xdr:colOff>88376</xdr:colOff>
      <xdr:row>164</xdr:row>
      <xdr:rowOff>88376</xdr:rowOff>
    </xdr:from>
    <xdr:to>
      <xdr:col>1</xdr:col>
      <xdr:colOff>1364726</xdr:colOff>
      <xdr:row>166</xdr:row>
      <xdr:rowOff>6286</xdr:rowOff>
    </xdr:to>
    <xdr:pic>
      <xdr:nvPicPr>
        <xdr:cNvPr id="3" name="Imagen 5">
          <a:extLst>
            <a:ext uri="{FF2B5EF4-FFF2-40B4-BE49-F238E27FC236}">
              <a16:creationId xmlns:a16="http://schemas.microsoft.com/office/drawing/2014/main" id="{AF18DA9A-9BAF-4D45-812D-0151D89649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926" y="6536801"/>
          <a:ext cx="942975" cy="260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1</xdr:col>
      <xdr:colOff>88376</xdr:colOff>
      <xdr:row>44</xdr:row>
      <xdr:rowOff>88376</xdr:rowOff>
    </xdr:from>
    <xdr:to>
      <xdr:col>1</xdr:col>
      <xdr:colOff>1364726</xdr:colOff>
      <xdr:row>46</xdr:row>
      <xdr:rowOff>6286</xdr:rowOff>
    </xdr:to>
    <xdr:pic>
      <xdr:nvPicPr>
        <xdr:cNvPr id="2" name="Imagen 5">
          <a:extLst>
            <a:ext uri="{FF2B5EF4-FFF2-40B4-BE49-F238E27FC236}">
              <a16:creationId xmlns:a16="http://schemas.microsoft.com/office/drawing/2014/main" id="{805AB25F-302E-4583-B917-7CDB3ADF8D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926" y="6536801"/>
          <a:ext cx="942975" cy="260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88376</xdr:colOff>
      <xdr:row>38</xdr:row>
      <xdr:rowOff>88376</xdr:rowOff>
    </xdr:from>
    <xdr:to>
      <xdr:col>1</xdr:col>
      <xdr:colOff>1364726</xdr:colOff>
      <xdr:row>40</xdr:row>
      <xdr:rowOff>6286</xdr:rowOff>
    </xdr:to>
    <xdr:pic>
      <xdr:nvPicPr>
        <xdr:cNvPr id="2" name="Imagen 5">
          <a:extLst>
            <a:ext uri="{FF2B5EF4-FFF2-40B4-BE49-F238E27FC236}">
              <a16:creationId xmlns:a16="http://schemas.microsoft.com/office/drawing/2014/main" id="{7584FD4C-D21F-46D9-8E0A-83373D20A0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76" y="20348051"/>
          <a:ext cx="781050" cy="203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1</xdr:col>
      <xdr:colOff>88376</xdr:colOff>
      <xdr:row>38</xdr:row>
      <xdr:rowOff>88376</xdr:rowOff>
    </xdr:from>
    <xdr:to>
      <xdr:col>1</xdr:col>
      <xdr:colOff>1364726</xdr:colOff>
      <xdr:row>40</xdr:row>
      <xdr:rowOff>6286</xdr:rowOff>
    </xdr:to>
    <xdr:pic>
      <xdr:nvPicPr>
        <xdr:cNvPr id="2" name="Imagen 5">
          <a:extLst>
            <a:ext uri="{FF2B5EF4-FFF2-40B4-BE49-F238E27FC236}">
              <a16:creationId xmlns:a16="http://schemas.microsoft.com/office/drawing/2014/main" id="{3635C450-9015-4113-A76A-F5F25F7CA9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9826" y="7184501"/>
          <a:ext cx="923925" cy="260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1</xdr:col>
      <xdr:colOff>88376</xdr:colOff>
      <xdr:row>74</xdr:row>
      <xdr:rowOff>88376</xdr:rowOff>
    </xdr:from>
    <xdr:to>
      <xdr:col>1</xdr:col>
      <xdr:colOff>1364726</xdr:colOff>
      <xdr:row>76</xdr:row>
      <xdr:rowOff>6286</xdr:rowOff>
    </xdr:to>
    <xdr:pic>
      <xdr:nvPicPr>
        <xdr:cNvPr id="2" name="Imagen 5">
          <a:extLst>
            <a:ext uri="{FF2B5EF4-FFF2-40B4-BE49-F238E27FC236}">
              <a16:creationId xmlns:a16="http://schemas.microsoft.com/office/drawing/2014/main" id="{AC787A93-D637-4D4F-B1A2-1171D62544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9826" y="7346426"/>
          <a:ext cx="923925" cy="260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88376</xdr:colOff>
      <xdr:row>57</xdr:row>
      <xdr:rowOff>88376</xdr:rowOff>
    </xdr:from>
    <xdr:to>
      <xdr:col>1</xdr:col>
      <xdr:colOff>1364726</xdr:colOff>
      <xdr:row>59</xdr:row>
      <xdr:rowOff>6286</xdr:rowOff>
    </xdr:to>
    <xdr:pic>
      <xdr:nvPicPr>
        <xdr:cNvPr id="4" name="Imagen 5">
          <a:extLst>
            <a:ext uri="{FF2B5EF4-FFF2-40B4-BE49-F238E27FC236}">
              <a16:creationId xmlns:a16="http://schemas.microsoft.com/office/drawing/2014/main" id="{6F6F4DAF-A9C5-4724-A058-C0C3B2FAFA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9826" y="7184501"/>
          <a:ext cx="923925" cy="260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88376</xdr:colOff>
      <xdr:row>85</xdr:row>
      <xdr:rowOff>88376</xdr:rowOff>
    </xdr:from>
    <xdr:to>
      <xdr:col>1</xdr:col>
      <xdr:colOff>1364726</xdr:colOff>
      <xdr:row>87</xdr:row>
      <xdr:rowOff>6286</xdr:rowOff>
    </xdr:to>
    <xdr:pic>
      <xdr:nvPicPr>
        <xdr:cNvPr id="2" name="Imagen 5">
          <a:extLst>
            <a:ext uri="{FF2B5EF4-FFF2-40B4-BE49-F238E27FC236}">
              <a16:creationId xmlns:a16="http://schemas.microsoft.com/office/drawing/2014/main" id="{22701923-7056-4555-A14C-6A1BAA4DC2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176" y="17966801"/>
          <a:ext cx="1276350" cy="251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1</xdr:col>
      <xdr:colOff>88376</xdr:colOff>
      <xdr:row>278</xdr:row>
      <xdr:rowOff>88376</xdr:rowOff>
    </xdr:from>
    <xdr:to>
      <xdr:col>1</xdr:col>
      <xdr:colOff>1364726</xdr:colOff>
      <xdr:row>280</xdr:row>
      <xdr:rowOff>6286</xdr:rowOff>
    </xdr:to>
    <xdr:pic>
      <xdr:nvPicPr>
        <xdr:cNvPr id="2" name="Imagen 5">
          <a:extLst>
            <a:ext uri="{FF2B5EF4-FFF2-40B4-BE49-F238E27FC236}">
              <a16:creationId xmlns:a16="http://schemas.microsoft.com/office/drawing/2014/main" id="{8313A3AA-7438-4CF3-B1CF-7725C60585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876" y="30320726"/>
          <a:ext cx="12763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88376</xdr:colOff>
      <xdr:row>250</xdr:row>
      <xdr:rowOff>88376</xdr:rowOff>
    </xdr:from>
    <xdr:to>
      <xdr:col>1</xdr:col>
      <xdr:colOff>1364726</xdr:colOff>
      <xdr:row>252</xdr:row>
      <xdr:rowOff>6286</xdr:rowOff>
    </xdr:to>
    <xdr:pic>
      <xdr:nvPicPr>
        <xdr:cNvPr id="6" name="Imagen 5">
          <a:extLst>
            <a:ext uri="{FF2B5EF4-FFF2-40B4-BE49-F238E27FC236}">
              <a16:creationId xmlns:a16="http://schemas.microsoft.com/office/drawing/2014/main" id="{DDF2F093-CBF0-453D-84BB-6B42ACEAF2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0626" y="57111376"/>
          <a:ext cx="1276350" cy="23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1</xdr:col>
      <xdr:colOff>88376</xdr:colOff>
      <xdr:row>278</xdr:row>
      <xdr:rowOff>88376</xdr:rowOff>
    </xdr:from>
    <xdr:to>
      <xdr:col>1</xdr:col>
      <xdr:colOff>1364726</xdr:colOff>
      <xdr:row>280</xdr:row>
      <xdr:rowOff>6286</xdr:rowOff>
    </xdr:to>
    <xdr:pic>
      <xdr:nvPicPr>
        <xdr:cNvPr id="2" name="Imagen 5">
          <a:extLst>
            <a:ext uri="{FF2B5EF4-FFF2-40B4-BE49-F238E27FC236}">
              <a16:creationId xmlns:a16="http://schemas.microsoft.com/office/drawing/2014/main" id="{29E6CEF5-EB94-4D6B-A984-18A6E3AE70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451" y="50920650"/>
          <a:ext cx="12763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88376</xdr:colOff>
      <xdr:row>250</xdr:row>
      <xdr:rowOff>88376</xdr:rowOff>
    </xdr:from>
    <xdr:to>
      <xdr:col>1</xdr:col>
      <xdr:colOff>1364726</xdr:colOff>
      <xdr:row>252</xdr:row>
      <xdr:rowOff>6286</xdr:rowOff>
    </xdr:to>
    <xdr:pic>
      <xdr:nvPicPr>
        <xdr:cNvPr id="3" name="Imagen 2">
          <a:extLst>
            <a:ext uri="{FF2B5EF4-FFF2-40B4-BE49-F238E27FC236}">
              <a16:creationId xmlns:a16="http://schemas.microsoft.com/office/drawing/2014/main" id="{C07DE443-AC04-4E61-929C-10AD3515DC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451" y="50199401"/>
          <a:ext cx="12763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1</xdr:col>
      <xdr:colOff>88376</xdr:colOff>
      <xdr:row>105</xdr:row>
      <xdr:rowOff>148990</xdr:rowOff>
    </xdr:from>
    <xdr:to>
      <xdr:col>2</xdr:col>
      <xdr:colOff>3517</xdr:colOff>
      <xdr:row>107</xdr:row>
      <xdr:rowOff>0</xdr:rowOff>
    </xdr:to>
    <xdr:pic>
      <xdr:nvPicPr>
        <xdr:cNvPr id="2" name="Imagen 1">
          <a:extLst>
            <a:ext uri="{FF2B5EF4-FFF2-40B4-BE49-F238E27FC236}">
              <a16:creationId xmlns:a16="http://schemas.microsoft.com/office/drawing/2014/main" id="{A31929B5-ED86-4ECC-913C-8DF2BB7B14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217" y="17787558"/>
          <a:ext cx="876300" cy="246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1</xdr:col>
      <xdr:colOff>88376</xdr:colOff>
      <xdr:row>114</xdr:row>
      <xdr:rowOff>148990</xdr:rowOff>
    </xdr:from>
    <xdr:to>
      <xdr:col>2</xdr:col>
      <xdr:colOff>3517</xdr:colOff>
      <xdr:row>116</xdr:row>
      <xdr:rowOff>0</xdr:rowOff>
    </xdr:to>
    <xdr:pic>
      <xdr:nvPicPr>
        <xdr:cNvPr id="2" name="Imagen 1">
          <a:extLst>
            <a:ext uri="{FF2B5EF4-FFF2-40B4-BE49-F238E27FC236}">
              <a16:creationId xmlns:a16="http://schemas.microsoft.com/office/drawing/2014/main" id="{486D68C2-28A1-4070-867D-242A385DC4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351" y="17703565"/>
          <a:ext cx="877166" cy="184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1</xdr:col>
      <xdr:colOff>88376</xdr:colOff>
      <xdr:row>49</xdr:row>
      <xdr:rowOff>88376</xdr:rowOff>
    </xdr:from>
    <xdr:to>
      <xdr:col>1</xdr:col>
      <xdr:colOff>1364726</xdr:colOff>
      <xdr:row>51</xdr:row>
      <xdr:rowOff>6286</xdr:rowOff>
    </xdr:to>
    <xdr:pic>
      <xdr:nvPicPr>
        <xdr:cNvPr id="3" name="Imagen 5">
          <a:extLst>
            <a:ext uri="{FF2B5EF4-FFF2-40B4-BE49-F238E27FC236}">
              <a16:creationId xmlns:a16="http://schemas.microsoft.com/office/drawing/2014/main" id="{69078642-0F27-421E-B2F6-9B34D370EE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9826" y="7184501"/>
          <a:ext cx="923925" cy="260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1</xdr:col>
      <xdr:colOff>88376</xdr:colOff>
      <xdr:row>42</xdr:row>
      <xdr:rowOff>88376</xdr:rowOff>
    </xdr:from>
    <xdr:to>
      <xdr:col>1</xdr:col>
      <xdr:colOff>1364726</xdr:colOff>
      <xdr:row>44</xdr:row>
      <xdr:rowOff>6286</xdr:rowOff>
    </xdr:to>
    <xdr:pic>
      <xdr:nvPicPr>
        <xdr:cNvPr id="2" name="Imagen 1">
          <a:extLst>
            <a:ext uri="{FF2B5EF4-FFF2-40B4-BE49-F238E27FC236}">
              <a16:creationId xmlns:a16="http://schemas.microsoft.com/office/drawing/2014/main" id="{DE96EB16-3B39-425E-BDE7-28D37F8EB4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451" y="50361326"/>
          <a:ext cx="12763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1</xdr:col>
      <xdr:colOff>88376</xdr:colOff>
      <xdr:row>108</xdr:row>
      <xdr:rowOff>88376</xdr:rowOff>
    </xdr:from>
    <xdr:to>
      <xdr:col>2</xdr:col>
      <xdr:colOff>2651</xdr:colOff>
      <xdr:row>110</xdr:row>
      <xdr:rowOff>6286</xdr:rowOff>
    </xdr:to>
    <xdr:pic>
      <xdr:nvPicPr>
        <xdr:cNvPr id="2" name="Imagen 5">
          <a:extLst>
            <a:ext uri="{FF2B5EF4-FFF2-40B4-BE49-F238E27FC236}">
              <a16:creationId xmlns:a16="http://schemas.microsoft.com/office/drawing/2014/main" id="{F21DE0A0-11D2-45CD-9079-C5B44C6FEA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5551" y="22291151"/>
          <a:ext cx="790575"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1</xdr:col>
      <xdr:colOff>88376</xdr:colOff>
      <xdr:row>108</xdr:row>
      <xdr:rowOff>88376</xdr:rowOff>
    </xdr:from>
    <xdr:to>
      <xdr:col>2</xdr:col>
      <xdr:colOff>2651</xdr:colOff>
      <xdr:row>110</xdr:row>
      <xdr:rowOff>6286</xdr:rowOff>
    </xdr:to>
    <xdr:pic>
      <xdr:nvPicPr>
        <xdr:cNvPr id="2" name="Imagen 5">
          <a:extLst>
            <a:ext uri="{FF2B5EF4-FFF2-40B4-BE49-F238E27FC236}">
              <a16:creationId xmlns:a16="http://schemas.microsoft.com/office/drawing/2014/main" id="{87D47E37-8F2A-4E6C-B27C-A3A1802747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5551" y="23481776"/>
          <a:ext cx="895350" cy="279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1</xdr:col>
      <xdr:colOff>88376</xdr:colOff>
      <xdr:row>123</xdr:row>
      <xdr:rowOff>88376</xdr:rowOff>
    </xdr:from>
    <xdr:to>
      <xdr:col>1</xdr:col>
      <xdr:colOff>1364726</xdr:colOff>
      <xdr:row>125</xdr:row>
      <xdr:rowOff>6286</xdr:rowOff>
    </xdr:to>
    <xdr:pic>
      <xdr:nvPicPr>
        <xdr:cNvPr id="3" name="Imagen 5">
          <a:extLst>
            <a:ext uri="{FF2B5EF4-FFF2-40B4-BE49-F238E27FC236}">
              <a16:creationId xmlns:a16="http://schemas.microsoft.com/office/drawing/2014/main" id="{57C95353-6470-4E69-BADD-C0C23F65D8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451" y="55666751"/>
          <a:ext cx="12763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2</xdr:col>
      <xdr:colOff>85725</xdr:colOff>
      <xdr:row>79</xdr:row>
      <xdr:rowOff>85725</xdr:rowOff>
    </xdr:from>
    <xdr:to>
      <xdr:col>2</xdr:col>
      <xdr:colOff>1362075</xdr:colOff>
      <xdr:row>81</xdr:row>
      <xdr:rowOff>9525</xdr:rowOff>
    </xdr:to>
    <xdr:pic>
      <xdr:nvPicPr>
        <xdr:cNvPr id="2" name="Imagen 1">
          <a:extLst>
            <a:ext uri="{FF2B5EF4-FFF2-40B4-BE49-F238E27FC236}">
              <a16:creationId xmlns:a16="http://schemas.microsoft.com/office/drawing/2014/main" id="{0C46D5CE-2248-4D16-9F92-90DA0DE3F5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9725" y="14944725"/>
          <a:ext cx="676275" cy="304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xdr:from>
      <xdr:col>1</xdr:col>
      <xdr:colOff>85725</xdr:colOff>
      <xdr:row>113</xdr:row>
      <xdr:rowOff>85725</xdr:rowOff>
    </xdr:from>
    <xdr:to>
      <xdr:col>1</xdr:col>
      <xdr:colOff>1362075</xdr:colOff>
      <xdr:row>115</xdr:row>
      <xdr:rowOff>9525</xdr:rowOff>
    </xdr:to>
    <xdr:pic>
      <xdr:nvPicPr>
        <xdr:cNvPr id="3" name="Imagen 2">
          <a:extLst>
            <a:ext uri="{FF2B5EF4-FFF2-40B4-BE49-F238E27FC236}">
              <a16:creationId xmlns:a16="http://schemas.microsoft.com/office/drawing/2014/main" id="{F5A2CA1F-3160-4775-9ED7-5AD471D6D1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2075" y="14192250"/>
          <a:ext cx="127635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88376</xdr:colOff>
      <xdr:row>77</xdr:row>
      <xdr:rowOff>88376</xdr:rowOff>
    </xdr:from>
    <xdr:to>
      <xdr:col>1</xdr:col>
      <xdr:colOff>1364726</xdr:colOff>
      <xdr:row>79</xdr:row>
      <xdr:rowOff>6286</xdr:rowOff>
    </xdr:to>
    <xdr:pic>
      <xdr:nvPicPr>
        <xdr:cNvPr id="2" name="Imagen 5">
          <a:extLst>
            <a:ext uri="{FF2B5EF4-FFF2-40B4-BE49-F238E27FC236}">
              <a16:creationId xmlns:a16="http://schemas.microsoft.com/office/drawing/2014/main" id="{9E9DA4DE-EAF5-46D1-A7FF-25C9FEFC51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176" y="17966801"/>
          <a:ext cx="1276350" cy="251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88376</xdr:colOff>
      <xdr:row>77</xdr:row>
      <xdr:rowOff>88376</xdr:rowOff>
    </xdr:from>
    <xdr:to>
      <xdr:col>1</xdr:col>
      <xdr:colOff>1364726</xdr:colOff>
      <xdr:row>79</xdr:row>
      <xdr:rowOff>6286</xdr:rowOff>
    </xdr:to>
    <xdr:pic>
      <xdr:nvPicPr>
        <xdr:cNvPr id="3" name="Imagen 5">
          <a:extLst>
            <a:ext uri="{FF2B5EF4-FFF2-40B4-BE49-F238E27FC236}">
              <a16:creationId xmlns:a16="http://schemas.microsoft.com/office/drawing/2014/main" id="{5CE524B5-19B8-4FB3-92DB-21B2E6CA31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876" y="14242526"/>
          <a:ext cx="11620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40705</xdr:colOff>
      <xdr:row>82</xdr:row>
      <xdr:rowOff>154642</xdr:rowOff>
    </xdr:from>
    <xdr:to>
      <xdr:col>0</xdr:col>
      <xdr:colOff>1180449</xdr:colOff>
      <xdr:row>84</xdr:row>
      <xdr:rowOff>29333</xdr:rowOff>
    </xdr:to>
    <xdr:pic>
      <xdr:nvPicPr>
        <xdr:cNvPr id="2" name="Imagen 5">
          <a:extLst>
            <a:ext uri="{FF2B5EF4-FFF2-40B4-BE49-F238E27FC236}">
              <a16:creationId xmlns:a16="http://schemas.microsoft.com/office/drawing/2014/main" id="{966DE9B6-10FA-4D7A-979E-7BC0113AA5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705" y="12504578"/>
          <a:ext cx="1139744" cy="224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10</xdr:col>
      <xdr:colOff>447675</xdr:colOff>
      <xdr:row>9</xdr:row>
      <xdr:rowOff>95251</xdr:rowOff>
    </xdr:from>
    <xdr:to>
      <xdr:col>16</xdr:col>
      <xdr:colOff>704851</xdr:colOff>
      <xdr:row>18</xdr:row>
      <xdr:rowOff>76201</xdr:rowOff>
    </xdr:to>
    <xdr:pic>
      <xdr:nvPicPr>
        <xdr:cNvPr id="2" name="Imagen 1">
          <a:extLst>
            <a:ext uri="{FF2B5EF4-FFF2-40B4-BE49-F238E27FC236}">
              <a16:creationId xmlns:a16="http://schemas.microsoft.com/office/drawing/2014/main" id="{00EA740E-9ACE-4728-904B-7E1818503BEB}"/>
            </a:ext>
          </a:extLst>
        </xdr:cNvPr>
        <xdr:cNvPicPr>
          <a:picLocks noChangeAspect="1"/>
        </xdr:cNvPicPr>
      </xdr:nvPicPr>
      <xdr:blipFill rotWithShape="1">
        <a:blip xmlns:r="http://schemas.openxmlformats.org/officeDocument/2006/relationships" r:embed="rId1"/>
        <a:srcRect l="12423" t="65912" r="67770" b="21586"/>
        <a:stretch/>
      </xdr:blipFill>
      <xdr:spPr>
        <a:xfrm>
          <a:off x="8972550" y="2419351"/>
          <a:ext cx="4829176" cy="171450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1</xdr:col>
      <xdr:colOff>88376</xdr:colOff>
      <xdr:row>137</xdr:row>
      <xdr:rowOff>88376</xdr:rowOff>
    </xdr:from>
    <xdr:to>
      <xdr:col>1</xdr:col>
      <xdr:colOff>1364726</xdr:colOff>
      <xdr:row>139</xdr:row>
      <xdr:rowOff>6286</xdr:rowOff>
    </xdr:to>
    <xdr:pic>
      <xdr:nvPicPr>
        <xdr:cNvPr id="2" name="Imagen 5">
          <a:extLst>
            <a:ext uri="{FF2B5EF4-FFF2-40B4-BE49-F238E27FC236}">
              <a16:creationId xmlns:a16="http://schemas.microsoft.com/office/drawing/2014/main" id="{F5B3E53F-42C3-43E7-B789-6182AC1A7B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926" y="33197276"/>
          <a:ext cx="1247775" cy="260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1</xdr:col>
      <xdr:colOff>88376</xdr:colOff>
      <xdr:row>55</xdr:row>
      <xdr:rowOff>88376</xdr:rowOff>
    </xdr:from>
    <xdr:to>
      <xdr:col>1</xdr:col>
      <xdr:colOff>1364726</xdr:colOff>
      <xdr:row>57</xdr:row>
      <xdr:rowOff>6286</xdr:rowOff>
    </xdr:to>
    <xdr:pic>
      <xdr:nvPicPr>
        <xdr:cNvPr id="2" name="Imagen 5">
          <a:extLst>
            <a:ext uri="{FF2B5EF4-FFF2-40B4-BE49-F238E27FC236}">
              <a16:creationId xmlns:a16="http://schemas.microsoft.com/office/drawing/2014/main" id="{46555521-1726-4EB7-A4AC-396B3465B4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376" y="22453076"/>
          <a:ext cx="10858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88376</xdr:colOff>
      <xdr:row>118</xdr:row>
      <xdr:rowOff>88376</xdr:rowOff>
    </xdr:from>
    <xdr:to>
      <xdr:col>0</xdr:col>
      <xdr:colOff>1364726</xdr:colOff>
      <xdr:row>120</xdr:row>
      <xdr:rowOff>6286</xdr:rowOff>
    </xdr:to>
    <xdr:pic>
      <xdr:nvPicPr>
        <xdr:cNvPr id="2" name="Imagen 5">
          <a:extLst>
            <a:ext uri="{FF2B5EF4-FFF2-40B4-BE49-F238E27FC236}">
              <a16:creationId xmlns:a16="http://schemas.microsoft.com/office/drawing/2014/main" id="{334631AE-296F-49BC-B534-999F61C259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926" y="27234626"/>
          <a:ext cx="1247775" cy="260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1</xdr:col>
      <xdr:colOff>88376</xdr:colOff>
      <xdr:row>104</xdr:row>
      <xdr:rowOff>88376</xdr:rowOff>
    </xdr:from>
    <xdr:to>
      <xdr:col>1</xdr:col>
      <xdr:colOff>1364726</xdr:colOff>
      <xdr:row>106</xdr:row>
      <xdr:rowOff>6286</xdr:rowOff>
    </xdr:to>
    <xdr:pic>
      <xdr:nvPicPr>
        <xdr:cNvPr id="2" name="Imagen 5">
          <a:extLst>
            <a:ext uri="{FF2B5EF4-FFF2-40B4-BE49-F238E27FC236}">
              <a16:creationId xmlns:a16="http://schemas.microsoft.com/office/drawing/2014/main" id="{18BFE89F-A124-498D-A9A5-C4C5A2AFDA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376" y="8127476"/>
          <a:ext cx="1038225"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88376</xdr:colOff>
      <xdr:row>41</xdr:row>
      <xdr:rowOff>88376</xdr:rowOff>
    </xdr:from>
    <xdr:to>
      <xdr:col>0</xdr:col>
      <xdr:colOff>1364726</xdr:colOff>
      <xdr:row>43</xdr:row>
      <xdr:rowOff>6286</xdr:rowOff>
    </xdr:to>
    <xdr:pic>
      <xdr:nvPicPr>
        <xdr:cNvPr id="2" name="Imagen 5">
          <a:extLst>
            <a:ext uri="{FF2B5EF4-FFF2-40B4-BE49-F238E27FC236}">
              <a16:creationId xmlns:a16="http://schemas.microsoft.com/office/drawing/2014/main" id="{E4DB91D2-CDEC-49F8-A796-D5973B429E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876" y="19652726"/>
          <a:ext cx="1038225"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88376</xdr:colOff>
      <xdr:row>139</xdr:row>
      <xdr:rowOff>88376</xdr:rowOff>
    </xdr:from>
    <xdr:to>
      <xdr:col>0</xdr:col>
      <xdr:colOff>1364726</xdr:colOff>
      <xdr:row>141</xdr:row>
      <xdr:rowOff>6286</xdr:rowOff>
    </xdr:to>
    <xdr:pic>
      <xdr:nvPicPr>
        <xdr:cNvPr id="2" name="Imagen 5">
          <a:extLst>
            <a:ext uri="{FF2B5EF4-FFF2-40B4-BE49-F238E27FC236}">
              <a16:creationId xmlns:a16="http://schemas.microsoft.com/office/drawing/2014/main" id="{0A2300A3-92FD-47BB-8157-356C712114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376" y="23729426"/>
          <a:ext cx="72390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88376</xdr:colOff>
      <xdr:row>37</xdr:row>
      <xdr:rowOff>88376</xdr:rowOff>
    </xdr:from>
    <xdr:to>
      <xdr:col>0</xdr:col>
      <xdr:colOff>1364726</xdr:colOff>
      <xdr:row>39</xdr:row>
      <xdr:rowOff>6286</xdr:rowOff>
    </xdr:to>
    <xdr:pic>
      <xdr:nvPicPr>
        <xdr:cNvPr id="3" name="Imagen 5">
          <a:extLst>
            <a:ext uri="{FF2B5EF4-FFF2-40B4-BE49-F238E27FC236}">
              <a16:creationId xmlns:a16="http://schemas.microsoft.com/office/drawing/2014/main" id="{21628B4E-C85F-475F-BA6E-7F2955EF22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376" y="6879701"/>
          <a:ext cx="723900" cy="251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xdr:from>
      <xdr:col>1</xdr:col>
      <xdr:colOff>88376</xdr:colOff>
      <xdr:row>114</xdr:row>
      <xdr:rowOff>88376</xdr:rowOff>
    </xdr:from>
    <xdr:to>
      <xdr:col>1</xdr:col>
      <xdr:colOff>1364726</xdr:colOff>
      <xdr:row>116</xdr:row>
      <xdr:rowOff>6286</xdr:rowOff>
    </xdr:to>
    <xdr:pic>
      <xdr:nvPicPr>
        <xdr:cNvPr id="2" name="Imagen 5">
          <a:extLst>
            <a:ext uri="{FF2B5EF4-FFF2-40B4-BE49-F238E27FC236}">
              <a16:creationId xmlns:a16="http://schemas.microsoft.com/office/drawing/2014/main" id="{8A2B52F3-03DB-416F-AD27-E6C4196248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8401" y="16842851"/>
          <a:ext cx="12763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1</xdr:col>
      <xdr:colOff>107426</xdr:colOff>
      <xdr:row>22</xdr:row>
      <xdr:rowOff>2651</xdr:rowOff>
    </xdr:from>
    <xdr:to>
      <xdr:col>1</xdr:col>
      <xdr:colOff>1383776</xdr:colOff>
      <xdr:row>23</xdr:row>
      <xdr:rowOff>101536</xdr:rowOff>
    </xdr:to>
    <xdr:pic>
      <xdr:nvPicPr>
        <xdr:cNvPr id="2" name="Imagen 5">
          <a:extLst>
            <a:ext uri="{FF2B5EF4-FFF2-40B4-BE49-F238E27FC236}">
              <a16:creationId xmlns:a16="http://schemas.microsoft.com/office/drawing/2014/main" id="{E89BEDF5-0341-4496-864A-ADEC2BD12A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926" y="22510226"/>
          <a:ext cx="1276350" cy="260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12</xdr:col>
      <xdr:colOff>88376</xdr:colOff>
      <xdr:row>155</xdr:row>
      <xdr:rowOff>88376</xdr:rowOff>
    </xdr:from>
    <xdr:to>
      <xdr:col>12</xdr:col>
      <xdr:colOff>1364726</xdr:colOff>
      <xdr:row>157</xdr:row>
      <xdr:rowOff>6286</xdr:rowOff>
    </xdr:to>
    <xdr:pic>
      <xdr:nvPicPr>
        <xdr:cNvPr id="2" name="Imagen 5">
          <a:extLst>
            <a:ext uri="{FF2B5EF4-FFF2-40B4-BE49-F238E27FC236}">
              <a16:creationId xmlns:a16="http://schemas.microsoft.com/office/drawing/2014/main" id="{76404C2C-8280-4ED2-BD8E-375B28EB65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32351" y="27625151"/>
          <a:ext cx="676275" cy="251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88376</xdr:colOff>
      <xdr:row>155</xdr:row>
      <xdr:rowOff>88376</xdr:rowOff>
    </xdr:from>
    <xdr:to>
      <xdr:col>12</xdr:col>
      <xdr:colOff>1364726</xdr:colOff>
      <xdr:row>157</xdr:row>
      <xdr:rowOff>6286</xdr:rowOff>
    </xdr:to>
    <xdr:pic>
      <xdr:nvPicPr>
        <xdr:cNvPr id="3" name="Imagen 5">
          <a:extLst>
            <a:ext uri="{FF2B5EF4-FFF2-40B4-BE49-F238E27FC236}">
              <a16:creationId xmlns:a16="http://schemas.microsoft.com/office/drawing/2014/main" id="{7F775EAE-FC85-4EE3-BF89-18B0BD7D08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32351" y="27625151"/>
          <a:ext cx="676275" cy="251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1</xdr:col>
      <xdr:colOff>88376</xdr:colOff>
      <xdr:row>59</xdr:row>
      <xdr:rowOff>88376</xdr:rowOff>
    </xdr:from>
    <xdr:to>
      <xdr:col>1</xdr:col>
      <xdr:colOff>1364726</xdr:colOff>
      <xdr:row>61</xdr:row>
      <xdr:rowOff>6286</xdr:rowOff>
    </xdr:to>
    <xdr:pic>
      <xdr:nvPicPr>
        <xdr:cNvPr id="2" name="Imagen 1">
          <a:extLst>
            <a:ext uri="{FF2B5EF4-FFF2-40B4-BE49-F238E27FC236}">
              <a16:creationId xmlns:a16="http://schemas.microsoft.com/office/drawing/2014/main" id="{32360FBF-0E4C-4BC4-8FEB-950BB4CE4C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351" y="8384651"/>
          <a:ext cx="1190625" cy="260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1</xdr:col>
      <xdr:colOff>88376</xdr:colOff>
      <xdr:row>221</xdr:row>
      <xdr:rowOff>88376</xdr:rowOff>
    </xdr:from>
    <xdr:to>
      <xdr:col>1</xdr:col>
      <xdr:colOff>1364726</xdr:colOff>
      <xdr:row>223</xdr:row>
      <xdr:rowOff>6286</xdr:rowOff>
    </xdr:to>
    <xdr:pic>
      <xdr:nvPicPr>
        <xdr:cNvPr id="2" name="Imagen 5">
          <a:extLst>
            <a:ext uri="{FF2B5EF4-FFF2-40B4-BE49-F238E27FC236}">
              <a16:creationId xmlns:a16="http://schemas.microsoft.com/office/drawing/2014/main" id="{2A70C6B8-85B7-4A10-B99D-F17204FEE1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8401" y="16842851"/>
          <a:ext cx="12763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88376</xdr:colOff>
      <xdr:row>38</xdr:row>
      <xdr:rowOff>88376</xdr:rowOff>
    </xdr:from>
    <xdr:to>
      <xdr:col>0</xdr:col>
      <xdr:colOff>1364726</xdr:colOff>
      <xdr:row>40</xdr:row>
      <xdr:rowOff>6286</xdr:rowOff>
    </xdr:to>
    <xdr:pic>
      <xdr:nvPicPr>
        <xdr:cNvPr id="2" name="Imagen 5">
          <a:extLst>
            <a:ext uri="{FF2B5EF4-FFF2-40B4-BE49-F238E27FC236}">
              <a16:creationId xmlns:a16="http://schemas.microsoft.com/office/drawing/2014/main" id="{0621B8CD-479B-4BE6-BEC2-952C9DCB8B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376" y="12718526"/>
          <a:ext cx="1038225"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88376</xdr:colOff>
      <xdr:row>137</xdr:row>
      <xdr:rowOff>88376</xdr:rowOff>
    </xdr:from>
    <xdr:to>
      <xdr:col>0</xdr:col>
      <xdr:colOff>1364726</xdr:colOff>
      <xdr:row>139</xdr:row>
      <xdr:rowOff>6286</xdr:rowOff>
    </xdr:to>
    <xdr:pic>
      <xdr:nvPicPr>
        <xdr:cNvPr id="2" name="Imagen 5">
          <a:extLst>
            <a:ext uri="{FF2B5EF4-FFF2-40B4-BE49-F238E27FC236}">
              <a16:creationId xmlns:a16="http://schemas.microsoft.com/office/drawing/2014/main" id="{A84961A4-58A0-4DE7-8008-557661C88B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376" y="19671776"/>
          <a:ext cx="10858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247650</xdr:colOff>
      <xdr:row>112</xdr:row>
      <xdr:rowOff>66675</xdr:rowOff>
    </xdr:from>
    <xdr:to>
      <xdr:col>1</xdr:col>
      <xdr:colOff>676275</xdr:colOff>
      <xdr:row>113</xdr:row>
      <xdr:rowOff>161925</xdr:rowOff>
    </xdr:to>
    <xdr:pic>
      <xdr:nvPicPr>
        <xdr:cNvPr id="2" name="Imagen 5">
          <a:extLst>
            <a:ext uri="{FF2B5EF4-FFF2-40B4-BE49-F238E27FC236}">
              <a16:creationId xmlns:a16="http://schemas.microsoft.com/office/drawing/2014/main" id="{C1679D3C-451E-40C6-ACE2-3F09ADB8E3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1497925"/>
          <a:ext cx="68580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xdr:from>
      <xdr:col>2</xdr:col>
      <xdr:colOff>85725</xdr:colOff>
      <xdr:row>56</xdr:row>
      <xdr:rowOff>19050</xdr:rowOff>
    </xdr:from>
    <xdr:to>
      <xdr:col>2</xdr:col>
      <xdr:colOff>1533525</xdr:colOff>
      <xdr:row>57</xdr:row>
      <xdr:rowOff>114300</xdr:rowOff>
    </xdr:to>
    <xdr:pic>
      <xdr:nvPicPr>
        <xdr:cNvPr id="2" name="Imagen 5">
          <a:extLst>
            <a:ext uri="{FF2B5EF4-FFF2-40B4-BE49-F238E27FC236}">
              <a16:creationId xmlns:a16="http://schemas.microsoft.com/office/drawing/2014/main" id="{F7CAC702-67D8-4B97-9734-0B85A42D69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10334625"/>
          <a:ext cx="14478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xdr:from>
      <xdr:col>0</xdr:col>
      <xdr:colOff>85725</xdr:colOff>
      <xdr:row>44</xdr:row>
      <xdr:rowOff>19050</xdr:rowOff>
    </xdr:from>
    <xdr:to>
      <xdr:col>0</xdr:col>
      <xdr:colOff>1533525</xdr:colOff>
      <xdr:row>45</xdr:row>
      <xdr:rowOff>114300</xdr:rowOff>
    </xdr:to>
    <xdr:pic>
      <xdr:nvPicPr>
        <xdr:cNvPr id="2" name="Imagen 5">
          <a:extLst>
            <a:ext uri="{FF2B5EF4-FFF2-40B4-BE49-F238E27FC236}">
              <a16:creationId xmlns:a16="http://schemas.microsoft.com/office/drawing/2014/main" id="{B9C66B98-5E84-47AF-9DB7-8F66A7481D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9839325"/>
          <a:ext cx="14478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xdr:from>
      <xdr:col>1</xdr:col>
      <xdr:colOff>85725</xdr:colOff>
      <xdr:row>315</xdr:row>
      <xdr:rowOff>19050</xdr:rowOff>
    </xdr:from>
    <xdr:to>
      <xdr:col>1</xdr:col>
      <xdr:colOff>1533525</xdr:colOff>
      <xdr:row>316</xdr:row>
      <xdr:rowOff>114300</xdr:rowOff>
    </xdr:to>
    <xdr:pic>
      <xdr:nvPicPr>
        <xdr:cNvPr id="2" name="Imagen 5">
          <a:extLst>
            <a:ext uri="{FF2B5EF4-FFF2-40B4-BE49-F238E27FC236}">
              <a16:creationId xmlns:a16="http://schemas.microsoft.com/office/drawing/2014/main" id="{83774188-E1C8-4B1D-808A-B0D33143C3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639175"/>
          <a:ext cx="11811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12</xdr:col>
      <xdr:colOff>88376</xdr:colOff>
      <xdr:row>155</xdr:row>
      <xdr:rowOff>88376</xdr:rowOff>
    </xdr:from>
    <xdr:to>
      <xdr:col>12</xdr:col>
      <xdr:colOff>1364726</xdr:colOff>
      <xdr:row>157</xdr:row>
      <xdr:rowOff>6286</xdr:rowOff>
    </xdr:to>
    <xdr:pic>
      <xdr:nvPicPr>
        <xdr:cNvPr id="2" name="Imagen 5">
          <a:extLst>
            <a:ext uri="{FF2B5EF4-FFF2-40B4-BE49-F238E27FC236}">
              <a16:creationId xmlns:a16="http://schemas.microsoft.com/office/drawing/2014/main" id="{967AA7B9-1433-4219-9B70-50775FC14F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501" y="13118576"/>
          <a:ext cx="10858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88376</xdr:colOff>
      <xdr:row>155</xdr:row>
      <xdr:rowOff>88376</xdr:rowOff>
    </xdr:from>
    <xdr:to>
      <xdr:col>12</xdr:col>
      <xdr:colOff>1364726</xdr:colOff>
      <xdr:row>157</xdr:row>
      <xdr:rowOff>6286</xdr:rowOff>
    </xdr:to>
    <xdr:pic>
      <xdr:nvPicPr>
        <xdr:cNvPr id="3" name="Imagen 5">
          <a:extLst>
            <a:ext uri="{FF2B5EF4-FFF2-40B4-BE49-F238E27FC236}">
              <a16:creationId xmlns:a16="http://schemas.microsoft.com/office/drawing/2014/main" id="{2766E899-E309-4CBF-85C0-5155CDFBC4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501" y="13118576"/>
          <a:ext cx="10858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88376</xdr:colOff>
      <xdr:row>35</xdr:row>
      <xdr:rowOff>88376</xdr:rowOff>
    </xdr:from>
    <xdr:to>
      <xdr:col>0</xdr:col>
      <xdr:colOff>1364726</xdr:colOff>
      <xdr:row>37</xdr:row>
      <xdr:rowOff>6286</xdr:rowOff>
    </xdr:to>
    <xdr:pic>
      <xdr:nvPicPr>
        <xdr:cNvPr id="2" name="Imagen 5">
          <a:extLst>
            <a:ext uri="{FF2B5EF4-FFF2-40B4-BE49-F238E27FC236}">
              <a16:creationId xmlns:a16="http://schemas.microsoft.com/office/drawing/2014/main" id="{C2C70215-04C1-48DE-81F6-C36F2BD22B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501" y="13118576"/>
          <a:ext cx="10858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88376</xdr:colOff>
      <xdr:row>35</xdr:row>
      <xdr:rowOff>88376</xdr:rowOff>
    </xdr:from>
    <xdr:to>
      <xdr:col>0</xdr:col>
      <xdr:colOff>1364726</xdr:colOff>
      <xdr:row>37</xdr:row>
      <xdr:rowOff>6286</xdr:rowOff>
    </xdr:to>
    <xdr:pic>
      <xdr:nvPicPr>
        <xdr:cNvPr id="3" name="Imagen 5">
          <a:extLst>
            <a:ext uri="{FF2B5EF4-FFF2-40B4-BE49-F238E27FC236}">
              <a16:creationId xmlns:a16="http://schemas.microsoft.com/office/drawing/2014/main" id="{BA825625-9927-43B4-8582-34E0EC0DE0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501" y="13118576"/>
          <a:ext cx="1085850" cy="24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efe718e5a97f254a/Documents/SENTENCIAS/SENTENCIAS/Gestion%20enero%20Angie/Revisiones%20Liquidaciones%20Huber/Branium%20-%20Macro%20de%20datos%20liquidaciones.xlsx" TargetMode="External"/><Relationship Id="rId1" Type="http://schemas.openxmlformats.org/officeDocument/2006/relationships/externalLinkPath" Target="/efe718e5a97f254a/Documents/SENTENCIAS/SENTENCIAS/Gestion%20enero%20Angie/Revisiones%20Liquidaciones%20Huber/Branium%20-%20Macro%20de%20datos%20liquidacione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Huber%20Rodriguez\OneDrive\Documentos\Alcaldia%20CTG\Conciliaciones\01.%20Orlando%20de%20Rio\Macro%20de%20datos%20liquidaciones%20-%20Orlando%20del%20Rio.xlsx" TargetMode="External"/><Relationship Id="rId1" Type="http://schemas.openxmlformats.org/officeDocument/2006/relationships/externalLinkPath" Target="file:///C:\Users\Huber%20Rodriguez\OneDrive\Documentos\Alcaldia%20CTG\Conciliaciones\01.%20Orlando%20de%20Rio\Macro%20de%20datos%20liquidaciones%20-%20Orlando%20del%20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icio"/>
      <sheetName val="Branium Liquidacion"/>
      <sheetName val="SMMLV"/>
      <sheetName val="DTF"/>
      <sheetName val="Interes Mora"/>
      <sheetName val="Tasa Intervencion"/>
      <sheetName val="Otras tasas"/>
      <sheetName val="DTF\"/>
      <sheetName val="Otras tasas\"/>
    </sheetNames>
    <sheetDataSet>
      <sheetData sheetId="0">
        <row r="21">
          <cell r="B21">
            <v>170357492</v>
          </cell>
        </row>
      </sheetData>
      <sheetData sheetId="1"/>
      <sheetData sheetId="2"/>
      <sheetData sheetId="3">
        <row r="3">
          <cell r="K3" t="str">
            <v>01</v>
          </cell>
          <cell r="L3" t="str">
            <v>Enero</v>
          </cell>
        </row>
        <row r="4">
          <cell r="K4" t="str">
            <v>02</v>
          </cell>
          <cell r="L4" t="str">
            <v>Febrero</v>
          </cell>
        </row>
        <row r="5">
          <cell r="K5" t="str">
            <v>03</v>
          </cell>
          <cell r="L5" t="str">
            <v>Marzo</v>
          </cell>
        </row>
        <row r="6">
          <cell r="K6" t="str">
            <v>04</v>
          </cell>
          <cell r="L6" t="str">
            <v>Abril</v>
          </cell>
        </row>
        <row r="7">
          <cell r="K7" t="str">
            <v>05</v>
          </cell>
          <cell r="L7" t="str">
            <v>Mayo</v>
          </cell>
        </row>
        <row r="8">
          <cell r="K8" t="str">
            <v>06</v>
          </cell>
          <cell r="L8" t="str">
            <v>Junio</v>
          </cell>
        </row>
        <row r="9">
          <cell r="K9" t="str">
            <v>07</v>
          </cell>
          <cell r="L9" t="str">
            <v>Julio</v>
          </cell>
        </row>
        <row r="10">
          <cell r="K10" t="str">
            <v>08</v>
          </cell>
          <cell r="L10" t="str">
            <v>Agosto</v>
          </cell>
        </row>
        <row r="11">
          <cell r="K11" t="str">
            <v>09</v>
          </cell>
          <cell r="L11" t="str">
            <v>Septiembre</v>
          </cell>
        </row>
        <row r="12">
          <cell r="K12" t="str">
            <v>10</v>
          </cell>
          <cell r="L12" t="str">
            <v>Octubre</v>
          </cell>
        </row>
        <row r="13">
          <cell r="K13" t="str">
            <v>11</v>
          </cell>
          <cell r="L13" t="str">
            <v>Noviembre</v>
          </cell>
        </row>
        <row r="14">
          <cell r="K14" t="str">
            <v>12</v>
          </cell>
          <cell r="L14" t="str">
            <v>Diciembre</v>
          </cell>
        </row>
      </sheetData>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icio"/>
      <sheetName val="Fechas de contrato"/>
      <sheetName val="SMMLV"/>
      <sheetName val="DTF"/>
      <sheetName val="Interes Mora"/>
      <sheetName val="Tasa Intervencion"/>
      <sheetName val="Otras tasas"/>
      <sheetName val="Liquidación de intereses"/>
    </sheetNames>
    <sheetDataSet>
      <sheetData sheetId="0"/>
      <sheetData sheetId="1"/>
      <sheetData sheetId="2"/>
      <sheetData sheetId="3"/>
      <sheetData sheetId="4"/>
      <sheetData sheetId="5"/>
      <sheetData sheetId="6"/>
      <sheetData sheetId="7"/>
    </sheetDataSet>
  </externalBook>
</externalLink>
</file>

<file path=xl/persons/person.xml><?xml version="1.0" encoding="utf-8"?>
<personList xmlns="http://schemas.microsoft.com/office/spreadsheetml/2018/threadedcomments" xmlns:x="http://schemas.openxmlformats.org/spreadsheetml/2006/main">
  <person displayName="Angélica Isabel Meza Almeida" id="{4C27E860-13F7-4715-A823-D31BC3B8C2BF}" userId="efe718e5a97f254a" providerId="Windows Liv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gélica Isabel Meza Almeida" refreshedDate="45001.679197569443" createdVersion="8" refreshedVersion="8" minRefreshableVersion="3" recordCount="71" xr:uid="{C6E9B202-CC45-41AC-B1C0-80219A6E6DF4}">
  <cacheSource type="worksheet">
    <worksheetSource ref="B2:W73" sheet="revision"/>
  </cacheSource>
  <cacheFields count="25">
    <cacheField name="DEMANDANTE/ CONVOCANTE" numFmtId="0">
      <sharedItems/>
    </cacheField>
    <cacheField name="CEDULA CIUDADANIA /NIT" numFmtId="0">
      <sharedItems containsBlank="1" containsMixedTypes="1" containsNumber="1" containsInteger="1" minValue="33156035" maxValue="45447274"/>
    </cacheField>
    <cacheField name="CONDENADOS" numFmtId="0">
      <sharedItems containsBlank="1"/>
    </cacheField>
    <cacheField name="ESTADO DEL PROCESO" numFmtId="0">
      <sharedItems count="1">
        <s v="PASIVOS VIGENTES"/>
      </sharedItems>
    </cacheField>
    <cacheField name="CLASE DE  PROCESO" numFmtId="0">
      <sharedItems count="10">
        <s v="ACCIÓN DE GRUPO"/>
        <s v="CONCILIACIÓN "/>
        <s v="CONTROVERSIA CONTRACTUAL"/>
        <s v="EJECUTIVO"/>
        <s v="LAUDO ARBITRAL"/>
        <s v="NULIDAD Y RESTABLECIMIENTO DEL DERECHO"/>
        <s v="ORDINARIO LABORAL"/>
        <s v="REPARACION DIRECTA"/>
        <s v="RESTITUCION DE INMUEBLE"/>
        <s v="ACCIÓN POPULAR"/>
      </sharedItems>
    </cacheField>
    <cacheField name="N° RADICADO" numFmtId="0">
      <sharedItems containsBlank="1"/>
    </cacheField>
    <cacheField name="CORPORACION" numFmtId="0">
      <sharedItems containsBlank="1"/>
    </cacheField>
    <cacheField name="CONDENA" numFmtId="0">
      <sharedItems containsBlank="1" longText="1"/>
    </cacheField>
    <cacheField name="FECHA FALLO O PROVIDENCIA POR CUMPLIR" numFmtId="14">
      <sharedItems containsNonDate="0" containsDate="1" containsString="0" containsBlank="1" minDate="2005-10-31T00:00:00" maxDate="2022-11-18T00:00:00" count="61">
        <d v="2019-10-05T00:00:00"/>
        <d v="2020-09-03T00:00:00"/>
        <d v="2021-04-30T00:00:00"/>
        <d v="2020-01-21T00:00:00"/>
        <d v="2020-03-13T00:00:00"/>
        <d v="2013-05-16T00:00:00"/>
        <d v="2014-08-22T00:00:00"/>
        <d v="2015-08-14T00:00:00"/>
        <d v="2019-02-25T00:00:00"/>
        <d v="2014-07-18T00:00:00"/>
        <d v="2018-10-24T00:00:00"/>
        <d v="2016-07-21T00:00:00"/>
        <d v="2016-05-02T00:00:00"/>
        <d v="2018-07-03T00:00:00"/>
        <d v="2018-05-03T00:00:00"/>
        <d v="2018-07-12T00:00:00"/>
        <d v="2019-08-09T00:00:00"/>
        <d v="2017-03-07T00:00:00"/>
        <d v="2019-12-13T00:00:00"/>
        <d v="2019-10-25T00:00:00"/>
        <d v="2019-11-07T00:00:00"/>
        <d v="2020-06-12T00:00:00"/>
        <d v="2020-02-28T00:00:00"/>
        <d v="2019-04-30T00:00:00"/>
        <d v="2021-11-25T00:00:00"/>
        <d v="2019-05-22T00:00:00"/>
        <d v="2019-05-08T00:00:00"/>
        <d v="2020-08-05T00:00:00"/>
        <d v="2021-07-30T00:00:00"/>
        <d v="2021-08-13T00:00:00"/>
        <d v="2020-02-14T00:00:00"/>
        <d v="2018-06-28T00:00:00"/>
        <d v="2022-05-05T00:00:00"/>
        <d v="2021-02-12T00:00:00"/>
        <d v="2009-02-09T00:00:00"/>
        <d v="2019-03-05T00:00:00"/>
        <d v="2021-02-26T00:00:00"/>
        <d v="2016-05-20T00:00:00"/>
        <d v="2013-05-17T00:00:00"/>
        <d v="2013-03-21T00:00:00"/>
        <d v="2017-12-19T00:00:00"/>
        <d v="2021-04-07T00:00:00"/>
        <d v="2021-10-15T00:00:00"/>
        <d v="2005-10-31T00:00:00"/>
        <d v="2020-02-11T00:00:00"/>
        <d v="2021-06-30T00:00:00"/>
        <d v="2022-03-30T00:00:00"/>
        <d v="2021-07-16T00:00:00"/>
        <d v="2021-09-17T00:00:00"/>
        <d v="2022-05-06T00:00:00"/>
        <d v="2021-10-29T00:00:00"/>
        <d v="2022-02-10T00:00:00"/>
        <m/>
        <d v="2022-02-24T00:00:00"/>
        <d v="2022-05-04T00:00:00"/>
        <d v="2022-04-29T00:00:00"/>
        <d v="2022-05-13T00:00:00"/>
        <d v="2021-12-10T00:00:00"/>
        <d v="2022-02-25T00:00:00"/>
        <d v="2022-11-17T00:00:00"/>
        <d v="2022-09-20T00:00:00"/>
      </sharedItems>
      <fieldGroup par="24" base="8">
        <rangePr groupBy="months" startDate="2005-10-31T00:00:00" endDate="2022-11-18T00:00:00"/>
        <groupItems count="14">
          <s v="(en blanco)"/>
          <s v="ene"/>
          <s v="feb"/>
          <s v="mar"/>
          <s v="abr"/>
          <s v="may"/>
          <s v="jun"/>
          <s v="jul"/>
          <s v="ago"/>
          <s v="sep"/>
          <s v="oct"/>
          <s v="nov"/>
          <s v="dic"/>
          <s v="&gt;18/11/2022"/>
        </groupItems>
      </fieldGroup>
    </cacheField>
    <cacheField name="FECHA DE EJECUTORIA" numFmtId="0">
      <sharedItems containsNonDate="0" containsDate="1" containsString="0" containsBlank="1" minDate="2013-05-16T00:00:00" maxDate="2022-08-12T00:00:00" count="38">
        <d v="2021-10-05T00:00:00"/>
        <d v="2020-09-09T00:00:00"/>
        <d v="2021-07-26T00:00:00"/>
        <d v="2021-09-21T00:00:00"/>
        <d v="2020-07-21T00:00:00"/>
        <d v="2013-05-16T00:00:00"/>
        <d v="2015-01-20T00:00:00"/>
        <d v="2015-08-14T00:00:00"/>
        <d v="2019-07-03T00:00:00"/>
        <d v="2022-02-04T00:00:00"/>
        <d v="2018-11-01T00:00:00"/>
        <d v="2016-08-05T00:00:00"/>
        <d v="2017-07-01T00:00:00"/>
        <d v="2018-05-02T00:00:00"/>
        <d v="2018-05-21T00:00:00"/>
        <d v="2018-08-27T00:00:00"/>
        <d v="2019-08-29T00:00:00"/>
        <d v="2019-09-23T00:00:00"/>
        <d v="2020-01-22T00:00:00"/>
        <d v="2020-02-25T00:00:00"/>
        <d v="2020-03-07T00:00:00"/>
        <d v="2020-08-04T00:00:00"/>
        <d v="2020-10-05T00:00:00"/>
        <d v="2020-08-19T00:00:00"/>
        <d v="2021-07-30T00:00:00"/>
        <d v="2022-01-24T00:00:00"/>
        <d v="2019-05-23T00:00:00"/>
        <d v="2019-05-27T00:00:00"/>
        <d v="2020-06-17T00:00:00"/>
        <d v="2021-02-18T00:00:00"/>
        <d v="2021-12-16T00:00:00"/>
        <d v="2022-02-16T00:00:00"/>
        <d v="2022-02-22T00:00:00"/>
        <d v="2018-07-16T00:00:00"/>
        <m/>
        <d v="2022-08-11T00:00:00"/>
        <d v="2022-02-07T00:00:00"/>
        <d v="2022-02-15T00:00:00"/>
      </sharedItems>
      <fieldGroup par="22" base="9">
        <rangePr groupBy="months" startDate="2013-05-16T00:00:00" endDate="2022-08-12T00:00:00"/>
        <groupItems count="14">
          <s v="(en blanco)"/>
          <s v="ene"/>
          <s v="feb"/>
          <s v="mar"/>
          <s v="abr"/>
          <s v="may"/>
          <s v="jun"/>
          <s v="jul"/>
          <s v="ago"/>
          <s v="sep"/>
          <s v="oct"/>
          <s v="nov"/>
          <s v="dic"/>
          <s v="&gt;12/08/2022"/>
        </groupItems>
      </fieldGroup>
    </cacheField>
    <cacheField name="PLAZO MAXIMO DE PAGO SEGÚN FECHA DE EJECUTORIA" numFmtId="0">
      <sharedItems containsNonDate="0" containsDate="1" containsString="0" containsBlank="1" minDate="2014-03-16T00:00:00" maxDate="2023-06-12T00:00:00"/>
    </cacheField>
    <cacheField name="FECHA SOLICITUD DE COBRO" numFmtId="0">
      <sharedItems containsDate="1" containsBlank="1" containsMixedTypes="1" minDate="2015-08-14T00:00:00" maxDate="2023-03-14T00:00:00"/>
    </cacheField>
    <cacheField name="DIAS DE MORA" numFmtId="0">
      <sharedItems containsString="0" containsBlank="1" containsNumber="1" containsInteger="1" minValue="217" maxValue="45001"/>
    </cacheField>
    <cacheField name="VALOR SENTENCIA CAPITAL" numFmtId="168">
      <sharedItems containsString="0" containsBlank="1" containsNumber="1" minValue="0" maxValue="86423566678"/>
    </cacheField>
    <cacheField name="COSTAS Y AGENCIAS EN DERECHO" numFmtId="168">
      <sharedItems containsString="0" containsBlank="1" containsNumber="1" minValue="0" maxValue="77503284.465000018"/>
    </cacheField>
    <cacheField name="INTERESES Y/O INDEXACION " numFmtId="168">
      <sharedItems containsString="0" containsBlank="1" containsNumber="1" minValue="0" maxValue="38554542441.743286"/>
    </cacheField>
    <cacheField name="TOTAL LIQUIDACION ACTUALIZADA " numFmtId="168">
      <sharedItems containsSemiMixedTypes="0" containsString="0" containsNumber="1" minValue="0" maxValue="124978109119.74329"/>
    </cacheField>
    <cacheField name="MES LIQUIDACION" numFmtId="0">
      <sharedItems containsDate="1" containsBlank="1" containsMixedTypes="1" minDate="2023-02-01T00:00:00" maxDate="2023-04-01T00:00:00"/>
    </cacheField>
    <cacheField name="OBSERVACIONES " numFmtId="0">
      <sharedItems containsBlank="1" longText="1"/>
    </cacheField>
    <cacheField name="VIGENCIA EN QUE DEBIÒ REALIZARCE EL PAGO" numFmtId="0">
      <sharedItems containsString="0" containsBlank="1" containsNumber="1" containsInteger="1" minValue="2003" maxValue="2023"/>
    </cacheField>
    <cacheField name="LINK ANEXOS DE EXPEDIENTES" numFmtId="0">
      <sharedItems containsBlank="1"/>
    </cacheField>
    <cacheField name="Trimestres" numFmtId="0" databaseField="0">
      <fieldGroup base="9">
        <rangePr groupBy="quarters" startDate="2013-05-16T00:00:00" endDate="2022-08-12T00:00:00"/>
        <groupItems count="6">
          <s v="&lt;16/05/2013"/>
          <s v="Trim.1"/>
          <s v="Trim.2"/>
          <s v="Trim.3"/>
          <s v="Trim.4"/>
          <s v="&gt;12/08/2022"/>
        </groupItems>
      </fieldGroup>
    </cacheField>
    <cacheField name="Años" numFmtId="0" databaseField="0">
      <fieldGroup base="9">
        <rangePr groupBy="years" startDate="2013-05-16T00:00:00" endDate="2022-08-12T00:00:00"/>
        <groupItems count="12">
          <s v="&lt;16/05/2013"/>
          <s v="2013"/>
          <s v="2014"/>
          <s v="2015"/>
          <s v="2016"/>
          <s v="2017"/>
          <s v="2018"/>
          <s v="2019"/>
          <s v="2020"/>
          <s v="2021"/>
          <s v="2022"/>
          <s v="&gt;12/08/2022"/>
        </groupItems>
      </fieldGroup>
    </cacheField>
    <cacheField name="Trimestres2" numFmtId="0" databaseField="0">
      <fieldGroup base="8">
        <rangePr groupBy="quarters" startDate="2005-10-31T00:00:00" endDate="2022-11-18T00:00:00"/>
        <groupItems count="6">
          <s v="&lt;31/10/2005"/>
          <s v="Trim.1"/>
          <s v="Trim.2"/>
          <s v="Trim.3"/>
          <s v="Trim.4"/>
          <s v="&gt;18/11/2022"/>
        </groupItems>
      </fieldGroup>
    </cacheField>
    <cacheField name="Años2" numFmtId="0" databaseField="0">
      <fieldGroup base="8">
        <rangePr groupBy="years" startDate="2005-10-31T00:00:00" endDate="2022-11-18T00:00:00"/>
        <groupItems count="20">
          <s v="&lt;31/10/2005"/>
          <s v="2005"/>
          <s v="2006"/>
          <s v="2007"/>
          <s v="2008"/>
          <s v="2009"/>
          <s v="2010"/>
          <s v="2011"/>
          <s v="2012"/>
          <s v="2013"/>
          <s v="2014"/>
          <s v="2015"/>
          <s v="2016"/>
          <s v="2017"/>
          <s v="2018"/>
          <s v="2019"/>
          <s v="2020"/>
          <s v="2021"/>
          <s v="2022"/>
          <s v="&gt;18/11/2022"/>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gélica Isabel Meza Almeida" refreshedDate="45033.447734606481" createdVersion="8" refreshedVersion="8" minRefreshableVersion="3" recordCount="125" xr:uid="{1532325A-52A5-40B9-BA22-B2E77B379229}">
  <cacheSource type="worksheet">
    <worksheetSource ref="A2:R127" sheet="RESUMEN LIQUIDACION SANEAMIENTO"/>
  </cacheSource>
  <cacheFields count="20">
    <cacheField name="TURNO DE PAGO" numFmtId="0">
      <sharedItems containsString="0" containsBlank="1" containsNumber="1" containsInteger="1" minValue="1" maxValue="126"/>
    </cacheField>
    <cacheField name="DEMANDANTE/ CONVOCANTE" numFmtId="0">
      <sharedItems containsBlank="1"/>
    </cacheField>
    <cacheField name="CEDULA CIUDADANIA /NIT" numFmtId="0">
      <sharedItems containsBlank="1" containsMixedTypes="1" containsNumber="1" containsInteger="1" minValue="3129359" maxValue="890903938"/>
    </cacheField>
    <cacheField name="CONDENADOS" numFmtId="0">
      <sharedItems containsBlank="1"/>
    </cacheField>
    <cacheField name="ESTADO DEL PROCESO" numFmtId="0">
      <sharedItems containsBlank="1" count="3">
        <s v="PAGADO"/>
        <s v="PASIVOS VIGENTES"/>
        <m/>
      </sharedItems>
    </cacheField>
    <cacheField name="CLASE DE  PROCESO" numFmtId="0">
      <sharedItems containsBlank="1" count="13">
        <s v="NULIDAD Y RESTABLECIMIENTO DEL DERECHO"/>
        <s v="EJECUTIVO"/>
        <s v="REPARACION DIRECTA"/>
        <s v="ACCIÓN DE GRUPO"/>
        <s v="CONCILIACIÓN "/>
        <s v="CONTROVERSIAS CONTRACTUALES"/>
        <s v="LAUDO ARBITRAL"/>
        <s v="RESTITUCION DE INMUEBLE"/>
        <s v="ORDINARIO LABORAL"/>
        <s v="CONTROVERSIA CONTRACTUAL"/>
        <s v="REPETICION"/>
        <s v="ACCIÓN POPULAR"/>
        <m/>
      </sharedItems>
    </cacheField>
    <cacheField name="N° RADICADO" numFmtId="0">
      <sharedItems containsBlank="1"/>
    </cacheField>
    <cacheField name="CORPORACION" numFmtId="0">
      <sharedItems containsBlank="1"/>
    </cacheField>
    <cacheField name="CONDENA" numFmtId="0">
      <sharedItems containsBlank="1" longText="1"/>
    </cacheField>
    <cacheField name="FECHA FALLO O PROVIDENCIA POR CUMPLIR" numFmtId="0">
      <sharedItems containsDate="1" containsBlank="1" containsMixedTypes="1" minDate="2005-10-31T00:00:00" maxDate="2023-02-11T00:00:00"/>
    </cacheField>
    <cacheField name="FECHA DE EJECUTORIA" numFmtId="0">
      <sharedItems containsNonDate="0" containsDate="1" containsString="0" containsBlank="1" minDate="2013-04-16T00:00:00" maxDate="2022-08-12T00:00:00" count="89">
        <d v="2013-04-16T00:00:00"/>
        <d v="2014-08-28T00:00:00"/>
        <d v="2015-03-11T00:00:00"/>
        <d v="2015-06-09T00:00:00"/>
        <d v="2016-10-26T00:00:00"/>
        <d v="2017-05-16T00:00:00"/>
        <d v="2016-05-24T00:00:00"/>
        <d v="2016-07-28T00:00:00"/>
        <d v="2016-10-14T00:00:00"/>
        <d v="2017-01-26T00:00:00"/>
        <d v="2017-03-24T00:00:00"/>
        <d v="2017-06-05T00:00:00"/>
        <d v="2017-08-22T00:00:00"/>
        <d v="2017-09-01T00:00:00"/>
        <d v="2017-09-11T00:00:00"/>
        <d v="2017-12-01T00:00:00"/>
        <d v="2017-12-15T00:00:00"/>
        <d v="2018-04-05T00:00:00"/>
        <d v="2017-05-22T00:00:00"/>
        <d v="2018-11-16T00:00:00"/>
        <d v="2018-11-26T00:00:00"/>
        <d v="2019-02-21T00:00:00"/>
        <d v="2019-03-01T00:00:00"/>
        <d v="2019-03-12T00:00:00"/>
        <d v="2019-03-13T00:00:00"/>
        <d v="2019-05-16T00:00:00"/>
        <d v="2019-06-07T00:00:00"/>
        <d v="2019-06-12T00:00:00"/>
        <d v="2019-06-26T00:00:00"/>
        <d v="2019-07-26T00:00:00"/>
        <d v="2019-09-12T00:00:00"/>
        <d v="2014-08-22T00:00:00"/>
        <d v="2013-05-16T00:00:00"/>
        <d v="2015-01-20T00:00:00"/>
        <d v="2015-08-14T00:00:00"/>
        <d v="2016-08-05T00:00:00"/>
        <d v="2016-06-01T00:00:00"/>
        <d v="2017-07-01T00:00:00"/>
        <d v="2021-08-27T00:00:00"/>
        <d v="2017-10-17T00:00:00"/>
        <d v="2017-11-01T00:00:00"/>
        <d v="2018-05-21T00:00:00"/>
        <d v="2018-05-17T00:00:00"/>
        <d v="2018-07-16T00:00:00"/>
        <d v="2018-08-27T00:00:00"/>
        <d v="2019-05-23T00:00:00"/>
        <d v="2018-10-16T00:00:00"/>
        <d v="2018-11-01T00:00:00"/>
        <d v="2019-05-27T00:00:00"/>
        <d v="2019-07-03T00:00:00"/>
        <d v="2020-07-21T00:00:00"/>
        <d v="2019-08-29T00:00:00"/>
        <d v="2019-09-23T00:00:00"/>
        <d v="2019-09-18T00:00:00"/>
        <d v="2019-10-03T00:00:00"/>
        <d v="2019-10-09T00:00:00"/>
        <d v="2019-12-19T00:00:00"/>
        <d v="2020-01-13T00:00:00"/>
        <d v="2020-01-22T00:00:00"/>
        <d v="2020-02-14T00:00:00"/>
        <d v="2020-02-25T00:00:00"/>
        <d v="2020-03-07T00:00:00"/>
        <d v="2020-06-17T00:00:00"/>
        <d v="2020-08-04T00:00:00"/>
        <d v="2020-07-31T00:00:00"/>
        <d v="2020-08-10T00:00:00"/>
        <d v="2020-08-25T00:00:00"/>
        <d v="2020-09-09T00:00:00"/>
        <d v="2020-09-16T00:00:00"/>
        <d v="2020-12-07T00:00:00"/>
        <d v="2020-12-18T00:00:00"/>
        <d v="2020-10-05T00:00:00"/>
        <d v="2020-08-19T00:00:00"/>
        <d v="2021-02-18T00:00:00"/>
        <d v="2021-07-26T00:00:00"/>
        <d v="2021-07-30T00:00:00"/>
        <d v="2021-09-21T00:00:00"/>
        <d v="2021-10-05T00:00:00"/>
        <m/>
        <d v="2021-12-16T00:00:00"/>
        <d v="2022-01-24T00:00:00"/>
        <d v="2022-02-04T00:00:00"/>
        <d v="2022-02-16T00:00:00"/>
        <d v="2022-02-22T00:00:00"/>
        <d v="2022-05-19T00:00:00"/>
        <d v="2022-08-11T00:00:00"/>
        <d v="2021-04-15T00:00:00"/>
        <d v="2022-02-07T00:00:00"/>
        <d v="2022-02-15T00:00:00"/>
      </sharedItems>
      <fieldGroup par="19" base="10">
        <rangePr groupBy="months" startDate="2013-04-16T00:00:00" endDate="2022-08-12T00:00:00"/>
        <groupItems count="14">
          <s v="(en blanco)"/>
          <s v="ene"/>
          <s v="feb"/>
          <s v="mar"/>
          <s v="abr"/>
          <s v="may"/>
          <s v="jun"/>
          <s v="jul"/>
          <s v="ago"/>
          <s v="sep"/>
          <s v="oct"/>
          <s v="nov"/>
          <s v="dic"/>
          <s v="&gt;12/08/2022"/>
        </groupItems>
      </fieldGroup>
    </cacheField>
    <cacheField name="PLAZO MAXIMO DE PAGO SEGÚN FECHA DE EJECUTORIA" numFmtId="0">
      <sharedItems containsDate="1" containsBlank="1" containsMixedTypes="1" minDate="2014-03-16T00:00:00" maxDate="2023-06-12T00:00:00"/>
    </cacheField>
    <cacheField name="FECHA SOLICITUD DE COBRO" numFmtId="0">
      <sharedItems containsDate="1" containsBlank="1" containsMixedTypes="1" minDate="2015-08-14T00:00:00" maxDate="2023-03-14T00:00:00"/>
    </cacheField>
    <cacheField name="DIAS DE MORA" numFmtId="0">
      <sharedItems containsString="0" containsBlank="1" containsNumber="1" containsInteger="1" minValue="249" maxValue="45033"/>
    </cacheField>
    <cacheField name="VALOR SENTENCIA CAPITAL" numFmtId="0">
      <sharedItems containsString="0" containsBlank="1" containsNumber="1" minValue="0" maxValue="126438776665.08038"/>
    </cacheField>
    <cacheField name="COSTAS Y AGENCIAS EN DERECHO" numFmtId="0">
      <sharedItems containsString="0" containsBlank="1" containsNumber="1" minValue="0" maxValue="698393776.00932813"/>
    </cacheField>
    <cacheField name="INTERESES Y/O INDEXACION " numFmtId="0">
      <sharedItems containsString="0" containsBlank="1" containsNumber="1" minValue="0" maxValue="57244021852.527565"/>
    </cacheField>
    <cacheField name="TOTAL LIQUIDACION ACTUALIZADA " numFmtId="0">
      <sharedItems containsString="0" containsBlank="1" containsNumber="1" minValue="0" maxValue="184381192293.61725"/>
    </cacheField>
    <cacheField name="Trimestres" numFmtId="0" databaseField="0">
      <fieldGroup base="10">
        <rangePr groupBy="quarters" startDate="2013-04-16T00:00:00" endDate="2022-08-12T00:00:00"/>
        <groupItems count="6">
          <s v="&lt;16/04/2013"/>
          <s v="Trim.1"/>
          <s v="Trim.2"/>
          <s v="Trim.3"/>
          <s v="Trim.4"/>
          <s v="&gt;12/08/2022"/>
        </groupItems>
      </fieldGroup>
    </cacheField>
    <cacheField name="Años" numFmtId="0" databaseField="0">
      <fieldGroup base="10">
        <rangePr groupBy="years" startDate="2013-04-16T00:00:00" endDate="2022-08-12T00:00:00"/>
        <groupItems count="12">
          <s v="&lt;16/04/2013"/>
          <s v="2013"/>
          <s v="2014"/>
          <s v="2015"/>
          <s v="2016"/>
          <s v="2017"/>
          <s v="2018"/>
          <s v="2019"/>
          <s v="2020"/>
          <s v="2021"/>
          <s v="2022"/>
          <s v="&gt;12/08/2022"/>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1">
  <r>
    <s v="MARLENE RODRIGUEZ ARRIETA Y OTROS"/>
    <m/>
    <s v="DISTRITO DE CARTAGENA, MINISTERIO DE VIVIENDA"/>
    <x v="0"/>
    <x v="0"/>
    <s v="13-001-33-33-013-2012-00033-01"/>
    <s v="JUEZ DECIMO TERCERO ADMINISTRATIVOS DEL CIRCUITO DE CARTAGENA"/>
    <s v="PAGO A TODOS LOS INTEGRANTES LA SUMA DE 40 SMLV  Y A LOS INTEGRANTES DEL NUCLEO FAMILIAR EL 20 SMLMV"/>
    <x v="0"/>
    <x v="0"/>
    <d v="2022-09-25T00:00:00"/>
    <m/>
    <n v="527"/>
    <n v="86423566678"/>
    <m/>
    <n v="38554542441.743286"/>
    <n v="124978109119.74329"/>
    <s v="SIN LIQUIDAR"/>
    <m/>
    <n v="2022"/>
    <s v="https://alcart-my.sharepoint.com/:f:/g/personal/conciliaciones_cartagena_gov_co/ErisgspgfmpIg0O_4AI4UUsB-sshEDzvEtpHD8RxBEbrBg?e=oNChWS"/>
  </r>
  <r>
    <s v="CABEL SAS EN LIQUIDACION Y OTROS"/>
    <m/>
    <s v="DISTRITO DE CARTAGENA "/>
    <x v="0"/>
    <x v="1"/>
    <s v="13001-33-33-012-2019-001161"/>
    <s v="JUZGADO 12 ADMINISTRATIVO DEL CIRCUITO DE CARTAGENA"/>
    <s v="SE CONCILIA EL PAGO DE CANON DE ARRENDAMINETO DESDE 1 ENERO 2018 A 2 MAYO 2019 POR VALOR DE $379.098.332  "/>
    <x v="1"/>
    <x v="1"/>
    <d v="2021-07-09T00:00:00"/>
    <d v="2020-10-06T00:00:00"/>
    <n v="918"/>
    <n v="379098332"/>
    <n v="0"/>
    <n v="211750387.31999996"/>
    <n v="590848719.31999993"/>
    <d v="2023-03-01T00:00:00"/>
    <m/>
    <n v="2021"/>
    <s v="https://alcart-my.sharepoint.com/:f:/g/personal/conciliaciones_cartagena_gov_co/EulW8MGJQT9NsNlQ6R10TkEBcJDyi2Xyne_xCL-b0bv8Mg?e=WZf16C"/>
  </r>
  <r>
    <s v="ALBA INES RODRIGUEZ OSPINA"/>
    <m/>
    <s v="DISTRITO CARTAGENA"/>
    <x v="0"/>
    <x v="1"/>
    <s v="13001-23-33-000-2018-00711-00"/>
    <s v="TRIBUNAL ADMINISTRATIVO DE BOLIVAR- MP EDGAR VASQUEZ"/>
    <s v="OCUPACION IRREGULAR DE INMUEBLE "/>
    <x v="2"/>
    <x v="2"/>
    <d v="2022-05-27T00:00:00"/>
    <d v="2021-08-22T00:00:00"/>
    <m/>
    <n v="864619708.61000001"/>
    <m/>
    <n v="245701079.44000003"/>
    <n v="1110320788.05"/>
    <d v="2023-03-01T00:00:00"/>
    <m/>
    <n v="2022"/>
    <s v="https://alcart-my.sharepoint.com/:f:/g/personal/conciliaciones_cartagena_gov_co/Ejn2EeMrs-tNm5c9Sd2SpxIBXnrGfjlLM8-njJLqFKkdhg?e=Sg8nqL"/>
  </r>
  <r>
    <s v="INVERSIONES LEONOR AROCHA  SCS, JAIRO HUMBERTO ESPITIA PARRA, JAIRO ESPITIA ROMAN, RAFAEL ESPITIA ROMAN "/>
    <m/>
    <s v="DISTRITO CARTAGENA"/>
    <x v="0"/>
    <x v="1"/>
    <s v="13001-33-33-002-2019-00186-00"/>
    <s v="JUZGADO SEGUNDO ADMINISTRATIVO DEL CIRCUITO DE CARTAGENA"/>
    <s v="APRUEBA CONCILIACION AUTO 21/01/20CANONES DE ARRENDAMIENTOS DEJADOS DE PAGAR ED ANDIAN ENTRE PER 14/09/17-24/01/18"/>
    <x v="3"/>
    <x v="3"/>
    <d v="2022-07-21T00:00:00"/>
    <d v="2022-02-17T00:00:00"/>
    <n v="541"/>
    <n v="111583205"/>
    <m/>
    <n v="31396028.630369443"/>
    <n v="142979233.63036945"/>
    <d v="2023-03-01T00:00:00"/>
    <m/>
    <n v="2022"/>
    <s v="https://alcart-my.sharepoint.com/:f:/g/personal/conciliaciones_cartagena_gov_co/EiDGx1E2rgFAlh4gZY8gHo8BcBbNlq4ryMdWK3Qvy8FMMg?e=qaChoO"/>
  </r>
  <r>
    <s v="BRANIUM SAS ARAUJO Y SEGOVIA SA"/>
    <m/>
    <s v="DISTRITO CARTAGENA"/>
    <x v="0"/>
    <x v="2"/>
    <s v="13001- 33- 33 -013 - 2016 -00278 -00"/>
    <s v="JUZGADO TRECE ADMINISTRATIVO DEL CIRCUITO DE CARTAGENA"/>
    <s v="CONCILIACION DE CANON DE ARRENDAMIENTO"/>
    <x v="4"/>
    <x v="4"/>
    <d v="2021-05-21T00:00:00"/>
    <m/>
    <m/>
    <n v="170357492"/>
    <m/>
    <n v="87368740.61999999"/>
    <n v="257726232.62"/>
    <d v="2023-03-28T00:00:00"/>
    <s v="POR LIQUIDAR"/>
    <n v="2021"/>
    <m/>
  </r>
  <r>
    <s v="AMIRA ROSA DIAZ MARRUGO"/>
    <m/>
    <s v="DISTRITO CARTAGENA"/>
    <x v="0"/>
    <x v="3"/>
    <s v="13001-33-33-001-2010-00295-00"/>
    <s v="JUZGADO PRIMERO ADMINISTRATIVO DEL CIRCUITO DE CARTAGENA"/>
    <m/>
    <x v="5"/>
    <x v="5"/>
    <d v="2014-03-16T00:00:00"/>
    <m/>
    <m/>
    <n v="38823755"/>
    <m/>
    <n v="39631869.829999998"/>
    <n v="78455624.829999998"/>
    <d v="2023-03-01T00:00:00"/>
    <m/>
    <m/>
    <m/>
  </r>
  <r>
    <s v="RICHARD IVÁN BELTRÁN GARCÍA"/>
    <m/>
    <s v="DISTRITO DE CARTAGENA"/>
    <x v="0"/>
    <x v="3"/>
    <s v="13-001-33-31-02-2010-00147-00"/>
    <s v="Juzg. 3° Adtivo del Cto."/>
    <s v="SEGUIR ADELANTE CON LA EJECUCION DE CONFORMIDAD CON EL MANDAMIENTO "/>
    <x v="6"/>
    <x v="6"/>
    <d v="2016-02-28T00:00:00"/>
    <d v="2016-11-25T00:00:00"/>
    <n v="2977"/>
    <n v="20836946.483378906"/>
    <n v="0"/>
    <n v="47550148.999999993"/>
    <n v="68387095.483378902"/>
    <d v="2023-03-01T00:00:00"/>
    <s v="FALTA LA LIQUIDACIÒN DEL CRÈDITO. ÙLTIMA ACTUACIÒN JUDICIAL FUE EL 4 DE OCTUBRE DE 2016, SIN IMPULSO PROCESAL. POSIBLE DESISTIMIENTO."/>
    <n v="2017"/>
    <s v="https://alcart-my.sharepoint.com/:f:/g/personal/conciliaciones_cartagena_gov_co/EjOA-JtZVBNDjLsrXh5o_JkB4SpvEHJS2o996EXHzm6gTQ?e=QRdofC"/>
  </r>
  <r>
    <s v="WILLY RAFAEL POLO"/>
    <m/>
    <s v="DISTRITO DE CARTAGENA"/>
    <x v="0"/>
    <x v="3"/>
    <s v="13-001-33-31-008-2010-00143-01"/>
    <s v="Juzgado 6° Adtivo del Circuito/ Conformada Tribunal Adtivo Bol."/>
    <s v="SEGUIR ADELANTE CON LA EJECUCION PARA EL PAGO DE LA SUMA DE $12.149.171 POR CONCEPTO DE TRABAJOS ADICIONALES AL CONTRATO "/>
    <x v="7"/>
    <x v="7"/>
    <d v="2017-02-14T00:00:00"/>
    <d v="2015-08-14T00:00:00"/>
    <n v="2771"/>
    <n v="27099171"/>
    <n v="3522892"/>
    <m/>
    <n v="30622063"/>
    <s v="NO LIQUIDADA"/>
    <s v="Juzg. 8 libró mandamiento, en virtud de nuevo reparto conoció Juzgado 6, que dictó auto de seguir adelante con la ejecución.  SE SUMARON LAS COSTAS DE LA PRIMERA INSTANCIA (10% DEL TOTAL DE LA OBLIGACIÒN) + LAS COSTAS DE SEGUNDA INSTANCIA ($812,975).  NO SE INCLUYE EN SANEAMIENTO, DEBIDO A QUE SE ENCUENTRA PENDIENTE LA LIQUIDACIÒN Y APROBACIÒN DEL CRÈDITO (INCIDENTE DE LIQUIDACIÒN)"/>
    <n v="2017"/>
    <s v="https://alcart-my.sharepoint.com/:f:/g/personal/conciliaciones_cartagena_gov_co/EhBak2MQ3oNKoPU4CRRup9gBv7AuRwLdiGyHeEIyxPv1aw?e=ZcAPcd"/>
  </r>
  <r>
    <s v="ELIDA TERESITA MARTINEZ BOHORQUEZ"/>
    <m/>
    <s v="DISTRITO CARTAGENA"/>
    <x v="0"/>
    <x v="3"/>
    <s v="13001-33-33-005-2020-00182-00"/>
    <s v="JUZGADO QUINTO ADMINISTRATIVO DEL CIRCUITO DE CARTAGENA "/>
    <s v="CANONES DE ARRENDAMIENTOS POR PAGAR FONDO DE PENSIONES - CPACA"/>
    <x v="8"/>
    <x v="8"/>
    <d v="2021-01-05T00:00:00"/>
    <d v="2019-12-03T00:00:00"/>
    <n v="1352"/>
    <n v="135245922.13"/>
    <n v="4057377.6638999996"/>
    <n v="83960839.679999992"/>
    <n v="223264139.47389996"/>
    <d v="2023-03-01T00:00:00"/>
    <m/>
    <n v="2020"/>
    <s v="https://alcart-my.sharepoint.com/:f:/g/personal/conciliaciones_cartagena_gov_co/ElkeAo4NdMhKsvE9jknGxPEBO2HrB8EalRShKFGWMc7Ppw?e=s9vwmK"/>
  </r>
  <r>
    <s v="CONSORCIO VÍAS DEL CARIBE"/>
    <m/>
    <s v="DISTRITO DE CARTAGENA"/>
    <x v="0"/>
    <x v="3"/>
    <s v="13001-33-33-008-2017-00006-01"/>
    <m/>
    <m/>
    <x v="9"/>
    <x v="9"/>
    <d v="2022-12-04T00:00:00"/>
    <m/>
    <m/>
    <n v="75301989.523514643"/>
    <n v="0"/>
    <n v="64582796.910000004"/>
    <n v="139884786.43351465"/>
    <d v="2023-03-01T00:00:00"/>
    <m/>
    <n v="2022"/>
    <m/>
  </r>
  <r>
    <s v="GAM CONSTRUCCIONES  S.A.S"/>
    <s v="900.665878-8"/>
    <s v="DISTRITO DE CARTAGENA"/>
    <x v="0"/>
    <x v="4"/>
    <m/>
    <s v="Tribunal de Arbitramento "/>
    <s v="DECLARESE A FAVOR DE GAM CONSTRUCIONES S.A.S.  Y EN CONTRA DEL DISTRITO, EL VALOR PENDIENTE DE RECAUDAR POR CONCEPTO DE LA CONTRIBUCIÒN POR VALORIZACIÒN, POR INCUMPLIMIENTO , CONDENESE AL DISTRITO A PAGAR LA SUMA DE $ 4.273.424.417,72 ; PAGAR LA SUMA DE 771.026.687,17, POR CONCEPTO DE ERRORES DE EL CONCEDENTE QUE IMPLICARON DISMINUCIÒN INDIVIDUAES DE LA CONTRIBUCIÒN POR VALORIZACIÒN, CONDENESE AL DISRRTRITO DE CARTAGENA A PAGAR LA SUMA DE $ 46.564.287,51, POR CONCEPTO DE GASTOS NO PRESUPUESTADOS Y AUTORIZADOS POR EL DISTRITO PARA EL CUMLIMIENTO DE LAS FUNCIONES INHERENTES A SU COMPETENCIA."/>
    <x v="10"/>
    <x v="10"/>
    <d v="2019-09-01T00:00:00"/>
    <d v="2018-11-27T00:00:00"/>
    <n v="1596"/>
    <n v="2725885628.5500007"/>
    <m/>
    <n v="290929986.94"/>
    <n v="3016815615.4900007"/>
    <d v="2023-03-01T00:00:00"/>
    <s v="Se realizó pago parcial por acuerdo de saneamiento, se reliquida intereses moratorios a la fecha por la diferencia adeudada"/>
    <n v="2019"/>
    <s v="https://alcart-my.sharepoint.com/:f:/g/personal/pagodesentencias_cartagena_gov_co/Eqbh2744m3FNsD-uLzKgfOYBTqwo4WjA18_vPfOzF_W9IA?e=W2SFI1"/>
  </r>
  <r>
    <s v="LILIA ISABEL CUETO PÉREZ"/>
    <m/>
    <s v="DISTRITO DE CARTAGENA"/>
    <x v="0"/>
    <x v="5"/>
    <s v="13-001-33-33-005-2013-00019-01"/>
    <s v="TRIBUNAL ADTIVO DE BOL."/>
    <s v="PAGO DE PORCENTAJES DE COTIZACIÒN CORRESPONDIENTES A PENSIÒN Y SALUD QUE DEBIÒ TRASLADAR A LOS FONDOS CORRESPONDIENTES DURANTE TODO EL TIEMPO QUE ESTUVO VINCULADA, ESTO ES, DESDE EL 1 DE ENERO DE 2001 AL 15 DE MAYO DE 2004, CONFORME A LOS HONORARIOS PACTADOS EN LOS CONTRATOS."/>
    <x v="11"/>
    <x v="11"/>
    <d v="2017-06-05T00:00:00"/>
    <s v="SIN SOLICITUD DE COBRO- POR PARTE DE DEMANDANTE O SU APODERADO"/>
    <n v="2414"/>
    <n v="5972500.6164253503"/>
    <n v="0"/>
    <n v="0"/>
    <n v="5972500.6164253503"/>
    <s v="NO LIQUIDADA "/>
    <s v="CC23,190,939, FALTAN HONORARIOS 2002 Y SOLICITAR AL FONDO DE PENSIONES CORRESPONDIENTES EL PAGO Y SI EFECTIVAMENTE CANCELÓ EN ESE PERIODO LAS COTIZACIONES CORRESPONDIENTES POR LA DEMANDANTE."/>
    <n v="2017"/>
    <s v="https://alcart-my.sharepoint.com/:f:/g/personal/conciliaciones_cartagena_gov_co/EkxsXqgG3PNLjO4vBASIB1MBA1gJ-3cn976MHD4PBCyN5Q?e=LlP4Kl"/>
  </r>
  <r>
    <s v="CONSUELO GÓMEZ DE MEJÍA"/>
    <m/>
    <s v="DISTRITO DE CARTAGENA"/>
    <x v="0"/>
    <x v="5"/>
    <s v="13 001 23 31 000 1996 11619 01"/>
    <s v="CONSEJO DE ESTADO"/>
    <s v="CONDENA EN ABSTRACTO POR CONCEPTO DE PERJUICIOS MATERIALES EN LA MODALIDAD DE LUCRO CESANTE, PERJUICIO QUE DEBERÀ LIQUIDARSE MEDIANTE TRÀMITE INCIDENTAL DE ACUERDO A LO PREVISTO EN EL ARTÌCULO 178 DEL CCA y 137 DEL CPC, EL CUAL DEBERÀ PROMOVERSE POR EL INTERESADO DENTRO DE LOS 60 DIAS SIGUIENTES A LA EJECUTORIA DE LA PROVIDENCIA."/>
    <x v="12"/>
    <x v="12"/>
    <d v="2017-12-02T00:00:00"/>
    <m/>
    <n v="2084"/>
    <n v="110492098.98999999"/>
    <n v="0"/>
    <n v="0"/>
    <n v="110492098.98999999"/>
    <s v="NO LIQUIDADA "/>
    <s v="LA CONDENA FUE DICTADA EN ABSTRACTO DEBIDO A QUE SE DESCONOCÌA EL VALOR DEL INMUEBLE. CONSEJO DE ESTADO ORDENÒ RECONOCER EL 6% DE INTERESES LEGALES DURANTE EL PERIODO COMPRENDIDO ENTRE EL MES DE SEPTIEMBRE DE 1995 , FECHA PARA LA QUE SE ESPERABA DISPONER DEL INMUEBLE Y EL 6 DE SEPTIEMBRE DE 1996, FECHA DEL FALLO DE TUTELA QUE AMPARÒ EL DERECHO FUNDAMENTAL AL DEBIDO PROCESO Y ORDENÒ LA SUSPENSIÒN DE LAS RESOLUCIONES DEMANDADAS. Mediante auto del  18 de diciembre de 2018, se resolviò abrir incidente de liquidaciòn; la apoderada de la demandante estimò la suma de $110,492,098,99, el cual fue objetado por el poderado del Distrito de Cartagena. NO SE INCLUYE EN SANEAMIENTO TODA VEZ QUE ESTÀ PENDIENTE LA DECISIÒN ACERCA DE LA OBJECIÒN FRENTE AL INCIDENTE DE LIQUIDACIÒN DE LOS PERJUICIOS."/>
    <n v="2018"/>
    <s v="https://alcart-my.sharepoint.com/:f:/g/personal/conciliaciones_cartagena_gov_co/EmFN3pNIZmdFgBeUq4OV-24BnXw0JaCpmxgEFncK9F_-GA?e=k46D8V"/>
  </r>
  <r>
    <s v="ORLANDO DEL RIO BERMUDEZ"/>
    <m/>
    <s v="DISTRITO CARTAGENA"/>
    <x v="0"/>
    <x v="5"/>
    <s v="13001-33-33-008-2017-00148-00"/>
    <s v="JUZGADO OCTAVO ADMINISTRATIVO DEL CIRCUITO DE CARTAGENA"/>
    <s v="PRESTACIONES SOCIALES, 4 NOV 2008/ 31 DIC 2015"/>
    <x v="13"/>
    <x v="13"/>
    <d v="2019-03-02T00:00:00"/>
    <m/>
    <n v="1779"/>
    <n v="129628612.33333333"/>
    <n v="0"/>
    <n v="141933610.42999998"/>
    <n v="271562222.76333332"/>
    <d v="2023-03-01T00:00:00"/>
    <s v="Liquidado de acuerdo a la certificacion recibida por medio de Oficio AMC-OFI-0084366-2022"/>
    <n v="2020"/>
    <s v="https://alcart-my.sharepoint.com/:u:/g/personal/conciliaciones_cartagena_gov_co/EcJfyQW-DzJJtNp5c2hCgOEBNUgIh3SY0Rhn2Hlt0I4Lnw?e=xVsCVB"/>
  </r>
  <r>
    <s v="FABIOLA BOTERO DE GAVIRIA"/>
    <m/>
    <s v="DISTRITO DE CARTAGENA"/>
    <x v="0"/>
    <x v="5"/>
    <s v="13001 23 31 000 2006 01436 01"/>
    <s v="CONSEJO DE ESTADO"/>
    <s v="PAGAR LA DIFERENCIA DEL VALOR RECONOCIDO EN LOS ACTOS ANULADOS Y EL VALOR QUE RESULTE DE ACTUALIZAR LA SUMA DE $24.664"/>
    <x v="14"/>
    <x v="14"/>
    <d v="2019-11-21T00:00:00"/>
    <d v="2018-11-21T00:00:00"/>
    <n v="1760"/>
    <n v="2974655617.4543009"/>
    <n v="0"/>
    <n v="3745696315.9134431"/>
    <n v="6720351933.3677444"/>
    <d v="2023-03-01T00:00:00"/>
    <m/>
    <n v="2021"/>
    <s v="https://alcart-my.sharepoint.com/:f:/g/personal/conciliaciones_cartagena_gov_co/EqsXA1whlRhHsnEiBopuz5ABKa83XmxPwRggelwnrHbPmg?e=fajcHJ"/>
  </r>
  <r>
    <s v="FRANCISCO JAVIER MADERO OROZCO"/>
    <m/>
    <s v="DISTRITO DE CARTAGENA"/>
    <x v="0"/>
    <x v="5"/>
    <s v="13-001-23-31-000-2011-0063-01"/>
    <s v="CONSEJO DE ESTADO"/>
    <s v="ESTUDIAR SI EXISTE DIFERENCIA ENTRE LOS APARTES QUE SE COSIGNARON Y LOS QUE SE DEBIERON CONSIGNAR, COTIZAR AL RESPECTIVO FONDO LA SUMA FALTANTE"/>
    <x v="15"/>
    <x v="15"/>
    <d v="2020-02-27T00:00:00"/>
    <d v="2018-09-06T00:00:00"/>
    <n v="1662"/>
    <n v="13509219.8275444"/>
    <n v="0"/>
    <n v="1702810.1522173418"/>
    <n v="15212029.979761742"/>
    <d v="2023-03-01T00:00:00"/>
    <s v="AMC OFI 0010372-2022 4fEB- SOLICITUD CERTF SALARIOS INPEC/ AMC OFI0010406-2022 SOLICITUD DE DOC/ SUSPENSIÓN DE INTERESES POR FALTA DE SOCLICITUD DE COBRO"/>
    <n v="2020"/>
    <s v="https://alcart-my.sharepoint.com/:f:/g/personal/conciliaciones_cartagena_gov_co/EqDRkgk9P5tFntcwczssJ48BdlPl48Q3Ly2TXMmSm82WHg?e=6MziHz"/>
  </r>
  <r>
    <s v="JACOB FORERO JULIO"/>
    <m/>
    <s v="DISTRITO DE CARTAGENA "/>
    <x v="0"/>
    <x v="5"/>
    <s v="13001-33-330082015004300"/>
    <s v="Juzgado Octavo Administrativo_x000a_del Circuito de Cartagena"/>
    <s v="CONDENESE AL DATT-a título de reparación del_x000a_daño, reconocer y pagar a favor  prestaciones sociales,_x000a_tomando como base los honorarios contractuales correspondientes a los periodos a los cuales se_x000a_demostró la existencia de relación laboral, es decir del 26 de junio de 2007 hasta el 31 de_x000a_diciembre de 2013."/>
    <x v="16"/>
    <x v="16"/>
    <d v="2020-06-29T00:00:00"/>
    <s v="SE VA OFICIAR PARA SOLICITUD DE INFORMACION"/>
    <n v="1295"/>
    <n v="16419216.491987161"/>
    <n v="0"/>
    <n v="1057039.8700000001"/>
    <n v="17476256.361987162"/>
    <d v="2023-03-31T00:00:00"/>
    <s v="Solicitud certificacion honorarios- Oficio AMC-OFI-0012317-2022 certif Honorarios / AMC-OFI-0012443-2022 Certf ejecutoriaSE DEBE VERIFICAR SOLICITUD DE COBRO (SUSPENDIDAS)"/>
    <n v="2020"/>
    <s v="https://alcart-my.sharepoint.com/:f:/g/personal/conciliaciones_cartagena_gov_co/EgbzvXr2oGdIssL38H7iC48BgASb8NIY7H3ZZOmxiQUV2g?e=qWOTxS"/>
  </r>
  <r>
    <s v="LILIS MARIA MORALES TEJEDOR"/>
    <m/>
    <s v="DISTRITO DE CARTAGENA "/>
    <x v="0"/>
    <x v="5"/>
    <s v="13001-33-33/006-2014-00399-00"/>
    <s v="JUZGADO SEXTO ADMINISTRATIVO ORAL DEL CIRCUITO CARTAGENA- TRIBUNAL ADMINISTRATIVO BOLIVAR M P-LUIS M VILLALOBOS"/>
    <s v="A titulo de reestablecimiento del derecho, pagar la diferencia existente entre los aportes, realizados como contratistas y los que se debieron efectuar.SED "/>
    <x v="17"/>
    <x v="17"/>
    <d v="2020-07-23T00:00:00"/>
    <m/>
    <n v="1270"/>
    <n v="0"/>
    <n v="0"/>
    <n v="0"/>
    <n v="0"/>
    <s v="NO LIQUIDADA "/>
    <s v="EN BUSQUEDA INFORMACION- SE VA OFICIAR"/>
    <n v="2015"/>
    <s v="https://alcart-my.sharepoint.com/:b:/g/personal/conciliaciones_cartagena_gov_co/EejYo0gG_-9Csr89UErpUQMBwY6sXEHJivKLPij6qHF0lw?e=C5tP3f"/>
  </r>
  <r>
    <s v="CARMEN ALICIA TOUS BERRIO Y OTROS, SUGEY BOLAÑO POLO, TRINIDAD MERCEDES CASTILLO MENDOZA, ODALIZ MEDINA LOPEZ, ANTONIO MARUGO JIMENEZ, OLIVIA MARSIGLIA  DUEÑAS, AMELIA DUEÑAS PANTOJA, TANIA TORRES PALACIO, JORGE RAMOS LEON, JOAQUIN CASSIANI CAÑATE"/>
    <m/>
    <s v="DISTRITO CARTAGENA"/>
    <x v="0"/>
    <x v="5"/>
    <s v="13001-33-33-008-2018-00224-00"/>
    <s v="JUZGADO OCTAVO ADMINISTRATIVO DEL CIRCUITO DE CARTAGENA"/>
    <s v="COMPLETAR SEGURIDAD SOCIAL"/>
    <x v="18"/>
    <x v="18"/>
    <d v="2020-11-22T00:00:00"/>
    <m/>
    <m/>
    <m/>
    <m/>
    <m/>
    <n v="0"/>
    <s v="NO LIQUIDADA "/>
    <s v="COMPLETAR SEGURIDAD SOCIAL, estamos a la espera de la unidad de defensa  de documentos anexos de la demanda para conocer los contratos laborales, para realizar la liquidacion la demandante debe aportar los pagos realizados al sist seg social"/>
    <n v="2020"/>
    <s v="https://alcart-my.sharepoint.com/:f:/g/personal/conciliaciones_cartagena_gov_co/EsSCz1uqepVCmhwTgIVJRGoBpOykD9_dEU7Hn1bnjsdIxQ?e=pKtCUZ"/>
  </r>
  <r>
    <s v="MARIBET GARCES POLO"/>
    <m/>
    <s v="DISTRITO DE CARTAGENA  DEPARTAMENTO ADMINISTRATIVO DE TRANSITO Y TRANSPORTE DE CARTAGENA- DATT"/>
    <x v="0"/>
    <x v="5"/>
    <s v="13-001-33-33-005-2014-0405-00"/>
    <s v="JUEZ QUINTO ADMINISTRATIVO"/>
    <s v="PAGO DE PRESTACIONES SOCIALES A FAVOR DEL DEMANDANTE TOMANDO COMO BASE LOS HONORARIOS CONTRACTUALES DURANTE EL TIEMPO QUE SE DEMOSTRÒ LA  EXISTENCIA DE LA RELACION LABORAL DATT"/>
    <x v="19"/>
    <x v="19"/>
    <d v="2020-12-25T00:00:00"/>
    <m/>
    <n v="1115"/>
    <n v="0"/>
    <n v="0"/>
    <n v="0"/>
    <n v="0"/>
    <s v="NO LIQUIDADA "/>
    <s v=" PENDIENTE LIQUIDAR SUMA CORRESPONDIENTE A LOS PARTES PENSIONALES / AMC-OFI-0103770-2020, SE REALIZA OFICIO AL DATT PARA SOLICITAR RESOLUCION DEL REINTEGRO Y LA LIQUIDACION QUE LE FUE PAGADA. SE REDIRECCIONA OFICIO A DATT PARA INSUMOS AMC-OFI-0049647-2021"/>
    <n v="2020"/>
    <s v="https://alcart-my.sharepoint.com/:b:/g/personal/conciliaciones_cartagena_gov_co/EbaeFP-VDzhPltVcdjy-AiYB1hDRdFfrbbhTBdDDqVnRRQ?e=IX4Vzg"/>
  </r>
  <r>
    <s v="CARLOS GASTELBONDO CAMARGO"/>
    <m/>
    <s v="DISTRITO DE CARTAGENA DEPARTAMENTO ADMINISTRATIVO DE TRANSITO Y TRANSPORTE DE CARTAGENA"/>
    <x v="0"/>
    <x v="5"/>
    <s v="13001-33-33-012-2015-00033-01"/>
    <s v="TRIBUNAL ADMINISTRATIVO DE BOLÍVAR "/>
    <s v="PAGO DE PRESTACIONES SOCIALES A FAVOR DEL DEMANDANTE TOMANDO COMO BASE LOS HONORARIOS CONTRACTUALES"/>
    <x v="20"/>
    <x v="20"/>
    <d v="2020-01-07T00:00:00"/>
    <m/>
    <n v="1104"/>
    <n v="14872436"/>
    <n v="0"/>
    <n v="11890704.449999999"/>
    <n v="26763140.449999999"/>
    <d v="2023-03-01T00:00:00"/>
    <s v="SE OFICIO A DATT PARA VERIFICAR SALARIOS DE 2010/2013Oficio AMC-OFI-0047673-2021&amp; oficio de respuesta Oficio AMC-OFI-0048302-2021/Oficio AMC-OFI-0091768-2021 3 agosto"/>
    <n v="2021"/>
    <s v="https://alcart-my.sharepoint.com/:f:/g/personal/conciliaciones_cartagena_gov_co/EvMZmL6N1F9MkQ0R3fqdCzYBuvgRlbKl4fTUrysMWe78EA?e=MqZ9hb"/>
  </r>
  <r>
    <s v="ESPERANZA CABRERA JIMENEZ"/>
    <m/>
    <s v="DISTRITO DE CARTAGENA"/>
    <x v="0"/>
    <x v="5"/>
    <s v="13-001-33-33-005-2015-00162-01"/>
    <s v="JUZGADO QUINTO ADMINISTRATIVO DEL CIRCUITO DE CARTAGENA/TRIBUNAL ADMINISTRATIVO DE BOLIVAR "/>
    <s v="PAGAR PRESTACIONES SOCIALES TOMANDO HONORARIOS DE 11/02/11 A 31/12/2013, presttaciones sociales prescritas de 2011 anteriores preescritas - APORTE SEG SOCIAL SE LE HARÁ LA DEVOLUCION DESDE 19-01-2009 A 31-12-2013"/>
    <x v="21"/>
    <x v="21"/>
    <d v="2021-04-12T00:00:00"/>
    <m/>
    <n v="954"/>
    <n v="77387222.486013249"/>
    <n v="0"/>
    <n v="40221757"/>
    <n v="117608979.48601325"/>
    <d v="2023-03-01T00:00:00"/>
    <s v="ABOGADO DE DEFENSA YADIRA MARTINEZ, SE DEBE SOLICITAR CONSTANCIA EJECUTORIA A DEFENSA Y ADELANTAR PROCESO PARA SOLICITUD DE CALCULO ACTUARIAL AL FONDO PENSION CORRESPONDIENTE.  Oficio a TH AMC-OFI-0019974-2021- AMC-OFI-0086528-2021 / AMC-OFI 0086528-2021 Fondo de pensiones"/>
    <n v="2021"/>
    <s v="https://alcart-my.sharepoint.com/:f:/g/personal/conciliaciones_cartagena_gov_co/EiVRO0tIb8FDvF8m_KEs9ZgBnukKNRoiNOanW0x7IOUXqg?e=Wh74An"/>
  </r>
  <r>
    <s v="EDUAR MARTINEZ DIAZ"/>
    <m/>
    <s v="DISTRITO CARTAGENA"/>
    <x v="0"/>
    <x v="5"/>
    <s v="13001-3333-012-2013-00082-00"/>
    <s v="JUZGADO DOCE ADMINISTRATIVO ORAL DEL DISTRITO"/>
    <s v="SALARIOS DEJADOS DE PERCIBIR, PRESTACIONES SOCIALES Y APORTES A SEG SOCIAL"/>
    <x v="22"/>
    <x v="22"/>
    <d v="2021-08-05T00:00:00"/>
    <m/>
    <n v="892"/>
    <m/>
    <m/>
    <m/>
    <n v="0"/>
    <s v="NO LIQUIDADA "/>
    <s v="Se declaró insusistente el cargo 12/08/2012 / FALTA LA FECHA DE REINTEGRO POR SOLICITAR A TH EL DECRETO DE REINTEGRO  QUE CERTIFIQUEN LOS SALARIOS"/>
    <n v="2020"/>
    <s v="https://alcart-my.sharepoint.com/:f:/g/personal/conciliaciones_cartagena_gov_co/EgeyYUI_57tAhzeoMdB5xHQBx2MqrfEBOC06UOFx-ty5GA?e=ItpI1S"/>
  </r>
  <r>
    <s v="MARITZA RUIZ TORRES"/>
    <n v="45447274"/>
    <s v="DISTRITO CARTAGENA"/>
    <x v="0"/>
    <x v="5"/>
    <s v="13001-33-33-007-2015-00031-01"/>
    <s v="JUZGADO SEPTIMO ADMINISTRATIVO DEL CIRCUITO DE CARTAGENA/ TRIBUNAL ADMINISTRATIVO DE BOLIVAR"/>
    <s v="ORDENASE EL RECONOCIMIENTO Y PAGO DE LAS PRESTACIONES SOCIALES QUE SON ASUMIDAS POR ELE EMPLEADOR CESANTIAS, INT CESANTIAS, PRIMAS CORRESPONDIENTES A LOS PERIODOS ENTRE 27 DE ENERO DE 2011 HASTA 09 DE OCTUBRE DE 2013/ CALCULO PENSIONES PORCENTAJE CORRESPONDIENTE A LA SUMA FALTANTE POR CONCEPTO DE COTIZACION A PENSION PERO SOLO EN EL PORCENTAJE QUE LE CORRESPONDE LEGALMENTE A LA ENTIDAD"/>
    <x v="21"/>
    <x v="23"/>
    <d v="2021-06-19T00:00:00"/>
    <d v="2023-03-13T00:00:00"/>
    <n v="939"/>
    <n v="0"/>
    <n v="0"/>
    <n v="0"/>
    <n v="0"/>
    <s v="NO LIQUIDADA "/>
    <m/>
    <m/>
    <m/>
  </r>
  <r>
    <s v="NOVER DE JESUS ESPINOSA"/>
    <m/>
    <s v="DISTRITO CARTAGENA"/>
    <x v="0"/>
    <x v="5"/>
    <s v="13001-23-33-000-2015-00366-00"/>
    <s v="TRIBUNAL ADMINISTRATIVO DE BOLIVAR MP ROBERTOMARIO CHAVARRO F7- CONSEJO DE ESTADO MP. CARMELO PERDOMO"/>
    <s v="CONTRATO REALIDAD /PRESCRIPCION- SEGURIDAD SOCIAL  1/OCT/2000 HASTA 16/FEB/2009- SALVO INTERRUPCIONES- CALCULO ACTUARIAL "/>
    <x v="23"/>
    <x v="24"/>
    <d v="2022-05-30T00:00:00"/>
    <m/>
    <n v="594"/>
    <m/>
    <n v="254567"/>
    <m/>
    <n v="254567"/>
    <d v="2023-03-01T00:00:00"/>
    <s v="CALCULO ACTUARIAL"/>
    <n v="2020"/>
    <s v="https://alcart-my.sharepoint.com/:f:/g/personal/conciliaciones_cartagena_gov_co/EnQ0IfBJRXNBnQSDRJgezj8BPaxvySQGBrtzRootKysqEw?e=ZCZ9lQ"/>
  </r>
  <r>
    <s v="ANETH DEL CARMEN TORRES PUELLO"/>
    <m/>
    <s v="DISTRITO CARTAGENA"/>
    <x v="0"/>
    <x v="5"/>
    <s v="13001-23-33-000-2014-00072-01"/>
    <m/>
    <m/>
    <x v="24"/>
    <x v="25"/>
    <d v="2022-11-24T00:00:00"/>
    <m/>
    <n v="416"/>
    <m/>
    <m/>
    <m/>
    <n v="0"/>
    <s v="SIN  LIQUIDAR"/>
    <s v="docente cotizar a fondo pensiones  01/02/91 a 03/05/94/ SE ENVIA OFICIO AL TRIBUNAL SOLICITANDO SENTENCIA 1 INSTANCIA AMC OFI 0045664-2022/ responden que aun está en despacho y no es posible enviar la 1 instancia. Oficio AMC-OFI-0015430-2023"/>
    <n v="2022"/>
    <s v="https://alcart-my.sharepoint.com/:f:/g/personal/conciliaciones_cartagena_gov_co/EvdDY8zxTalEjM1sgVZmFXYBKnCZzfRWyCv_34GeySnxFQ?e=EFPrJW"/>
  </r>
  <r>
    <s v="OSCAR JAVIER CAMACHO SANCHEZ"/>
    <m/>
    <s v="DISTRITO DE CARTAGENA"/>
    <x v="0"/>
    <x v="6"/>
    <s v="150013050022014-00098"/>
    <s v="JUZGADO 2° LABORAL DEL CIRCUITO DE TUNJA/TRIBUNAL SUPERIOR DE TUNJA"/>
    <s v="Declara que el contrato “obra labor” fue terminado con causa_x000a_imputable al empleador contrato vigente entre el 5 de julio de_x000a_2013 al 30 de octubre de 2013._x000a_Pagar al demandante de manera solidaria los emolumentos_x000a_señalados en folios del expediente (no especifica cuales)"/>
    <x v="25"/>
    <x v="26"/>
    <d v="2020-03-24T00:00:00"/>
    <m/>
    <n v="1393"/>
    <n v="58050730"/>
    <n v="3312464"/>
    <n v="0"/>
    <n v="61363194"/>
    <s v="NO LIQUIDADA "/>
    <s v="ESTAMOS A LA ESPERA DE 2 INSTANCIA POR FALTA DE CRITERIOS PARA LA LIQUIDACION DE INTERESES"/>
    <n v="2020"/>
    <s v="https://alcart-my.sharepoint.com/:f:/g/personal/conciliaciones_cartagena_gov_co/ErRdy5LrC81CseYHE2ifyIcBggR8x4yPZspx23pCMBzPIw?e=57co64"/>
  </r>
  <r>
    <s v="BEATRIZ GIL Y OTROS"/>
    <m/>
    <s v="DISTRITO DE CARTAGENA/ EPA   Y ROLANDO BECHARA"/>
    <x v="0"/>
    <x v="7"/>
    <s v="13001-2331-002007-0062203"/>
    <s v="CONSEJO DE ESTADO"/>
    <s v="SE DECLARA LA RESPONSABILIDAD DEL DISTRITO, EPA Y EL SR ROLANDO BECHARA CASTILLA POR LA MUERTE DE SR JOSE ARISTIZABAL HENAO"/>
    <x v="26"/>
    <x v="27"/>
    <d v="2020-11-27T00:00:00"/>
    <m/>
    <n v="1389"/>
    <n v="167818762.66666666"/>
    <n v="0"/>
    <n v="68812168.86999999"/>
    <n v="236630931.53666663"/>
    <d v="2023-03-01T00:00:00"/>
    <s v="EXPEDIENTE INCOMPLETO SE SUSPENDE INT. FALTA DE SOLICITUD COBRO"/>
    <n v="2020"/>
    <s v="https://alcart-my.sharepoint.com/:f:/g/personal/conciliaciones_cartagena_gov_co/Eopr3sZSBJtCiuZ4CKYTA2UBj_b4kQ-Zg3RTkkF7wNzkEg?e=SNfKzZ"/>
  </r>
  <r>
    <s v="ROBERTO DAVILA AREVALO Y OTROS"/>
    <m/>
    <s v="DISTRITO DE CARTAGENA"/>
    <x v="0"/>
    <x v="7"/>
    <s v="13-001-33-33-013-2012-00108-01"/>
    <s v="TRIBUNAL ADMINISTRATIVO DE BOLIVAR "/>
    <s v="INDEMNIZACION POR PERJUICIOS MORALES ,EMERGENTES FUTUROS, MATERIALES Y DE SALUD AL MENOR Roberto Junior Davila Y SU FAMILIA"/>
    <x v="21"/>
    <x v="28"/>
    <d v="2021-04-17T00:00:00"/>
    <m/>
    <n v="1002"/>
    <n v="372905744"/>
    <n v="12451521.949999999"/>
    <n v="254878999.89000002"/>
    <n v="640236265.84000003"/>
    <d v="2023-03-01T00:00:00"/>
    <s v="Falta solicitud cobro y constancia Ejecutoria"/>
    <n v="2021"/>
    <s v="https://alcart-my.sharepoint.com/:f:/g/personal/conciliaciones_cartagena_gov_co/Eo72MaFpIBdBtrXtkZ7TPGcBJctZQ7JPEBmuiiLSHkuTOQ?e=LID2US"/>
  </r>
  <r>
    <s v="DIONISIO PAUTT RODRIGUEZ Y OTROS"/>
    <s v="73,148,728"/>
    <s v="DISTRITO CARTAGENA"/>
    <x v="0"/>
    <x v="7"/>
    <s v="13001-23-31-001-2010-00470-00"/>
    <s v="TRIBUNAL ADMINISTRATIVO BOLIVAR/ CONSEJO DE ESTADO"/>
    <s v="CONDENA EN SOLIDARIA CON CORVIVIENDA 70%DT Y 30%CORVIVIENDA- EN SMLSV 50 A LOS PADRES Y A 4 HERMANOS 25"/>
    <x v="27"/>
    <x v="29"/>
    <d v="2021-12-18T00:00:00"/>
    <m/>
    <n v="756"/>
    <n v="127193639.99999999"/>
    <n v="0"/>
    <n v="62416390.709999993"/>
    <n v="189610030.70999998"/>
    <d v="2023-03-01T00:00:00"/>
    <m/>
    <n v="2021"/>
    <s v="https://alcart-my.sharepoint.com/:f:/g/personal/conciliaciones_cartagena_gov_co/EuYy5fn9TK1OuRzFVqwW73YBnrToWoO7O4YjKq4E4HDYmQ?e=TaHxRA"/>
  </r>
  <r>
    <s v="MYRNA DRAGO LARA Y OTROS"/>
    <m/>
    <s v="DISTRITO CARTAGENA"/>
    <x v="0"/>
    <x v="7"/>
    <s v="13-001-33-33-004-2017-00040-00"/>
    <s v="JUZGADO CUARTO ADMINISTRATIVIVA DEL CIRCUITO DE CARTAGENA"/>
    <s v="CONDENA EN SMLSV "/>
    <x v="28"/>
    <x v="30"/>
    <d v="2022-10-16T00:00:00"/>
    <m/>
    <n v="455"/>
    <n v="1106266111"/>
    <m/>
    <n v="50308656.426418513"/>
    <n v="1156574767.4264185"/>
    <d v="2023-02-01T00:00:00"/>
    <m/>
    <n v="2022"/>
    <s v="https://alcart-my.sharepoint.com/:b:/g/personal/conciliaciones_cartagena_gov_co/EfmOa59oVURGpmk6-dnXcKgBddZ7tm7ExA-Z1Hoa79uacA?e=1ULyfk"/>
  </r>
  <r>
    <s v="LUIS RICARDO GUTIERREZ OLASCUAGA Y OTROS"/>
    <m/>
    <s v="DISTRITO CARTAGENA"/>
    <x v="0"/>
    <x v="7"/>
    <s v="13-001-33-33-008-2016-00138-00"/>
    <s v="JUZGADO ADMINISTRATIVO DEL CIRCUITO DE CARTAGENA/ TRIBUNAL ASMINISTRATIVO DE BOLIVAR"/>
    <s v="CONDENA EN SMLSV "/>
    <x v="29"/>
    <x v="31"/>
    <d v="2022-12-16T00:00:00"/>
    <m/>
    <n v="393"/>
    <n v="1043680180.61"/>
    <n v="20435508.080000002"/>
    <n v="201959953.99000001"/>
    <n v="1266075642.6800001"/>
    <d v="2023-03-01T00:00:00"/>
    <s v="Se envió certificacion al juzgado octavo asministrativo, Ejecutoria AMC OFI 0046551-2022"/>
    <n v="2021"/>
    <s v="https://alcart-my.sharepoint.com/:f:/g/personal/conciliaciones_cartagena_gov_co/EnS0gZ7MT7lKukbylkowN2wBRPw1vVImYntQYa25w5sxBg?e=3WAD7Q"/>
  </r>
  <r>
    <s v="JESUS MERCADO CABALLERO Y OTROS"/>
    <m/>
    <s v="DISTRITO CARTAGENA"/>
    <x v="0"/>
    <x v="7"/>
    <s v="13001-33-33-002-2017-0013"/>
    <s v="JUZGADO SEGUNDO ADMINISTRATIVO DEL CIRCUITO DE CARTAGENA"/>
    <s v="FALLECIMIENTO CARLOS MERCADO- FALLA DE SERVICIODAÑO OCASIONADO POR DESLIZAMIENTO DE TIERRA"/>
    <x v="30"/>
    <x v="32"/>
    <d v="2022-12-22T00:00:00"/>
    <d v="2022-03-08T00:00:00"/>
    <n v="387"/>
    <n v="450000000"/>
    <m/>
    <n v="104596967.14169605"/>
    <n v="554596967.1416961"/>
    <d v="2023-03-01T00:00:00"/>
    <m/>
    <n v="2022"/>
    <s v="https://alcart-my.sharepoint.com/:b:/g/personal/conciliaciones_cartagena_gov_co/EfN6mj2TqOVMrBCQU0vBn9IBF8IEguNN3X8Dk53Frnv89A?e=2YZR5q"/>
  </r>
  <r>
    <s v="ASOCIACION COSTEÑA  DE POLICIAS RETIRADOS ACOPOR"/>
    <m/>
    <s v="DISTRITO DE CARTAGENA"/>
    <x v="0"/>
    <x v="8"/>
    <s v="13-001-23-31-003-2010-00282-01"/>
    <s v="TRIBUNAL ADMINISTRATIVO DEL ARCHIPIELAGO DE SAN ANDRES"/>
    <s v="PAGO DE MEJORAS NECESARIAS REALIZADAS EN EL INMUEBLE A RESTITUIR POR LA SUMA DE $ 2.357.226,14"/>
    <x v="31"/>
    <x v="33"/>
    <d v="2020-01-16T00:00:00"/>
    <d v="2018-08-16T00:00:00"/>
    <n v="1704"/>
    <n v="2357226.14"/>
    <n v="0"/>
    <n v="2874270.0848651612"/>
    <n v="5231496.2248651609"/>
    <d v="2023-03-01T00:00:00"/>
    <s v="PENDIENTE APERTURA DE INCIDENTE LIQUIDATORIO DE LAS MEJORAS ADEUDADAS POR EL DISTRITO DE CARTAGENA. "/>
    <n v="2021"/>
    <s v="https://alcart-my.sharepoint.com/:f:/g/personal/conciliaciones_cartagena_gov_co/ElPZFH3Uak9HhqnuUbcrVXwB0vhH-2DJC_FkMePmzqXVOg?e=5kmzhT"/>
  </r>
  <r>
    <s v="FIDUCOLDEX SA"/>
    <s v="830.054.060-5"/>
    <s v="DISTRITO CARTAGENA"/>
    <x v="0"/>
    <x v="5"/>
    <s v="13001-23-33-000-2015-00637-00"/>
    <s v="TRIBUNAL ADMINISTRATIVO DE BOLIVAR - M.P. LUIS_x000a__x000a_MIGUEL VILLALOBOSConsejo de Estado Sala de lo Contencioso Administrativo - Sección_x000a_Cuarta y notificada electrónicamente el día 13 de mayo de 2022."/>
    <s v="Devolución de pago de lo no debido. Impuesto predial. en cuanto a la condena en costas (agencias en derecho y gastos del_x000a_proceso), se observa que a la luz de los artículos 188 del CPACA y 365 (num. 8) del_x000a_CGP,"/>
    <x v="32"/>
    <x v="34"/>
    <m/>
    <m/>
    <m/>
    <n v="1155190069"/>
    <m/>
    <m/>
    <n v="1155190069"/>
    <m/>
    <m/>
    <m/>
    <m/>
  </r>
  <r>
    <s v="INMOBILIARIA CARTAGENA LTDA"/>
    <m/>
    <s v="DISTRITO CARTAGENA"/>
    <x v="0"/>
    <x v="7"/>
    <s v="13-001-33-33-005-2014-00037-00"/>
    <s v="JUZGADO QUINTO ADMINISTRATIVO DEL CIRCUITO DE CARTAGENA / TRIBUNAL ADMINISTRATIVO DE BOLIVAR"/>
    <s v="CANONES DE ARRENDAMIENTOS Y RECONOCIMIENTO DE REPARACIONES LOCATIVAS DE UN INMUEBLE Y SERV PUBLICOS "/>
    <x v="33"/>
    <x v="35"/>
    <d v="2023-06-11T00:00:00"/>
    <m/>
    <n v="217"/>
    <n v="219545704.31"/>
    <n v="15368199"/>
    <n v="16261080.210000001"/>
    <n v="251174983.52000001"/>
    <d v="2023-03-01T00:00:00"/>
    <s v="SOLICITAR AL JUZGADO QUINTO LA LIQUIDACION DE COSTAS Y AGENCIAS CONFORME A LA ULTIMA ACTUACION DEL PROCESO"/>
    <n v="2022"/>
    <m/>
  </r>
  <r>
    <s v="INVERSIONES CESAREO "/>
    <s v="890.401.655-4"/>
    <s v="DISTRITO DE CARTAGENA "/>
    <x v="0"/>
    <x v="9"/>
    <s v="13-001-23-33-003-2002-00090-00"/>
    <s v="JUZGADO SEPTIMO ADMINISTRATIVO DEL CIRCUITO DE CARTAGENA"/>
    <m/>
    <x v="34"/>
    <x v="34"/>
    <m/>
    <m/>
    <n v="5148"/>
    <n v="11083600000"/>
    <n v="0"/>
    <n v="0"/>
    <n v="11083600000"/>
    <s v="NO LIQUIDADA "/>
    <s v="EN ESPERA DE REALIZACION DE COMITÉ PARA CASTIGO DE CARTERA"/>
    <n v="2010"/>
    <s v="https://alcart-my.sharepoint.com/:f:/g/personal/pagodesentencias_cartagena_gov_co/EvhNQx2bnDZDldyhrnzmC8kBa7NsVA5zLNTwvjR6CDV9ww?e=Jk2yIh"/>
  </r>
  <r>
    <s v="CARLOS AYOLA CASTELLON"/>
    <m/>
    <s v="DISTRITO DE CARTAGENA"/>
    <x v="0"/>
    <x v="3"/>
    <s v="13001-33-31-000-2012-00060-00"/>
    <s v="JUZGADO NOVENO ADMINISTRATIVO DEL CIRCUITO DE CARTAGENA"/>
    <s v="EMOLUMENTOS CORRESPONDIENTES A LA SEG SOCIAL,SE DEBE PAGAR LA DIFERENCIA PRESTACIONES SOCIALES, DE  SEGURIDAD SOCIAL   DEBIDO A QUE PERCIBIA SALARIOS MENOR A UN TRABAJADOR DE SU CARGO."/>
    <x v="35"/>
    <x v="34"/>
    <m/>
    <m/>
    <n v="45001"/>
    <n v="258919444"/>
    <n v="77503284.465000018"/>
    <n v="516113400.65000004"/>
    <n v="852536129.11500001"/>
    <d v="2023-03-01T00:00:00"/>
    <s v="QUEDÓ PENDIENTE AUTO SEGUIR ADELANTE CON LA EJECUCION"/>
    <n v="2021"/>
    <s v="https://alcart-my.sharepoint.com/:f:/g/personal/conciliaciones_cartagena_gov_co/Euoicv6iYA9MuXOczhMzd2ABbo0J8GUtrOxB9uxyqIcbNw?e=GsTI1L"/>
  </r>
  <r>
    <s v="RUTH DEL CARMEN ALVAREZ PANTOJA"/>
    <m/>
    <s v="DISTRITO DE CARTAGENA "/>
    <x v="0"/>
    <x v="5"/>
    <s v="13-001-33-33-002-2013-00115-01"/>
    <s v="JUZGADO 2 ADMINISTRATIVO DEL CIRCUITO DE CARTAGENA/ 2 INSTANCIA TRIBUNAL ADMINISTRATIVO DE BOLIVAR"/>
    <s v="SED REINTEGRO AL CARGO COD219 GRADO35, INDEMINIZACION  SALARIOS Y PRESTACIONES DEJADOS DE PERCIBIR HASTA LA ULTMA SENTENCIA DESCONTADO LAS SUMAS PERCIBIDAS POR LABORALES EN LO PUBLICO COMO EL PRIVADO, SIN Q LA SUMA A PAGAR POR INDEMNIZACION SEA INFERIOR A 6 MESES O MAYOR A 24 MESES DE SALARIO. TERMINOS CPACA SIN COSTAS"/>
    <x v="36"/>
    <x v="34"/>
    <m/>
    <m/>
    <n v="45001"/>
    <n v="0"/>
    <n v="0"/>
    <n v="0"/>
    <n v="0"/>
    <s v="NO LIQUIDADA "/>
    <s v="AMC-OFI 0101257-2021, Oficio con respuiesta AMC OFI- 0116799-2021, se ofició por medio presente AMC OFI Amc Ofi 0116799-2021se solicitó certificacion de salarios para liquidar la sentencia / AMC-OFI-0116799-2021 LA RESPUESTA DE NO REINTEGRAR A LA DEMANDANTE POR EMITIRSE LISTA DE ELEGIBLE"/>
    <n v="2021"/>
    <s v="https://alcart-my.sharepoint.com/:f:/g/personal/conciliaciones_cartagena_gov_co/EgqiXigFpjRPpygssKJOPd8BLnnWVfoO7pJlLQ0xwVw5aA?e=f6orJD"/>
  </r>
  <r>
    <s v="NORIS RAMOS LARA"/>
    <n v="33156035"/>
    <s v="DISTRITO CARTAGENA"/>
    <x v="0"/>
    <x v="5"/>
    <s v="13001-33-31-001-201200053-01"/>
    <s v="TRIBUNAL ADMINISTRATIVO DE BOLIVAR / SALA DE DECISION ESCRITURAL"/>
    <s v="PAGO SEGURIDAD SOCIAL"/>
    <x v="37"/>
    <x v="34"/>
    <m/>
    <m/>
    <n v="45001"/>
    <m/>
    <m/>
    <m/>
    <n v="0"/>
    <s v="EN PROCESO DE PAGO EN TESORERIA"/>
    <s v="En espera de Cálculo por parte de la entidad- Colpensiones, para efectuar el pago"/>
    <n v="2017"/>
    <s v="https://alcart-my.sharepoint.com/:b:/g/personal/conciliaciones_cartagena_gov_co/Ee3BiXTF4B9LuDGRJPPZHhcBNkj6QSC2xVd2CQAiIjB8Fg?e=VkajCy"/>
  </r>
  <r>
    <s v="NOHEMÌ PACHECO DE LA ROSA"/>
    <m/>
    <s v="DISTRITO CARTAGENA"/>
    <x v="0"/>
    <x v="5"/>
    <s v="130012331003-2003-00770-00"/>
    <m/>
    <s v="PAGO SEGURIDAD SOCIAL"/>
    <x v="38"/>
    <x v="34"/>
    <m/>
    <m/>
    <n v="45001"/>
    <m/>
    <m/>
    <m/>
    <n v="0"/>
    <s v="NO LIQUIDADA "/>
    <s v="Se encuentra tramite de pago calculo actuarial (recurso de reposicion)"/>
    <n v="2014"/>
    <s v="https://alcart-my.sharepoint.com/:b:/g/personal/conciliaciones_cartagena_gov_co/ESpPRf-JdpxAmjQZRWhI610BXCloN4Wq8DzhF8Dt1ARzrQ?e=cmkCOD"/>
  </r>
  <r>
    <s v="MERCI PACHECO SILVA"/>
    <m/>
    <m/>
    <x v="0"/>
    <x v="5"/>
    <s v="13-00123-31-000-2003-0077100"/>
    <s v="JUZGADO PRIMERO ADMINISTRATIVO DEL CIRCUITO DE CARTAGENA/ TRIBUNAL ADMINISTRATIVO DE BOLIVAR"/>
    <s v="EL PAGO DE APORTES A SEGURIDAD SOCIAL"/>
    <x v="39"/>
    <x v="34"/>
    <m/>
    <m/>
    <n v="45001"/>
    <m/>
    <m/>
    <m/>
    <n v="0"/>
    <s v="NO LIQUIDADA "/>
    <s v="Solicitud de cálculo Actuarial ante Colpensiones/ En espera de Cálculo por  parte de la entidad, para efectuar el pago. para efectuar el pago"/>
    <n v="2003"/>
    <s v="https://alcart-my.sharepoint.com/:f:/g/personal/conciliaciones_cartagena_gov_co/EkKs7SRREwBGl82HMjXRwkEBeMQhdf3eFH8qBknT5Z43xA?e=Z3PKFa"/>
  </r>
  <r>
    <s v="MARGARITA SANCHEZ PIEDRAHITA Y OTROS"/>
    <m/>
    <s v="DISTRITO CARTAGENA"/>
    <x v="0"/>
    <x v="7"/>
    <s v="13-001-33-33-013-2013-0037700"/>
    <s v="JUZGADO DECIMO TERCERO ADMINISTRATIVO DEL CIRCUITO DE CARTGENA "/>
    <s v="CONDENA EN SMLSV "/>
    <x v="40"/>
    <x v="34"/>
    <m/>
    <m/>
    <n v="45001"/>
    <n v="217702856.01703569"/>
    <m/>
    <m/>
    <n v="217702856.01703569"/>
    <d v="2023-02-01T00:00:00"/>
    <s v="SOLICITADA AMC OFI AMC OFI 0129614-2022 al juzgado"/>
    <n v="2018"/>
    <s v="https://alcart-my.sharepoint.com/:f:/g/personal/conciliaciones_cartagena_gov_co/EtHGCM28oEZFsc7Au_BXQJUBlRN_Vcpp4vbiBcWhXe0big?e=7k3Jjl"/>
  </r>
  <r>
    <s v="CONSORCIO VIAL ISLA BARÚ"/>
    <s v="900.126.996-7"/>
    <s v="DISTRITO CARTAGENA"/>
    <x v="0"/>
    <x v="4"/>
    <s v="TRIBUNAL DE ARBITRAMIENTO"/>
    <s v="INCUMPLIMIENTO PARCIAL AL CONTRATO DE CONCESION, CONDENAR A PAGAR COSTAS Y AGENCIAS EN DERECHO "/>
    <m/>
    <x v="41"/>
    <x v="34"/>
    <m/>
    <m/>
    <n v="45001"/>
    <n v="479899395"/>
    <n v="9085260"/>
    <n v="125591963.7269634"/>
    <n v="614576618.7269634"/>
    <d v="2023-03-01T00:00:00"/>
    <m/>
    <n v="2022"/>
    <s v="https://alcart-my.sharepoint.com/:f:/g/personal/conciliaciones_cartagena_gov_co/EkUkOOchC-VNoOkkMltOMYABYyEvaS2Hxc0Eq1lX3x4RHg?e=iN5mkC"/>
  </r>
  <r>
    <s v="FRANK MARTINEZ MEJIA"/>
    <m/>
    <s v="DISTRITO CARTAGENA"/>
    <x v="0"/>
    <x v="5"/>
    <s v="13001-33-33-005-2015-00042-01"/>
    <s v="JUZGADO QUINTO ADMINISTRATIVOS DEL CIRCUITO DE CARTAGENA"/>
    <s v="PAGAR PRESTACIONES SOCIALES TOMANDO HONORARIOS CONTRACTUALES TODAS LAS QUE CORRESPONDAN A UN EMPLEADO CON FUNCIONES SIMILARES EN EL PERIODO COMPRENDIDO ENTRE EL 1 FEB DE 2006 HASTA 21 ENERO DE 2014, ASI COMO EL PAGO DE SEGURIDAD SOCIAL, EN LA DEBIDA PROPORCION, DE LA MISMA MANERA EL DEMANDANTE DEBE ACREDITAR EL PAGO DE SUS SEG SOCIAL PARA PODER REALIZAR EL PAGO DEL COMPLEMENTO  "/>
    <x v="42"/>
    <x v="34"/>
    <m/>
    <m/>
    <m/>
    <m/>
    <m/>
    <m/>
    <n v="0"/>
    <s v="SIN LIQUIDAR"/>
    <s v="SE DEBE SOLICITAR CONSTANCIA EJECUTORIA, SOLICITAR AL DEMANDANTE QUE ACREDITE COTIZACIONES, SE DEBE SOLICITAR AL JUZGADO LA LIQUDACION DE LAS COSTAS, SE DEBE SOLICITAR SENTENCIAS A JUZGADOS"/>
    <n v="2022"/>
    <m/>
  </r>
  <r>
    <s v="MARTIN  DE  HORTA PERTUZ"/>
    <m/>
    <s v="DISTRITO CARTAGENA"/>
    <x v="0"/>
    <x v="7"/>
    <s v="2003-00031-01"/>
    <s v="JUZGADO OCTAVO LABORAL DEL CIRCUITO DE CARTAGENA"/>
    <m/>
    <x v="43"/>
    <x v="34"/>
    <m/>
    <m/>
    <n v="45001"/>
    <m/>
    <m/>
    <m/>
    <n v="0"/>
    <s v="NO LIQUIDADA "/>
    <s v="INVESTIGAR SI EXISTIÓ PAGO DE APORTES A SISTEMA DE SEGURIDAD SOCIAL "/>
    <n v="2003"/>
    <s v="https://alcart-my.sharepoint.com/:f:/g/personal/conciliaciones_cartagena_gov_co/Erflf_3U1TRKgMZf8o6UnKUBwyMU__EDRsUtaQcHNwaTww?e=J0XvAb"/>
  </r>
  <r>
    <s v="CRISTOBAL  ALEJANDRO JACKSON MORALES"/>
    <m/>
    <s v="DISTRITO CARTAGENA"/>
    <x v="0"/>
    <x v="5"/>
    <s v="13001-33-33-011-2013-00120-00"/>
    <s v="JUZGADO DECIMO PRIMERO ADMINISTRATIVO DEL CIRCUITO DE CARTAGENA "/>
    <s v="DESVINCULACION DE EMPLEADO NOMBRADO EN PROVISIONALIDAD"/>
    <x v="44"/>
    <x v="34"/>
    <m/>
    <m/>
    <n v="45001"/>
    <m/>
    <m/>
    <m/>
    <n v="0"/>
    <s v="NO LIQUIDADA "/>
    <m/>
    <n v="2021"/>
    <s v="https://alcart-my.sharepoint.com/:b:/g/personal/conciliaciones_cartagena_gov_co/EZ1--xrvCLpOit_tIUQSGuEBCcJWl96N3-1vbVLPxA7RwA?e=m1Jkr9"/>
  </r>
  <r>
    <s v="INES ISABEL VISBAL NAVARRO"/>
    <m/>
    <s v="DISTRITO CARTAGENA"/>
    <x v="0"/>
    <x v="7"/>
    <s v="13-001-3333-007-2013-00011-00"/>
    <s v="JUZGADO SEPTIMO ADMINISTRATIVO DEL CIRCUITO DE CARTAGENA"/>
    <s v="RESPONSABILIDAD DEL ESTADO POR ENFERMEDAD PROFESIONAL DEL EMPLEADO PUBLICO "/>
    <x v="45"/>
    <x v="34"/>
    <m/>
    <m/>
    <n v="45001"/>
    <n v="27255780"/>
    <m/>
    <m/>
    <n v="27255780"/>
    <s v="SIN LIQUIDAR"/>
    <s v="Oficio AMC-OFI-0076350-2022_x000a_Solicitando la fecha ejecutoria"/>
    <n v="2022"/>
    <s v="https://alcart-my.sharepoint.com/:f:/g/personal/conciliaciones_cartagena_gov_co/ErBN18YtmJNMpmOU6QHPjTAB1msPUkB76WLf1-EfXwjZAw?e=4eZX1m"/>
  </r>
  <r>
    <s v="MARIA BEGONIA UGARTE SANCHEZ"/>
    <m/>
    <s v="DISTRITO CARTAGENA"/>
    <x v="0"/>
    <x v="7"/>
    <s v="13001-33-33-005-2017-00273-00"/>
    <s v="JUZGADO QUINTO ADMINISTRATIVO DEL CIRCUITO DE CARTAGENA"/>
    <s v="CONDENAN AL DT POR NO PAGO A CUOTA DE CONTRATO DE COMPRA VENTA/ numeral 8o del artículo 4o de la Ley 80 de 1993 desde 15 /02 /2001"/>
    <x v="46"/>
    <x v="34"/>
    <m/>
    <m/>
    <n v="45001"/>
    <n v="50000000"/>
    <m/>
    <m/>
    <n v="50000000"/>
    <m/>
    <m/>
    <n v="2023"/>
    <s v="https://alcart-my.sharepoint.com/:b:/g/personal/conciliaciones_cartagena_gov_co/EWdFbBHcllxAlycIwYrlp5QB0sBl0qoToM7KsFdjSGBMzA?e=bdNdJl"/>
  </r>
  <r>
    <s v="CONSORCIO INTERVENTORIA A Y C 2015"/>
    <m/>
    <s v="DISTRITO CARTAGENA"/>
    <x v="0"/>
    <x v="3"/>
    <s v="13001-33-33-007-2018-00083-01"/>
    <s v="JUZGADO SEPTIMO ADMINISTRATIVO DEL CIRCUITO / TRIBUNAL ADMINISTRATIVO DE BOLIVAR"/>
    <s v="CONDENAN AL DT POR EL NO PAGO DEL CONTRATO DE INTERVENTORIA N°16 CUYO OBJETO ERA INTERV TECNICA, ADMINISTRATIVA Y FINANCIERA, AMBIENTAL AL CONTRATO DE EJECUCION DE CLAUSURA Y POSCLAUSURA DEL RELLENO SANITARIO HENEQUEN, SE LE ADEUDA LOS INTERESES MORA POR EL PAGO TARDÍO DEL CONTRATO  N° 16"/>
    <x v="47"/>
    <x v="36"/>
    <d v="2022-12-07T00:00:00"/>
    <m/>
    <m/>
    <n v="35901123"/>
    <m/>
    <m/>
    <n v="35901123"/>
    <m/>
    <s v="FALTA CONSTANCIA EJECUTORIA-"/>
    <n v="2022"/>
    <s v="https://alcart-my.sharepoint.com/:b:/g/personal/conciliaciones_cartagena_gov_co/ERr3-VgyqqJCqUPMFO3TZDgBVwaOFC3hHu1mVj5002TyaA?e=o4uJII"/>
  </r>
  <r>
    <s v="ALEX MANSILLA GOMEZ "/>
    <m/>
    <s v="DISTRITO CARTAGENA"/>
    <x v="0"/>
    <x v="1"/>
    <s v="13 001 33 33 011 2022 00107 00"/>
    <s v="JUZGADO ONCE ADMINISTRATIVO DEL CIRCUITO DE CARTAGENA"/>
    <s v="APROBAR el acuerdo conciliatorio celebrado entre el señor ALEX MANSILLA GOMEZ Y DISTRITO DE CARTAGENA DEPARTAMENTO ADMINISTRATIVO DE TRANSITO Y TRANSPORTE (DATT), el dia 17 de noviembre de 2021 ante la Procuraduria_x000a_130 Judicial II Para Asuntos Administrativos de Cartagena, por valor de CINCUENTA Y DOS MILLONES CIENTO SIETE MIL QUINIENTOS SETENTA Y OCHO PESOS M/CTE ($52.167.578, por adeudarle 221 días de sanción moratoria._x000a_Segundo. - En firme esta providencia, expídanse a la parte convocante las copias necesarias para el Cumplimiento del acuerdo, con las constancias de ley. Advirtiendo que el acuerdo conciliatorio junto con la presente providencia presta mérito ejecutivo."/>
    <x v="48"/>
    <x v="34"/>
    <m/>
    <m/>
    <m/>
    <n v="52107578"/>
    <n v="0"/>
    <n v="0"/>
    <n v="52107578"/>
    <m/>
    <m/>
    <n v="2022"/>
    <m/>
  </r>
  <r>
    <s v="BRANIUM SAS /SOCIEDADES AMIN BAJAIRE"/>
    <m/>
    <s v="DISTRITO CARTAGENA"/>
    <x v="0"/>
    <x v="7"/>
    <s v="13001-33-33-011-2015-00212-01"/>
    <s v="TRIBUNAL ADMINISTRATIVO DE BOLIVAR"/>
    <m/>
    <x v="49"/>
    <x v="34"/>
    <m/>
    <m/>
    <m/>
    <m/>
    <m/>
    <m/>
    <n v="0"/>
    <m/>
    <m/>
    <n v="2023"/>
    <m/>
  </r>
  <r>
    <s v="EDWIN MOLINA SILGADO"/>
    <m/>
    <s v="DISTRITO CARTAGENA"/>
    <x v="0"/>
    <x v="5"/>
    <s v="13001 -33-33-005-2017-00262-01"/>
    <s v="TRIBUNAL ADMINISTRATIVO DE BOLÍVAR"/>
    <m/>
    <x v="50"/>
    <x v="37"/>
    <d v="2022-12-15T00:00:00"/>
    <d v="2023-03-13T00:00:00"/>
    <m/>
    <m/>
    <m/>
    <m/>
    <n v="0"/>
    <s v="SE SOLICITÓ CERTF SALARIOS AMC OFI-0028754-2023"/>
    <m/>
    <n v="2023"/>
    <m/>
  </r>
  <r>
    <s v="REFINERIA DE CARTAGENA S.A."/>
    <m/>
    <s v="DISTRITO CARTAGENA"/>
    <x v="0"/>
    <x v="5"/>
    <s v="13001-23-33-000-2013-00325-01 (25475)"/>
    <s v="CONSEJO DE ESTADO"/>
    <s v="DATT durante dos periodos de tiempo comprendidos entre el 25 febrero de 2011 y el 25 de septiembre de 2011; y entre el (i)24 de febrero_x000a_1 2012 hasta el 31 de enero del 2015, espacios de tiempo entre los cuales istió solución de continuidad, por las razones anotadas en esta providencia.  las prestaciones sociales que correspondan a un empleado con funciones similares a las desempeñadas por él en la entidad, tomando como base los honorarios contractuales durante el período el periodo comprendido entre el 24 de febrero del 2012_x000a_hasta el 31 de enero del 2015. Así como el pago de los porcentajes de cotización correspondientes a pensiones que, la entidad demandada debió trasladar a las entidades correspondientes, en la debida proporción, para que el tiempo laborado bajo la modalidad de contrato de prestación de servicios, pero bajo una verdadera relación laboral, sea computado para efectos pensiónales, mes a mes, y si existe diferencia entre los aportes realizados por el señor Molina Silgado, como contratista y los que se debieron efectuar, deberá cotizar al respectivo fondo de pensiones la suma faltante en concepto de aportes, pero solo en el porcentaje que le correspondía como empleado, lo anterior, para los periodos comprendidos entre el 25 febrero de 2011 y el 25 de septiembre de 2011; y entre el 24 de febrero del 2012 hasta el_x000a_31 de enero del 2015,"/>
    <x v="51"/>
    <x v="34"/>
    <m/>
    <m/>
    <m/>
    <n v="2500000000"/>
    <m/>
    <m/>
    <n v="2500000000"/>
    <m/>
    <m/>
    <n v="2022"/>
    <m/>
  </r>
  <r>
    <s v="REFINERIA DE CARTAGENA S.A."/>
    <m/>
    <s v="DISTRITO CARTAGENA"/>
    <x v="0"/>
    <x v="5"/>
    <s v="13001-23-31-000-2010-00421-01"/>
    <m/>
    <m/>
    <x v="52"/>
    <x v="34"/>
    <m/>
    <m/>
    <m/>
    <m/>
    <m/>
    <m/>
    <n v="0"/>
    <s v="SIN LIQUIDAR"/>
    <m/>
    <m/>
    <m/>
  </r>
  <r>
    <s v="SILVIO FAJARDO"/>
    <m/>
    <s v="DISTRITO CARTAGENA"/>
    <x v="0"/>
    <x v="5"/>
    <s v="13001 23 33 000 2015 00395 01 (1089-2020)"/>
    <s v="CONSEJO DE ESTADO"/>
    <m/>
    <x v="51"/>
    <x v="34"/>
    <m/>
    <m/>
    <m/>
    <m/>
    <m/>
    <m/>
    <n v="0"/>
    <s v="SIN LIQUIDAR"/>
    <m/>
    <n v="2022"/>
    <m/>
  </r>
  <r>
    <s v="FUNDACIÓN HINCAPIE HIJOS"/>
    <m/>
    <s v="DISTRITO CARTAGENA"/>
    <x v="0"/>
    <x v="5"/>
    <s v="13001-33-33-011-2016-00092-01"/>
    <s v="TRIBUNAL ADMINISTRATIVO DE BOLÍVAR"/>
    <m/>
    <x v="28"/>
    <x v="34"/>
    <m/>
    <m/>
    <m/>
    <m/>
    <m/>
    <m/>
    <n v="0"/>
    <s v="SIN LIQUIDAR"/>
    <m/>
    <n v="2022"/>
    <m/>
  </r>
  <r>
    <s v="Inversiones Salas Araújo y Compañía"/>
    <m/>
    <s v="DISTRITO CARTAGENA"/>
    <x v="0"/>
    <x v="5"/>
    <s v="13001-23-33-000-2017-00676-01 (25012)"/>
    <s v="NULIDAD Y RESTABLECIMIENTO DEL DERECHO"/>
    <m/>
    <x v="53"/>
    <x v="34"/>
    <m/>
    <m/>
    <m/>
    <m/>
    <m/>
    <m/>
    <n v="0"/>
    <s v="SIN LIQUIDAR"/>
    <m/>
    <n v="2022"/>
    <m/>
  </r>
  <r>
    <s v="FIDUCOLDEX"/>
    <m/>
    <s v="DISTRITO CARTAGENA"/>
    <x v="0"/>
    <x v="5"/>
    <s v="13001-23-33-000-2015-00637-01 (26127)"/>
    <s v="CONSEJO DE ESTADO"/>
    <m/>
    <x v="32"/>
    <x v="34"/>
    <m/>
    <m/>
    <m/>
    <n v="1155190969"/>
    <m/>
    <m/>
    <n v="1155190969"/>
    <s v="SIN LIQUIDAR"/>
    <m/>
    <n v="2022"/>
    <m/>
  </r>
  <r>
    <s v="SOCIEDAD TUBOTEC SA"/>
    <m/>
    <s v="DISTRITO CARTAGENA"/>
    <x v="0"/>
    <x v="5"/>
    <s v="13001-33-31-010-2012-00155-02"/>
    <s v="TRIBUNAL ADMINISTRATIVO BOLIVAR"/>
    <m/>
    <x v="46"/>
    <x v="34"/>
    <m/>
    <m/>
    <m/>
    <n v="882000000"/>
    <m/>
    <m/>
    <n v="882000000"/>
    <s v="SIN LIQUIDAR"/>
    <m/>
    <n v="2022"/>
    <m/>
  </r>
  <r>
    <s v="Cerver e Hijos Ltda. En liquidación"/>
    <m/>
    <s v="DISTRITO CARTAGENA"/>
    <x v="0"/>
    <x v="5"/>
    <s v="13001-33-33-005-2018-00101-01"/>
    <s v="TRIBUNAL ADMINISTRATIVO DE BOLIVAR"/>
    <m/>
    <x v="46"/>
    <x v="34"/>
    <m/>
    <m/>
    <m/>
    <n v="20480000"/>
    <m/>
    <m/>
    <n v="20480000"/>
    <m/>
    <m/>
    <n v="2022"/>
    <m/>
  </r>
  <r>
    <s v="PROMOAMBIENTAL CARIBE SA ESP"/>
    <m/>
    <s v="DISTRITO CARTAGENA"/>
    <x v="0"/>
    <x v="2"/>
    <s v="13001-23-31-000-2009-00548-01 (51992)_x000d_"/>
    <s v="CONSEJO DE ESTADO"/>
    <m/>
    <x v="54"/>
    <x v="34"/>
    <m/>
    <m/>
    <m/>
    <m/>
    <m/>
    <m/>
    <n v="0"/>
    <s v="SIN LIQUIDAR"/>
    <m/>
    <n v="2022"/>
    <m/>
  </r>
  <r>
    <s v="MARIA BEGONIA UGARTE"/>
    <m/>
    <s v="DISTRITO CARTAGENA"/>
    <x v="0"/>
    <x v="7"/>
    <s v="13001-23-33-005-2017-00273-01_x000d_"/>
    <s v="TRIBUNAL ADMINISTRATIVO DE BOLÍVAR"/>
    <m/>
    <x v="46"/>
    <x v="34"/>
    <m/>
    <m/>
    <m/>
    <m/>
    <m/>
    <m/>
    <n v="0"/>
    <s v="SIN LIQUIDAR"/>
    <m/>
    <n v="2022"/>
    <m/>
  </r>
  <r>
    <s v="INVERSIONES PAYSANDU SAS"/>
    <m/>
    <s v="DISTRITO CARTAGENA"/>
    <x v="0"/>
    <x v="5"/>
    <s v="13001-33-33-005-2017-00290-01_x000d_"/>
    <s v="TRIBUNAL ADMINISTRATIVO DE BOLÍVAR"/>
    <m/>
    <x v="55"/>
    <x v="34"/>
    <m/>
    <m/>
    <m/>
    <n v="12754000"/>
    <m/>
    <m/>
    <n v="12754000"/>
    <s v="FALTA LIQUIDAR INTERESE"/>
    <m/>
    <n v="2022"/>
    <m/>
  </r>
  <r>
    <s v="JOSÉ BARACALDO"/>
    <m/>
    <s v="DISTRITO CARTAGENA"/>
    <x v="0"/>
    <x v="5"/>
    <s v="13001-33-33-007-2018-00060-01"/>
    <s v="TRIBUNAL ADMINISTRATIVO DE BOLÍVAR"/>
    <m/>
    <x v="56"/>
    <x v="34"/>
    <m/>
    <m/>
    <m/>
    <m/>
    <m/>
    <m/>
    <n v="0"/>
    <s v="SIN LIQUIDAR"/>
    <m/>
    <n v="2022"/>
    <m/>
  </r>
  <r>
    <s v="ETTY JULIETH CALVO"/>
    <m/>
    <s v="DISTRITO CARTAGENA"/>
    <x v="0"/>
    <x v="5"/>
    <s v="13-001-33-33-005-2018-00001-01_x000d_"/>
    <s v="TRIBUNAL ADMINISTRATIVO DE BOLÍVAR"/>
    <m/>
    <x v="56"/>
    <x v="34"/>
    <m/>
    <m/>
    <m/>
    <m/>
    <m/>
    <m/>
    <n v="0"/>
    <s v="SIN LIQUIDAR"/>
    <m/>
    <n v="2022"/>
    <m/>
  </r>
  <r>
    <s v="DAVID CABARCAS"/>
    <m/>
    <s v="DISTRITO CARTAGENA"/>
    <x v="0"/>
    <x v="5"/>
    <s v="13-001-33-33-011-2018-00113-01"/>
    <s v="TRIBUNAL ADMINISTRATIVO DE BOLIVAR"/>
    <m/>
    <x v="57"/>
    <x v="34"/>
    <m/>
    <m/>
    <m/>
    <m/>
    <m/>
    <m/>
    <n v="0"/>
    <s v="SIN LIQUIDAR"/>
    <m/>
    <n v="2022"/>
    <m/>
  </r>
  <r>
    <s v="ORLANDO VILLADIEGO"/>
    <m/>
    <s v="DISTRITO CARTAGENA"/>
    <x v="0"/>
    <x v="5"/>
    <s v="13-001-33-33-005-2018-00087-01_x000d_"/>
    <s v="TRIBUNAL ADMINISTRATIVO DE BOLÍVAR"/>
    <m/>
    <x v="58"/>
    <x v="34"/>
    <m/>
    <m/>
    <m/>
    <m/>
    <m/>
    <m/>
    <n v="0"/>
    <s v="SIN LIQUIDAR"/>
    <m/>
    <n v="2022"/>
    <m/>
  </r>
  <r>
    <s v="MARIA AURA SANCHEZ"/>
    <m/>
    <s v="DISTRITO CARTAGENA"/>
    <x v="0"/>
    <x v="5"/>
    <s v="13-001-33-33-002-2015-00199-01_x000d_"/>
    <s v="TRIBUNAL ADMINISTRATIVO DE BOLÍVAR"/>
    <m/>
    <x v="56"/>
    <x v="34"/>
    <m/>
    <m/>
    <m/>
    <m/>
    <m/>
    <m/>
    <n v="0"/>
    <s v="SIN LIQUIDAR"/>
    <m/>
    <n v="2022"/>
    <m/>
  </r>
  <r>
    <s v="COOMEVA EPS SSA"/>
    <m/>
    <s v="DISTRITO CARTAGENA"/>
    <x v="0"/>
    <x v="5"/>
    <s v="13001-23-33-000-2014-00156-02 (26828)"/>
    <s v="CONSEJO DE ESTADO"/>
    <m/>
    <x v="59"/>
    <x v="34"/>
    <m/>
    <m/>
    <m/>
    <n v="65224000"/>
    <m/>
    <m/>
    <n v="65224000"/>
    <s v="SIN LIQUIDAR"/>
    <m/>
    <n v="2022"/>
    <m/>
  </r>
  <r>
    <s v="ERICK GARCÍA ESTRADA"/>
    <m/>
    <s v="DISTRITO CARTAGENA"/>
    <x v="0"/>
    <x v="5"/>
    <s v="13-001-33-33-004-2017-00281-01"/>
    <s v="TRIBUNAL ADMINISTRATIVO DE BOLÍVAR"/>
    <m/>
    <x v="60"/>
    <x v="34"/>
    <m/>
    <m/>
    <m/>
    <m/>
    <m/>
    <m/>
    <n v="0"/>
    <s v="SIN LIQUIDAR"/>
    <m/>
    <n v="2022"/>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5">
  <r>
    <n v="1"/>
    <s v="NILDA MELENDEZ MARTÍNEZ"/>
    <s v="33,152,309"/>
    <s v="DISTRITO DE CARTAGENA "/>
    <x v="0"/>
    <x v="0"/>
    <s v="13-001-33-31-008-2007-00048-02"/>
    <s v="Juzgado 8°Administrativo del Circuito/ Tribunal Adtivo de Bolívar"/>
    <s v="ORDENA EL REINTEGRO DE LA DEMANDANTE AL CARGO QUE DESEMPEÑABA U OTRO DE IGUAL O SUPERIOR CATEGORÍA. RECONOCIMIENTO Y PAGO DE SALARIOS Y PRESTACIONES DEJADOS DE PERCIBIR DESDE SU DESVINCULACIÓN HASTA SU REINTEGRO, SIN SOLUCIÓN DE CONTINUIDAD."/>
    <d v="2013-04-04T00:00:00"/>
    <x v="0"/>
    <d v="2014-10-16T00:00:00"/>
    <d v="2017-05-11T00:00:00"/>
    <n v="3653"/>
    <n v="144494450.83120006"/>
    <n v="18665079.335345764"/>
    <n v="228807135.8757152"/>
    <n v="391966666.042261"/>
  </r>
  <r>
    <n v="2"/>
    <s v="ADALBERTO DIAZ TRESPALACIOS"/>
    <n v="73089766"/>
    <s v="DISTRITO DE CARTAGENA"/>
    <x v="0"/>
    <x v="0"/>
    <s v="13-001-33-31-012-2011-00182-000"/>
    <s v="TRIBUNAL ADMINISTRATIVO DE BOLIVAR "/>
    <s v="REINTEGRO Y PAGO DE SALARIOS DEJADOS DE DEVENGAR, COMO AGENTE DEL DATT, DEMÁS DERECHOS Y PRESTACIONES LABORALES"/>
    <d v="2014-07-28T00:00:00"/>
    <x v="1"/>
    <d v="2016-02-28T00:00:00"/>
    <d v="2018-10-24T00:00:00"/>
    <n v="3154"/>
    <n v="174296500"/>
    <n v="0"/>
    <m/>
    <n v="174296500"/>
  </r>
  <r>
    <n v="3"/>
    <s v="BANCOLOMBIA S.A. (ANTES CONAVI)"/>
    <n v="890903938"/>
    <s v="DISTRITO DE CARTAGENA"/>
    <x v="0"/>
    <x v="1"/>
    <s v="13001-31-03-008-2001-0291-00"/>
    <s v="TRIBUNAL SUPERIOR DE CARTAGENA- Sala Civil Flia."/>
    <s v="PAGO DE $470,900,355 Y CONDENA EN COSTA POR LA SUMA DE $13.900.000,00"/>
    <d v="2019-09-30T00:00:00"/>
    <x v="2"/>
    <d v="2016-09-15T00:00:00"/>
    <m/>
    <n v="2959"/>
    <n v="470900355"/>
    <n v="15556232"/>
    <n v="183215928.87955415"/>
    <n v="669672515.87955415"/>
  </r>
  <r>
    <n v="4"/>
    <s v="MEDICAL UNIVERSAL SOLUTIONS S.A. MUNDO S.A."/>
    <m/>
    <s v="DISTRITO DE CARTAGENA"/>
    <x v="0"/>
    <x v="2"/>
    <s v="13-001-23-31-002-2005-01890-01"/>
    <s v="TRIBUNAL ADMINISTRATIVO DE BOLÍVAR "/>
    <s v="PAGO DE 311.709.724 POR CONCEPTO DE DAÑO EMERGENTE Y LUCRO CESANTE POR 9,776,416,836"/>
    <d v="2015-05-08T00:00:00"/>
    <x v="3"/>
    <d v="2016-12-09T00:00:00"/>
    <d v="2019-12-09T00:00:00"/>
    <n v="2869"/>
    <n v="55976668.108711697"/>
    <n v="0"/>
    <n v="7137943.779267665"/>
    <n v="63114611.887979358"/>
  </r>
  <r>
    <n v="5"/>
    <s v="RICARDO MORALES TAPIAS y OTROS"/>
    <s v="MARIA FELICIA GUARDO GUERRERO, CC33,157,278"/>
    <s v="DISTRITO DE CARTAGENA"/>
    <x v="0"/>
    <x v="3"/>
    <s v="13-00001-23-31-000-2002-01938-00"/>
    <s v="Juzg. 5° Adtivo del Cto; Tribunal Adtivo de Bol.; Consejo de estado, sección primera."/>
    <s v="ORDENESE EL PAGO EN FORMA SOLIDARIA DE LA IDEMNIZACIÒN COLECTIVA POR PERJUICIOS MORALES A LOS MIEMBROS DEL GRUPO DE DEMANDANTES EN LA SUMA DE 10 SALARIOS MINIMOS LEGALES MENSUALES VIGENTES, EL PAGO DEBERÀ REALIZARSE A 137 PROPIETARIOS."/>
    <d v="2020-04-26T00:00:00"/>
    <x v="4"/>
    <d v="2018-07-25T00:00:00"/>
    <d v="2017-03-02T00:00:00"/>
    <n v="2364"/>
    <n v="148922280"/>
    <n v="0"/>
    <n v="194593305.6570228"/>
    <n v="343515585.65702283"/>
  </r>
  <r>
    <n v="6"/>
    <s v="OXÍGENO ÓPTIMO LTDA (LINDE COLOMBIA)"/>
    <n v="860005114"/>
    <s v="DISTRITO DE CARTAGENA"/>
    <x v="0"/>
    <x v="2"/>
    <s v="13-001-33-31-012-2002-1613-00"/>
    <s v="JUEZ DECIMO ADMINISTRATIVO DEL CIRCUITO DE CARTAGENA"/>
    <s v="CONDENA AL DISTRITO Y CONCESIÒN VIAL DE CARTAGENA ADMINISTRATIVA Y SOLIDARIAMENTE RESPONSABLES DE LOS DAÑOS CAUSADOS A LAS INSTALACIONES DE OXÌGENO ÒPTIMO  LTDA, CON OCASIÒN DE LA INUNDACIÒN PRESENTADA EN SUS INSTALACIONES A MEDIADOS DEL AÑO 2001, DERIVADAS DE LA FALTA DE CONSTRUCCIÒN DEL CANAL DE EVACUACIÒN DE AGUAS LLÙVIAS. PAGO DE $12.179.960 DEBIDAMENTE INDEXADOS. INTERESES DE ACUERDO AL ARTÌCULO 177 DEL CCA"/>
    <d v="2015-11-17T00:00:00"/>
    <x v="5"/>
    <s v=" 16/11/2018"/>
    <d v="2019-06-25T00:00:00"/>
    <n v="2162"/>
    <n v="6089980"/>
    <n v="913497"/>
    <n v="4400937.0708124777"/>
    <n v="11404414.070812479"/>
  </r>
  <r>
    <n v="7"/>
    <s v="RUBEN DARIO VASQUEZ URQUIJO"/>
    <n v="73572424"/>
    <s v="DISTRITO DE CARTAGENA"/>
    <x v="0"/>
    <x v="0"/>
    <s v="13-001-33-31-012-2012-00027-00"/>
    <s v="JUZGADO 9ª ADMINISTRATIVO DEL CIRCUITO"/>
    <s v="RECONOCIMIENTO Y PAGOS DE SALARIOS Y PRESTACIONES SOCIALES CAUSADOS DURANTE EL PERIODO QUE ESTUVO DESVINCULADO EL DEMANDANTE, SIN SOLUCIÒN DE CONTINUIDAD"/>
    <d v="2016-04-25T00:00:00"/>
    <x v="6"/>
    <d v="2017-11-24T00:00:00"/>
    <d v="2016-09-22T00:00:00"/>
    <n v="2519"/>
    <n v="45331378.255031615"/>
    <n v="0"/>
    <n v="59390548.366564155"/>
    <n v="104721926.62159577"/>
  </r>
  <r>
    <n v="8"/>
    <s v="MONICA ESTHER AGAMEZ ANILLO"/>
    <n v="45762233"/>
    <s v="DISTRITO DE CARTAGENA"/>
    <x v="0"/>
    <x v="1"/>
    <s v="13-001-33-33-002-2015-00076-00"/>
    <s v="Juzg. 2° Adtivo del Cto./TRIBUNAL ADMINISTRATIVO DE BOLIVAR "/>
    <s v="DECLRAR NO PROBADA LA EXCEPCION DE CADUCIDAD FORMULADA POR EL EJECUTADO EN EL PRESENTE PROCESO., ORDENESE SEGUIR ADELANTE CON LA EJECUCION/INDEXACION  $11,265,969, SE TUVO EN CUENTA LO CONSAGRADO EN EL ART, 4 DE LEY 80 DE  1993, MAS INTERESES MORATORIOS"/>
    <d v="2016-09-28T00:00:00"/>
    <x v="7"/>
    <d v="2017-05-28T00:00:00"/>
    <d v="2017-08-28T00:00:00"/>
    <n v="2454"/>
    <n v="16648652.430882577"/>
    <n v="0"/>
    <n v="19728853.421049766"/>
    <n v="36377505.851932347"/>
  </r>
  <r>
    <n v="9"/>
    <s v="EDGAR MEZA CANABAL"/>
    <n v="73091071"/>
    <s v="DISTRITO DE CARTAGENA"/>
    <x v="0"/>
    <x v="0"/>
    <s v="13001-33-33-012-2012-00176-01"/>
    <s v="Juzgado 12° Adtivo del Cto/ Tribunal Superior de Bol."/>
    <s v="NO HAY SOLICITUD DE PAGO (SOLICITAR APORTES PARA VERIFICAR PAGO DE SUS APORTES Y DEVOLVERLE PRESTACIONES PENSION Y SALUD QUE DEBIÓ TRASLADAR 01-01-2001 AL 31-12-2002, Y DEL 1-03-2003 AL 15-05-2004 CONFORME HONORARIOS OPS"/>
    <d v="2016-10-10T00:00:00"/>
    <x v="8"/>
    <s v=" 14/08/2017"/>
    <d v="2017-01-18T00:00:00"/>
    <n v="2376"/>
    <n v="6471887.5192869734"/>
    <n v="0"/>
    <n v="104812.19092003426"/>
    <n v="6576699.7102070078"/>
  </r>
  <r>
    <n v="10"/>
    <s v="JOSE GUILLERMO MADERO NUÑEZ"/>
    <n v="9080246"/>
    <s v="DISTRITO DE CARTAGENA"/>
    <x v="0"/>
    <x v="0"/>
    <s v="13-001-33-31-702-2013-00019-01"/>
    <s v="Juzg. 10° Adtivo del Cto/ Tribunal Adtivo de Bol."/>
    <s v="RECONOCIMIENTO  DE CONTRATO REALIDAD , CONDENA A REPARACION DEL DAÑO Y EL PAGO DE PRESTACIONES SOCIALES, REINTEGRO Y LIQUIDACION DE LAS SUMAS DINERARIAS A FAVOR DEL DEMANDANTE"/>
    <d v="2016-11-18T00:00:00"/>
    <x v="9"/>
    <d v="2017-11-27T00:00:00"/>
    <d v="2018-01-31T00:00:00"/>
    <n v="2272"/>
    <n v="5528295.5339726657"/>
    <n v="0"/>
    <n v="6027091.5505696759"/>
    <n v="11555387.084542342"/>
  </r>
  <r>
    <n v="11"/>
    <s v="BERTHILDA TEHERÁN SIMARRA"/>
    <s v="22804754/ APODERADO RAMONVALLEJO CC73084383"/>
    <s v="DISTRITO DE CARTAGENA/ UNIÓN TEMPORAL VIÑA &amp; RUSSY COMPAÑÍA LTDA"/>
    <x v="0"/>
    <x v="2"/>
    <s v="13001-23-31000-1999-000-78901"/>
    <s v="Consejo de Estado"/>
    <s v="CONDENAR AL DISTRITO DE CARTAGENA Y A LOS INTEGRANTES DE LA UNIÒN TEMPORAL VIÑAS&amp; RUSSI- JAIME OROZCO VELASCO- PROFESIONALES ASOCIADOS LTDA,  EN FORMA SOLIDARIA A PAGAR A LA DEMANDANTE, UNA INDEMNIZACIÒN EQUIVALENTE A 100 SMMLV"/>
    <d v="2016-03-10T00:00:00"/>
    <x v="10"/>
    <d v="2018-09-24T00:00:00"/>
    <d v="2018-02-22T00:00:00"/>
    <n v="2215"/>
    <n v="36885850"/>
    <n v="0"/>
    <n v="40062482.424817294"/>
    <n v="76948332.424817294"/>
  </r>
  <r>
    <n v="12"/>
    <s v="LIMPIEZA INTEGRAL Y MANTENIMIENTOS ESPECIALES S.A. E.S.P. y OTROS (LIME)"/>
    <s v="800172188-5"/>
    <s v="DISTRITO DE CARTAGENA"/>
    <x v="0"/>
    <x v="1"/>
    <s v="13-001-31-03004-2012-0011700"/>
    <s v="Juzgado 4° Civil del Cto de cartagena"/>
    <s v="EJECUCION DE LAS SUMAS DE DINERO Y ELABORACION DE LIQUIDACION DE CREDITO, CONDENA EN COSTAS  DE PRIMER GRADO DEL 50%"/>
    <d v="2017-06-05T00:00:00"/>
    <x v="11"/>
    <s v=" 5/04/2018"/>
    <d v="2017-06-23T00:00:00"/>
    <n v="2142"/>
    <n v="782985430.75"/>
    <n v="96049354"/>
    <n v="1977962007.0473516"/>
    <n v="2856996791.7973518"/>
  </r>
  <r>
    <n v="13"/>
    <s v="JAFET GÓMEZ IZQUIERDO"/>
    <n v="73094516"/>
    <s v="DISTRITO DE CARTAGENA"/>
    <x v="0"/>
    <x v="0"/>
    <s v="13-001-33-31-001-2011-000267-02"/>
    <s v="Juzgado 9° Adtivo del Cto/ Tribunal Adtivo de Bol."/>
    <s v="PAGO DE SALARIOS, PRESTACIONES SOCIALES"/>
    <d v="2017-07-31T00:00:00"/>
    <x v="12"/>
    <s v=" 22/02/2019"/>
    <d v="2017-09-12T00:00:00"/>
    <n v="2064"/>
    <n v="544852616"/>
    <m/>
    <n v="70095842.057282597"/>
    <n v="614948458.05728257"/>
  </r>
  <r>
    <n v="14"/>
    <s v="LUIS CARLOS JULIO NARVÁEZ"/>
    <s v="73144505/ APODERADA YUNIS ALMANZA45472049"/>
    <s v="DISTRITO DE CARTAGENA"/>
    <x v="0"/>
    <x v="0"/>
    <s v="13-001-23-31-002-2001-01775-00"/>
    <s v="Tribunal Adtivo de Bol."/>
    <s v="Reconocer y pagar la diferencia de salario percibido por el servicio social obligatorio y salario devengado como medico general y la diferencia que se generen de los valores pagados por concetos de prestaciones sociales "/>
    <d v="2013-05-30T00:00:00"/>
    <x v="13"/>
    <d v="2019-03-01T00:00:00"/>
    <d v="2018-02-28T00:00:00"/>
    <n v="2054"/>
    <n v="39319447.688387245"/>
    <n v="0"/>
    <n v="28757823.795212403"/>
    <n v="68077271.483599648"/>
  </r>
  <r>
    <n v="15"/>
    <s v="KLAUSS NAEDER PÉREZ"/>
    <n v="73108912"/>
    <s v="DISTRITO DE CARTAGENA"/>
    <x v="0"/>
    <x v="0"/>
    <s v="13-001-23-31-000-2003-00777-00"/>
    <s v="JUZGADO 10° ADTIVO DEL CTO"/>
    <s v="REINTEGRO AL CARGO DE TECNICO DE SANAMIENTO GRADO 10, PAGO DE LOS SUELDOS, SUBSIDIOS, PRIMAS, BONIFICACIONES Y VACACIONES; SE DEBE DESCONTAR INGRESOS PERCIBIDOS DE OTRA RELACION LABORAL "/>
    <s v="13/06/2016, CONFIRMADA POR EL TRIBUNAL ADTIVO  18/08/2017"/>
    <x v="14"/>
    <s v=" 11/03/2019"/>
    <d v="2018-04-24T00:00:00"/>
    <n v="2044"/>
    <n v="55124857.946683422"/>
    <n v="0"/>
    <n v="7523154.3638922628"/>
    <n v="62648012.310575686"/>
  </r>
  <r>
    <n v="16"/>
    <s v="IBETH MARGARITA JIMÉNEZ VARGAS"/>
    <n v="45694413"/>
    <s v="DISTRITO DE CARTAGENA"/>
    <x v="0"/>
    <x v="0"/>
    <s v="13-001-33-33-012-2014-00112-01"/>
    <s v="Tribunal Adtivo de Bol."/>
    <s v="CONDENAR AL DISTRITO DE CARTAGENA A REINTEGRAR A LA ACTORA, AL CARGO QUE VENIA DESEMPEÑANDO, ASI COMO APAGARLE EL EQUIVALENTE A LAS PRESTACIONES Y SALARIOS DEJADOS DE PERCIBIR HASTA EL MOMENTO DE LA SENTENCIA ASI COMO EL PAGO DE LOS APORTES POR ESTE PERIODO A LAS ENTIDADES DE SEGURIDAD SOCIAL"/>
    <d v="2017-10-27T00:00:00"/>
    <x v="15"/>
    <d v="2018-09-02T00:00:00"/>
    <d v="2018-05-16T00:00:00"/>
    <n v="1963"/>
    <n v="46512809.938691542"/>
    <n v="286589"/>
    <n v="37657401.419780523"/>
    <n v="84456800.358472064"/>
  </r>
  <r>
    <n v="17"/>
    <s v="FRANCIA EVAN PÉREZ"/>
    <m/>
    <s v="DISTRITO DE CARTAGENA"/>
    <x v="0"/>
    <x v="2"/>
    <s v="13 001 23 31 003 2003 1316 00"/>
    <s v="Consejo de Estado"/>
    <s v="CONDENAR  PATRIMONIAL RESPONSABLE POR LOS DAÑOS SIFRIDOS A LA SEÑORA FANCIA EVAN PEREZ, PAGAR LA SUMA DE $ 243.363.839 "/>
    <d v="2017-10-12T00:00:00"/>
    <x v="16"/>
    <d v="2019-06-15T00:00:00"/>
    <d v="2018-06-26T00:00:00"/>
    <n v="1949"/>
    <n v="420415919"/>
    <n v="12612477.57"/>
    <n v="407061603.85489714"/>
    <n v="840090000.42489719"/>
  </r>
  <r>
    <n v="18"/>
    <s v="MONICA MERCHÁN ULLOA"/>
    <n v="52335069"/>
    <s v="DISTRITO DE CARTAGENA"/>
    <x v="0"/>
    <x v="4"/>
    <s v="13001-33-33-006-2015-00456-00"/>
    <s v="Juzgado 6° Adtivo del Circuito"/>
    <s v="REINTEGRO Y PAGAR LOS SALARIOS Y PRESTACIONES DEJADAS DE RECIBIR, TECNICO C 314/G15"/>
    <d v="2018-03-21T00:00:00"/>
    <x v="17"/>
    <d v="2019-01-21T00:00:00"/>
    <d v="2018-04-20T00:00:00"/>
    <n v="1838"/>
    <n v="168086459.80788821"/>
    <n v="0"/>
    <n v="49855047.204811946"/>
    <n v="217941507.01270014"/>
  </r>
  <r>
    <n v="19"/>
    <s v="VIGILANCIA Y SEGURIDAD VISE"/>
    <s v="900398140-6/APODERADO IRINA SAKER 45492373"/>
    <s v="DISTRITO DE CARTAGENA"/>
    <x v="0"/>
    <x v="4"/>
    <s v="13-001-33-33-005-2018-00061-00"/>
    <s v="Juzgado 5° Administrativo del circuito"/>
    <s v="EL DISTRITO DE CARTAGENA PROPUSO LA SIGUIENTE FORMULA DE ACUERDO PAGAR LA SUMA DE $ 771.105.209 M/C, EN UNA SOLA CUOTA APARTIR DEL REGISTRO"/>
    <d v="2017-11-29T00:00:00"/>
    <x v="18"/>
    <m/>
    <s v=" "/>
    <n v="2156"/>
    <n v="842486064.20111811"/>
    <n v="25274581.926033542"/>
    <n v="320068091.20868218"/>
    <n v="1187828737.3358338"/>
  </r>
  <r>
    <n v="20"/>
    <s v="ROGER MARTINEZ MURILLO Y OTROS"/>
    <s v="73,135,161/ otros beneficiarios/ Luz Murillo CC64,523,538/ Yeisi CC, 1,047448,691, Roger CC1,047430157, Jania Martinez Peñalosa CC 1047411830 / Apoderado Cynthia Ferrer CC 45524843"/>
    <s v="DISTRITO DE CARTAGENA DE INDIAS"/>
    <x v="0"/>
    <x v="2"/>
    <s v="13-001-23-31-001-2005-00944-00"/>
    <s v="TRIBUNAL ADMINISTRATIVO DE BOLIVAR "/>
    <s v="INDEMNIZACION DE PERJUICIOS "/>
    <d v="2018-10-01T00:00:00"/>
    <x v="19"/>
    <s v=" 14/05/2020"/>
    <m/>
    <n v="1613"/>
    <n v="210935340"/>
    <n v="0"/>
    <n v="130618864.82574897"/>
    <n v="341554204.82574898"/>
  </r>
  <r>
    <n v="21"/>
    <s v="NEIL ALEXANDER CARRASQUILA MADERO"/>
    <n v="73573082"/>
    <s v="DISTRITO DE CARTAGENA"/>
    <x v="0"/>
    <x v="0"/>
    <s v="13-001-33-33-011-2015-0006-00"/>
    <s v=" DECIMO PRIMERO ADMINISTRATIVO DEL CIRCUITO DE CARTAGENA"/>
    <s v="PAGO DE PRESTACIONES SOCIALES  DE 17 AGOSTO DE 2004 HASTA 31 DIC 2013- SALARIO BASE VR MENSUAL DE ORDENES DE SERV"/>
    <d v="2018-05-15T00:00:00"/>
    <x v="20"/>
    <d v="2019-09-26T00:00:00"/>
    <d v="2019-03-14T00:00:00"/>
    <n v="1603"/>
    <n v="207973746.42427427"/>
    <n v="14770825.962472904"/>
    <n v="27204783.388090272"/>
    <n v="249949355.77483746"/>
  </r>
  <r>
    <n v="22"/>
    <s v="DAMASO BELLIDO GONZALEZ "/>
    <n v="9068848"/>
    <s v="DISTRITO DE CARTAGENA"/>
    <x v="0"/>
    <x v="0"/>
    <s v="13-001-33-33-004-2015-00431-00"/>
    <s v="JUZGADO CUARTO ADMINITRATIVO DEL CIRCUITO  DE CARTAGENA "/>
    <s v="PAGO DE UN DIA DE SALARIO POR CADA DIA DE MORA EN EL PAGO DE SUS CESANTIAS DEFINITIVAS "/>
    <d v="2018-10-31T00:00:00"/>
    <x v="21"/>
    <d v="2019-11-10T00:00:00"/>
    <d v="2019-03-05T00:00:00"/>
    <n v="1516"/>
    <n v="17533257.700000003"/>
    <n v="0"/>
    <n v="8705016.2262141015"/>
    <n v="26238273.926214106"/>
  </r>
  <r>
    <n v="23"/>
    <s v="ANTONIO SOTELO GUZMAN SAS"/>
    <s v="9111625/ APODERADO SERGIO GIRADO CC73,198,414"/>
    <s v="DISTRITO DE CARTAGENA"/>
    <x v="0"/>
    <x v="1"/>
    <s v="13001-33-33-007-201700297-00"/>
    <s v="JUZGADO SEPTIMO ADMINISTRATIVO DEL CIRCUITO DE CARTAGENA"/>
    <s v="APROBO LA LIQUIDACION PRESENTADA POR EL DEMANDANTE Y SE LIQUIDAN INTERESES."/>
    <d v="2016-09-20T00:00:00"/>
    <x v="22"/>
    <m/>
    <d v="2019-08-28T00:00:00"/>
    <n v="1508"/>
    <n v="6687500"/>
    <n v="554821.75"/>
    <n v="8961123.6500000022"/>
    <n v="16203445.400000002"/>
  </r>
  <r>
    <n v="24"/>
    <s v="ARAUJO &amp; SEGOVIA CONTRATO # 005 DEL 2014"/>
    <m/>
    <s v="DISTRITO DE CARTAGENA"/>
    <x v="0"/>
    <x v="4"/>
    <s v="13-001-33-33-008-2019-00016-00"/>
    <s v="JUEZ 8 ADMINISTRATIVO"/>
    <s v="CONCILIACION: SE COMPROMETE AL PAGO DE $216.778.388 POR CONCEPTO DE OCUPACION IRREGULAR"/>
    <d v="2019-03-05T00:00:00"/>
    <x v="23"/>
    <d v="2020-01-13T00:00:00"/>
    <d v="2019-03-15T00:00:00"/>
    <n v="1497"/>
    <n v="216778388.41"/>
    <n v="0"/>
    <n v="84466782.227062494"/>
    <n v="301245170.63706249"/>
  </r>
  <r>
    <n v="25"/>
    <s v="FRANCISCO BARRIOS AYOLA/ARAU8JO &amp; SEGOVIA"/>
    <n v="3129359"/>
    <s v="DISTRITO DE CARTAGENA"/>
    <x v="0"/>
    <x v="4"/>
    <s v="13-001-40-03-004-2014-00161-00"/>
    <s v="JUZGADO TERCERO DE EJECUCION CIVIL MUNICIPAL"/>
    <s v="RESTITUCION DEL INMUEBLE Y CONDENA EN COSTA POR VALOR DE $1.200.000- "/>
    <d v="2014-08-25T00:00:00"/>
    <x v="24"/>
    <d v="2020-01-13T00:00:00"/>
    <d v="2019-03-14T00:00:00"/>
    <n v="1496"/>
    <n v="68796979"/>
    <n v="2006000"/>
    <n v="45872422.577787578"/>
    <n v="116675401.57778758"/>
  </r>
  <r>
    <n v="26"/>
    <s v="MARIA ELENA ZULUGA BOTERO"/>
    <n v="24432479"/>
    <s v="DISTRITO DE CARTAGENA"/>
    <x v="0"/>
    <x v="4"/>
    <s v="13-001-33-33-011-2019-00067-00"/>
    <s v="JUZGADO PRIMERO ADMINISTRATIVO ORAL DEL CIRCUITO "/>
    <s v="CONCILIACION: PAGO DE LA SUMA DE $183.665.609,50"/>
    <d v="2019-05-09T00:00:00"/>
    <x v="25"/>
    <d v="2020-03-16T00:00:00"/>
    <d v="2019-06-13T00:00:00"/>
    <n v="1432"/>
    <n v="183655609.5"/>
    <n v="0"/>
    <n v="59217979.195283949"/>
    <n v="242873588.69528395"/>
  </r>
  <r>
    <n v="27"/>
    <s v="PASTORAL SOCIAL ARQUIDIOCESIS DE CARTAGENA"/>
    <m/>
    <s v="DISTRITO DE CARTAGENA"/>
    <x v="0"/>
    <x v="1"/>
    <s v="13-001-33-33-013-2018-00114-00"/>
    <s v="JUZGADO 13 ADMINISTRATIVO DEL CIRCUITO DE CARTAGENA"/>
    <s v="EJECUCION POR SUMAS DE $24.250.050 MAS  INTERESES MORATORIOS"/>
    <d v="2019-03-21T00:00:00"/>
    <x v="26"/>
    <d v="2020-04-07T00:00:00"/>
    <m/>
    <n v="1410"/>
    <n v="24250050"/>
    <n v="2425005"/>
    <n v="21261434.984493144"/>
    <n v="47936489.984493144"/>
  </r>
  <r>
    <n v="28"/>
    <s v="RICARDO  LEON GOMEZ GOMEZ"/>
    <s v="3608254 / APODERADA LINA DE LA OSA CC 1,047,411,558"/>
    <s v="DISTRITO DE CARTAGENA"/>
    <x v="0"/>
    <x v="5"/>
    <s v="13-001-33-33-013-2017-00241-00"/>
    <s v="JUZGADO DECIMO TERCERO ADMINISTRATIVO DEL CIRCUITO DE CARTAGENA "/>
    <s v="PAGAR DEMANDANTE $34.393.673 POR INCUMPLIMIENTO CONTRACTUAL "/>
    <d v="2019-02-11T00:00:00"/>
    <x v="27"/>
    <d v="2020-04-12T00:00:00"/>
    <d v="2019-07-12T00:00:00"/>
    <n v="1405"/>
    <n v="34393673"/>
    <n v="0"/>
    <n v="14429104.993535837"/>
    <n v="48822777.993535839"/>
  </r>
  <r>
    <n v="29"/>
    <s v="LISCENIA TORRES RUEDA"/>
    <n v="45468060"/>
    <s v="DISTRITO DE CARTAGENA"/>
    <x v="0"/>
    <x v="4"/>
    <s v="13-001-33-33-010-2019-00023-00"/>
    <s v="JUZAGADO DECIMO ADMINISTRATIVO DEL CIRCUITO DE CARTAGENA"/>
    <s v="CONCILIACION MAS INTERESES"/>
    <d v="2019-06-19T00:00:00"/>
    <x v="28"/>
    <m/>
    <m/>
    <n v="1391"/>
    <n v="8700000"/>
    <n v="0"/>
    <n v="211891.49319861628"/>
    <n v="8911891.4931986164"/>
  </r>
  <r>
    <n v="30"/>
    <s v="NATALIA BATISTA"/>
    <s v="45503009/ APODERADA YUNIS ALMANZA CC45,472049"/>
    <s v="DISTRITO DE CARTAGENA"/>
    <x v="0"/>
    <x v="0"/>
    <s v="13-001-23-31-000-2001-01787-01"/>
    <s v="TRIBUNAL"/>
    <s v="PAGO DE SALARIO, DIFERENCIAS SALARIALES- DENTRO DEL PERIODO COMPRENDIDO DEL 14 DE DICIEMBRE DE 1995 Y 14 DE FEBRERO DE 1997 Y DEMAS PRESTACIONES "/>
    <d v="2019-07-04T00:00:00"/>
    <x v="29"/>
    <s v=" 27/01/2021"/>
    <d v="2019-09-06T00:00:00"/>
    <n v="1361"/>
    <n v="28475876.30273056"/>
    <n v="0"/>
    <n v="16401788"/>
    <n v="44877664.30273056"/>
  </r>
  <r>
    <n v="31"/>
    <s v="YAMAL ANTONIO AFIUNI LOPEZ"/>
    <n v="73141999"/>
    <s v="DISTRITO DE CARTAGENA"/>
    <x v="0"/>
    <x v="0"/>
    <s v="13-001-23-31-000-2001-01794-01"/>
    <s v="TRIBUNAL ADTVO"/>
    <s v="PAGO DE SALARIO  POR UN MEDICO GENERAL DEL PERIODO COMPRENDIDO DEL 14 DICIEMBRE DE 1995 AL 9 DE ENERO DE 1997 Y DEMAS PRESTACIONES SOCIALES"/>
    <d v="2019-07-18T00:00:00"/>
    <x v="30"/>
    <s v=" 12/02/2020"/>
    <m/>
    <n v="1313"/>
    <n v="18128233.774925742"/>
    <n v="0"/>
    <n v="2310923.9804479722"/>
    <n v="20439157.755373716"/>
  </r>
  <r>
    <n v="32"/>
    <s v="VILMA ORTIZ LEON "/>
    <m/>
    <s v="DISTRITO DE CARTAGENA "/>
    <x v="0"/>
    <x v="0"/>
    <s v="13001-23-31-000-2001-01983-01"/>
    <s v="TRIBUNAL ADMINISTRATIVO DE BOLIVAR "/>
    <s v="RECONOCER, LIQUIDAR Y PAGAR PRIMA DE ALEMENTACION, VACACIONES, DOTACION DE CALZADOS Y VESTIDOS, CESANTÍAS, INTERESES DE CESANTÍAS, TOMANDO COMO BASE PARA DICA LIQUIDACIÓN, EL VALOR PACTADO POR CONCEPTO DE HONORARIOS EN LOS CONTRATOS CELEBRADOS"/>
    <d v="2014-02-28T00:00:00"/>
    <x v="31"/>
    <s v=" 22/02/2016"/>
    <d v="2016-03-14T00:00:00"/>
    <n v="3160"/>
    <n v="10562035.614856331"/>
    <n v="0"/>
    <n v="17091783.058718421"/>
    <n v="27653818.673574753"/>
  </r>
  <r>
    <n v="33"/>
    <s v="AMIRA ROSA DIAZ MARRUGO"/>
    <m/>
    <s v="DISTRITO CARTAGENA"/>
    <x v="1"/>
    <x v="1"/>
    <s v="13001-33-33-001-2010-00295-00"/>
    <s v="JUZGADO PRIMERO ADMINISTRATIVO DEL CIRCUITO DE CARTAGENA"/>
    <m/>
    <d v="2013-05-16T00:00:00"/>
    <x v="32"/>
    <d v="2014-03-16T00:00:00"/>
    <m/>
    <n v="3623"/>
    <n v="38823755"/>
    <m/>
    <n v="39631869.829999998"/>
    <n v="78455624.829999998"/>
  </r>
  <r>
    <n v="34"/>
    <s v="RICHARD IVÁN BELTRÁN GARCÍA"/>
    <m/>
    <s v="DISTRITO DE CARTAGENA"/>
    <x v="1"/>
    <x v="1"/>
    <s v="13-001-33-31-02-2010-00147-00"/>
    <s v="Juzg. 3° Adtivo del Cto."/>
    <s v="SEGUIR ADELANTE CON LA EJECUCION DE CONFORMIDAD CON EL MANDAMIENTO "/>
    <d v="2014-08-22T00:00:00"/>
    <x v="33"/>
    <d v="2016-02-28T00:00:00"/>
    <d v="2016-11-25T00:00:00"/>
    <n v="3009"/>
    <n v="20836946.483378906"/>
    <n v="0"/>
    <n v="47930984.789999992"/>
    <n v="68767931.273378894"/>
  </r>
  <r>
    <n v="35"/>
    <s v="WILLY RAFAEL POLO"/>
    <m/>
    <s v="DISTRITO DE CARTAGENA"/>
    <x v="1"/>
    <x v="1"/>
    <s v="13-001-33-31-008-2010-00143-01"/>
    <s v="Juzgado 6° Adtivo del Circuito/ Conformada Tribunal Adtivo Bol."/>
    <s v="SEGUIR ADELANTE CON LA EJECUCION PARA EL PAGO DE LA SUMA DE $12.149.171 POR CONCEPTO DE TRABAJOS ADICIONALES AL CONTRATO "/>
    <d v="2015-08-14T00:00:00"/>
    <x v="34"/>
    <d v="2017-02-14T00:00:00"/>
    <d v="2015-08-14T00:00:00"/>
    <n v="2803"/>
    <n v="27099171"/>
    <n v="3522892"/>
    <m/>
    <n v="30622063"/>
  </r>
  <r>
    <n v="36"/>
    <s v="LILIA ISABEL CUETO PÉREZ"/>
    <m/>
    <s v="DISTRITO DE CARTAGENA"/>
    <x v="1"/>
    <x v="0"/>
    <s v="13-001-33-33-005-2013-00019-01"/>
    <s v="TRIBUNAL ADTIVO DE BOL."/>
    <s v="PAGO DE PORCENTAJES DE COTIZACIÒN CORRESPONDIENTES A PENSIÒN Y SALUD QUE DEBIÒ TRASLADAR A LOS FONDOS CORRESPONDIENTES DURANTE TODO EL TIEMPO QUE ESTUVO VINCULADA, ESTO ES, DESDE EL 1 DE ENERO DE 2001 AL 15 DE MAYO DE 2004, CONFORME A LOS HONORARIOS PACTADOS EN LOS CONTRATOS."/>
    <d v="2016-07-21T00:00:00"/>
    <x v="35"/>
    <d v="2017-06-05T00:00:00"/>
    <s v="SIN SOLICITUD DE COBRO- POR PARTE DE DEMANDANTE O SU APODERADO"/>
    <n v="2446"/>
    <n v="5972500.6164253503"/>
    <n v="0"/>
    <n v="0"/>
    <n v="5972500.6164253503"/>
  </r>
  <r>
    <n v="37"/>
    <s v="CONSORCIO VIAL ISLA BARÚ"/>
    <s v="900.126.996-7"/>
    <s v="DISTRITO DE CARTAGENA"/>
    <x v="0"/>
    <x v="6"/>
    <m/>
    <s v="Tribunal de Arbitramento de fecha 17/05/2016, integrado por los árbitros CARLOS PAREJA EMILIANI, JORGE PERALTA NIEVES y NÉSTOR OSORIO MORENO (Pte.)"/>
    <s v="PAGO DE $320.833.746 POR CONCEPTO DE PERJUICIOS OCASIONADOS POR ERRORES DE RIEGUE POR DISMINUCIONES DE ÀREAS GRABADAS  Y 1.862.657,397  POR PERJUICIOS OCASIONADOS POR ERRORES DE RIEGUE POR CÀMBIOS DE NOMBRES DE SUJETO PASIVO DE LA CONTRIBUCIÒN DE VALORIZACIÒN; 813,674,740 POR DISMINUCIÒN DE LAS CONTRIBUCIONES DE VALORIZACIÒN POR LA APLICACIÒN DEL 15% DEL DESCUENTO DEL ACUERDO 010 DE 2005 Y 1.096.434.833 DISMINUCION DE LAS CONTRIBUCIONES DE VALORAZION Y CONDENA EN COSTAS DEL 75% DE LOS GASTOS QUE LE CORRESONDIÒ SUMIR A LA PARTE CONVOCANTE Y LA DEVOLUCIÒN DE 184,298,262,52 POR CONCEPTO DE VALOR FALTANTE PARA CUBRIR LA TOTALIDAD DE LAS SUMAS FIJADAS POR CONCEPTO DE HONORARIOS FIJADOS A LOS ÀRBITROS , SECRETARIOS, GASTOS DE ADMINISTRACIÒN, PROTOCOLIZACIÒN, QUE NO FUERON PAGADOS POR EL DISTRTO DE CARTAGENA. AGENCIAS EN DERECHO POR VALOR DE 16,747,796"/>
    <d v="2016-05-17T00:00:00"/>
    <x v="36"/>
    <s v=" 01/04/2017"/>
    <d v="2016-09-21T00:00:00"/>
    <n v="2511"/>
    <n v="4186949028"/>
    <n v="350335510.41000003"/>
    <n v="6509412409.5699997"/>
    <n v="11046696947.98"/>
  </r>
  <r>
    <n v="38"/>
    <s v="CONSUELO GÓMEZ DE MEJÍA"/>
    <m/>
    <s v="DISTRITO DE CARTAGENA"/>
    <x v="1"/>
    <x v="0"/>
    <s v="13 001 23 31 000 1996 11619 01"/>
    <s v="CONSEJO DE ESTADO"/>
    <s v="CONDENA EN ABSTRACTO POR CONCEPTO DE PERJUICIOS MATERIALES EN LA MODALIDAD DE LUCRO CESANTE, PERJUICIO QUE DEBERÀ LIQUIDARSE MEDIANTE TRÀMITE INCIDENTAL DE ACUERDO A LO PREVISTO EN EL ARTÌCULO 178 DEL CCA y 137 DEL CPC, EL CUAL DEBERÀ PROMOVERSE POR EL INTERESADO DENTRO DE LOS 60 DIAS SIGUIENTES A LA EJECUTORIA DE LA PROVIDENCIA."/>
    <d v="2016-05-02T00:00:00"/>
    <x v="37"/>
    <d v="2017-12-02T00:00:00"/>
    <m/>
    <n v="2116"/>
    <n v="110492098.98999999"/>
    <n v="0"/>
    <n v="0"/>
    <n v="110492098.98999999"/>
  </r>
  <r>
    <n v="39"/>
    <s v="ORLANDO DEL RIO BERMUDEZ"/>
    <m/>
    <s v="DISTRITO CARTAGENA"/>
    <x v="1"/>
    <x v="0"/>
    <s v="13001-33-33-008-2017-00148-00"/>
    <s v="JUZGADO OCTAVO ADMINISTRATIVO DEL CIRCUITO DE CARTAGENA"/>
    <s v="PRESTACIONES SOCIALES, 4 NOV 2008/ 31 DIC 2015"/>
    <d v="2021-05-28T00:00:00"/>
    <x v="38"/>
    <d v="2022-06-27T00:00:00"/>
    <m/>
    <n v="598"/>
    <n v="144211020.33333334"/>
    <n v="0"/>
    <n v="162476023.65000004"/>
    <n v="306687043.98333335"/>
  </r>
  <r>
    <n v="40"/>
    <s v="ALBERTINA GUERRERO VITOLA"/>
    <m/>
    <s v="DISTRITO DE CARTAGENA"/>
    <x v="0"/>
    <x v="1"/>
    <s v="13-001-33-31-009-2010-00136-02"/>
    <s v="TRIBUNAL ADMINISTRATIVO DE BOLIVAR "/>
    <s v="SEGUIR ADELANTE CON LA EJECUCION DE LOS INTERESES CAUSADOS DESDE EL 8 DE SEPTIEMBRE DEL 2008 HASTA EL 17 DE FEBRERO DEL 2011"/>
    <d v="2017-09-29T00:00:00"/>
    <x v="39"/>
    <d v="2019-04-17T00:00:00"/>
    <d v="2018-09-14T00:00:00"/>
    <n v="2008"/>
    <n v="0"/>
    <n v="747225"/>
    <n v="4810236.6733604912"/>
    <n v="5557461.6733604912"/>
  </r>
  <r>
    <n v="41"/>
    <s v="EDUARDO HERNÁNDEZ"/>
    <m/>
    <s v="DISTRITO DE CARTAGENA"/>
    <x v="0"/>
    <x v="1"/>
    <s v="13-001-33-33-001-2015-00269-00"/>
    <s v="JUZGADO PRIMERO ADTVO ORAL DEL CIRCUITO"/>
    <s v="PAGO DERIVADO DE FV N°01181 DE 21 Julio 2009, por concepto de recibo de  a satisfaccion de OBRA del acta parcial N°4. "/>
    <d v="2017-11-01T00:00:00"/>
    <x v="40"/>
    <d v="2018-09-01T00:00:00"/>
    <s v="05/11/20019"/>
    <n v="1993"/>
    <n v="322355834.22268075"/>
    <n v="2240940"/>
    <n v="334270534.72731906"/>
    <n v="658867308.94999981"/>
  </r>
  <r>
    <n v="42"/>
    <s v="FABIOLA BOTERO DE GAVIRIA"/>
    <m/>
    <s v="DISTRITO DE CARTAGENA"/>
    <x v="1"/>
    <x v="0"/>
    <s v="13001 23 31 000 2006 01436 01"/>
    <s v="CONSEJO DE ESTADO"/>
    <s v="PAGAR LA DIFERENCIA DEL VALOR RECONOCIDO EN LOS ACTOS ANULADOS Y EL VALOR QUE RESULTE DE ACTUALIZAR LA SUMA DE $24.664"/>
    <d v="2018-05-03T00:00:00"/>
    <x v="41"/>
    <d v="2019-11-21T00:00:00"/>
    <d v="2018-11-21T00:00:00"/>
    <n v="1792"/>
    <n v="2974655617.4543009"/>
    <n v="0"/>
    <n v="3840081194.6580343"/>
    <n v="6814736812.1123352"/>
  </r>
  <r>
    <n v="43"/>
    <s v="JULIAN JAVIER ARRIETA MARTÍNEZ"/>
    <m/>
    <s v="DISTRITO DE CARTAGENA"/>
    <x v="0"/>
    <x v="0"/>
    <s v="13 001 23 31 000 2001 01843 01"/>
    <s v="CONSEJO DE ESTADO"/>
    <s v="MEDICO DADIS, SOLICITUD DIFERENCIAS EN PRESTACIONES SOCIALES"/>
    <d v="2018-04-19T00:00:00"/>
    <x v="42"/>
    <d v="2019-11-17T00:00:00"/>
    <d v="2018-09-21T00:00:00"/>
    <n v="1796"/>
    <n v="103463268.20516202"/>
    <n v="0"/>
    <n v="91603474.290969789"/>
    <n v="195066742.49613181"/>
  </r>
  <r>
    <n v="44"/>
    <s v="ASOCIACION COSTEÑA  DE POLICIAS RETIRADOS ACOPOR"/>
    <m/>
    <s v="DISTRITO DE CARTAGENA"/>
    <x v="1"/>
    <x v="7"/>
    <s v="13-001-23-31-003-2010-00282-01"/>
    <s v="TRIBUNAL ADMINISTRATIVO DEL ARCHIPIELAGO DE SAN ANDRES"/>
    <s v="PAGO DE MEJORAS NECESARIAS REALIZADAS EN EL INMUEBLE A RESTITUIR POR LA SUMA DE $ 2.357.226,14"/>
    <d v="2018-06-28T00:00:00"/>
    <x v="43"/>
    <d v="2020-01-16T00:00:00"/>
    <d v="2018-08-16T00:00:00"/>
    <n v="1736"/>
    <n v="2357226.14"/>
    <n v="0"/>
    <n v="2949064.1222293535"/>
    <n v="5306290.2622293532"/>
  </r>
  <r>
    <n v="45"/>
    <s v="FRANCISCO JAVIER MADERO OROZCO"/>
    <m/>
    <s v="DISTRITO DE CARTAGENA"/>
    <x v="1"/>
    <x v="0"/>
    <s v="13-001-23-31-000-2011-0063-01"/>
    <s v="Consejo de Estado"/>
    <s v="ESTUDIAR SI EXISTE DIFERENCIA ENTRE LOS APARTES QUE SE COSIGNARON Y LOS QUE SE DEBIERON CONSIGNAR, COTIZAR AL RESPECTIVO FONDO LA SUMA FALTANTE/"/>
    <d v="2018-07-12T00:00:00"/>
    <x v="44"/>
    <d v="2020-02-27T00:00:00"/>
    <d v="2018-09-06T00:00:00"/>
    <n v="1694"/>
    <n v="13509219.8275444"/>
    <n v="0"/>
    <n v="1702810.1522173418"/>
    <n v="15212029.979761742"/>
  </r>
  <r>
    <n v="46"/>
    <s v="OSCAR JAVIER CAMACHO SANCHEZ"/>
    <m/>
    <s v="DISTRITO DE CARTAGENA"/>
    <x v="1"/>
    <x v="8"/>
    <s v="150013050022014-00098"/>
    <s v="JUZGADO 2° LABORAL DEL CIRCUITO DE TUNJA/TRIBUNAL SUPERIOR DE TUNJA"/>
    <s v="Declara que el contrato “obra labor” fue terminado con causa_x000a_imputable al empleador contrato vigente entre el 5 de julio de_x000a_2013 al 30 de octubre de 2013._x000a_Pagar al demandante de manera solidaria los emolumentos_x000a_señalados en folios del expediente (no especifica cuales)"/>
    <d v="2019-05-22T00:00:00"/>
    <x v="45"/>
    <d v="2020-03-24T00:00:00"/>
    <m/>
    <n v="1425"/>
    <n v="58050730"/>
    <n v="3312464"/>
    <n v="0"/>
    <n v="61363194"/>
  </r>
  <r>
    <n v="47"/>
    <s v="CONSORCIO VIAS CARTAGENA"/>
    <m/>
    <s v="DISTRITO DE CARTAGENA "/>
    <x v="0"/>
    <x v="1"/>
    <s v="13001-33-33-011-2017-00088-00"/>
    <s v="JUZGADO DECIMO PRIMERO ADMINISTRATIVO DEL CIRCUITO DE CARTAGENA/ AUTO DE SEGUIR ADELANTE PROCESO EJECUTIVO"/>
    <s v="EMBARGO, SECUESTRO Y RETENCIONES, DE LAS SUMAS EN DEPOSITOS JUDICIALES"/>
    <d v="2018-10-11T00:00:00"/>
    <x v="46"/>
    <d v="2019-08-16T00:00:00"/>
    <d v="2020-08-10T00:00:00"/>
    <n v="1644"/>
    <n v="245012539.11138374"/>
    <n v="0"/>
    <n v="146240454.05032757"/>
    <n v="391252993.16171134"/>
  </r>
  <r>
    <n v="48"/>
    <s v="GAM CONSTRUCCIONES  S.A.S"/>
    <s v="900.665878-8"/>
    <s v="DISTRITO DE CARTAGENA"/>
    <x v="1"/>
    <x v="6"/>
    <m/>
    <s v="Tribunal de Arbitramento "/>
    <s v="DECLARESE A FAVOR DE GAM CONSTRUCIONES S.A.S.  Y EN CONTRA DEL DISTRITO, EL VALOR PENDIENTE DE RECAUDAR POR CONCEPTO DE LA CONTRIBUCIÒN POR VALORIZACIÒN, POR INCUMPLIMIENTO , CONDENESE AL DISTRITO A PAGAR LA SUMA DE $ 4.273.424.417,72 ; PAGAR LA SUMA DE 771.026.687,17, POR CONCEPTO DE ERRORES DE EL CONCEDENTE QUE IMPLICARON DISMINUCIÒN INDIVIDUAES DE LA CONTRIBUCIÒN POR VALORIZACIÒN, CONDENESE AL DISRRTRITO DE CARTAGENA A PAGAR LA SUMA DE $ 46.564.287,51, POR CONCEPTO DE GASTOS NO PRESUPUESTADOS Y AUTORIZADOS POR EL DISTRITO PARA EL CUMLIMIENTO DE LAS FUNCIONES INHERENTES A SU COMPETENCIA."/>
    <d v="2018-10-24T00:00:00"/>
    <x v="47"/>
    <d v="2019-09-01T00:00:00"/>
    <d v="2018-11-27T00:00:00"/>
    <n v="1628"/>
    <n v="2725885628.5500007"/>
    <m/>
    <n v="377421472.88"/>
    <n v="3103307101.4300008"/>
  </r>
  <r>
    <n v="49"/>
    <s v="BEATRIZ GIL Y OTROS"/>
    <m/>
    <s v="DISTRITO DE CARTAGENA/ EPA   Y ROLANDO BECHARA"/>
    <x v="1"/>
    <x v="2"/>
    <s v="13001-2331-002007-0062203"/>
    <s v="CONSEJO DE ESTADO"/>
    <s v="SE DECLARA LA RESPONSABILIDAD DEL DISTRITO, EPA Y EL SR ROLANDO BECHARA CASTILLA POR LA MUERTE DE SR JOSE ARISTIZABAL HENAO"/>
    <d v="2019-05-08T00:00:00"/>
    <x v="48"/>
    <d v="2020-11-27T00:00:00"/>
    <m/>
    <n v="1421"/>
    <n v="167818762.68333334"/>
    <n v="0"/>
    <n v="73626907.49000001"/>
    <n v="241445670.17333335"/>
  </r>
  <r>
    <n v="50"/>
    <s v="ELIDA TERESITA MARTINEZ BOHORQUEZ"/>
    <m/>
    <s v="DISTRITO CARTAGENA"/>
    <x v="1"/>
    <x v="1"/>
    <s v="13001-33-33-005-2020-00182-00"/>
    <s v="JUZGADO QUINTO ADMINISTRATIVO DEL CIRCUITO DE CARTAGENA "/>
    <s v="CANONES DE ARRENDAMIENTOS POR PAGAR FONDO DE PENSIONES - CPACA"/>
    <d v="2019-02-25T00:00:00"/>
    <x v="49"/>
    <d v="2021-01-05T00:00:00"/>
    <d v="2019-12-03T00:00:00"/>
    <n v="1384"/>
    <n v="135245922.13"/>
    <n v="4057377.6638999996"/>
    <n v="88252149.86999999"/>
    <n v="227555449.66389996"/>
  </r>
  <r>
    <n v="51"/>
    <s v="BRANIUM SAS ARAUJO Y SEGOVIA SA"/>
    <m/>
    <s v="DISTRITO CARTAGENA"/>
    <x v="1"/>
    <x v="9"/>
    <s v="13001- 33- 33 -013 - 2016 -00278 -00"/>
    <s v="JUZGADO TRECE ADMINISTRATIVO DEL CIRCUITO DE CARTAGENA"/>
    <s v="CONCILIACION DE CANON DE ARRENDAMIENTO"/>
    <d v="2020-03-13T00:00:00"/>
    <x v="50"/>
    <d v="2021-05-21T00:00:00"/>
    <m/>
    <m/>
    <n v="170357492"/>
    <m/>
    <n v="87368740.61999999"/>
    <n v="257726232.62"/>
  </r>
  <r>
    <n v="52"/>
    <s v="JACOB FORERO JULIO"/>
    <m/>
    <s v="DISTRITO DE CARTAGENA "/>
    <x v="1"/>
    <x v="0"/>
    <s v="13001-33-330082015004300"/>
    <s v="Juzgado Octavo Administrativo_x000a_del Circuito de Cartagena"/>
    <s v="CONDENESE AL DATT-a título de reparación del_x000a_daño, reconocer y pagar a favor  prestaciones sociales,_x000a_tomando como base los honorarios contractuales correspondientes a los periodos a los cuales se_x000a_demostró la existencia de relación laboral, es decir del 26 de junio de 2007 hasta el 31 de_x000a_diciembre de 2013."/>
    <d v="2019-08-09T00:00:00"/>
    <x v="51"/>
    <d v="2020-06-29T00:00:00"/>
    <s v="SE VA OFICIAR PARA SOLICITUD DE INFORMACION"/>
    <n v="1327"/>
    <n v="16419216.491987161"/>
    <n v="0"/>
    <n v="1057039.8700000001"/>
    <n v="17476256.361987162"/>
  </r>
  <r>
    <n v="53"/>
    <s v="LILIS MARIA MORALES TEJEDOR"/>
    <m/>
    <s v="DISTRITO DE CARTAGENA "/>
    <x v="1"/>
    <x v="0"/>
    <s v="13001-33-33/006-2014-00399-00"/>
    <s v="JUZGADO SEXTO ADMINISTRATIVO ORAL DEL CIRCUITO CARTAGENA- TRIBUNAL ADMINISTRATIVO BOLIVAR M P-LUIS M VILLALOBOS"/>
    <s v="A titulo de reestablecimiento del derecho, pagar la diferencia existente entre los aportes, realizados como contratistas y los que se debieron efectuar.SED "/>
    <d v="2017-03-07T00:00:00"/>
    <x v="52"/>
    <d v="2020-07-23T00:00:00"/>
    <m/>
    <n v="1302"/>
    <n v="0"/>
    <n v="0"/>
    <n v="0"/>
    <n v="0"/>
  </r>
  <r>
    <n v="54"/>
    <s v="LOZANO EMILIANI  Y CABEL S.A.S. EN LIQUIDACIÓN"/>
    <m/>
    <s v="DISTRITO DE CARTAGENA "/>
    <x v="0"/>
    <x v="4"/>
    <s v="13-001-33-3-012-2018-00027-00"/>
    <s v="JUEZ 12 ADTVO"/>
    <s v="CONCILIACION , PAGO DE $152.114.021,47"/>
    <d v="2019-09-13T00:00:00"/>
    <x v="53"/>
    <m/>
    <m/>
    <n v="1307"/>
    <n v="152114021.47"/>
    <n v="0"/>
    <n v="41412021.412922382"/>
    <n v="193526042.88292238"/>
  </r>
  <r>
    <n v="55"/>
    <s v="INVERMAS SA"/>
    <m/>
    <s v="DISTRITO DE CARTAGENA"/>
    <x v="0"/>
    <x v="4"/>
    <s v="13001-33-33-006-2019-00208-00"/>
    <s v="JUZGADO SEXTO ADMINISTRATIVO DEL CIRCUITO CARTAGENA"/>
    <s v="CANON DE ARRENDAMIENTOS"/>
    <d v="2019-09-30T00:00:00"/>
    <x v="54"/>
    <m/>
    <d v="2019-11-20T00:00:00"/>
    <n v="1292"/>
    <n v="91691504"/>
    <n v="0"/>
    <n v="21374211.532081332"/>
    <n v="113065715.53208134"/>
  </r>
  <r>
    <n v="56"/>
    <s v="ANYELIS  PATRICIA BARRIOS PADILLA"/>
    <m/>
    <s v="DISTRITO DE CARTAGENA"/>
    <x v="0"/>
    <x v="0"/>
    <s v="13-001-33-33-005-2014-00228-00"/>
    <s v="JUEZ QUINTO ADMINISTRATITVO"/>
    <s v="REINTEGRO AL CARGO QUE VENIA DESEMPEÑANDO Y PAGO DE SALARIOS Y PRESTACIONES DEJADOS DE DEVENGAR "/>
    <d v="2019-08-09T00:00:00"/>
    <x v="55"/>
    <d v="2020-06-20T00:00:00"/>
    <m/>
    <n v="1286"/>
    <n v="175350596.40898219"/>
    <n v="5508000"/>
    <n v="14437190.644998804"/>
    <n v="195295787.05398101"/>
  </r>
  <r>
    <n v="57"/>
    <s v="ILIANA DEL CARMEN ESTREMOR BANQUEZ Y OTROS"/>
    <m/>
    <s v="DISTRITO DE CARTAGENA"/>
    <x v="0"/>
    <x v="2"/>
    <s v="13-001-33-33-014-2017-00139-00"/>
    <s v="JUZGADOO 14 ADMINISTRATIVO DE CARTAGENA"/>
    <s v="ACUERDO CONCILIATORIO"/>
    <d v="2019-10-09T00:00:00"/>
    <x v="55"/>
    <d v="2020-08-09T00:00:00"/>
    <d v="2019-10-18T00:00:00"/>
    <n v="1286"/>
    <n v="180000000"/>
    <n v="0"/>
    <n v="47321200.563464805"/>
    <n v="227321200.56346482"/>
  </r>
  <r>
    <n v="58"/>
    <s v="INMOBILIARIA CARTAGENA LTDA"/>
    <m/>
    <s v="DISTRITO DE CARTAGENA"/>
    <x v="0"/>
    <x v="4"/>
    <s v="13001-33-33-012-2019-00230-00"/>
    <s v="JUZGADO DOCE ADMINISTRATIVO DEL DISTRITO"/>
    <s v="ACUERDO CONCILIATORIO CELEBRADO 16 OCT 2019 POR OCUPACION IRREGULAR DE INMUEBLE ARRENDADO CELEBRADA ANTE LA PROCURADURIA 130 JUCICIAL 2 PARA ASUNTOS ADMINISTRATIVOS"/>
    <d v="2019-12-12T00:00:00"/>
    <x v="56"/>
    <m/>
    <d v="2020-01-15T00:00:00"/>
    <n v="1215"/>
    <n v="277358683"/>
    <n v="0"/>
    <n v="55912534.879611202"/>
    <n v="333271217.87961119"/>
  </r>
  <r>
    <n v="59"/>
    <s v="IMS EU EN LIQUIDACION "/>
    <m/>
    <s v="DISTRITO DE CARTAGENA"/>
    <x v="0"/>
    <x v="0"/>
    <s v="13001-23-33-000-2013-00349-01"/>
    <s v="TRIBUNAL ADMINISTRATIVO DE BOLIVAR "/>
    <s v="Intereses  Cte desde 27 Feb 2012 hasta 13 enero 2020, int       Mora a partir de 14-01-2020 a la fecha"/>
    <d v="2019-11-14T00:00:00"/>
    <x v="57"/>
    <d v="2020-11-13T00:00:00"/>
    <m/>
    <n v="1190"/>
    <n v="285675005"/>
    <n v="0"/>
    <n v="526976396.05000001"/>
    <n v="812651401.04999995"/>
  </r>
  <r>
    <n v="60"/>
    <s v="CARMEN ALICIA TOUS BERRIO Y OTROS, SUGEY BOLAÑO POLO, TRINIDAD MERCEDES CASTILLO MENDOZA, ODALIZ MEDINA LOPEZ, ANTONIO MARUGO JIMENEZ, OLIVIA MARSIGLIA  DUEÑAS, AMELIA DUEÑAS PANTOJA, TANIA TORRES PALACIO, JORGE RAMOS LEON, JOAQUIN CASSIANI CAÑATE"/>
    <m/>
    <s v="DISTRITO CARTAGENA"/>
    <x v="1"/>
    <x v="0"/>
    <s v="13001-33-33-008-2018-00224-00"/>
    <s v="JUZGADO OCTAVO ADMINISTRATIVO DEL CIRCUITO DE CARTAGENA"/>
    <s v="COMPLETAR SEGURIDAD SOCIAL"/>
    <d v="2019-12-13T00:00:00"/>
    <x v="58"/>
    <d v="2020-11-22T00:00:00"/>
    <m/>
    <m/>
    <m/>
    <m/>
    <m/>
    <n v="0"/>
  </r>
  <r>
    <n v="61"/>
    <s v="TOMAS TATIS TORAL Y OTROS"/>
    <m/>
    <s v="DISTRITO DE CARTAGENA"/>
    <x v="0"/>
    <x v="2"/>
    <s v="13001-33-33-004-2015-00226-00"/>
    <s v="Juzgado Cuarto Administrativo del Circuito"/>
    <s v="ACTA AUDIENCIA CONCILIATORI N°4-100SMLV AL MOMENTO DEL PAGO"/>
    <d v="2020-02-14T00:00:00"/>
    <x v="59"/>
    <d v="2020-12-14T00:00:00"/>
    <m/>
    <n v="1158"/>
    <n v="90852600"/>
    <n v="0"/>
    <n v="1073026.0924109698"/>
    <n v="91925626.092410967"/>
  </r>
  <r>
    <n v="62"/>
    <s v="MARIBET GARCES POLO"/>
    <m/>
    <s v="DISTRITO DE CARTAGENA  DEPARTAMENTO ADMINISTRATIVO DE TRANSITO Y TRANSPORTE DE CARTAGENA- DATT"/>
    <x v="1"/>
    <x v="0"/>
    <s v="13-001-33-33-005-2014-0405-00"/>
    <s v="JUEZ QUINTO ADMINISTRATIVO"/>
    <s v="PAGO DE PRESTACIONES SOCIALES A FAVOR DEL DEMANDANTE TOMANDO COMO BASE LOS HONORARIOS CONTRACTUALES DURANTE EL TIEMPO QUE SE DEMOSTRÒ LA  EXISTENCIA DE LA RELACION LABORAL DATT"/>
    <d v="2019-10-25T00:00:00"/>
    <x v="60"/>
    <d v="2020-12-25T00:00:00"/>
    <m/>
    <n v="1147"/>
    <n v="0"/>
    <n v="0"/>
    <n v="0"/>
    <n v="0"/>
  </r>
  <r>
    <n v="63"/>
    <s v="CARLOS GASTELBONDO CAMARGO"/>
    <m/>
    <s v="DISTRITO DE CARTAGENA DEPARTAMENTO ADMINISTRATIVO DE TRANSITO Y TRANSPORTE DE CARTAGENA"/>
    <x v="1"/>
    <x v="0"/>
    <s v="13001-33-33-012-2015-00033-01"/>
    <s v="TRIBUNAL ADMINISTRATIVO DE BOLÍVAR "/>
    <s v="PAGO DE PRESTACIONES SOCIALES A FAVOR DEL DEMANDANTE TOMANDO COMO BASE LOS HONORARIOS CONTRACTUALES"/>
    <d v="2019-11-07T00:00:00"/>
    <x v="61"/>
    <d v="2020-01-07T00:00:00"/>
    <m/>
    <n v="1136"/>
    <n v="14872436"/>
    <n v="0"/>
    <n v="12362602.119999999"/>
    <n v="27235038.119999997"/>
  </r>
  <r>
    <n v="64"/>
    <s v="ROBERTO DAVILA AREVALO Y OTROS"/>
    <m/>
    <s v="DISTRITO DE CARTAGENA"/>
    <x v="1"/>
    <x v="2"/>
    <s v="13-001-33-33-013-2012-00108-01"/>
    <s v="TRIBUNAL ADMINISTRATIVO DE BOLIVAR "/>
    <s v="INDEMNIZACION POR PERJUICIOS MORALES ,EMERGENTES FUTUROS, MATERIALES Y DE SALUD AL MENOR Roberto Junior Davila Y SU FAMILIA"/>
    <d v="2020-06-12T00:00:00"/>
    <x v="62"/>
    <d v="2021-04-17T00:00:00"/>
    <m/>
    <n v="1034"/>
    <n v="372905744"/>
    <n v="12451521.949999999"/>
    <n v="265959168.30000001"/>
    <n v="651316434.25"/>
  </r>
  <r>
    <n v="65"/>
    <s v="ESPERANZA CABRERA JIMENEZ"/>
    <m/>
    <s v="DISTRITO DE CARTAGENA"/>
    <x v="1"/>
    <x v="0"/>
    <s v="13-001-33-33-005-2015-00162-01"/>
    <s v="JUZGADO QUINTO ADMINISTRATIVO DEL CIRCUITO DE CARTAGENA/TRIBUNAL ADMINISTRATIVO DE BOLIVAR "/>
    <s v="PAGAR PRESTACIONES SOCIALES TOMANDO HONORARIOS DE 11/02/11 A 31/12/2013, presttaciones sociales prescritas de 2011 anteriores preescritas - APORTE SEG SOCIAL SE LE HARÁ LA DEVOLUCION DESDE 19-01-2009 A 31-12-2013"/>
    <d v="2020-06-12T00:00:00"/>
    <x v="63"/>
    <d v="2021-04-12T00:00:00"/>
    <m/>
    <n v="986"/>
    <n v="77387222.486013249"/>
    <n v="0"/>
    <n v="42677229"/>
    <n v="120064451.48601325"/>
  </r>
  <r>
    <n v="66"/>
    <s v="ALFONSO MAYORGA CAPATAZ "/>
    <m/>
    <s v="DISTRITO DE CARTAGENA"/>
    <x v="0"/>
    <x v="0"/>
    <s v="13-001-33-33-005-2015-00177-01"/>
    <s v="TRIBUNAL ADMINISTRATIVO DE BOLIVAR "/>
    <s v="LIQUIDE CESANTIAS DESDE 1-06-77 TOMANDO ULTIMO SALARIO DEVENGADO , SE DEBERÁ DESCONTAR LAS SUMAS DE CESANTIAS RETIRADAS PARCIALES, PAGAR AL DEMANDANTE PRIMAS DE SERVICIOSEN TERMINOS ART58 DEC LEY1042 DE 1978, DE LOS AÑOS 2011 HASTA 2015 Y EN LO SUCESIVO,. SE DECLARAN PREESCRITAS PRIMAS SERVICIO DE LOS AÑOS ANTERIORES AL 2011. PAGOS INDEXADOS CPACA ART 187"/>
    <d v="2020-07-31T00:00:00"/>
    <x v="64"/>
    <d v="2020-05-31T00:00:00"/>
    <m/>
    <n v="990"/>
    <n v="0"/>
    <n v="0"/>
    <n v="0"/>
    <n v="0"/>
  </r>
  <r>
    <n v="67"/>
    <s v="MIRIAM DE JESUS BUELVAS OLIVERA"/>
    <m/>
    <s v="DISTRITO DE CARTAGENA"/>
    <x v="0"/>
    <x v="0"/>
    <s v="13-001-33-33-008-2012-00046-00"/>
    <s v="JUZGADO OCTAVO ORAL ADMINITIVO DE CIRCUITO/TRIBUNAL ADMINISTRATIVO DE BOLIVAR "/>
    <s v="SE CONDENA AL PAGO DE INDEMNIZACIÒN POR MORA CONSISTENTE EN UN DIA DE SALARIO POR CADA DIA DE RETARDO;  (142) dias desde el 12/04/2011 hasta el 31/08/2011 y    (76 DIAS) desde el 27/09/2012 hasta el 11/12/2012, CON BASE EN EL SALARIO DEVENGADO Y ADEMÀS CONDENA POR CONCEPTO DE COSTAS Y AGENCIAS CONSISTENTES EN EL 1% DE LA SUMA LIQUIDADA"/>
    <d v="2020-02-28T00:00:00"/>
    <x v="65"/>
    <d v="2021-06-10T00:00:00"/>
    <m/>
    <n v="980"/>
    <n v="10144157.666666668"/>
    <n v="101441.57666666668"/>
    <n v="4329061.78"/>
    <n v="14574661.023333333"/>
  </r>
  <r>
    <n v="68"/>
    <s v="OMAR MANRIQUE FRANCO"/>
    <m/>
    <s v="DISTRITO DE CARTAGENA"/>
    <x v="0"/>
    <x v="2"/>
    <s v="13-001-33-33-005-2014-0001401"/>
    <s v="TRIBUNAL ADMINISTRATIVO DE BOLIVAR "/>
    <s v="CONDENA POR LA MUERTE DE LA MENOR ELEANIS MANRIQUE GARCIA POR FALLAS DEL SERVICIO DE ATENCION Y PREVENCION DE DESASTRES. PERJIOCIOS MORALES; A FAVOR DE CADA UNO DE LOS PADRES 100 SMLMV, HERMANA 25 SMLV.- COSTAS POR LIQUIDAR."/>
    <d v="2020-05-29T00:00:00"/>
    <x v="66"/>
    <d v="2021-06-25T00:00:00"/>
    <d v="2021-02-19T00:00:00"/>
    <n v="965"/>
    <n v="155127375"/>
    <m/>
    <n v="850608.44301906822"/>
    <n v="155977983.44301906"/>
  </r>
  <r>
    <n v="69"/>
    <s v="CABEL SAS EN LIQUIDACION Y OTROS"/>
    <m/>
    <s v="DISTRITO DE CARTAGENA "/>
    <x v="1"/>
    <x v="4"/>
    <s v="13001-33-33-012-2019-001161"/>
    <s v="JUZGADO 12 ADMINISTRATIVO DEL CIRCUITO DE CARTAGENA"/>
    <s v="SE CONCILIA EL PAGO DE CANON DE ARRENDAMINETO DESDE 1 ENERO 2018 A 2 MAYO 2019 POR VALOR DE $379.098.332  "/>
    <d v="2020-09-03T00:00:00"/>
    <x v="67"/>
    <d v="2021-07-09T00:00:00"/>
    <d v="2020-10-06T00:00:00"/>
    <n v="950"/>
    <n v="379098332"/>
    <n v="0"/>
    <n v="223779057.08999997"/>
    <n v="602877389.08999991"/>
  </r>
  <r>
    <n v="70"/>
    <s v="JULIA MARCELA SOLENO DE GARCIA"/>
    <m/>
    <s v="DISTRITO DE CARTAGENA/TRANSCARIBE"/>
    <x v="0"/>
    <x v="2"/>
    <s v="13001-33-33-013-2017-00119"/>
    <s v="JUZGADO DECIMO TERCERO ADMINISTRATIVO DEL CIRCUITO DE CARTGENA "/>
    <s v="PAGO REESPONSABLE EXTRACONTRACTUAL AL DISTRITO POR LAS LESIONES DE LA DEMANDANTE AL CAER EN OBRAS INCONCLUSAS BARRIOS ALCIBIA. Condena 30 SMLV/Obra material $203.205"/>
    <d v="2020-03-25T00:00:00"/>
    <x v="68"/>
    <d v="2021-07-16T00:00:00"/>
    <d v="2020-07-12T00:00:00"/>
    <n v="943"/>
    <n v="26537295"/>
    <n v="0"/>
    <n v="3159782.5266295685"/>
    <n v="29697077.526629567"/>
  </r>
  <r>
    <n v="71"/>
    <s v="PLINIO ROMERO CHICO Y OTROS"/>
    <m/>
    <s v="DISTRITO DE CARTAGENA y ELECTRICARIBE"/>
    <x v="0"/>
    <x v="2"/>
    <s v="13-001-33-33-013-2014-00211-00"/>
    <s v="Juzg. 13° Adtivo del Circuito"/>
    <s v="DECLARASE RESPONSIBLE AL DT Y A ELECTRICARIBE POR LESIONES SUFRIDAS DE CLEYDER WADID ROMERO QUE SE EXTIENDE AL 50%DAÑO DEBIDO A UNA CONCURRENCIA DE CULPA, EN CONSECUENCIA SE CONDENA PERJUICIOS MORALES, DAÑO A LA SALUD, CONDENA SOLIDARIA."/>
    <d v="2016-12-19T00:00:00"/>
    <x v="69"/>
    <s v=" 16/11/2017"/>
    <d v="2017-09-06T00:00:00"/>
    <n v="861"/>
    <n v="79002180"/>
    <m/>
    <n v="365352.76128906652"/>
    <n v="79367532.76128906"/>
  </r>
  <r>
    <n v="72"/>
    <s v="EDGAR RAFAEL CASTRO JULIO "/>
    <m/>
    <s v="DISTRITO DE CARTAGENA "/>
    <x v="0"/>
    <x v="0"/>
    <s v="13001-33-33-005-2015-0012100"/>
    <s v="JUZGADO 5 ADMINISTRATIVO ORAL DEL CIRCUITO DE CARTAGENA/ TRIBUNAL ADMINISTRATIVO MAG LUIS VILLALOBOS"/>
    <s v="REINTEGRO INSPECTOR POLICIA BOCACHICA, "/>
    <d v="2020-11-23T00:00:00"/>
    <x v="70"/>
    <d v="2021-10-18T00:00:00"/>
    <d v="2021-03-25T00:00:00"/>
    <n v="850"/>
    <n v="79875302"/>
    <n v="773772.1"/>
    <n v="365608.84012792545"/>
    <n v="81014682.940127924"/>
  </r>
  <r>
    <n v="73"/>
    <s v="EDUAR MARTINEZ DIAZ"/>
    <m/>
    <s v="DISTRITO CARTAGENA"/>
    <x v="1"/>
    <x v="0"/>
    <s v="13001-3333-012-2013-00082-00"/>
    <s v="JUZGADO DOCE ADMINISTRATIVO ORAL DEL DISTRITO"/>
    <s v="SALARIOS DEJADOS DE PERCIBIR, PRESTACIONES SOCIALES Y APORTES A SEG SOCIAL/ EXT- AMC 22-003"/>
    <d v="2020-02-28T00:00:00"/>
    <x v="71"/>
    <d v="2021-08-05T00:00:00"/>
    <d v="2022-04-11T00:00:00"/>
    <n v="924"/>
    <m/>
    <m/>
    <m/>
    <n v="0"/>
  </r>
  <r>
    <n v="74"/>
    <s v="MARITZA RUIZ TORRES"/>
    <n v="45447274"/>
    <s v="DISTRITO CARTAGENA"/>
    <x v="1"/>
    <x v="0"/>
    <s v="13001-33-33-007-2015-00031-01"/>
    <s v="JUZGADO SEPTIMO ADMINISTRATIVO DEL CIRCUITO DE CARTAGENA/ TRIBUNAL ADMINISTRATIVO DE BOLIVAR"/>
    <s v="ORDENASE EL RECONOCIMIENTO Y PAGO DE LAS PRESTACIONES SOCIALES QUE SON ASUMIDAS POR ELE EMPLEADOR CESANTIAS, INT CESANTIAS, PRIMAS CORRESPONDIENTES A LOS PERIODOS ENTRE 27 DE ENERO DE 2011 HASTA 09 DE OCTUBRE DE 2013/ CALCULO PENSIONES PORCENTAJE CORRESPONDIENTE A LA SUMA FALTANTE POR CONCEPTO DE COTIZACION A PENSION PERO SOLO EN EL PORCENTAJE QUE LE CORRESPONDE LEGALMENTE A LA ENTIDAD"/>
    <d v="2020-06-12T00:00:00"/>
    <x v="72"/>
    <d v="2021-06-19T00:00:00"/>
    <d v="2023-03-13T00:00:00"/>
    <n v="971"/>
    <n v="0"/>
    <n v="0"/>
    <n v="0"/>
    <n v="0"/>
  </r>
  <r>
    <n v="75"/>
    <s v="DIONISIO PAUTT RODRIGUEZ Y OTROS"/>
    <s v="73,148,728"/>
    <s v="DISTRITO CARTAGENA"/>
    <x v="1"/>
    <x v="2"/>
    <s v="13001-23-31-001-2010-00470-00"/>
    <s v="TRIBUNAL ADMINISTRATIVO BOLIVAR/ CONSEJO DE ESTADO"/>
    <s v="CONDENA EN SOLIDARIA CON CORVIVIENDA 70%DT Y 30%CORVIVIENDA- EN SMLSV 50 A LOS PADRES Y A 4 HERMANOS 25"/>
    <d v="2020-08-05T00:00:00"/>
    <x v="73"/>
    <d v="2021-12-18T00:00:00"/>
    <m/>
    <n v="788"/>
    <n v="127193639.99999999"/>
    <n v="0"/>
    <n v="76637553.080000013"/>
    <n v="203831193.07999998"/>
  </r>
  <r>
    <n v="76"/>
    <s v="ALBA INES RODRIGUEZ OSPINA"/>
    <m/>
    <s v="DISTRITO CARTAGENA"/>
    <x v="1"/>
    <x v="4"/>
    <s v="13001-23-33-000-2018-00711-00"/>
    <s v="TRIBUNAL ADMINISTRATIVO DE BOLIVAR- MP EDGAR VASQUEZ"/>
    <s v="OCUPACION IRREGULAR DE INMUEBLE "/>
    <d v="2021-04-30T00:00:00"/>
    <x v="74"/>
    <d v="2022-05-27T00:00:00"/>
    <d v="2021-08-22T00:00:00"/>
    <m/>
    <n v="864619708.61000001"/>
    <m/>
    <n v="301070286.16000009"/>
    <n v="1165689994.77"/>
  </r>
  <r>
    <n v="77"/>
    <s v="NOVER DE JESUS ESPINOSA"/>
    <m/>
    <s v="DISTRITO CARTAGENA"/>
    <x v="1"/>
    <x v="0"/>
    <s v="13001-23-33-000-2015-00366-00"/>
    <s v="TRIBUNAL ADMINISTRATIVO DE BOLIVAR MP ROBERTOMARIO CHAVARRO F7- CONSEJO DE ESTADO MP. CARMELO PERDOMO"/>
    <s v="CONTRATO REALIDAD /PRESCRIPCION- SEGURIDAD SOCIAL  1/OCT/2000 HASTA 16/FEB/2009- SALVO INTERRUPCIONES- CALCULO ACTUARIAL "/>
    <d v="2019-04-30T00:00:00"/>
    <x v="75"/>
    <d v="2022-05-30T00:00:00"/>
    <m/>
    <n v="626"/>
    <m/>
    <n v="254567"/>
    <m/>
    <n v="254567"/>
  </r>
  <r>
    <n v="78"/>
    <s v="INVERSIONES LEONOR AROCHA  SCS, JAIRO HUMBERTO ESPITIA PARRA, JAIRO ESPITIA ROMAN, RAFAEL ESPITIA ROMAN "/>
    <m/>
    <s v="DISTRITO CARTAGENA"/>
    <x v="1"/>
    <x v="4"/>
    <s v="13001-33-33-002-2019-00186-00"/>
    <s v="JUZGADO SEGUNDO ADMINISTRATIVO DEL CIRCUITO DE CARTAGENA"/>
    <s v="APRUEBA CONCILIACION AUTO 21/01/20CANONES DE ARRENDAMIENTOS DEJADOS DE PAGAR ED ANDIAN ENTRE PER 14/09/17-24/01/18"/>
    <d v="2020-01-21T00:00:00"/>
    <x v="76"/>
    <d v="2022-07-21T00:00:00"/>
    <d v="2022-02-17T00:00:00"/>
    <n v="573"/>
    <n v="111583205"/>
    <m/>
    <n v="34936528.289999999"/>
    <n v="146519733.28999999"/>
  </r>
  <r>
    <n v="79"/>
    <s v="MARLENE RODRIGUEZ ARRIETA Y OTROS"/>
    <m/>
    <s v="DISTRITO DE CARTAGENA, MINISTERIO DE VIVIENDA"/>
    <x v="1"/>
    <x v="3"/>
    <s v="13-001-33-33-013-2012-00033-01"/>
    <s v="JUEZ DECIMO TERCERO ADMINISTRATIVOS DEL CIRCUITO DE CARTAGENA"/>
    <s v="PAGO A TODOS LOS INTEGRANTES LA SUMA DE 40 SMLV  Y A LOS INTEGRANTES DEL NUCLEO FAMILIAR EL 20 SMLMV"/>
    <d v="2019-10-05T00:00:00"/>
    <x v="77"/>
    <d v="2022-09-25T00:00:00"/>
    <m/>
    <n v="559"/>
    <n v="86423566678"/>
    <m/>
    <n v="38554542441.743286"/>
    <n v="124978109119.74329"/>
  </r>
  <r>
    <n v="80"/>
    <s v="ERICA LUCIA MARTINEZ NÁJERA"/>
    <m/>
    <s v="DISTRITO CARTAGENA"/>
    <x v="0"/>
    <x v="10"/>
    <s v="13001 33 33 013 2016 00279 00"/>
    <s v="JUZGADO DÉCIMO TERCERO ADMINISTRATIVO DEL CIRCUITO DE CARTAGENA- Repetición"/>
    <s v="SE CONDENA AGENCIAS EN DERECHO"/>
    <m/>
    <x v="78"/>
    <m/>
    <m/>
    <n v="45033"/>
    <n v="0"/>
    <n v="813592"/>
    <n v="0"/>
    <n v="813592"/>
  </r>
  <r>
    <n v="81"/>
    <s v="MYRNA DRAGO LARA Y OTROS"/>
    <m/>
    <s v="DISTRITO CARTAGENA"/>
    <x v="1"/>
    <x v="2"/>
    <s v="13-001-33-33-004-2017-00040-00"/>
    <s v="JUZGADO CUARTO ADMINISTRATIVIVA DEL CIRCUITO DE CARTAGENA"/>
    <s v="CONDENA EN SMLSV "/>
    <d v="2021-07-30T00:00:00"/>
    <x v="79"/>
    <d v="2022-10-16T00:00:00"/>
    <m/>
    <n v="487"/>
    <n v="1106266111"/>
    <m/>
    <n v="62202535.886418507"/>
    <n v="1168468646.8864186"/>
  </r>
  <r>
    <n v="82"/>
    <s v="JOSÈ PETRO CORCHO_x000a_"/>
    <m/>
    <s v="DISTRITO CARTAGENA"/>
    <x v="0"/>
    <x v="0"/>
    <s v="130012331002-2003-00757-01"/>
    <s v="TRIBUNAL ADMINISTRATIVO DE BOLIVAR / SALA DE DESCONGESTION N002"/>
    <s v="PAGO SEGURIDAD SOCIAL"/>
    <d v="2013-12-11T00:00:00"/>
    <x v="78"/>
    <m/>
    <m/>
    <n v="45033"/>
    <n v="208394200"/>
    <m/>
    <m/>
    <n v="208394200"/>
  </r>
  <r>
    <n v="83"/>
    <s v="ANETH DEL CARMEN TORRES PUELLO"/>
    <m/>
    <s v="DISTRITO CARTAGENA"/>
    <x v="1"/>
    <x v="0"/>
    <s v="13001-23-33-000-2014-00072-01"/>
    <m/>
    <m/>
    <d v="2021-11-25T00:00:00"/>
    <x v="80"/>
    <d v="2022-11-24T00:00:00"/>
    <m/>
    <n v="448"/>
    <m/>
    <m/>
    <m/>
    <n v="0"/>
  </r>
  <r>
    <n v="84"/>
    <s v="CONSORCIO VÍAS DEL CARIBE"/>
    <m/>
    <s v="DISTRITO DE CARTAGENA"/>
    <x v="1"/>
    <x v="1"/>
    <s v="13001-33-33-008-2017-00006-01"/>
    <m/>
    <m/>
    <d v="2014-07-18T00:00:00"/>
    <x v="81"/>
    <d v="2022-12-04T00:00:00"/>
    <m/>
    <n v="437"/>
    <n v="75301989.523514643"/>
    <n v="0"/>
    <n v="65381411.290000007"/>
    <n v="140683400.81351465"/>
  </r>
  <r>
    <n v="85"/>
    <s v="LUIS RICARDO GUTIERREZ OLASCUAGA Y OTROS"/>
    <m/>
    <s v="DISTRITO CARTAGENA"/>
    <x v="1"/>
    <x v="2"/>
    <s v="13-001-33-33-008-2016-00138-00"/>
    <s v="JUZGADO ADMINISTRATIVO DEL CIRCUITO DE CARTAGENA/ TRIBUNAL ASMINISTRATIVO DE BOLIVAR"/>
    <s v="CONDENA EN SMLSV "/>
    <d v="2021-08-13T00:00:00"/>
    <x v="82"/>
    <d v="2022-12-16T00:00:00"/>
    <m/>
    <n v="425"/>
    <n v="1043680180.61"/>
    <n v="20435508.070909098"/>
    <n v="194345673.94999999"/>
    <n v="1258461362.6309092"/>
  </r>
  <r>
    <n v="86"/>
    <s v="JESUS MERCADO CABALLERO Y OTROS"/>
    <m/>
    <s v="DISTRITO CARTAGENA"/>
    <x v="1"/>
    <x v="2"/>
    <s v="13001-33-33-002-2017-0013"/>
    <s v="JUZGADO SEGUNDO ADMINISTRATIVO DEL CIRCUITO DE CARTAGENA"/>
    <s v="FALLECIMIENTO CARLOS MERCADO- FALLA DE SERVICIODAÑO OCASIONADO POR DESLIZAMIENTO DE TIERRA"/>
    <d v="2020-02-14T00:00:00"/>
    <x v="83"/>
    <d v="2022-12-22T00:00:00"/>
    <d v="2022-03-08T00:00:00"/>
    <n v="419"/>
    <n v="450000000"/>
    <m/>
    <n v="120665520.22000001"/>
    <n v="570665520.22000003"/>
  </r>
  <r>
    <n v="87"/>
    <s v="FIDUCOLDEX SA"/>
    <s v="830.054.060-5"/>
    <s v="DISTRITO CARTAGENA"/>
    <x v="1"/>
    <x v="0"/>
    <s v="13001-23-33-000-2015-00637-00"/>
    <s v="TRIBUNAL ADMINISTRATIVO DE BOLIVAR - M.P. LUIS_x000a__x000a_MIGUEL VILLALOBOSConsejo de Estado Sala de lo Contencioso Administrativo - Sección_x000a_Cuarta y notificada electrónicamente el día 13 de mayo de 2022."/>
    <s v="Devolución de pago de lo no debido. Impuesto predial. en cuanto a la condena en costas (agencias en derecho y gastos del_x000a_proceso), se observa que a la luz de los artículos 188 del CPACA y 365 (num. 8) del_x000a_CGP,"/>
    <d v="2022-05-05T00:00:00"/>
    <x v="84"/>
    <d v="2023-03-19T00:00:00"/>
    <m/>
    <n v="333"/>
    <n v="1155190069"/>
    <m/>
    <m/>
    <n v="1155190069"/>
  </r>
  <r>
    <n v="88"/>
    <s v="INMOBILIARIA CARTAGENA LTDA"/>
    <m/>
    <s v="DISTRITO CARTAGENA"/>
    <x v="1"/>
    <x v="2"/>
    <s v="13-001-33-33-005-2014-00037-00"/>
    <s v="JUZGADO QUINTO ADMINISTRATIVO DEL CIRCUITO DE CARTAGENA / TRIBUNAL ADMINISTRATIVO DE BOLIVAR"/>
    <s v="CANONES DE ARRENDAMIENTOS Y RECONOCIMIENTO DE REPARACIONES LOCATIVAS DE UN INMUEBLE Y SERV PUBLICOS "/>
    <d v="2021-02-12T00:00:00"/>
    <x v="85"/>
    <d v="2023-06-11T00:00:00"/>
    <m/>
    <n v="249"/>
    <n v="219545704.31"/>
    <n v="15368199"/>
    <n v="16233415.689999999"/>
    <n v="251147319"/>
  </r>
  <r>
    <n v="89"/>
    <s v="INVERSIONES CESAREO "/>
    <s v="890.401.655-4"/>
    <s v="DISTRITO DE CARTAGENA "/>
    <x v="1"/>
    <x v="11"/>
    <s v="13-001-23-33-003-2002-00090-00"/>
    <s v="JUZGADO SEPTIMO ADMINISTRATIVO DEL CIRCUITO DE CARTAGENA"/>
    <m/>
    <d v="2009-02-09T00:00:00"/>
    <x v="78"/>
    <m/>
    <m/>
    <n v="5180"/>
    <n v="11083600000"/>
    <n v="0"/>
    <n v="0"/>
    <n v="11083600000"/>
  </r>
  <r>
    <n v="90"/>
    <s v="CARLOS AYOLA CASTELLON"/>
    <m/>
    <s v="DISTRITO DE CARTAGENA"/>
    <x v="1"/>
    <x v="1"/>
    <s v="13001-33-31-000-2012-00060-00"/>
    <s v="JUZGADO NOVENO ADMINISTRATIVO DEL CIRCUITO DE CARTAGENA"/>
    <s v="EMOLUMENTOS CORRESPONDIENTES A LA SEG SOCIAL,SE DEBE PAGAR LA DIFERENCIA PRESTACIONES SOCIALES, DE  SEGURIDAD SOCIAL   DEBIDO A QUE PERCIBIA SALARIOS MENOR A UN TRABAJADOR DE SU CARGO."/>
    <d v="2019-03-05T00:00:00"/>
    <x v="78"/>
    <m/>
    <m/>
    <n v="45033"/>
    <n v="258919444"/>
    <n v="78324827.644000009"/>
    <n v="524328832.44000006"/>
    <n v="861573104.08400011"/>
  </r>
  <r>
    <n v="91"/>
    <s v="RUTH DEL CARMEN ALVAREZ PANTOJA"/>
    <m/>
    <s v="DISTRITO DE CARTAGENA "/>
    <x v="1"/>
    <x v="0"/>
    <s v="13-001-33-33-002-2013-00115-00"/>
    <s v="JUZGADO 2 ADMINISTRATIVO DEL CIRCUITO DE CARTAGENA/ 2 INSTANCIA TRIBUNAL ADMINISTRATIVO DE BOLIVAR"/>
    <s v="SED REINTEGRO AL CARGO COD219 GRADO35, INDEMINIZACION  SALARIOS Y PRESTACIONES DEJADOS DE PERCIBIR HASTA LA ULTMA SENTENCIA DESCONTADO LAS SUMAS PERCIBIDAS POR LABORALES EN LO PUBLICO COMO EL PRIVADO, SIN Q LA SUMA A PAGAR POR INDEMNIZACION SEA INFERIOR A 6 MESES O MAYOR A 24 MESES DE SALARIO. TERMINOS CPACA SIN COSTAS"/>
    <d v="2021-02-26T00:00:00"/>
    <x v="86"/>
    <d v="2022-02-15T00:00:00"/>
    <m/>
    <n v="732"/>
    <n v="0"/>
    <n v="0"/>
    <n v="0"/>
    <n v="0"/>
  </r>
  <r>
    <n v="92"/>
    <s v="NORIS RAMOS LARA"/>
    <n v="33156035"/>
    <s v="DISTRITO CARTAGENA"/>
    <x v="1"/>
    <x v="0"/>
    <s v="13001-33-31-001-201200053-01"/>
    <s v="TRIBUNAL ADMINISTRATIVO DE BOLIVAR / SALA DE DECISION ESCRITURAL"/>
    <s v="PAGO SEGURIDAD SOCIAL"/>
    <d v="2016-05-20T00:00:00"/>
    <x v="78"/>
    <m/>
    <m/>
    <n v="45033"/>
    <m/>
    <m/>
    <m/>
    <n v="0"/>
  </r>
  <r>
    <n v="93"/>
    <s v="NOHEMÌ PACHECO DE LA ROSA"/>
    <m/>
    <s v="DISTRITO CARTAGENA"/>
    <x v="1"/>
    <x v="0"/>
    <s v="130012331003-2003-00770-00"/>
    <m/>
    <s v="PAGO SEGURIDAD SOCIAL"/>
    <d v="2013-05-17T00:00:00"/>
    <x v="78"/>
    <m/>
    <m/>
    <n v="45033"/>
    <m/>
    <m/>
    <m/>
    <n v="0"/>
  </r>
  <r>
    <n v="94"/>
    <s v="MERCI PACHECO SILVA"/>
    <m/>
    <m/>
    <x v="1"/>
    <x v="0"/>
    <s v="13-00123-31-000-2003-0077100"/>
    <s v="JUZGADO PRIMERO ADMINISTRATIVO DEL CIRCUITO DE CARTAGENA/ TRIBUNAL ADMINISTRATIVO DE BOLIVAR"/>
    <s v="EL PAGO DE APORTES A SEGURIDAD SOCIAL"/>
    <d v="2013-03-21T00:00:00"/>
    <x v="78"/>
    <m/>
    <m/>
    <n v="45033"/>
    <m/>
    <m/>
    <m/>
    <n v="0"/>
  </r>
  <r>
    <n v="95"/>
    <s v="MARGARITA SANCHEZ PIEDRAHITA Y OTROS"/>
    <m/>
    <s v="DISTRITO CARTAGENA"/>
    <x v="1"/>
    <x v="2"/>
    <s v="13-001-33-33-013-2013-0037700"/>
    <s v="JUZGADO DECIMO TERCERO ADMINISTRATIVO DEL CIRCUITO DE CARTGENA "/>
    <s v="CONDENA EN SMLSV "/>
    <d v="2017-12-19T00:00:00"/>
    <x v="78"/>
    <m/>
    <m/>
    <n v="45033"/>
    <n v="217702856.01703569"/>
    <m/>
    <m/>
    <n v="217702856.01703569"/>
  </r>
  <r>
    <n v="96"/>
    <s v="CONSORCIO VIAL ISLA BARÚ"/>
    <s v="900.126.996-7"/>
    <s v="DISTRITO CARTAGENA"/>
    <x v="1"/>
    <x v="6"/>
    <s v="TRIBUNAL DE ARBITRAMIENTO"/>
    <s v="INCUMPLIMIENTO PARCIAL AL CONTRATO DE CONCESION, CONDENAR A PAGAR COSTAS Y AGENCIAS EN DERECHO "/>
    <m/>
    <d v="2021-04-07T00:00:00"/>
    <x v="78"/>
    <m/>
    <m/>
    <n v="45033"/>
    <n v="479899395"/>
    <n v="9085260"/>
    <n v="136364137.91839984"/>
    <n v="625348792.91839981"/>
  </r>
  <r>
    <n v="97"/>
    <s v="FRANK MARTINEZ MEJIA"/>
    <m/>
    <s v="DISTRITO CARTAGENA"/>
    <x v="1"/>
    <x v="0"/>
    <s v="13001-33-33-005-2015-00042-01"/>
    <s v="JUZGADO QUINTO ADMINISTRATIVOS DEL CIRCUITO DE CARTAGENA"/>
    <s v="PAGAR PRESTACIONES SOCIALES TOMANDO HONORARIOS CONTRACTUALES TODAS LAS QUE CORRESPONDAN A UN EMPLEADO CON FUNCIONES SIMILARES EN EL PERIODO COMPRENDIDO ENTRE EL 1 FEB DE 2006 HASTA 21 ENERO DE 2014, ASI COMO EL PAGO DE SEGURIDAD SOCIAL, EN LA DEBIDA PROPORCION, DE LA MISMA MANERA EL DEMANDANTE DEBE ACREDITAR EL PAGO DE SUS SEG SOCIAL PARA PODER REALIZAR EL PAGO DEL COMPLEMENTO  "/>
    <d v="2021-10-15T00:00:00"/>
    <x v="78"/>
    <m/>
    <m/>
    <m/>
    <m/>
    <m/>
    <m/>
    <n v="0"/>
  </r>
  <r>
    <n v="98"/>
    <s v="MARTIN  DE  HORTA PERTUZ"/>
    <m/>
    <s v="DISTRITO CARTAGENA"/>
    <x v="1"/>
    <x v="2"/>
    <s v="2003-00031-01"/>
    <s v="JUZGADO OCTAVO LABORAL DEL CIRCUITO DE CARTAGENA"/>
    <m/>
    <d v="2005-10-31T00:00:00"/>
    <x v="78"/>
    <m/>
    <m/>
    <n v="45033"/>
    <m/>
    <m/>
    <m/>
    <n v="0"/>
  </r>
  <r>
    <n v="99"/>
    <s v="CRISTOBAL  ALEJANDRO JACKSON MORALES"/>
    <m/>
    <s v="DISTRITO CARTAGENA"/>
    <x v="1"/>
    <x v="0"/>
    <s v="13001-33-33-011-2013-00120-00"/>
    <s v="JUZGADO DECIMO PRIMERO ADMINISTRATIVO DEL CIRCUITO DE CARTAGENA "/>
    <s v="DESVINCULACION DE EMPLEADO NOMBRADO EN PROVISIONALIDAD"/>
    <d v="2020-02-11T00:00:00"/>
    <x v="78"/>
    <m/>
    <m/>
    <n v="45033"/>
    <m/>
    <m/>
    <m/>
    <n v="0"/>
  </r>
  <r>
    <n v="100"/>
    <s v="INES ISABEL VISBAL NAVARRO"/>
    <m/>
    <s v="DISTRITO CARTAGENA"/>
    <x v="1"/>
    <x v="2"/>
    <s v="13-001-3333-007-2013-00011-00"/>
    <s v="JUZGADO SEPTIMO ADMINISTRATIVO DEL CIRCUITO DE CARTAGENA"/>
    <s v="RESPONSABILIDAD DEL ESTADO POR ENFERMEDAD PROFESIONAL DEL EMPLEADO PUBLICO "/>
    <d v="2021-06-30T00:00:00"/>
    <x v="78"/>
    <m/>
    <m/>
    <n v="45033"/>
    <n v="27255780"/>
    <m/>
    <m/>
    <n v="27255780"/>
  </r>
  <r>
    <n v="101"/>
    <s v="MARIA BEGONIA UGARTE SANCHEZ"/>
    <m/>
    <s v="DISTRITO CARTAGENA"/>
    <x v="1"/>
    <x v="2"/>
    <s v="13001-33-33-005-2017-00273-00"/>
    <s v="JUZGADO QUINTO ADMINISTRATIVO DEL CIRCUITO DE CARTAGENA"/>
    <s v="CONDENAN AL DT POR NO PAGO A CUOTA DE CONTRATO DE COMPRA VENTA/ numeral 8o del artículo 4o de la Ley 80 de 1993 desde 15 /02 /2001"/>
    <d v="2022-03-30T00:00:00"/>
    <x v="78"/>
    <m/>
    <m/>
    <n v="45033"/>
    <n v="50000000"/>
    <m/>
    <m/>
    <n v="50000000"/>
  </r>
  <r>
    <n v="102"/>
    <s v="CONSORCIO INTERVENTORIA A Y C 2015"/>
    <m/>
    <s v="DISTRITO CARTAGENA"/>
    <x v="1"/>
    <x v="1"/>
    <s v="13001-33-33-007-2018-00083-01"/>
    <s v="JUZGADO SEPTIMO ADMINISTRATIVO DEL CIRCUITO / TRIBUNAL ADMINISTRATIVO DE BOLIVAR"/>
    <s v="CONDENAN AL DT POR EL NO PAGO DEL CONTRATO DE INTERVENTORIA N°16 CUYO OBJETO ERA INTERV TECNICA, ADMINISTRATIVA Y FINANCIERA, AMBIENTAL AL CONTRATO DE EJECUCION DE CLAUSURA Y POSCLAUSURA DEL RELLENO SANITARIO HENEQUEN, SE LE ADEUDA LOS INTERESES MORA POR EL PAGO TARDÍO DEL CONTRATO  N° 16"/>
    <d v="2021-07-16T00:00:00"/>
    <x v="87"/>
    <d v="2022-12-07T00:00:00"/>
    <m/>
    <n v="434"/>
    <n v="35901123"/>
    <m/>
    <m/>
    <n v="35901123"/>
  </r>
  <r>
    <n v="103"/>
    <s v="ALEX MANSILLA GOMEZ "/>
    <m/>
    <s v="DISTRITO CARTAGENA"/>
    <x v="1"/>
    <x v="4"/>
    <s v="13 001 33 33 011 2022 00107 00"/>
    <s v="JUZGADO ONCE ADMINISTRATIVO DEL CIRCUITO DE CARTAGENA"/>
    <s v="APROBAR el acuerdo conciliatorio celebrado entre el señor ALEX MANSILLA GOMEZ Y DISTRITO DE CARTAGENA DEPARTAMENTO ADMINISTRATIVO DE TRANSITO Y TRANSPORTE (DATT), el dia 17 de noviembre de 2021 ante la Procuraduria_x000a_130 Judicial II Para Asuntos Administrativos de Cartagena, por valor de CINCUENTA Y DOS MILLONES CIENTO SIETE MIL QUINIENTOS SETENTA Y OCHO PESOS M/CTE ($52.167.578, por adeudarle 221 días de sanción moratoria._x000a_Segundo. - En firme esta providencia, expídanse a la parte convocante las copias necesarias para el Cumplimiento del acuerdo, con las constancias de ley. Advirtiendo que el acuerdo conciliatorio junto con la presente providencia presta mérito ejecutivo."/>
    <d v="2021-09-17T00:00:00"/>
    <x v="78"/>
    <m/>
    <m/>
    <n v="45033"/>
    <n v="52107578"/>
    <n v="0"/>
    <n v="0"/>
    <n v="52107578"/>
  </r>
  <r>
    <n v="104"/>
    <s v="BRANIUM SAS /SOCIEDADES AMIN BAJAIRE"/>
    <m/>
    <s v="DISTRITO CARTAGENA"/>
    <x v="1"/>
    <x v="2"/>
    <s v="13001-33-33-011-2015-00212-01"/>
    <s v="TRIBUNAL ADMINISTRATIVO DE BOLIVAR"/>
    <m/>
    <d v="2022-05-06T00:00:00"/>
    <x v="78"/>
    <m/>
    <m/>
    <n v="45033"/>
    <m/>
    <m/>
    <m/>
    <n v="0"/>
  </r>
  <r>
    <n v="105"/>
    <s v="GLORIA PATRICIA MONSALVE BEDOYA"/>
    <m/>
    <s v="DISTRITO DE CARTAGENA"/>
    <x v="0"/>
    <x v="1"/>
    <s v="13-001-33-33-001-0072016-00179-00"/>
    <s v="JUZGADO SEPTIMO ADMINISTRATIVO DEL CIRCUITO DE CARTAGENA "/>
    <s v="CONDENA CONTRATO DE ARRENDAMIENTOS"/>
    <d v="2019-08-06T00:00:00"/>
    <x v="78"/>
    <m/>
    <d v="2022-02-10T00:00:00"/>
    <m/>
    <n v="22361979"/>
    <n v="1118098.05"/>
    <n v="6919187.8096441496"/>
    <n v="30399264.859644152"/>
  </r>
  <r>
    <n v="106"/>
    <s v="EDWIN MOLINA SILGADO"/>
    <m/>
    <s v="DISTRITO CARTAGENA"/>
    <x v="1"/>
    <x v="0"/>
    <s v="13001 -33-33-005-2017-00262-01"/>
    <s v="TRIBUNAL ADMINISTRATIVO DE BOLÍVAR"/>
    <s v="DATT durante dos periodos de tiempo comprendidos entre el 25 febrero de 2011 y el 25 de septiembre de 2011; y entre el (i)24 de febrero_x000a_1 2012 hasta el 31 de enero del 2015, espacios de tiempo entre los cuales istió solución de continuidad, por las razones anotadas en esta providencia.  las prestaciones sociales que correspondan a un empleado con funciones similares a las desempeñadas por él en la entidad, tomando como base los honorarios contractuales durante el período el periodo comprendido entre el 24 de febrero del 2012_x000a_hasta el 31 de enero del 2015. Así como el pago de los porcentajes de cotización correspondientes a pensiones que, la entidad demandada debió trasladar a las entidades correspondientes, en la debida proporción, para que el tiempo laborado bajo la modalidad de contrato de prestación de servicios, pero bajo una verdadera relación laboral, sea computado para efectos pensiónales, mes a mes, y si existe diferencia entre los aportes realizados por el señor Molina Silgado, como contratista y los que se debieron efectuar, deberá cotizar al respectivo fondo de pensiones la suma faltante en concepto de aportes, pero solo en el porcentaje que le correspondía como empleado, lo anterior, para los periodos comprendidos entre el 25 febrero de 2011 y el 25 de septiembre de 2011; y entre el 24 de febrero del 2012 hasta el_x000a_31 de enero del 2015,"/>
    <d v="2021-10-29T00:00:00"/>
    <x v="88"/>
    <d v="2022-12-15T00:00:00"/>
    <d v="2023-03-13T00:00:00"/>
    <n v="426"/>
    <m/>
    <m/>
    <m/>
    <n v="0"/>
  </r>
  <r>
    <n v="107"/>
    <s v="REFINERIA DE CARTAGENA S.A."/>
    <m/>
    <s v="DISTRITO CARTAGENA"/>
    <x v="1"/>
    <x v="0"/>
    <s v="13001-23-33-000-2013-00325-01 (25475)"/>
    <s v="CONSEJO DE ESTADO"/>
    <m/>
    <d v="2022-02-10T00:00:00"/>
    <x v="78"/>
    <m/>
    <m/>
    <n v="45033"/>
    <n v="2500000000"/>
    <m/>
    <m/>
    <n v="2500000000"/>
  </r>
  <r>
    <n v="108"/>
    <s v="REFINERIA DE CARTAGENA S.A."/>
    <m/>
    <s v="DISTRITO CARTAGENA"/>
    <x v="1"/>
    <x v="0"/>
    <s v="13001-23-31-000-2010-00421-01"/>
    <m/>
    <m/>
    <m/>
    <x v="78"/>
    <m/>
    <m/>
    <n v="45033"/>
    <m/>
    <m/>
    <m/>
    <n v="0"/>
  </r>
  <r>
    <n v="109"/>
    <s v="FUNDACIÓN HINCAPIE HIJOS"/>
    <m/>
    <s v="DISTRITO CARTAGENA"/>
    <x v="1"/>
    <x v="0"/>
    <s v="13001-33-33-011-2016-00092-01"/>
    <s v="TRIBUNAL ADMINISTRATIVO DE BOLÍVAR"/>
    <m/>
    <d v="2021-07-30T00:00:00"/>
    <x v="78"/>
    <m/>
    <m/>
    <n v="45033"/>
    <m/>
    <m/>
    <m/>
    <n v="0"/>
  </r>
  <r>
    <n v="111"/>
    <s v="SOCIEDAD TUBOTEC SA"/>
    <m/>
    <s v="DISTRITO CARTAGENA"/>
    <x v="1"/>
    <x v="0"/>
    <s v="13001-33-31-010-2012-00155-02"/>
    <s v="TRIBUNAL ADMINISTRATIVO BOLIVAR"/>
    <m/>
    <d v="2022-03-30T00:00:00"/>
    <x v="78"/>
    <m/>
    <m/>
    <n v="45033"/>
    <n v="882000000"/>
    <m/>
    <m/>
    <n v="882000000"/>
  </r>
  <r>
    <n v="112"/>
    <s v="Cerver e Hijos Ltda. En liquidación"/>
    <m/>
    <s v="DISTRITO CARTAGENA"/>
    <x v="1"/>
    <x v="0"/>
    <s v="13001-33-33-005-2018-00101-01"/>
    <s v="TRIBUNAL ADMINISTRATIVO DE BOLIVAR"/>
    <m/>
    <d v="2022-03-30T00:00:00"/>
    <x v="78"/>
    <m/>
    <m/>
    <n v="45033"/>
    <n v="0"/>
    <n v="828116"/>
    <n v="0"/>
    <n v="828116"/>
  </r>
  <r>
    <n v="113"/>
    <s v="PROMOAMBIENTAL CARIBE SA ESP"/>
    <m/>
    <s v="DISTRITO CARTAGENA"/>
    <x v="1"/>
    <x v="9"/>
    <s v="13001-23-31-000-2009-00548-01 (51992)_x000d_"/>
    <s v="CONSEJO DE ESTADO"/>
    <m/>
    <d v="2022-05-04T00:00:00"/>
    <x v="78"/>
    <m/>
    <m/>
    <n v="45033"/>
    <m/>
    <m/>
    <m/>
    <n v="0"/>
  </r>
  <r>
    <n v="114"/>
    <s v="MARIA BEGONIA UGARTE"/>
    <m/>
    <s v="DISTRITO CARTAGENA"/>
    <x v="1"/>
    <x v="2"/>
    <s v="13001-23-33-005-2017-00273-01_x000d_"/>
    <s v="TRIBUNAL ADMINISTRATIVO DE BOLÍVAR"/>
    <m/>
    <d v="2022-03-30T00:00:00"/>
    <x v="78"/>
    <m/>
    <m/>
    <n v="45033"/>
    <m/>
    <m/>
    <m/>
    <n v="0"/>
  </r>
  <r>
    <n v="115"/>
    <s v="INVERSIONES PAYSANDU SAS"/>
    <m/>
    <s v="DISTRITO CARTAGENA"/>
    <x v="1"/>
    <x v="0"/>
    <s v="13001-33-33-005-2017-00290-01_x000d_"/>
    <s v="TRIBUNAL ADMINISTRATIVO DE BOLÍVAR"/>
    <m/>
    <d v="2022-04-29T00:00:00"/>
    <x v="78"/>
    <m/>
    <m/>
    <n v="45033"/>
    <n v="12754000"/>
    <m/>
    <m/>
    <n v="12754000"/>
  </r>
  <r>
    <n v="116"/>
    <s v="JOSÉ BARACALDO"/>
    <m/>
    <s v="DISTRITO CARTAGENA"/>
    <x v="1"/>
    <x v="0"/>
    <s v="13001-33-33-007-2018-00060-01"/>
    <s v="TRIBUNAL ADMINISTRATIVO DE BOLÍVAR"/>
    <m/>
    <d v="2022-05-13T00:00:00"/>
    <x v="78"/>
    <m/>
    <m/>
    <n v="45033"/>
    <m/>
    <m/>
    <m/>
    <n v="0"/>
  </r>
  <r>
    <n v="117"/>
    <s v="ETTY JULIETH CALVO"/>
    <m/>
    <s v="DISTRITO CARTAGENA"/>
    <x v="1"/>
    <x v="0"/>
    <s v="13-001-33-33-005-2018-00001-01_x000d_"/>
    <s v="TRIBUNAL ADMINISTRATIVO DE BOLÍVAR"/>
    <m/>
    <d v="2022-05-13T00:00:00"/>
    <x v="78"/>
    <m/>
    <m/>
    <n v="45033"/>
    <m/>
    <m/>
    <m/>
    <n v="0"/>
  </r>
  <r>
    <n v="118"/>
    <s v="DAVID CABARCAS"/>
    <m/>
    <s v="DISTRITO CARTAGENA"/>
    <x v="1"/>
    <x v="0"/>
    <s v="13-001-33-33-011-2018-00113-01"/>
    <s v="TRIBUNAL ADMINISTRATIVO DE BOLIVAR"/>
    <m/>
    <d v="2021-12-10T00:00:00"/>
    <x v="78"/>
    <m/>
    <m/>
    <n v="45033"/>
    <m/>
    <m/>
    <m/>
    <n v="0"/>
  </r>
  <r>
    <n v="119"/>
    <s v="ORLANDO VILLADIEGO"/>
    <m/>
    <s v="DISTRITO CARTAGENA"/>
    <x v="1"/>
    <x v="0"/>
    <s v="13-001-33-33-005-2018-00087-01_x000d_"/>
    <s v="TRIBUNAL ADMINISTRATIVO DE BOLÍVAR"/>
    <m/>
    <d v="2022-02-25T00:00:00"/>
    <x v="78"/>
    <m/>
    <m/>
    <n v="45033"/>
    <m/>
    <m/>
    <m/>
    <n v="0"/>
  </r>
  <r>
    <n v="120"/>
    <s v="MARIA AURA SANCHEZ"/>
    <m/>
    <s v="DISTRITO CARTAGENA"/>
    <x v="1"/>
    <x v="0"/>
    <s v="13-001-33-33-002-2015-00199-01_x000d_"/>
    <s v="TRIBUNAL ADMINISTRATIVO DE BOLÍVAR"/>
    <m/>
    <d v="2022-05-13T00:00:00"/>
    <x v="78"/>
    <m/>
    <m/>
    <n v="45033"/>
    <m/>
    <m/>
    <m/>
    <n v="0"/>
  </r>
  <r>
    <n v="121"/>
    <s v="COOMEVA EPS SSA"/>
    <m/>
    <s v="DISTRITO CARTAGENA"/>
    <x v="1"/>
    <x v="0"/>
    <s v="13001-23-33-000-2014-00156-02 (26828)"/>
    <s v="CONSEJO DE ESTADO"/>
    <m/>
    <d v="2022-11-17T00:00:00"/>
    <x v="78"/>
    <m/>
    <m/>
    <n v="45033"/>
    <n v="65224000"/>
    <m/>
    <m/>
    <n v="65224000"/>
  </r>
  <r>
    <n v="122"/>
    <s v="ERICK GARCÍA ESTRADA"/>
    <m/>
    <s v="DISTRITO CARTAGENA"/>
    <x v="1"/>
    <x v="0"/>
    <s v="13-001-33-33-004-2017-00281-01"/>
    <s v="TRIBUNAL ADMINISTRATIVO DE BOLÍVAR"/>
    <m/>
    <d v="2022-09-20T00:00:00"/>
    <x v="78"/>
    <m/>
    <m/>
    <n v="45033"/>
    <m/>
    <m/>
    <m/>
    <n v="0"/>
  </r>
  <r>
    <m/>
    <m/>
    <m/>
    <m/>
    <x v="2"/>
    <x v="12"/>
    <m/>
    <m/>
    <m/>
    <m/>
    <x v="78"/>
    <m/>
    <s v="TOTAL"/>
    <m/>
    <n v="126438776665.08038"/>
    <n v="698393776.00932813"/>
    <n v="57244021852.527565"/>
    <n v="184381192293.61725"/>
  </r>
  <r>
    <n v="124"/>
    <s v="WILBERTO ELIAS JUNCO MARTINEZ"/>
    <m/>
    <s v="DISTRITO CARTAGENA"/>
    <x v="1"/>
    <x v="0"/>
    <s v="13-001-33-33-004-2017-00074-01"/>
    <s v="TRIBUNAL ADMINISTRATIVO DE BOLÍVAR"/>
    <s v="CONTRATO REALIDADpago  de prestación sociales, por el periodo comprendido entre el 26de enero de 2009 y el 31 de marzo de 2009- la cuota  parte  de  los aportes  que  por  concepto  de  pensión  que  le  corresponden  al  respectivo Fondo  de  Pensiones  al  que  se  encuentre  afiliado  el  actor  por  el  tiempo comprendidoentre el 26de enero de 2009 y el 31 de marzo de 2009,teniendo como ingreso   base   de   cotización   (IBC)   pensional   del demandante   los honorarios pactados en las órdenes de servicios y contratos de prestación de servicios."/>
    <d v="2022-08-12T00:00:00"/>
    <x v="78"/>
    <m/>
    <m/>
    <m/>
    <m/>
    <m/>
    <m/>
    <m/>
  </r>
  <r>
    <n v="125"/>
    <s v="ANTONIO ORTIZ MIRANDA"/>
    <m/>
    <s v="DISTRITO CARTAGENA"/>
    <x v="1"/>
    <x v="0"/>
    <s v="13-001-33-33-002-2018-00205-01"/>
    <s v="TRIBUNAL ADMINISTRATIVO DE BOLÍVAR"/>
    <s v="Contrato realidad - DATT"/>
    <d v="2023-02-10T00:00:00"/>
    <x v="78"/>
    <m/>
    <m/>
    <m/>
    <m/>
    <m/>
    <m/>
    <m/>
  </r>
  <r>
    <n v="126"/>
    <s v="TERESA MARTINEZ VELLOJIN"/>
    <m/>
    <s v="DISTRITO CARTAGENA"/>
    <x v="1"/>
    <x v="0"/>
    <s v="13001-33-40-015-2016-00192-00"/>
    <s v="JUZGADO DECIMO QUINTO ADMINISTRATIVO DE BOLIVAR"/>
    <s v="Contrato realidad "/>
    <d v="2020-06-26T00:00:00"/>
    <x v="78"/>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530B5A0-0DE7-47F7-B4A5-6CAC33199218}" name="TablaDinámica1" cacheId="1226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4:C15" firstHeaderRow="0" firstDataRow="1" firstDataCol="1" rowPageCount="1" colPageCount="1"/>
  <pivotFields count="20">
    <pivotField showAll="0"/>
    <pivotField dataField="1" showAll="0"/>
    <pivotField showAll="0"/>
    <pivotField showAll="0"/>
    <pivotField axis="axisPage" showAll="0">
      <items count="4">
        <item x="0"/>
        <item x="1"/>
        <item x="2"/>
        <item t="default"/>
      </items>
    </pivotField>
    <pivotField axis="axisRow" showAll="0">
      <items count="14">
        <item x="3"/>
        <item x="11"/>
        <item x="4"/>
        <item x="9"/>
        <item x="5"/>
        <item x="1"/>
        <item x="6"/>
        <item x="0"/>
        <item x="8"/>
        <item x="2"/>
        <item x="10"/>
        <item x="7"/>
        <item x="12"/>
        <item t="default"/>
      </items>
    </pivotField>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dataField="1" showAll="0"/>
    <pivotField showAll="0">
      <items count="7">
        <item x="0"/>
        <item x="1"/>
        <item x="2"/>
        <item x="3"/>
        <item x="4"/>
        <item x="5"/>
        <item t="default"/>
      </items>
    </pivotField>
    <pivotField showAll="0">
      <items count="13">
        <item x="0"/>
        <item x="1"/>
        <item x="2"/>
        <item x="3"/>
        <item x="4"/>
        <item x="5"/>
        <item x="6"/>
        <item x="7"/>
        <item x="8"/>
        <item x="9"/>
        <item x="10"/>
        <item x="11"/>
        <item t="default"/>
      </items>
    </pivotField>
  </pivotFields>
  <rowFields count="1">
    <field x="5"/>
  </rowFields>
  <rowItems count="11">
    <i>
      <x/>
    </i>
    <i>
      <x v="1"/>
    </i>
    <i>
      <x v="2"/>
    </i>
    <i>
      <x v="3"/>
    </i>
    <i>
      <x v="5"/>
    </i>
    <i>
      <x v="6"/>
    </i>
    <i>
      <x v="7"/>
    </i>
    <i>
      <x v="8"/>
    </i>
    <i>
      <x v="9"/>
    </i>
    <i>
      <x v="11"/>
    </i>
    <i t="grand">
      <x/>
    </i>
  </rowItems>
  <colFields count="1">
    <field x="-2"/>
  </colFields>
  <colItems count="2">
    <i>
      <x/>
    </i>
    <i i="1">
      <x v="1"/>
    </i>
  </colItems>
  <pageFields count="1">
    <pageField fld="4" item="1" hier="-1"/>
  </pageFields>
  <dataFields count="2">
    <dataField name="Suma de TOTAL LIQUIDACION ACTUALIZADA " fld="17" baseField="0" baseItem="0" numFmtId="169"/>
    <dataField name="Cuenta de DEMANDANTE/ CONVOCANTE" fld="1" subtotal="count" baseField="0" baseItem="0"/>
  </dataFields>
  <formats count="7">
    <format dxfId="63">
      <pivotArea outline="0" collapsedLevelsAreSubtotals="1" fieldPosition="0"/>
    </format>
    <format dxfId="64">
      <pivotArea dataOnly="0" labelOnly="1" fieldPosition="0">
        <references count="1">
          <reference field="5" count="1">
            <x v="9"/>
          </reference>
        </references>
      </pivotArea>
    </format>
    <format dxfId="65">
      <pivotArea dataOnly="0" labelOnly="1" fieldPosition="0">
        <references count="1">
          <reference field="5" count="1">
            <x v="7"/>
          </reference>
        </references>
      </pivotArea>
    </format>
    <format dxfId="66">
      <pivotArea dataOnly="0" labelOnly="1" fieldPosition="0">
        <references count="1">
          <reference field="5" count="1">
            <x v="8"/>
          </reference>
        </references>
      </pivotArea>
    </format>
    <format dxfId="67">
      <pivotArea dataOnly="0" labelOnly="1" fieldPosition="0">
        <references count="1">
          <reference field="5" count="1">
            <x v="3"/>
          </reference>
        </references>
      </pivotArea>
    </format>
    <format dxfId="68">
      <pivotArea dataOnly="0" labelOnly="1" fieldPosition="0">
        <references count="1">
          <reference field="5" count="1">
            <x v="5"/>
          </reference>
        </references>
      </pivotArea>
    </format>
    <format dxfId="69">
      <pivotArea dataOnly="0" labelOnly="1" fieldPosition="0">
        <references count="1">
          <reference field="5"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4B75859-E884-4324-950E-A9374D75698A}" name="TablaDinámica4" cacheId="1226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C13" firstHeaderRow="0" firstDataRow="1" firstDataCol="1" rowPageCount="1" colPageCount="1"/>
  <pivotFields count="25">
    <pivotField showAll="0"/>
    <pivotField showAll="0"/>
    <pivotField showAll="0"/>
    <pivotField dataField="1" showAll="0">
      <items count="2">
        <item x="0"/>
        <item t="default"/>
      </items>
    </pivotField>
    <pivotField axis="axisRow" showAll="0">
      <items count="11">
        <item x="0"/>
        <item x="9"/>
        <item h="1" x="1"/>
        <item x="2"/>
        <item x="3"/>
        <item x="4"/>
        <item x="5"/>
        <item x="6"/>
        <item x="7"/>
        <item x="8"/>
        <item t="default"/>
      </items>
    </pivotField>
    <pivotField showAll="0"/>
    <pivotField showAll="0"/>
    <pivotField showAll="0"/>
    <pivotField axis="axisPage" showAll="0">
      <items count="15">
        <item x="0"/>
        <item x="1"/>
        <item x="2"/>
        <item x="3"/>
        <item x="4"/>
        <item x="5"/>
        <item x="6"/>
        <item x="7"/>
        <item x="8"/>
        <item x="9"/>
        <item x="10"/>
        <item x="11"/>
        <item x="12"/>
        <item x="13"/>
        <item t="default"/>
      </items>
    </pivotField>
    <pivotField multipleItemSelectionAllowed="1"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dataField="1" numFmtId="168" showAll="0"/>
    <pivotField showAll="0"/>
    <pivotField showAll="0"/>
    <pivotField showAll="0"/>
    <pivotField showAll="0"/>
    <pivotField showAll="0">
      <items count="7">
        <item sd="0" x="0"/>
        <item sd="0" x="1"/>
        <item sd="0" x="2"/>
        <item sd="0" x="3"/>
        <item sd="0" x="4"/>
        <item sd="0" x="5"/>
        <item t="default"/>
      </items>
    </pivotField>
    <pivotField multipleItemSelectionAllowed="1" showAll="0">
      <items count="13">
        <item sd="0" x="0"/>
        <item sd="0" x="1"/>
        <item sd="0" x="2"/>
        <item h="1" sd="0" x="3"/>
        <item h="1" sd="0" x="4"/>
        <item h="1" sd="0" x="5"/>
        <item h="1" sd="0" x="6"/>
        <item h="1" sd="0" x="7"/>
        <item h="1" sd="0" x="8"/>
        <item h="1" sd="0" x="9"/>
        <item h="1" sd="0" x="10"/>
        <item h="1" sd="0" x="11"/>
        <item t="default"/>
      </items>
    </pivotField>
    <pivotField showAll="0">
      <items count="7">
        <item sd="0" x="0"/>
        <item sd="0" x="1"/>
        <item sd="0" x="2"/>
        <item sd="0" x="3"/>
        <item sd="0" x="4"/>
        <item sd="0" x="5"/>
        <item t="default"/>
      </items>
    </pivotField>
    <pivotField showAll="0">
      <items count="21">
        <item sd="0" x="0"/>
        <item sd="0" x="1"/>
        <item sd="0" x="2"/>
        <item sd="0" x="3"/>
        <item sd="0" x="4"/>
        <item sd="0" x="5"/>
        <item sd="0" x="6"/>
        <item sd="0" x="7"/>
        <item sd="0" x="8"/>
        <item sd="0" x="9"/>
        <item sd="0" x="10"/>
        <item sd="0" x="11"/>
        <item sd="0" x="12"/>
        <item sd="0" x="13"/>
        <item sd="0" x="14"/>
        <item sd="0" x="15"/>
        <item sd="0" x="16"/>
        <item sd="0" x="17"/>
        <item sd="0" x="18"/>
        <item sd="0" x="19"/>
        <item t="default"/>
      </items>
    </pivotField>
  </pivotFields>
  <rowFields count="1">
    <field x="4"/>
  </rowFields>
  <rowItems count="10">
    <i>
      <x/>
    </i>
    <i>
      <x v="1"/>
    </i>
    <i>
      <x v="3"/>
    </i>
    <i>
      <x v="4"/>
    </i>
    <i>
      <x v="5"/>
    </i>
    <i>
      <x v="6"/>
    </i>
    <i>
      <x v="7"/>
    </i>
    <i>
      <x v="8"/>
    </i>
    <i>
      <x v="9"/>
    </i>
    <i t="grand">
      <x/>
    </i>
  </rowItems>
  <colFields count="1">
    <field x="-2"/>
  </colFields>
  <colItems count="2">
    <i>
      <x/>
    </i>
    <i i="1">
      <x v="1"/>
    </i>
  </colItems>
  <pageFields count="1">
    <pageField fld="8" hier="-1"/>
  </pageFields>
  <dataFields count="2">
    <dataField name="Cuenta de ESTADO DEL PROCESO" fld="3" subtotal="count" baseField="0" baseItem="0"/>
    <dataField name="Suma de TOTAL LIQUIDACION ACTUALIZADA " fld="16" baseField="3" baseItem="0" numFmtId="16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7" dT="2021-10-14T14:11:25.13" personId="{4C27E860-13F7-4715-A823-D31BC3B8C2BF}" id="{211B09B8-640C-46AB-BD4E-E04855AA7D19}">
    <text>SE EVIDENCIA TASA DE USURA ERRADA POR LOS MESES DIC 2017,ENERO, FEB DE 2018</text>
  </threadedComment>
  <threadedComment ref="E21" dT="2021-10-14T14:11:25.13" personId="{4C27E860-13F7-4715-A823-D31BC3B8C2BF}" id="{94110023-9101-4595-BED9-23D426884661}">
    <text>SE EVIDENCIA TASA DE USURA ERRADA POR LOS MESES DIC 2017,ENERO, FEB DE 2018</text>
  </threadedComment>
</ThreadedComments>
</file>

<file path=xl/threadedComments/threadedComment2.xml><?xml version="1.0" encoding="utf-8"?>
<ThreadedComments xmlns="http://schemas.microsoft.com/office/spreadsheetml/2018/threadedcomments" xmlns:x="http://schemas.openxmlformats.org/spreadsheetml/2006/main">
  <threadedComment ref="E12" dT="2021-10-14T14:11:25.13" personId="{4C27E860-13F7-4715-A823-D31BC3B8C2BF}" id="{EE901D13-850B-4EE0-BF90-F6B9F064CCEF}">
    <text>SE EVIDENCIA TASA DE USURA ERRADA POR LOS MESES DIC 2017,ENERO, FEB DE 2018</text>
  </threadedComment>
  <threadedComment ref="E16" dT="2021-10-14T14:11:25.13" personId="{4C27E860-13F7-4715-A823-D31BC3B8C2BF}" id="{0C8BC56D-C7E2-4FB6-ABF4-1AB6E381DC95}">
    <text>SE EVIDENCIA TASA DE USURA ERRADA POR LOS MESES DIC 2017,ENERO, FEB DE 2018</text>
  </threadedComment>
</ThreadedComments>
</file>

<file path=xl/threadedComments/threadedComment3.xml><?xml version="1.0" encoding="utf-8"?>
<ThreadedComments xmlns="http://schemas.microsoft.com/office/spreadsheetml/2018/threadedcomments" xmlns:x="http://schemas.openxmlformats.org/spreadsheetml/2006/main">
  <threadedComment ref="C7" dT="2021-10-05T16:24:34.83" personId="{4C27E860-13F7-4715-A823-D31BC3B8C2BF}" id="{91DD0BF7-199B-42EA-B358-BB47A1A2848B}">
    <text>Se verifica la sentencia Analisis critico del material probatorio, PAG 14, confirma ultima asignacion Basica.</text>
  </threadedComment>
</ThreadedComments>
</file>

<file path=xl/threadedComments/threadedComment4.xml><?xml version="1.0" encoding="utf-8"?>
<ThreadedComments xmlns="http://schemas.microsoft.com/office/spreadsheetml/2018/threadedcomments" xmlns:x="http://schemas.openxmlformats.org/spreadsheetml/2006/main">
  <threadedComment ref="B44" dT="2021-11-10T16:03:59.60" personId="{4C27E860-13F7-4715-A823-D31BC3B8C2BF}" id="{90EBF798-CF50-47FA-A8C9-E20BE58C137F}">
    <text>Inicia un dia despues de la fecha final liquidada por el Juzgado.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97.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00.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104.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105.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106.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07.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108.bin"/></Relationships>
</file>

<file path=xl/worksheets/_rels/sheet11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17.xml.rels><?xml version="1.0" encoding="UTF-8" standalone="yes"?>
<Relationships xmlns="http://schemas.openxmlformats.org/package/2006/relationships"><Relationship Id="rId26" Type="http://schemas.openxmlformats.org/officeDocument/2006/relationships/hyperlink" Target="https://alcart-my.sharepoint.com/:f:/g/personal/conciliaciones_cartagena_gov_co/EqeaMhLDsXBNk6ly2F4BFNsBximpU5Prm4tAkDkTvs51aw?e=jibCM0" TargetMode="External"/><Relationship Id="rId21" Type="http://schemas.openxmlformats.org/officeDocument/2006/relationships/hyperlink" Target="https://alcart-my.sharepoint.com/:f:/g/personal/conciliaciones_cartagena_gov_co/En1p_QIK4QNKrvoTAvBfVxoBtvatP2Pz1N_FqIM5FXTdCg?e=H82Hp7" TargetMode="External"/><Relationship Id="rId42" Type="http://schemas.openxmlformats.org/officeDocument/2006/relationships/hyperlink" Target="https://alcart-my.sharepoint.com/:f:/g/personal/conciliaciones_cartagena_gov_co/EnDncaGQHMJPs0lM6NINbXsBn-aseKdHpdpT6EjQYI8rcA?e=LQgAbZ" TargetMode="External"/><Relationship Id="rId47" Type="http://schemas.openxmlformats.org/officeDocument/2006/relationships/hyperlink" Target="https://alcart-my.sharepoint.com/:f:/g/personal/conciliaciones_cartagena_gov_co/Euoicv6iYA9MuXOczhMzd2ABbo0J8GUtrOxB9uxyqIcbNw?e=GsTI1L" TargetMode="External"/><Relationship Id="rId63" Type="http://schemas.openxmlformats.org/officeDocument/2006/relationships/hyperlink" Target="https://alcart-my.sharepoint.com/:f:/g/personal/conciliaciones_cartagena_gov_co/Epxi2Y37kfpPpH0NDCyVBuABDybRxLXkfKshAg-4BqX_mQ?e=nFBJDe" TargetMode="External"/><Relationship Id="rId68" Type="http://schemas.openxmlformats.org/officeDocument/2006/relationships/hyperlink" Target="https://alcart-my.sharepoint.com/:b:/g/personal/conciliaciones_cartagena_gov_co/ESpPRf-JdpxAmjQZRWhI610BXCloN4Wq8DzhF8Dt1ARzrQ?e=cmkCOD" TargetMode="External"/><Relationship Id="rId84" Type="http://schemas.openxmlformats.org/officeDocument/2006/relationships/hyperlink" Target="https://alcart-my.sharepoint.com/:b:/g/personal/conciliaciones_cartagena_gov_co/EejYo0gG_-9Csr89UErpUQMBwY6sXEHJivKLPij6qHF0lw?e=C5tP3f" TargetMode="External"/><Relationship Id="rId89" Type="http://schemas.openxmlformats.org/officeDocument/2006/relationships/hyperlink" Target="https://alcart-my.sharepoint.com/:f:/g/personal/conciliaciones_cartagena_gov_co/Eopr3sZSBJtCiuZ4CKYTA2UBj_b4kQ-Zg3RTkkF7wNzkEg?e=SNfKzZ" TargetMode="External"/><Relationship Id="rId16" Type="http://schemas.openxmlformats.org/officeDocument/2006/relationships/hyperlink" Target="https://alcart-my.sharepoint.com/:f:/g/personal/conciliaciones_cartagena_gov_co/EkQscmTbtnJOt86jjIY_p4gB1nEmb0X9t9aEEPR78witQw?e=UuDzuT" TargetMode="External"/><Relationship Id="rId11" Type="http://schemas.openxmlformats.org/officeDocument/2006/relationships/hyperlink" Target="https://alcart-my.sharepoint.com/:f:/g/personal/conciliaciones_cartagena_gov_co/Ev862RdVondEnWA3UDgFIYcBtMO-s2Q-xG_5e47cCvZTOg?e=NACMDT" TargetMode="External"/><Relationship Id="rId32" Type="http://schemas.openxmlformats.org/officeDocument/2006/relationships/hyperlink" Target="https://alcart-my.sharepoint.com/:f:/g/personal/conciliaciones_cartagena_gov_co/EpCcOXxDTi1FicVYcOtbDDsBb5JpRaTmaiWiaF28jqLhdw?e=VVoLiP" TargetMode="External"/><Relationship Id="rId37" Type="http://schemas.openxmlformats.org/officeDocument/2006/relationships/hyperlink" Target="https://alcart-my.sharepoint.com/:f:/g/personal/conciliaciones_cartagena_gov_co/EhPV0sOsuF5IsmVIXC_3DSYBzF9TiUrPqXLghb2LVnltHA?e=m4x2TX" TargetMode="External"/><Relationship Id="rId53" Type="http://schemas.openxmlformats.org/officeDocument/2006/relationships/hyperlink" Target="https://alcart-my.sharepoint.com/:f:/g/personal/conciliaciones_cartagena_gov_co/EvMZmL6N1F9MkQ0R3fqdCzYBuvgRlbKl4fTUrysMWe78EA?e=MqZ9hb" TargetMode="External"/><Relationship Id="rId58" Type="http://schemas.openxmlformats.org/officeDocument/2006/relationships/hyperlink" Target="https://alcart-my.sharepoint.com/:f:/g/personal/conciliaciones_cartagena_gov_co/EulW8MGJQT9NsNlQ6R10TkEBcJDyi2Xyne_xCL-b0bv8Mg?e=WZf16C" TargetMode="External"/><Relationship Id="rId74" Type="http://schemas.openxmlformats.org/officeDocument/2006/relationships/hyperlink" Target="https://alcart-my.sharepoint.com/:f:/g/personal/conciliaciones_cartagena_gov_co/EtHGCM28oEZFsc7Au_BXQJUBlRN_Vcpp4vbiBcWhXe0big?e=7k3Jjl" TargetMode="External"/><Relationship Id="rId79" Type="http://schemas.openxmlformats.org/officeDocument/2006/relationships/hyperlink" Target="https://alcart-my.sharepoint.com/:f:/g/personal/conciliaciones_cartagena_gov_co/EgqiXigFpjRPpygssKJOPd8BLnnWVfoO7pJlLQ0xwVw5aA?e=f6orJD" TargetMode="External"/><Relationship Id="rId5" Type="http://schemas.openxmlformats.org/officeDocument/2006/relationships/hyperlink" Target="https://alcart-my.sharepoint.com/:f:/g/personal/conciliaciones_cartagena_gov_co/EqpBZgArcONOkb92A9UuiNMBhyJSOwN4Zi5DHFZ2xmbQyQ?e=PSMLOj" TargetMode="External"/><Relationship Id="rId90" Type="http://schemas.openxmlformats.org/officeDocument/2006/relationships/hyperlink" Target="https://alcart-my.sharepoint.com/:b:/g/personal/conciliaciones_cartagena_gov_co/EfqCI9PZzR1Ah5uTFTlRHqsBh3xzMG_UCbvrtLrWmjfm8Q?e=pCbPZb" TargetMode="External"/><Relationship Id="rId95" Type="http://schemas.openxmlformats.org/officeDocument/2006/relationships/comments" Target="../comments9.xml"/><Relationship Id="rId22" Type="http://schemas.openxmlformats.org/officeDocument/2006/relationships/hyperlink" Target="https://alcart-my.sharepoint.com/:f:/g/personal/conciliaciones_cartagena_gov_co/EgaRjUy5ZoJDoeP-CVgLpfsBKe1u9MtL9PoEpA2-yfh3rA?e=QHMl1s" TargetMode="External"/><Relationship Id="rId27" Type="http://schemas.openxmlformats.org/officeDocument/2006/relationships/hyperlink" Target="https://alcart-my.sharepoint.com/:f:/g/personal/conciliaciones_cartagena_gov_co/EhC3jxHTkANLqZDBXib9OKQB3kxe9uQQNUUBPjA7iKV0GA?e=C52ilX" TargetMode="External"/><Relationship Id="rId43" Type="http://schemas.openxmlformats.org/officeDocument/2006/relationships/hyperlink" Target="https://alcart-my.sharepoint.com/:f:/g/personal/conciliaciones_cartagena_gov_co/Ei5XfRGYuPVLtczhxXaPB20BCluydafavUe68UjknpJEig?e=mk7sgQ" TargetMode="External"/><Relationship Id="rId48" Type="http://schemas.openxmlformats.org/officeDocument/2006/relationships/hyperlink" Target="https://alcart-my.sharepoint.com/:f:/g/personal/conciliaciones_cartagena_gov_co/Evr2_n06uehJuP1omu2mhIoBUF63gcGhWK8Ow8WX6hxlGQ?e=Gx7sbG" TargetMode="External"/><Relationship Id="rId64" Type="http://schemas.openxmlformats.org/officeDocument/2006/relationships/hyperlink" Target="https://alcart-my.sharepoint.com/:f:/g/personal/conciliaciones_cartagena_gov_co/EnQ0IfBJRXNBnQSDRJgezj8BPaxvySQGBrtzRootKysqEw?e=ZCZ9lQ" TargetMode="External"/><Relationship Id="rId69" Type="http://schemas.openxmlformats.org/officeDocument/2006/relationships/hyperlink" Target="https://alcart-my.sharepoint.com/:f:/g/personal/conciliaciones_cartagena_gov_co/EkKs7SRREwBGl82HMjXRwkEBeMQhdf3eFH8qBknT5Z43xA?e=Z3PKFa" TargetMode="External"/><Relationship Id="rId8" Type="http://schemas.openxmlformats.org/officeDocument/2006/relationships/hyperlink" Target="https://alcart-my.sharepoint.com/:f:/g/personal/conciliaciones_cartagena_gov_co/EvH-OjzH6l1FiCyejM2plOwByCfxSLB_xLBQj_YqnIpvwQ?e=wUtKZk" TargetMode="External"/><Relationship Id="rId51" Type="http://schemas.openxmlformats.org/officeDocument/2006/relationships/hyperlink" Target="https://alcart-my.sharepoint.com/:f:/g/personal/conciliaciones_cartagena_gov_co/EuPoQdCfZq1Eg5aducrR5bsBd8WRb6d8DGf8RIXmYHCzYw?e=a0zs8K" TargetMode="External"/><Relationship Id="rId72" Type="http://schemas.openxmlformats.org/officeDocument/2006/relationships/hyperlink" Target="https://alcart-my.sharepoint.com/:f:/g/personal/conciliaciones_cartagena_gov_co/EnS0gZ7MT7lKukbylkowN2wBRPw1vVImYntQYa25w5sxBg?e=3WAD7Q" TargetMode="External"/><Relationship Id="rId80" Type="http://schemas.openxmlformats.org/officeDocument/2006/relationships/hyperlink" Target="https://alcart-my.sharepoint.com/:b:/g/personal/conciliaciones_cartagena_gov_co/EZ1--xrvCLpOit_tIUQSGuEBCcJWl96N3-1vbVLPxA7RwA?e=m1Jkr9" TargetMode="External"/><Relationship Id="rId85" Type="http://schemas.openxmlformats.org/officeDocument/2006/relationships/hyperlink" Target="https://alcart-my.sharepoint.com/:u:/g/personal/conciliaciones_cartagena_gov_co/EcJfyQW-DzJJtNp5c2hCgOEBNUgIh3SY0Rhn2Hlt0I4Lnw?e=xVsCVB" TargetMode="External"/><Relationship Id="rId93" Type="http://schemas.openxmlformats.org/officeDocument/2006/relationships/printerSettings" Target="../printerSettings/printerSettings109.bin"/><Relationship Id="rId3" Type="http://schemas.openxmlformats.org/officeDocument/2006/relationships/hyperlink" Target="https://alcart-my.sharepoint.com/:f:/g/personal/conciliaciones_cartagena_gov_co/Ev879VQSDJlDhAri9O4HQ2EB6WQ0fNbvxdfrSGSoZyd0Cw?e=Dg7UYu" TargetMode="External"/><Relationship Id="rId12" Type="http://schemas.openxmlformats.org/officeDocument/2006/relationships/hyperlink" Target="https://alcart-my.sharepoint.com/:f:/g/personal/conciliaciones_cartagena_gov_co/EkpJo_IOa-RJr9pYFG0R_8EBnZ3TgTBq1UCcNEpP_yZYzg?e=RvagMk" TargetMode="External"/><Relationship Id="rId17" Type="http://schemas.openxmlformats.org/officeDocument/2006/relationships/hyperlink" Target="https://alcart-my.sharepoint.com/:f:/g/personal/conciliaciones_cartagena_gov_co/EqzhrCD8axhPn6FDOlK6Cv4BbFDySOYLeBNcfb5VihQClA?e=zMTz51" TargetMode="External"/><Relationship Id="rId25" Type="http://schemas.openxmlformats.org/officeDocument/2006/relationships/hyperlink" Target="https://alcart-my.sharepoint.com/:f:/g/personal/conciliaciones_cartagena_gov_co/Ep3R-8EBZv5GpapjItbsNa0BRSbAdvhjs8H0rzl6XVdFDQ?e=DJXKgU" TargetMode="External"/><Relationship Id="rId33" Type="http://schemas.openxmlformats.org/officeDocument/2006/relationships/hyperlink" Target="https://alcart-my.sharepoint.com/:f:/g/personal/conciliaciones_cartagena_gov_co/EjL8H1e2I1dOhmR6rhfhQQYBHE7BKTDE-7_i3wZf0lnUPA?e=sRxpSC" TargetMode="External"/><Relationship Id="rId38" Type="http://schemas.openxmlformats.org/officeDocument/2006/relationships/hyperlink" Target="https://alcart-my.sharepoint.com/:f:/g/personal/conciliaciones_cartagena_gov_co/EuKHng_2HTZBtdEZcBxbGXUBUcdrKW046GBf8IToPtQJ7A?e=6SQ5qf" TargetMode="External"/><Relationship Id="rId46" Type="http://schemas.openxmlformats.org/officeDocument/2006/relationships/hyperlink" Target="https://alcart-my.sharepoint.com/:f:/g/personal/conciliaciones_cartagena_gov_co/Ev3q68BO9D1EoOVswfpO4L8BMmyaHGQ7_oemp8EEP_C9Iw?e=GGg9rG" TargetMode="External"/><Relationship Id="rId59" Type="http://schemas.openxmlformats.org/officeDocument/2006/relationships/hyperlink" Target="https://alcart-my.sharepoint.com/:f:/g/personal/conciliaciones_cartagena_gov_co/EkoYNjO0jsVFod0gRtHVOU0Bpd5_0_k74m24xM5Oeh1Kgw?e=GZ2nfe" TargetMode="External"/><Relationship Id="rId67" Type="http://schemas.openxmlformats.org/officeDocument/2006/relationships/hyperlink" Target="https://alcart-my.sharepoint.com/:b:/g/personal/conciliaciones_cartagena_gov_co/Ee3BiXTF4B9LuDGRJPPZHhcBNkj6QSC2xVd2CQAiIjB8Fg?e=VkajCy" TargetMode="External"/><Relationship Id="rId20" Type="http://schemas.openxmlformats.org/officeDocument/2006/relationships/hyperlink" Target="https://alcart-my.sharepoint.com/:f:/g/personal/conciliaciones_cartagena_gov_co/EoWvZf3Dz6ZIvQlxTO6MJ-cBltF_ohKJl816xoVc-yebMQ?e=3Pomm1" TargetMode="External"/><Relationship Id="rId41" Type="http://schemas.openxmlformats.org/officeDocument/2006/relationships/hyperlink" Target="https://alcart-my.sharepoint.com/:f:/g/personal/conciliaciones_cartagena_gov_co/EqDRkgk9P5tFntcwczssJ48BdlPl48Q3Ly2TXMmSm82WHg?e=6MziHz" TargetMode="External"/><Relationship Id="rId54" Type="http://schemas.openxmlformats.org/officeDocument/2006/relationships/hyperlink" Target="https://alcart-my.sharepoint.com/:f:/g/personal/conciliaciones_cartagena_gov_co/EiVRO0tIb8FDvF8m_KEs9ZgBnukKNRoiNOanW0x7IOUXqg?e=Wh74An" TargetMode="External"/><Relationship Id="rId62" Type="http://schemas.openxmlformats.org/officeDocument/2006/relationships/hyperlink" Target="https://alcart-my.sharepoint.com/:f:/g/personal/conciliaciones_cartagena_gov_co/ErRdy5LrC81CseYHE2ifyIcBggR8x4yPZspx23pCMBzPIw?e=57co64" TargetMode="External"/><Relationship Id="rId70" Type="http://schemas.openxmlformats.org/officeDocument/2006/relationships/hyperlink" Target="https://alcart-my.sharepoint.com/:f:/g/personal/conciliaciones_cartagena_gov_co/EkUkOOchC-VNoOkkMltOMYABYyEvaS2Hxc0Eq1lX3x4RHg?e=iN5mkC" TargetMode="External"/><Relationship Id="rId75" Type="http://schemas.openxmlformats.org/officeDocument/2006/relationships/hyperlink" Target="https://alcart-my.sharepoint.com/:f:/g/personal/conciliaciones_cartagena_gov_co/ErisgspgfmpIg0O_4AI4UUsB-sshEDzvEtpHD8RxBEbrBg?e=oNChWS" TargetMode="External"/><Relationship Id="rId83" Type="http://schemas.openxmlformats.org/officeDocument/2006/relationships/hyperlink" Target="https://alcart-my.sharepoint.com/:b:/g/personal/conciliaciones_cartagena_gov_co/EWdFbBHcllxAlycIwYrlp5QB0sBl0qoToM7KsFdjSGBMzA?e=bdNdJl" TargetMode="External"/><Relationship Id="rId88" Type="http://schemas.openxmlformats.org/officeDocument/2006/relationships/hyperlink" Target="https://alcart-my.sharepoint.com/:f:/g/personal/conciliaciones_cartagena_gov_co/EgeyYUI_57tAhzeoMdB5xHQBx2MqrfEBOC06UOFx-ty5GA?e=ItpI1S" TargetMode="External"/><Relationship Id="rId91" Type="http://schemas.openxmlformats.org/officeDocument/2006/relationships/hyperlink" Target="https://alcart-my.sharepoint.com/:b:/g/personal/conciliaciones_cartagena_gov_co/EZO7IRvX_V1Iq1H4SPg-xS8B6Rr2vLnBUEGTGSnS7C2w7Q?e=fbJvPA" TargetMode="External"/><Relationship Id="rId1" Type="http://schemas.openxmlformats.org/officeDocument/2006/relationships/hyperlink" Target="https://alcart-my.sharepoint.com/:f:/g/personal/conciliaciones_cartagena_gov_co/EkyrW5vVZM5Pme0RPkRFy-EBu8RYUmxO_tp992R7csb-Vg?e=iom7fF" TargetMode="External"/><Relationship Id="rId6" Type="http://schemas.openxmlformats.org/officeDocument/2006/relationships/hyperlink" Target="https://alcart-my.sharepoint.com/:f:/g/personal/conciliaciones_cartagena_gov_co/EoXFyNNCXk5Nl8GJFEPSvbYB06_XwTYwZRz3vNPM-mlULw?e=gHdFr4" TargetMode="External"/><Relationship Id="rId15" Type="http://schemas.openxmlformats.org/officeDocument/2006/relationships/hyperlink" Target="https://alcart-my.sharepoint.com/:f:/g/personal/conciliaciones_cartagena_gov_co/EkQscmTbtnJOt86jjIY_p4gB1nEmb0X9t9aEEPR78witQw?e=UuDzuT" TargetMode="External"/><Relationship Id="rId23" Type="http://schemas.openxmlformats.org/officeDocument/2006/relationships/hyperlink" Target="https://alcart-my.sharepoint.com/:f:/g/personal/conciliaciones_cartagena_gov_co/EmWuvpfhmLNEqT6-VhkrsA4BBzyvpZFnGZi3ZZ5gatbTYA?e=p7aN0m" TargetMode="External"/><Relationship Id="rId28" Type="http://schemas.openxmlformats.org/officeDocument/2006/relationships/hyperlink" Target="https://alcart-my.sharepoint.com/:f:/g/personal/conciliaciones_cartagena_gov_co/El9159iuStJLpZrMsOt8OLkBuG-gk6jMmHvsRtqBteIngg?e=nh1pam" TargetMode="External"/><Relationship Id="rId36" Type="http://schemas.openxmlformats.org/officeDocument/2006/relationships/hyperlink" Target="https://alcart-my.sharepoint.com/:f:/g/personal/conciliaciones_cartagena_gov_co/EmFN3pNIZmdFgBeUq4OV-24BnXw0JaCpmxgEFncK9F_-GA?e=k46D8V" TargetMode="External"/><Relationship Id="rId49" Type="http://schemas.openxmlformats.org/officeDocument/2006/relationships/hyperlink" Target="https://alcart-my.sharepoint.com/:f:/g/personal/conciliaciones_cartagena_gov_co/EgbzvXr2oGdIssL38H7iC48BgASb8NIY7H3ZZOmxiQUV2g?e=qWOTxS" TargetMode="External"/><Relationship Id="rId57" Type="http://schemas.openxmlformats.org/officeDocument/2006/relationships/hyperlink" Target="https://alcart-my.sharepoint.com/:f:/g/personal/conciliaciones_cartagena_gov_co/Eq5p9_aKTKlKsH50BkzUkj8BzoOoFXoJjrofIeaafiH9ZQ?e=PyJF6O" TargetMode="External"/><Relationship Id="rId10" Type="http://schemas.openxmlformats.org/officeDocument/2006/relationships/hyperlink" Target="https://alcart-my.sharepoint.com/:f:/g/personal/conciliaciones_cartagena_gov_co/Emn4rYtytBNMl80b5pD4qWUBFC714DxraKv4PsnMcgS3ag?e=xQSZwl" TargetMode="External"/><Relationship Id="rId31" Type="http://schemas.openxmlformats.org/officeDocument/2006/relationships/hyperlink" Target="https://alcart-my.sharepoint.com/:f:/g/personal/conciliaciones_cartagena_gov_co/EkxrG5iVyp5PkZ8KSaeB2YgBHfY2lA_AvQlO5wHi8QwHsQ?e=maVMmp" TargetMode="External"/><Relationship Id="rId44" Type="http://schemas.openxmlformats.org/officeDocument/2006/relationships/hyperlink" Target="https://alcart-my.sharepoint.com/:f:/g/personal/conciliaciones_cartagena_gov_co/Ep62q1MfJI5AkHX1ppn7qsQBnHaCVgCQ7KVXlxbeQ6c4gg?e=gR4kxg" TargetMode="External"/><Relationship Id="rId52" Type="http://schemas.openxmlformats.org/officeDocument/2006/relationships/hyperlink" Target="https://alcart-my.sharepoint.com/:f:/g/personal/conciliaciones_cartagena_gov_co/EtdtVF1RUJ5IkUUm3KHkl4QBIqy9AYRIZUba8IrZONZJBQ?e=1Gdahl" TargetMode="External"/><Relationship Id="rId60" Type="http://schemas.openxmlformats.org/officeDocument/2006/relationships/hyperlink" Target="https://alcart-my.sharepoint.com/:f:/g/personal/conciliaciones_cartagena_gov_co/EhcQ6HtCrSlPn2Tj7ibpsE4BNT8AOSeWIQ8oIWRNxFfp2Q?e=8vMpWK" TargetMode="External"/><Relationship Id="rId65" Type="http://schemas.openxmlformats.org/officeDocument/2006/relationships/hyperlink" Target="https://alcart-my.sharepoint.com/:f:/g/personal/conciliaciones_cartagena_gov_co/Ejn2EeMrs-tNm5c9Sd2SpxIBXnrGfjlLM8-njJLqFKkdhg?e=Sg8nqL" TargetMode="External"/><Relationship Id="rId73" Type="http://schemas.openxmlformats.org/officeDocument/2006/relationships/hyperlink" Target="https://alcart-my.sharepoint.com/:f:/g/personal/conciliaciones_cartagena_gov_co/EiDGx1E2rgFAlh4gZY8gHo8BcBbNlq4ryMdWK3Qvy8FMMg?e=qaChoO" TargetMode="External"/><Relationship Id="rId78" Type="http://schemas.openxmlformats.org/officeDocument/2006/relationships/hyperlink" Target="https://alcart-my.sharepoint.com/:f:/g/personal/conciliaciones_cartagena_gov_co/EsSCz1uqepVCmhwTgIVJRGoBpOykD9_dEU7Hn1bnjsdIxQ?e=pKtCUZ" TargetMode="External"/><Relationship Id="rId81" Type="http://schemas.openxmlformats.org/officeDocument/2006/relationships/hyperlink" Target="https://alcart-my.sharepoint.com/:f:/g/personal/conciliaciones_cartagena_gov_co/EuYy5fn9TK1OuRzFVqwW73YBnrToWoO7O4YjKq4E4HDYmQ?e=TaHxRA" TargetMode="External"/><Relationship Id="rId86" Type="http://schemas.openxmlformats.org/officeDocument/2006/relationships/hyperlink" Target="https://alcart-my.sharepoint.com/:b:/g/personal/conciliaciones_cartagena_gov_co/ERr3-VgyqqJCqUPMFO3TZDgBVwaOFC3hHu1mVj5002TyaA?e=o4uJII" TargetMode="External"/><Relationship Id="rId94" Type="http://schemas.openxmlformats.org/officeDocument/2006/relationships/vmlDrawing" Target="../drawings/vmlDrawing9.vml"/><Relationship Id="rId4" Type="http://schemas.openxmlformats.org/officeDocument/2006/relationships/hyperlink" Target="https://alcart-my.sharepoint.com/:f:/g/personal/conciliaciones_cartagena_gov_co/ErAOa8DX8l1EkhYQp7y6OBsB6mS0Q_OQt9p2aNzV5UCuDw?e=LdrQ96" TargetMode="External"/><Relationship Id="rId9" Type="http://schemas.openxmlformats.org/officeDocument/2006/relationships/hyperlink" Target="https://alcart-my.sharepoint.com/:f:/g/personal/conciliaciones_cartagena_gov_co/Eh57lEwA6UtJo56lzNVUVYQBXHb9YPL53HiKDGbcQcbvWQ?e=iatvL6" TargetMode="External"/><Relationship Id="rId13" Type="http://schemas.openxmlformats.org/officeDocument/2006/relationships/hyperlink" Target="https://alcart-my.sharepoint.com/:f:/g/personal/conciliaciones_cartagena_gov_co/Eqo0v785xvtJs83gE7NV7fcBU-8XcH2NmlM1RJ8_rxreUg?e=utezPg" TargetMode="External"/><Relationship Id="rId18" Type="http://schemas.openxmlformats.org/officeDocument/2006/relationships/hyperlink" Target="https://alcart-my.sharepoint.com/:f:/g/personal/conciliaciones_cartagena_gov_co/EtFptCLLgdFIsuSvF_aI2eEBfBmUBGrARyJ_cvvDhWUIyA?e=fDKiMJ" TargetMode="External"/><Relationship Id="rId39" Type="http://schemas.openxmlformats.org/officeDocument/2006/relationships/hyperlink" Target="https://alcart-my.sharepoint.com/:f:/g/personal/conciliaciones_cartagena_gov_co/EqsXA1whlRhHsnEiBopuz5ABKa83XmxPwRggelwnrHbPmg?e=fajcHJ" TargetMode="External"/><Relationship Id="rId34" Type="http://schemas.openxmlformats.org/officeDocument/2006/relationships/hyperlink" Target="https://alcart-my.sharepoint.com/:f:/g/personal/conciliaciones_cartagena_gov_co/EkxsXqgG3PNLjO4vBASIB1MBA1gJ-3cn976MHD4PBCyN5Q?e=LlP4Kl" TargetMode="External"/><Relationship Id="rId50" Type="http://schemas.openxmlformats.org/officeDocument/2006/relationships/hyperlink" Target="https://alcart-my.sharepoint.com/:f:/g/personal/conciliaciones_cartagena_gov_co/EixcAcZ6AZJEpxdVxPLfGKYB84EFLJAvL4iC03bx2NFDTg?e=V1BW8h" TargetMode="External"/><Relationship Id="rId55" Type="http://schemas.openxmlformats.org/officeDocument/2006/relationships/hyperlink" Target="https://alcart-my.sharepoint.com/:f:/g/personal/conciliaciones_cartagena_gov_co/Eo72MaFpIBdBtrXtkZ7TPGcBJctZQ7JPEBmuiiLSHkuTOQ?e=LID2US" TargetMode="External"/><Relationship Id="rId76" Type="http://schemas.openxmlformats.org/officeDocument/2006/relationships/hyperlink" Target="https://alcart-my.sharepoint.com/:f:/g/personal/conciliaciones_cartagena_gov_co/ErBN18YtmJNMpmOU6QHPjTAB1msPUkB76WLf1-EfXwjZAw?e=4eZX1m" TargetMode="External"/><Relationship Id="rId7" Type="http://schemas.openxmlformats.org/officeDocument/2006/relationships/hyperlink" Target="https://alcart-my.sharepoint.com/:f:/g/personal/conciliaciones_cartagena_gov_co/EoiUnCwyv7RPp1SMLlFC-MYBicLbG_J_S06qV8qRYA9Mvg?e=JVDEVr" TargetMode="External"/><Relationship Id="rId71" Type="http://schemas.openxmlformats.org/officeDocument/2006/relationships/hyperlink" Target="https://alcart-my.sharepoint.com/:f:/g/personal/conciliaciones_cartagena_gov_co/EvdDY8zxTalEjM1sgVZmFXYBKnCZzfRWyCv_34GeySnxFQ?e=EFPrJW" TargetMode="External"/><Relationship Id="rId92" Type="http://schemas.openxmlformats.org/officeDocument/2006/relationships/hyperlink" Target="https://alcart-my.sharepoint.com/:b:/g/personal/conciliaciones_cartagena_gov_co/EfN6mj2TqOVMrBCQU0vBn9IBF8IEguNN3X8Dk53Frnv89A?e=2YZR5q" TargetMode="External"/><Relationship Id="rId2" Type="http://schemas.openxmlformats.org/officeDocument/2006/relationships/hyperlink" Target="https://alcart-my.sharepoint.com/:f:/g/personal/conciliaciones_cartagena_gov_co/EotwolJl7sZIgmukx3NxwowBYjGuh8dNZnOXh49FrfDOfQ?e=GXgpXC" TargetMode="External"/><Relationship Id="rId29" Type="http://schemas.openxmlformats.org/officeDocument/2006/relationships/hyperlink" Target="https://alcart-my.sharepoint.com/:f:/g/personal/conciliaciones_cartagena_gov_co/EsxwGtYG_xlEveO3eU--rJABr1EjV67s8SIPcBixxseXXA?e=a0bOoH" TargetMode="External"/><Relationship Id="rId24" Type="http://schemas.openxmlformats.org/officeDocument/2006/relationships/hyperlink" Target="https://alcart-my.sharepoint.com/:f:/g/personal/conciliaciones_cartagena_gov_co/EtY-58MXHg1Euulp-tz3kPwBpy02MYFyvp2TlXk-Lz7YgQ?e=I4Q7LX" TargetMode="External"/><Relationship Id="rId40" Type="http://schemas.openxmlformats.org/officeDocument/2006/relationships/hyperlink" Target="https://alcart-my.sharepoint.com/:f:/g/personal/conciliaciones_cartagena_gov_co/ElPZFH3Uak9HhqnuUbcrVXwB0vhH-2DJC_FkMePmzqXVOg?e=5kmzhT" TargetMode="External"/><Relationship Id="rId45" Type="http://schemas.openxmlformats.org/officeDocument/2006/relationships/hyperlink" Target="https://alcart-my.sharepoint.com/:f:/g/personal/conciliaciones_cartagena_gov_co/Etf3mKlUIxtKvxPbfb1tNNoBqimT1RB7mJ82LtLH-FV0dg?e=Y1v20F" TargetMode="External"/><Relationship Id="rId66" Type="http://schemas.openxmlformats.org/officeDocument/2006/relationships/hyperlink" Target="https://alcart-my.sharepoint.com/:b:/g/personal/conciliaciones_cartagena_gov_co/EfmOa59oVURGpmk6-dnXcKgBddZ7tm7ExA-Z1Hoa79uacA?e=1ULyfk" TargetMode="External"/><Relationship Id="rId87" Type="http://schemas.openxmlformats.org/officeDocument/2006/relationships/hyperlink" Target="https://alcart-my.sharepoint.com/:f:/g/personal/pagodesentencias_cartagena_gov_co/Eqbh2744m3FNsD-uLzKgfOYBTqwo4WjA18_vPfOzF_W9IA?e=W2SFI1" TargetMode="External"/><Relationship Id="rId61" Type="http://schemas.openxmlformats.org/officeDocument/2006/relationships/hyperlink" Target="https://alcart-my.sharepoint.com/:f:/g/personal/conciliaciones_cartagena_gov_co/EhBak2MQ3oNKoPU4CRRup9gBv7AuRwLdiGyHeEIyxPv1aw?e=ZcAPcd" TargetMode="External"/><Relationship Id="rId82" Type="http://schemas.openxmlformats.org/officeDocument/2006/relationships/hyperlink" Target="https://alcart-my.sharepoint.com/:f:/g/personal/conciliaciones_cartagena_gov_co/Erflf_3U1TRKgMZf8o6UnKUBwyMU__EDRsUtaQcHNwaTww?e=J0XvAb" TargetMode="External"/><Relationship Id="rId19" Type="http://schemas.openxmlformats.org/officeDocument/2006/relationships/hyperlink" Target="https://alcart-my.sharepoint.com/:f:/g/personal/conciliaciones_cartagena_gov_co/EsbWeEji64JFjMhPsFdkiFUBabFv8_AeVgLa2WFy1JEqwQ?e=nG89Em" TargetMode="External"/><Relationship Id="rId14" Type="http://schemas.openxmlformats.org/officeDocument/2006/relationships/hyperlink" Target="https://alcart-my.sharepoint.com/:f:/g/personal/conciliaciones_cartagena_gov_co/EjzQc1ziX9hFm7iEeNSPg9MBuH-L9W0lMbGeEMwNva1HVw?e=NCbBAG" TargetMode="External"/><Relationship Id="rId30" Type="http://schemas.openxmlformats.org/officeDocument/2006/relationships/hyperlink" Target="https://alcart-my.sharepoint.com/:f:/g/personal/conciliaciones_cartagena_gov_co/Ev3WpVfLWKRNrPQi-cAcpM8BLYpREC4orBB9F3LZ_9Dqiw?e=kjECfO" TargetMode="External"/><Relationship Id="rId35" Type="http://schemas.openxmlformats.org/officeDocument/2006/relationships/hyperlink" Target="https://alcart-my.sharepoint.com/:f:/g/personal/conciliaciones_cartagena_gov_co/EjOA-JtZVBNDjLsrXh5o_JkB4SpvEHJS2o996EXHzm6gTQ?e=QRdofC" TargetMode="External"/><Relationship Id="rId56" Type="http://schemas.openxmlformats.org/officeDocument/2006/relationships/hyperlink" Target="https://alcart-my.sharepoint.com/:f:/g/personal/conciliaciones_cartagena_gov_co/Er4oFixCYO1PtDWsvYmeX-UBewn1B8KNMTd4ZospIM0m8w?e=dvVhkh" TargetMode="External"/><Relationship Id="rId77" Type="http://schemas.openxmlformats.org/officeDocument/2006/relationships/hyperlink" Target="https://alcart-my.sharepoint.com/:b:/g/personal/conciliaciones_cartagena_gov_co/EbaeFP-VDzhPltVcdjy-AiYB1hDRdFfrbbhTBdDDqVnRRQ?e=IX4Vzg" TargetMode="External"/></Relationships>
</file>

<file path=xl/worksheets/_rels/sheet118.xml.rels><?xml version="1.0" encoding="UTF-8" standalone="yes"?>
<Relationships xmlns="http://schemas.openxmlformats.org/package/2006/relationships"><Relationship Id="rId1" Type="http://schemas.openxmlformats.org/officeDocument/2006/relationships/hyperlink" Target="https://alcart-my.sharepoint.com/:f:/g/personal/conciliaciones_cartagena_gov_co/Encv_g7Zx49Go9gbmFf0XoUBT_DXu5Rk-qPyeRNrm6Hg7w?e=Lnio6D" TargetMode="External"/></Relationships>
</file>

<file path=xl/worksheets/_rels/sheet119.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3" Type="http://schemas.openxmlformats.org/officeDocument/2006/relationships/hyperlink" Target="https://alcart-my.sharepoint.com/:f:/g/personal/conciliaciones_cartagena_gov_co/EhBak2MQ3oNKoPU4CRRup9gBv7AuRwLdiGyHeEIyxPv1aw?e=ZcAPcd" TargetMode="External"/><Relationship Id="rId18" Type="http://schemas.openxmlformats.org/officeDocument/2006/relationships/hyperlink" Target="https://alcart-my.sharepoint.com/:b:/g/personal/conciliaciones_cartagena_gov_co/Ee3BiXTF4B9LuDGRJPPZHhcBNkj6QSC2xVd2CQAiIjB8Fg?e=VkajCy" TargetMode="External"/><Relationship Id="rId26" Type="http://schemas.openxmlformats.org/officeDocument/2006/relationships/hyperlink" Target="https://alcart-my.sharepoint.com/:f:/g/personal/conciliaciones_cartagena_gov_co/ErisgspgfmpIg0O_4AI4UUsB-sshEDzvEtpHD8RxBEbrBg?e=oNChWS" TargetMode="External"/><Relationship Id="rId39" Type="http://schemas.openxmlformats.org/officeDocument/2006/relationships/hyperlink" Target="https://alcart-my.sharepoint.com/:f:/g/personal/conciliaciones_cartagena_gov_co/EgeyYUI_57tAhzeoMdB5xHQBx2MqrfEBOC06UOFx-ty5GA?e=ItpI1S" TargetMode="External"/><Relationship Id="rId21" Type="http://schemas.openxmlformats.org/officeDocument/2006/relationships/hyperlink" Target="https://alcart-my.sharepoint.com/:f:/g/personal/conciliaciones_cartagena_gov_co/EkUkOOchC-VNoOkkMltOMYABYyEvaS2Hxc0Eq1lX3x4RHg?e=iN5mkC" TargetMode="External"/><Relationship Id="rId34" Type="http://schemas.openxmlformats.org/officeDocument/2006/relationships/hyperlink" Target="https://alcart-my.sharepoint.com/:b:/g/personal/conciliaciones_cartagena_gov_co/EWdFbBHcllxAlycIwYrlp5QB0sBl0qoToM7KsFdjSGBMzA?e=bdNdJl" TargetMode="External"/><Relationship Id="rId7" Type="http://schemas.openxmlformats.org/officeDocument/2006/relationships/hyperlink" Target="https://alcart-my.sharepoint.com/:f:/g/personal/conciliaciones_cartagena_gov_co/Euoicv6iYA9MuXOczhMzd2ABbo0J8GUtrOxB9uxyqIcbNw?e=GsTI1L" TargetMode="External"/><Relationship Id="rId2" Type="http://schemas.openxmlformats.org/officeDocument/2006/relationships/hyperlink" Target="https://alcart-my.sharepoint.com/:f:/g/personal/conciliaciones_cartagena_gov_co/EjOA-JtZVBNDjLsrXh5o_JkB4SpvEHJS2o996EXHzm6gTQ?e=QRdofC" TargetMode="External"/><Relationship Id="rId16" Type="http://schemas.openxmlformats.org/officeDocument/2006/relationships/hyperlink" Target="https://alcart-my.sharepoint.com/:f:/g/personal/conciliaciones_cartagena_gov_co/Ejn2EeMrs-tNm5c9Sd2SpxIBXnrGfjlLM8-njJLqFKkdhg?e=Sg8nqL" TargetMode="External"/><Relationship Id="rId20" Type="http://schemas.openxmlformats.org/officeDocument/2006/relationships/hyperlink" Target="https://alcart-my.sharepoint.com/:f:/g/personal/conciliaciones_cartagena_gov_co/EkKs7SRREwBGl82HMjXRwkEBeMQhdf3eFH8qBknT5Z43xA?e=Z3PKFa" TargetMode="External"/><Relationship Id="rId29" Type="http://schemas.openxmlformats.org/officeDocument/2006/relationships/hyperlink" Target="https://alcart-my.sharepoint.com/:f:/g/personal/conciliaciones_cartagena_gov_co/EsSCz1uqepVCmhwTgIVJRGoBpOykD9_dEU7Hn1bnjsdIxQ?e=pKtCUZ" TargetMode="External"/><Relationship Id="rId41" Type="http://schemas.openxmlformats.org/officeDocument/2006/relationships/printerSettings" Target="../printerSettings/printerSettings110.bin"/><Relationship Id="rId1" Type="http://schemas.openxmlformats.org/officeDocument/2006/relationships/hyperlink" Target="https://alcart-my.sharepoint.com/:f:/g/personal/conciliaciones_cartagena_gov_co/EkxsXqgG3PNLjO4vBASIB1MBA1gJ-3cn976MHD4PBCyN5Q?e=LlP4Kl" TargetMode="External"/><Relationship Id="rId6" Type="http://schemas.openxmlformats.org/officeDocument/2006/relationships/hyperlink" Target="https://alcart-my.sharepoint.com/:f:/g/personal/conciliaciones_cartagena_gov_co/EqDRkgk9P5tFntcwczssJ48BdlPl48Q3Ly2TXMmSm82WHg?e=6MziHz" TargetMode="External"/><Relationship Id="rId11" Type="http://schemas.openxmlformats.org/officeDocument/2006/relationships/hyperlink" Target="https://alcart-my.sharepoint.com/:f:/g/personal/conciliaciones_cartagena_gov_co/Eo72MaFpIBdBtrXtkZ7TPGcBJctZQ7JPEBmuiiLSHkuTOQ?e=LID2US" TargetMode="External"/><Relationship Id="rId24" Type="http://schemas.openxmlformats.org/officeDocument/2006/relationships/hyperlink" Target="https://alcart-my.sharepoint.com/:f:/g/personal/conciliaciones_cartagena_gov_co/EiDGx1E2rgFAlh4gZY8gHo8BcBbNlq4ryMdWK3Qvy8FMMg?e=qaChoO" TargetMode="External"/><Relationship Id="rId32" Type="http://schemas.openxmlformats.org/officeDocument/2006/relationships/hyperlink" Target="https://alcart-my.sharepoint.com/:f:/g/personal/conciliaciones_cartagena_gov_co/EuYy5fn9TK1OuRzFVqwW73YBnrToWoO7O4YjKq4E4HDYmQ?e=TaHxRA" TargetMode="External"/><Relationship Id="rId37" Type="http://schemas.openxmlformats.org/officeDocument/2006/relationships/hyperlink" Target="https://alcart-my.sharepoint.com/:b:/g/personal/conciliaciones_cartagena_gov_co/ERr3-VgyqqJCqUPMFO3TZDgBVwaOFC3hHu1mVj5002TyaA?e=o4uJII" TargetMode="External"/><Relationship Id="rId40" Type="http://schemas.openxmlformats.org/officeDocument/2006/relationships/hyperlink" Target="https://alcart-my.sharepoint.com/:f:/g/personal/conciliaciones_cartagena_gov_co/Eopr3sZSBJtCiuZ4CKYTA2UBj_b4kQ-Zg3RTkkF7wNzkEg?e=SNfKzZ" TargetMode="External"/><Relationship Id="rId5" Type="http://schemas.openxmlformats.org/officeDocument/2006/relationships/hyperlink" Target="https://alcart-my.sharepoint.com/:f:/g/personal/conciliaciones_cartagena_gov_co/ElPZFH3Uak9HhqnuUbcrVXwB0vhH-2DJC_FkMePmzqXVOg?e=5kmzhT" TargetMode="External"/><Relationship Id="rId15" Type="http://schemas.openxmlformats.org/officeDocument/2006/relationships/hyperlink" Target="https://alcart-my.sharepoint.com/:f:/g/personal/conciliaciones_cartagena_gov_co/EnQ0IfBJRXNBnQSDRJgezj8BPaxvySQGBrtzRootKysqEw?e=ZCZ9lQ" TargetMode="External"/><Relationship Id="rId23" Type="http://schemas.openxmlformats.org/officeDocument/2006/relationships/hyperlink" Target="https://alcart-my.sharepoint.com/:f:/g/personal/conciliaciones_cartagena_gov_co/EnS0gZ7MT7lKukbylkowN2wBRPw1vVImYntQYa25w5sxBg?e=3WAD7Q" TargetMode="External"/><Relationship Id="rId28" Type="http://schemas.openxmlformats.org/officeDocument/2006/relationships/hyperlink" Target="https://alcart-my.sharepoint.com/:b:/g/personal/conciliaciones_cartagena_gov_co/EbaeFP-VDzhPltVcdjy-AiYB1hDRdFfrbbhTBdDDqVnRRQ?e=IX4Vzg" TargetMode="External"/><Relationship Id="rId36" Type="http://schemas.openxmlformats.org/officeDocument/2006/relationships/hyperlink" Target="https://alcart-my.sharepoint.com/:u:/g/personal/conciliaciones_cartagena_gov_co/EcJfyQW-DzJJtNp5c2hCgOEBNUgIh3SY0Rhn2Hlt0I4Lnw?e=xVsCVB" TargetMode="External"/><Relationship Id="rId10" Type="http://schemas.openxmlformats.org/officeDocument/2006/relationships/hyperlink" Target="https://alcart-my.sharepoint.com/:f:/g/personal/conciliaciones_cartagena_gov_co/EiVRO0tIb8FDvF8m_KEs9ZgBnukKNRoiNOanW0x7IOUXqg?e=Wh74An" TargetMode="External"/><Relationship Id="rId19" Type="http://schemas.openxmlformats.org/officeDocument/2006/relationships/hyperlink" Target="https://alcart-my.sharepoint.com/:b:/g/personal/conciliaciones_cartagena_gov_co/ESpPRf-JdpxAmjQZRWhI610BXCloN4Wq8DzhF8Dt1ARzrQ?e=cmkCOD" TargetMode="External"/><Relationship Id="rId31" Type="http://schemas.openxmlformats.org/officeDocument/2006/relationships/hyperlink" Target="https://alcart-my.sharepoint.com/:b:/g/personal/conciliaciones_cartagena_gov_co/EZ1--xrvCLpOit_tIUQSGuEBCcJWl96N3-1vbVLPxA7RwA?e=m1Jkr9" TargetMode="External"/><Relationship Id="rId4" Type="http://schemas.openxmlformats.org/officeDocument/2006/relationships/hyperlink" Target="https://alcart-my.sharepoint.com/:f:/g/personal/conciliaciones_cartagena_gov_co/EqsXA1whlRhHsnEiBopuz5ABKa83XmxPwRggelwnrHbPmg?e=fajcHJ" TargetMode="External"/><Relationship Id="rId9" Type="http://schemas.openxmlformats.org/officeDocument/2006/relationships/hyperlink" Target="https://alcart-my.sharepoint.com/:f:/g/personal/conciliaciones_cartagena_gov_co/EvMZmL6N1F9MkQ0R3fqdCzYBuvgRlbKl4fTUrysMWe78EA?e=MqZ9hb" TargetMode="External"/><Relationship Id="rId14" Type="http://schemas.openxmlformats.org/officeDocument/2006/relationships/hyperlink" Target="https://alcart-my.sharepoint.com/:f:/g/personal/conciliaciones_cartagena_gov_co/ErRdy5LrC81CseYHE2ifyIcBggR8x4yPZspx23pCMBzPIw?e=57co64" TargetMode="External"/><Relationship Id="rId22" Type="http://schemas.openxmlformats.org/officeDocument/2006/relationships/hyperlink" Target="https://alcart-my.sharepoint.com/:f:/g/personal/conciliaciones_cartagena_gov_co/EvdDY8zxTalEjM1sgVZmFXYBKnCZzfRWyCv_34GeySnxFQ?e=EFPrJW" TargetMode="External"/><Relationship Id="rId27" Type="http://schemas.openxmlformats.org/officeDocument/2006/relationships/hyperlink" Target="https://alcart-my.sharepoint.com/:f:/g/personal/conciliaciones_cartagena_gov_co/ErBN18YtmJNMpmOU6QHPjTAB1msPUkB76WLf1-EfXwjZAw?e=4eZX1m" TargetMode="External"/><Relationship Id="rId30" Type="http://schemas.openxmlformats.org/officeDocument/2006/relationships/hyperlink" Target="https://alcart-my.sharepoint.com/:f:/g/personal/conciliaciones_cartagena_gov_co/EgqiXigFpjRPpygssKJOPd8BLnnWVfoO7pJlLQ0xwVw5aA?e=f6orJD" TargetMode="External"/><Relationship Id="rId35" Type="http://schemas.openxmlformats.org/officeDocument/2006/relationships/hyperlink" Target="https://alcart-my.sharepoint.com/:b:/g/personal/conciliaciones_cartagena_gov_co/EejYo0gG_-9Csr89UErpUQMBwY6sXEHJivKLPij6qHF0lw?e=C5tP3f" TargetMode="External"/><Relationship Id="rId8" Type="http://schemas.openxmlformats.org/officeDocument/2006/relationships/hyperlink" Target="https://alcart-my.sharepoint.com/:f:/g/personal/conciliaciones_cartagena_gov_co/EgbzvXr2oGdIssL38H7iC48BgASb8NIY7H3ZZOmxiQUV2g?e=qWOTxS" TargetMode="External"/><Relationship Id="rId3" Type="http://schemas.openxmlformats.org/officeDocument/2006/relationships/hyperlink" Target="https://alcart-my.sharepoint.com/:f:/g/personal/conciliaciones_cartagena_gov_co/EmFN3pNIZmdFgBeUq4OV-24BnXw0JaCpmxgEFncK9F_-GA?e=k46D8V" TargetMode="External"/><Relationship Id="rId12" Type="http://schemas.openxmlformats.org/officeDocument/2006/relationships/hyperlink" Target="https://alcart-my.sharepoint.com/:f:/g/personal/conciliaciones_cartagena_gov_co/EulW8MGJQT9NsNlQ6R10TkEBcJDyi2Xyne_xCL-b0bv8Mg?e=WZf16C" TargetMode="External"/><Relationship Id="rId17" Type="http://schemas.openxmlformats.org/officeDocument/2006/relationships/hyperlink" Target="https://alcart-my.sharepoint.com/:b:/g/personal/conciliaciones_cartagena_gov_co/EfmOa59oVURGpmk6-dnXcKgBddZ7tm7ExA-Z1Hoa79uacA?e=1ULyfk" TargetMode="External"/><Relationship Id="rId25" Type="http://schemas.openxmlformats.org/officeDocument/2006/relationships/hyperlink" Target="https://alcart-my.sharepoint.com/:f:/g/personal/conciliaciones_cartagena_gov_co/EtHGCM28oEZFsc7Au_BXQJUBlRN_Vcpp4vbiBcWhXe0big?e=7k3Jjl" TargetMode="External"/><Relationship Id="rId33" Type="http://schemas.openxmlformats.org/officeDocument/2006/relationships/hyperlink" Target="https://alcart-my.sharepoint.com/:f:/g/personal/conciliaciones_cartagena_gov_co/Erflf_3U1TRKgMZf8o6UnKUBwyMU__EDRsUtaQcHNwaTww?e=J0XvAb" TargetMode="External"/><Relationship Id="rId38" Type="http://schemas.openxmlformats.org/officeDocument/2006/relationships/hyperlink" Target="https://alcart-my.sharepoint.com/:f:/g/personal/pagodesentencias_cartagena_gov_co/Eqbh2744m3FNsD-uLzKgfOYBTqwo4WjA18_vPfOzF_W9IA?e=W2SFI1"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microsoft.com/office/2017/10/relationships/threadedComment" Target="../threadedComments/threadedComment3.xml"/><Relationship Id="rId4" Type="http://schemas.openxmlformats.org/officeDocument/2006/relationships/comments" Target="../comments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9.xml"/><Relationship Id="rId1" Type="http://schemas.openxmlformats.org/officeDocument/2006/relationships/printerSettings" Target="../printerSettings/printerSettings29.bin"/><Relationship Id="rId5" Type="http://schemas.microsoft.com/office/2017/10/relationships/threadedComment" Target="../threadedComments/threadedComment4.xml"/><Relationship Id="rId4" Type="http://schemas.openxmlformats.org/officeDocument/2006/relationships/comments" Target="../comments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81.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90.bin"/></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0.xml"/><Relationship Id="rId1" Type="http://schemas.openxmlformats.org/officeDocument/2006/relationships/printerSettings" Target="../printerSettings/printerSettings91.bin"/><Relationship Id="rId4" Type="http://schemas.openxmlformats.org/officeDocument/2006/relationships/comments" Target="../comments8.xml"/></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71855-8117-4319-8E3A-BE8BA9E35507}">
  <sheetPr codeName="Hoja1"/>
  <dimension ref="A1:AC145"/>
  <sheetViews>
    <sheetView topLeftCell="A13" zoomScaleNormal="100" workbookViewId="0">
      <selection activeCell="I30" sqref="I30"/>
    </sheetView>
  </sheetViews>
  <sheetFormatPr defaultColWidth="9.140625" defaultRowHeight="12.75"/>
  <cols>
    <col min="1" max="1" width="2.7109375" style="217" customWidth="1"/>
    <col min="2" max="2" width="24" style="217" customWidth="1"/>
    <col min="3" max="3" width="15.7109375" style="217" customWidth="1"/>
    <col min="4" max="4" width="12.5703125" style="546" customWidth="1"/>
    <col min="5" max="5" width="11.42578125" style="217" customWidth="1"/>
    <col min="6" max="6" width="14.42578125" style="217" customWidth="1"/>
    <col min="7" max="7" width="27" style="547" bestFit="1" customWidth="1"/>
    <col min="8" max="8" width="14.5703125" style="217" customWidth="1"/>
    <col min="9" max="9" width="16" style="217" bestFit="1" customWidth="1"/>
    <col min="10" max="10" width="15.42578125" style="548" bestFit="1" customWidth="1"/>
    <col min="11" max="11" width="17.140625" style="217" bestFit="1" customWidth="1"/>
    <col min="12" max="12" width="13.42578125" style="217" bestFit="1" customWidth="1"/>
    <col min="13" max="13" width="19.140625" style="217" bestFit="1" customWidth="1"/>
    <col min="14" max="19" width="11.42578125" style="217" customWidth="1"/>
    <col min="20" max="20" width="6.5703125" style="217" customWidth="1"/>
    <col min="21" max="21" width="11.7109375" style="217" customWidth="1"/>
    <col min="22" max="22" width="10.42578125" style="217" customWidth="1"/>
    <col min="23" max="23" width="16" style="217" customWidth="1"/>
    <col min="24" max="24" width="17.140625" style="217" customWidth="1"/>
    <col min="25" max="25" width="15" style="217" customWidth="1"/>
    <col min="26" max="26" width="17.5703125" style="217" customWidth="1"/>
    <col min="27" max="27" width="15.140625" style="217" customWidth="1"/>
    <col min="28" max="28" width="14.5703125" style="217" customWidth="1"/>
    <col min="29" max="29" width="13.42578125" style="217" customWidth="1"/>
    <col min="30" max="265" width="11.42578125" style="217" customWidth="1"/>
    <col min="266" max="16384" width="9.140625" style="217"/>
  </cols>
  <sheetData>
    <row r="1" spans="2:28">
      <c r="B1" s="215" t="s">
        <v>0</v>
      </c>
      <c r="C1" s="220" t="s">
        <v>1</v>
      </c>
    </row>
    <row r="2" spans="2:28">
      <c r="B2" s="219" t="s">
        <v>2</v>
      </c>
      <c r="C2" s="440" t="s">
        <v>3</v>
      </c>
    </row>
    <row r="3" spans="2:28">
      <c r="B3" s="219" t="s">
        <v>4</v>
      </c>
      <c r="C3" s="440">
        <v>41380</v>
      </c>
    </row>
    <row r="4" spans="2:28">
      <c r="B4" s="440" t="s">
        <v>5</v>
      </c>
    </row>
    <row r="5" spans="2:28">
      <c r="B5" s="440" t="s">
        <v>6</v>
      </c>
    </row>
    <row r="6" spans="2:28">
      <c r="B6" s="217" t="s">
        <v>7</v>
      </c>
    </row>
    <row r="7" spans="2:28">
      <c r="B7" s="217" t="s">
        <v>8</v>
      </c>
      <c r="F7" s="549"/>
      <c r="G7" s="550"/>
    </row>
    <row r="8" spans="2:28">
      <c r="B8" s="508" t="s">
        <v>9</v>
      </c>
      <c r="C8" s="440">
        <v>41640</v>
      </c>
      <c r="D8" s="551"/>
      <c r="E8" s="552"/>
      <c r="I8" s="553"/>
    </row>
    <row r="9" spans="2:28">
      <c r="B9" s="233" t="s">
        <v>10</v>
      </c>
      <c r="C9" s="440">
        <v>42766</v>
      </c>
    </row>
    <row r="10" spans="2:28">
      <c r="P10" s="548"/>
      <c r="AB10" s="240">
        <v>5</v>
      </c>
    </row>
    <row r="11" spans="2:28">
      <c r="B11" s="226" t="s">
        <v>11</v>
      </c>
      <c r="C11" s="351" t="s">
        <v>12</v>
      </c>
      <c r="D11" s="217"/>
      <c r="E11" s="226" t="s">
        <v>11</v>
      </c>
      <c r="F11" s="351" t="s">
        <v>13</v>
      </c>
      <c r="G11" s="594"/>
      <c r="H11" s="554" t="s">
        <v>11</v>
      </c>
      <c r="I11" s="351" t="s">
        <v>14</v>
      </c>
      <c r="J11" s="217"/>
      <c r="K11" s="226" t="s">
        <v>11</v>
      </c>
      <c r="L11" s="351" t="s">
        <v>15</v>
      </c>
      <c r="T11" s="542"/>
    </row>
    <row r="12" spans="2:28">
      <c r="B12" s="233" t="s">
        <v>16</v>
      </c>
      <c r="C12" s="353">
        <v>2848867</v>
      </c>
      <c r="D12" s="593"/>
      <c r="E12" s="233" t="s">
        <v>16</v>
      </c>
      <c r="F12" s="353">
        <v>3019800</v>
      </c>
      <c r="G12" s="593"/>
      <c r="H12" s="555" t="s">
        <v>16</v>
      </c>
      <c r="I12" s="353">
        <v>3336879</v>
      </c>
      <c r="J12" s="217"/>
      <c r="K12" s="233" t="s">
        <v>16</v>
      </c>
      <c r="L12" s="353">
        <v>3687251</v>
      </c>
      <c r="T12" s="542"/>
    </row>
    <row r="13" spans="2:28">
      <c r="B13" s="233" t="s">
        <v>17</v>
      </c>
      <c r="C13" s="353">
        <v>2848867</v>
      </c>
      <c r="D13" s="593"/>
      <c r="E13" s="233" t="s">
        <v>17</v>
      </c>
      <c r="F13" s="353">
        <v>3019800</v>
      </c>
      <c r="G13" s="217"/>
      <c r="H13" s="555" t="s">
        <v>17</v>
      </c>
      <c r="I13" s="353">
        <v>3336879</v>
      </c>
      <c r="J13" s="217"/>
      <c r="K13" s="233" t="s">
        <v>18</v>
      </c>
      <c r="L13" s="353">
        <v>153635</v>
      </c>
      <c r="T13" s="542"/>
    </row>
    <row r="14" spans="2:28">
      <c r="B14" s="233" t="s">
        <v>19</v>
      </c>
      <c r="C14" s="353">
        <v>2848867</v>
      </c>
      <c r="D14" s="593"/>
      <c r="E14" s="233" t="s">
        <v>19</v>
      </c>
      <c r="F14" s="353">
        <v>3019800</v>
      </c>
      <c r="G14" s="217"/>
      <c r="H14" s="555" t="s">
        <v>19</v>
      </c>
      <c r="I14" s="353">
        <v>3336879</v>
      </c>
      <c r="J14" s="217"/>
      <c r="K14" s="233" t="s">
        <v>20</v>
      </c>
      <c r="L14" s="353">
        <v>205558</v>
      </c>
      <c r="T14" s="542"/>
    </row>
    <row r="15" spans="2:28">
      <c r="B15" s="233" t="s">
        <v>21</v>
      </c>
      <c r="C15" s="353">
        <v>2848867</v>
      </c>
      <c r="D15" s="593"/>
      <c r="E15" s="233" t="s">
        <v>21</v>
      </c>
      <c r="F15" s="353">
        <v>3019800</v>
      </c>
      <c r="G15" s="217"/>
      <c r="H15" s="555" t="s">
        <v>21</v>
      </c>
      <c r="I15" s="353">
        <v>3336879</v>
      </c>
      <c r="J15" s="217"/>
      <c r="K15" s="233" t="s">
        <v>22</v>
      </c>
      <c r="L15" s="353">
        <v>154702</v>
      </c>
      <c r="T15" s="542"/>
    </row>
    <row r="16" spans="2:28">
      <c r="B16" s="233" t="s">
        <v>23</v>
      </c>
      <c r="C16" s="353">
        <v>2848867</v>
      </c>
      <c r="D16" s="593"/>
      <c r="E16" s="233" t="s">
        <v>23</v>
      </c>
      <c r="F16" s="353">
        <v>3019800</v>
      </c>
      <c r="G16" s="217"/>
      <c r="H16" s="555" t="s">
        <v>23</v>
      </c>
      <c r="I16" s="353">
        <v>3336879</v>
      </c>
      <c r="J16" s="217"/>
      <c r="K16" s="233" t="s">
        <v>24</v>
      </c>
      <c r="L16" s="353">
        <v>20484</v>
      </c>
      <c r="T16" s="542"/>
    </row>
    <row r="17" spans="2:28">
      <c r="B17" s="233" t="s">
        <v>25</v>
      </c>
      <c r="C17" s="353">
        <v>2848867</v>
      </c>
      <c r="D17" s="593"/>
      <c r="E17" s="233" t="s">
        <v>25</v>
      </c>
      <c r="F17" s="353">
        <v>3019800</v>
      </c>
      <c r="G17" s="217"/>
      <c r="H17" s="555" t="s">
        <v>25</v>
      </c>
      <c r="I17" s="353">
        <v>3336879</v>
      </c>
      <c r="J17" s="217"/>
      <c r="K17" s="233" t="s">
        <v>26</v>
      </c>
      <c r="L17" s="353">
        <v>309765</v>
      </c>
      <c r="T17" s="542"/>
    </row>
    <row r="18" spans="2:28" ht="22.5">
      <c r="B18" s="233" t="s">
        <v>27</v>
      </c>
      <c r="C18" s="353">
        <v>2848867</v>
      </c>
      <c r="D18" s="593"/>
      <c r="E18" s="233" t="s">
        <v>27</v>
      </c>
      <c r="F18" s="353">
        <v>3019800</v>
      </c>
      <c r="G18" s="217"/>
      <c r="H18" s="555" t="s">
        <v>27</v>
      </c>
      <c r="I18" s="353">
        <v>3336879</v>
      </c>
      <c r="J18" s="217"/>
      <c r="K18" s="508" t="s">
        <v>28</v>
      </c>
      <c r="L18" s="353">
        <v>107544</v>
      </c>
      <c r="T18" s="542"/>
    </row>
    <row r="19" spans="2:28">
      <c r="B19" s="233" t="s">
        <v>29</v>
      </c>
      <c r="C19" s="353">
        <v>2848867</v>
      </c>
      <c r="D19" s="593"/>
      <c r="E19" s="233" t="s">
        <v>29</v>
      </c>
      <c r="F19" s="353">
        <v>3019800</v>
      </c>
      <c r="G19" s="217"/>
      <c r="H19" s="555" t="s">
        <v>29</v>
      </c>
      <c r="I19" s="353">
        <v>3336879</v>
      </c>
      <c r="J19" s="217"/>
      <c r="K19" s="233" t="s">
        <v>30</v>
      </c>
      <c r="L19" s="353">
        <v>312663</v>
      </c>
      <c r="M19" s="348"/>
      <c r="T19" s="542"/>
    </row>
    <row r="20" spans="2:28">
      <c r="B20" s="233" t="s">
        <v>31</v>
      </c>
      <c r="C20" s="353">
        <v>2848867</v>
      </c>
      <c r="D20" s="593"/>
      <c r="E20" s="233" t="s">
        <v>31</v>
      </c>
      <c r="F20" s="353">
        <v>3019800</v>
      </c>
      <c r="G20" s="217"/>
      <c r="H20" s="555" t="s">
        <v>31</v>
      </c>
      <c r="I20" s="353">
        <v>3336879</v>
      </c>
      <c r="J20" s="217"/>
      <c r="K20" s="228" t="s">
        <v>32</v>
      </c>
      <c r="L20" s="353">
        <v>37519.56</v>
      </c>
      <c r="M20" s="563"/>
      <c r="T20" s="542"/>
    </row>
    <row r="21" spans="2:28">
      <c r="B21" s="233" t="s">
        <v>33</v>
      </c>
      <c r="C21" s="353">
        <v>2848867</v>
      </c>
      <c r="D21" s="593"/>
      <c r="E21" s="233" t="s">
        <v>33</v>
      </c>
      <c r="F21" s="353">
        <v>3019800</v>
      </c>
      <c r="G21" s="217"/>
      <c r="H21" s="555" t="s">
        <v>33</v>
      </c>
      <c r="I21" s="353">
        <v>3336879</v>
      </c>
      <c r="J21" s="217"/>
      <c r="K21" s="556"/>
      <c r="L21" s="557"/>
      <c r="M21" s="548"/>
      <c r="T21" s="542"/>
    </row>
    <row r="22" spans="2:28">
      <c r="B22" s="233" t="s">
        <v>34</v>
      </c>
      <c r="C22" s="353">
        <v>2848867</v>
      </c>
      <c r="D22" s="593"/>
      <c r="E22" s="233" t="s">
        <v>34</v>
      </c>
      <c r="F22" s="353">
        <v>3019800</v>
      </c>
      <c r="G22" s="217"/>
      <c r="H22" s="555" t="s">
        <v>34</v>
      </c>
      <c r="I22" s="353">
        <v>3336879</v>
      </c>
      <c r="J22" s="217"/>
      <c r="M22" s="224"/>
      <c r="T22" s="542"/>
    </row>
    <row r="23" spans="2:28">
      <c r="B23" s="233" t="s">
        <v>35</v>
      </c>
      <c r="C23" s="353">
        <v>2848867</v>
      </c>
      <c r="D23" s="593"/>
      <c r="E23" s="233" t="s">
        <v>35</v>
      </c>
      <c r="F23" s="353">
        <v>3019800</v>
      </c>
      <c r="G23" s="217"/>
      <c r="H23" s="555" t="s">
        <v>35</v>
      </c>
      <c r="I23" s="353">
        <v>3336879</v>
      </c>
      <c r="J23" s="217"/>
      <c r="T23" s="542"/>
    </row>
    <row r="24" spans="2:28" ht="22.5">
      <c r="B24" s="233" t="s">
        <v>36</v>
      </c>
      <c r="C24" s="353">
        <v>1424433.5</v>
      </c>
      <c r="D24" s="217"/>
      <c r="E24" s="233" t="s">
        <v>18</v>
      </c>
      <c r="F24" s="353">
        <v>1509900</v>
      </c>
      <c r="G24" s="217"/>
      <c r="H24" s="558" t="s">
        <v>18</v>
      </c>
      <c r="I24" s="353">
        <v>1668439</v>
      </c>
      <c r="J24" s="217"/>
      <c r="T24" s="542"/>
    </row>
    <row r="25" spans="2:28">
      <c r="B25" s="233" t="s">
        <v>20</v>
      </c>
      <c r="C25" s="353">
        <v>1978379.86</v>
      </c>
      <c r="D25" s="217"/>
      <c r="E25" s="233" t="s">
        <v>20</v>
      </c>
      <c r="F25" s="353">
        <v>2097083</v>
      </c>
      <c r="G25" s="217"/>
      <c r="H25" s="555" t="s">
        <v>20</v>
      </c>
      <c r="I25" s="353">
        <v>2317277</v>
      </c>
      <c r="J25" s="217"/>
      <c r="T25" s="542"/>
    </row>
    <row r="26" spans="2:28">
      <c r="B26" s="233" t="s">
        <v>22</v>
      </c>
      <c r="C26" s="353">
        <v>1543136.29</v>
      </c>
      <c r="D26" s="217"/>
      <c r="E26" s="233" t="s">
        <v>22</v>
      </c>
      <c r="F26" s="353">
        <v>1635725</v>
      </c>
      <c r="G26" s="217"/>
      <c r="H26" s="555" t="s">
        <v>22</v>
      </c>
      <c r="I26" s="353">
        <v>1807476</v>
      </c>
      <c r="J26" s="217"/>
      <c r="T26" s="542"/>
    </row>
    <row r="27" spans="2:28">
      <c r="B27" s="508" t="s">
        <v>24</v>
      </c>
      <c r="C27" s="353">
        <v>189924.47</v>
      </c>
      <c r="D27" s="217"/>
      <c r="E27" s="233" t="s">
        <v>24</v>
      </c>
      <c r="F27" s="353">
        <v>201320</v>
      </c>
      <c r="G27" s="217"/>
      <c r="H27" s="555" t="s">
        <v>24</v>
      </c>
      <c r="I27" s="353">
        <v>222458</v>
      </c>
      <c r="J27" s="217"/>
      <c r="T27" s="542"/>
    </row>
    <row r="28" spans="2:28">
      <c r="B28" s="233" t="s">
        <v>26</v>
      </c>
      <c r="C28" s="353">
        <v>3132434.78</v>
      </c>
      <c r="D28" s="217"/>
      <c r="E28" s="233" t="s">
        <v>26</v>
      </c>
      <c r="F28" s="353">
        <v>3320381</v>
      </c>
      <c r="G28" s="217"/>
      <c r="H28" s="555" t="s">
        <v>26</v>
      </c>
      <c r="I28" s="353">
        <v>3669022</v>
      </c>
      <c r="J28" s="217"/>
      <c r="T28" s="542"/>
    </row>
    <row r="29" spans="2:28" ht="24" customHeight="1">
      <c r="B29" s="233" t="s">
        <v>30</v>
      </c>
      <c r="C29" s="353">
        <v>3393471.01</v>
      </c>
      <c r="D29" s="217"/>
      <c r="E29" s="508" t="s">
        <v>28</v>
      </c>
      <c r="F29" s="353">
        <v>1056930</v>
      </c>
      <c r="G29" s="217"/>
      <c r="H29" s="558" t="s">
        <v>28</v>
      </c>
      <c r="I29" s="353">
        <v>1167907</v>
      </c>
      <c r="J29" s="217"/>
      <c r="T29" s="542"/>
    </row>
    <row r="30" spans="2:28">
      <c r="B30" s="233" t="s">
        <v>32</v>
      </c>
      <c r="C30" s="353">
        <f>(C29*0.12*360)/360</f>
        <v>407216.52120000002</v>
      </c>
      <c r="D30" s="217"/>
      <c r="E30" s="233" t="s">
        <v>30</v>
      </c>
      <c r="F30" s="353">
        <v>3685157</v>
      </c>
      <c r="G30" s="217"/>
      <c r="H30" s="555" t="s">
        <v>30</v>
      </c>
      <c r="I30" s="353">
        <v>4072099</v>
      </c>
      <c r="J30" s="217"/>
      <c r="T30" s="542"/>
    </row>
    <row r="31" spans="2:28" ht="22.5">
      <c r="B31" s="559"/>
      <c r="C31" s="560"/>
      <c r="D31" s="217"/>
      <c r="E31" s="508" t="s">
        <v>32</v>
      </c>
      <c r="F31" s="353">
        <v>442218.84</v>
      </c>
      <c r="G31" s="348"/>
      <c r="H31" s="558" t="s">
        <v>32</v>
      </c>
      <c r="I31" s="353">
        <v>488651.87999999995</v>
      </c>
      <c r="J31" s="348"/>
      <c r="T31" s="542"/>
    </row>
    <row r="32" spans="2:28">
      <c r="B32" s="221"/>
      <c r="C32" s="561"/>
      <c r="E32" s="556"/>
      <c r="F32" s="557"/>
      <c r="G32" s="563"/>
      <c r="H32" s="562"/>
      <c r="I32" s="557"/>
      <c r="J32" s="563"/>
      <c r="AB32" s="542"/>
    </row>
    <row r="33" spans="1:29">
      <c r="C33" s="594"/>
      <c r="D33" s="595"/>
      <c r="G33" s="548"/>
      <c r="H33" s="594"/>
      <c r="AB33" s="542"/>
    </row>
    <row r="34" spans="1:29">
      <c r="B34" s="217" t="s">
        <v>37</v>
      </c>
      <c r="AB34" s="542"/>
    </row>
    <row r="35" spans="1:29">
      <c r="B35" s="221"/>
      <c r="C35" s="561"/>
      <c r="AB35" s="542"/>
    </row>
    <row r="36" spans="1:29" ht="15" customHeight="1">
      <c r="A36" s="2541" t="s">
        <v>38</v>
      </c>
      <c r="B36" s="2541"/>
      <c r="C36" s="2541"/>
      <c r="D36" s="2541"/>
      <c r="E36" s="2541"/>
      <c r="F36" s="2541"/>
      <c r="G36" s="2541"/>
      <c r="H36" s="2541"/>
      <c r="I36" s="2541"/>
      <c r="J36" s="2541"/>
      <c r="K36" s="2541"/>
      <c r="AB36" s="542"/>
    </row>
    <row r="37" spans="1:29" ht="24">
      <c r="A37" s="564"/>
      <c r="B37" s="474" t="s">
        <v>39</v>
      </c>
      <c r="C37" s="474" t="s">
        <v>40</v>
      </c>
      <c r="D37" s="565" t="s">
        <v>41</v>
      </c>
      <c r="E37" s="566" t="s">
        <v>42</v>
      </c>
      <c r="F37" s="474" t="s">
        <v>43</v>
      </c>
      <c r="G37" s="474" t="s">
        <v>44</v>
      </c>
      <c r="H37" s="566" t="s">
        <v>45</v>
      </c>
      <c r="I37" s="566" t="s">
        <v>46</v>
      </c>
      <c r="J37" s="566" t="s">
        <v>47</v>
      </c>
      <c r="K37" s="567" t="s">
        <v>48</v>
      </c>
      <c r="AC37" s="542"/>
    </row>
    <row r="38" spans="1:29">
      <c r="A38" s="568">
        <v>1</v>
      </c>
      <c r="B38" s="569">
        <v>41640</v>
      </c>
      <c r="C38" s="569">
        <v>41670</v>
      </c>
      <c r="D38" s="570">
        <v>0.19650000000000001</v>
      </c>
      <c r="E38" s="570">
        <f>+D38*1.5</f>
        <v>0.29475000000000001</v>
      </c>
      <c r="F38" s="571">
        <f>+((1+E38)^(1/365)-1)</f>
        <v>7.079700167211822E-4</v>
      </c>
      <c r="G38" s="571" t="s">
        <v>49</v>
      </c>
      <c r="H38" s="572">
        <f>(2848867-(C12*8%))</f>
        <v>2620957.64</v>
      </c>
      <c r="I38" s="572">
        <v>2848867</v>
      </c>
      <c r="J38" s="573">
        <f t="shared" ref="J38:J101" si="0">_xlfn.DAYS(C38,B38)+1</f>
        <v>31</v>
      </c>
      <c r="K38" s="572">
        <v>0</v>
      </c>
      <c r="AC38" s="542"/>
    </row>
    <row r="39" spans="1:29">
      <c r="A39" s="568">
        <v>2</v>
      </c>
      <c r="B39" s="569">
        <v>41671</v>
      </c>
      <c r="C39" s="569">
        <v>41698</v>
      </c>
      <c r="D39" s="570">
        <v>0.19650000000000001</v>
      </c>
      <c r="E39" s="570">
        <f t="shared" ref="E39:E72" si="1">+D39*1.5</f>
        <v>0.29475000000000001</v>
      </c>
      <c r="F39" s="571">
        <f t="shared" ref="F39:F102" si="2">+((1+E39)^(1/365)-1)</f>
        <v>7.079700167211822E-4</v>
      </c>
      <c r="G39" s="571" t="s">
        <v>49</v>
      </c>
      <c r="H39" s="572">
        <f>(2848867-(C13*8%))</f>
        <v>2620957.64</v>
      </c>
      <c r="I39" s="572">
        <f>H39+I38</f>
        <v>5469824.6400000006</v>
      </c>
      <c r="J39" s="573">
        <f t="shared" si="0"/>
        <v>28</v>
      </c>
      <c r="K39" s="572">
        <f>+I38*F39*J39</f>
        <v>56473.547693539876</v>
      </c>
      <c r="AC39" s="542"/>
    </row>
    <row r="40" spans="1:29">
      <c r="A40" s="568">
        <v>3</v>
      </c>
      <c r="B40" s="569">
        <v>41699</v>
      </c>
      <c r="C40" s="569">
        <v>41729</v>
      </c>
      <c r="D40" s="570">
        <v>0.19650000000000001</v>
      </c>
      <c r="E40" s="570">
        <f t="shared" si="1"/>
        <v>0.29475000000000001</v>
      </c>
      <c r="F40" s="571">
        <f t="shared" si="2"/>
        <v>7.079700167211822E-4</v>
      </c>
      <c r="G40" s="571" t="s">
        <v>49</v>
      </c>
      <c r="H40" s="572">
        <f t="shared" ref="H40:H47" si="3">(2848867-(C14*8%))</f>
        <v>2620957.64</v>
      </c>
      <c r="I40" s="572">
        <f t="shared" ref="I40:I103" si="4">H40+I39</f>
        <v>8090782.2800000012</v>
      </c>
      <c r="J40" s="573">
        <f t="shared" si="0"/>
        <v>31</v>
      </c>
      <c r="K40" s="572">
        <f>+I39*F40*J40</f>
        <v>120046.62709712477</v>
      </c>
      <c r="AC40" s="542"/>
    </row>
    <row r="41" spans="1:29">
      <c r="A41" s="568">
        <v>4</v>
      </c>
      <c r="B41" s="569">
        <v>41730</v>
      </c>
      <c r="C41" s="569">
        <v>41759</v>
      </c>
      <c r="D41" s="570">
        <v>0.1963</v>
      </c>
      <c r="E41" s="570">
        <f t="shared" si="1"/>
        <v>0.29444999999999999</v>
      </c>
      <c r="F41" s="571">
        <f t="shared" si="2"/>
        <v>7.073346857742191E-4</v>
      </c>
      <c r="G41" s="571" t="s">
        <v>49</v>
      </c>
      <c r="H41" s="572">
        <f t="shared" si="3"/>
        <v>2620957.64</v>
      </c>
      <c r="I41" s="572">
        <f t="shared" si="4"/>
        <v>10711739.920000002</v>
      </c>
      <c r="J41" s="573">
        <f t="shared" si="0"/>
        <v>30</v>
      </c>
      <c r="K41" s="572">
        <f t="shared" ref="K41:K75" si="5">+I40*F41*J41</f>
        <v>171686.72825074263</v>
      </c>
      <c r="AC41" s="542"/>
    </row>
    <row r="42" spans="1:29">
      <c r="A42" s="568">
        <v>5</v>
      </c>
      <c r="B42" s="569">
        <v>41760</v>
      </c>
      <c r="C42" s="569">
        <v>41790</v>
      </c>
      <c r="D42" s="570">
        <v>0.1963</v>
      </c>
      <c r="E42" s="570">
        <f t="shared" si="1"/>
        <v>0.29444999999999999</v>
      </c>
      <c r="F42" s="571">
        <f t="shared" si="2"/>
        <v>7.073346857742191E-4</v>
      </c>
      <c r="G42" s="571" t="s">
        <v>49</v>
      </c>
      <c r="H42" s="572">
        <f t="shared" si="3"/>
        <v>2620957.64</v>
      </c>
      <c r="I42" s="572">
        <f>H42+I41</f>
        <v>13332697.560000002</v>
      </c>
      <c r="J42" s="573">
        <f t="shared" si="0"/>
        <v>31</v>
      </c>
      <c r="K42" s="572">
        <f>+I41*F42*J42</f>
        <v>234880.34090265917</v>
      </c>
      <c r="AC42" s="542"/>
    </row>
    <row r="43" spans="1:29">
      <c r="A43" s="568">
        <v>6</v>
      </c>
      <c r="B43" s="569">
        <v>41791</v>
      </c>
      <c r="C43" s="569">
        <v>41820</v>
      </c>
      <c r="D43" s="570">
        <v>0.1963</v>
      </c>
      <c r="E43" s="570">
        <f t="shared" si="1"/>
        <v>0.29444999999999999</v>
      </c>
      <c r="F43" s="571">
        <f t="shared" si="2"/>
        <v>7.073346857742191E-4</v>
      </c>
      <c r="G43" s="571" t="s">
        <v>50</v>
      </c>
      <c r="H43" s="572">
        <f>(2848867-(C17*8%))+C24</f>
        <v>4045391.14</v>
      </c>
      <c r="I43" s="572">
        <f t="shared" si="4"/>
        <v>17378088.700000003</v>
      </c>
      <c r="J43" s="573">
        <f t="shared" si="0"/>
        <v>30</v>
      </c>
      <c r="K43" s="572">
        <f>+I42*F43*J43</f>
        <v>282920.38317375898</v>
      </c>
      <c r="AC43" s="542"/>
    </row>
    <row r="44" spans="1:29">
      <c r="A44" s="568">
        <v>7</v>
      </c>
      <c r="B44" s="569">
        <v>41821</v>
      </c>
      <c r="C44" s="569">
        <v>41851</v>
      </c>
      <c r="D44" s="570">
        <v>0.1933</v>
      </c>
      <c r="E44" s="570">
        <f t="shared" si="1"/>
        <v>0.28994999999999999</v>
      </c>
      <c r="F44" s="571">
        <f t="shared" si="2"/>
        <v>6.9778706056067286E-4</v>
      </c>
      <c r="G44" s="571" t="s">
        <v>49</v>
      </c>
      <c r="H44" s="572">
        <f t="shared" si="3"/>
        <v>2620957.64</v>
      </c>
      <c r="I44" s="572">
        <f t="shared" si="4"/>
        <v>19999046.340000004</v>
      </c>
      <c r="J44" s="573">
        <f t="shared" si="0"/>
        <v>31</v>
      </c>
      <c r="K44" s="572">
        <f t="shared" si="5"/>
        <v>375912.36839620501</v>
      </c>
      <c r="AC44" s="542"/>
    </row>
    <row r="45" spans="1:29">
      <c r="A45" s="568">
        <v>8</v>
      </c>
      <c r="B45" s="569">
        <v>41852</v>
      </c>
      <c r="C45" s="569">
        <v>41882</v>
      </c>
      <c r="D45" s="570">
        <v>0.1933</v>
      </c>
      <c r="E45" s="570">
        <f t="shared" si="1"/>
        <v>0.28994999999999999</v>
      </c>
      <c r="F45" s="571">
        <f t="shared" si="2"/>
        <v>6.9778706056067286E-4</v>
      </c>
      <c r="G45" s="571" t="s">
        <v>49</v>
      </c>
      <c r="H45" s="572">
        <f t="shared" si="3"/>
        <v>2620957.64</v>
      </c>
      <c r="I45" s="572">
        <f t="shared" si="4"/>
        <v>22620003.980000004</v>
      </c>
      <c r="J45" s="573">
        <f t="shared" si="0"/>
        <v>31</v>
      </c>
      <c r="K45" s="572">
        <f t="shared" si="5"/>
        <v>432607.34854776383</v>
      </c>
      <c r="AC45" s="542"/>
    </row>
    <row r="46" spans="1:29">
      <c r="A46" s="568">
        <v>9</v>
      </c>
      <c r="B46" s="569">
        <v>41883</v>
      </c>
      <c r="C46" s="569">
        <v>41912</v>
      </c>
      <c r="D46" s="570">
        <v>0.1933</v>
      </c>
      <c r="E46" s="570">
        <f t="shared" si="1"/>
        <v>0.28994999999999999</v>
      </c>
      <c r="F46" s="571">
        <f t="shared" si="2"/>
        <v>6.9778706056067286E-4</v>
      </c>
      <c r="G46" s="571" t="s">
        <v>49</v>
      </c>
      <c r="H46" s="572">
        <f t="shared" si="3"/>
        <v>2620957.64</v>
      </c>
      <c r="I46" s="572">
        <f t="shared" si="4"/>
        <v>25240961.620000005</v>
      </c>
      <c r="J46" s="573">
        <f t="shared" si="0"/>
        <v>30</v>
      </c>
      <c r="K46" s="572">
        <f t="shared" si="5"/>
        <v>473518.38261224772</v>
      </c>
      <c r="AC46" s="542"/>
    </row>
    <row r="47" spans="1:29">
      <c r="A47" s="568">
        <v>10</v>
      </c>
      <c r="B47" s="569">
        <v>41913</v>
      </c>
      <c r="C47" s="569">
        <v>41943</v>
      </c>
      <c r="D47" s="570">
        <v>0.19170000000000001</v>
      </c>
      <c r="E47" s="570">
        <f t="shared" si="1"/>
        <v>0.28755000000000003</v>
      </c>
      <c r="F47" s="571">
        <f t="shared" si="2"/>
        <v>6.9268140331879557E-4</v>
      </c>
      <c r="G47" s="571" t="s">
        <v>49</v>
      </c>
      <c r="H47" s="572">
        <f t="shared" si="3"/>
        <v>2620957.64</v>
      </c>
      <c r="I47" s="572">
        <f t="shared" si="4"/>
        <v>27861919.260000005</v>
      </c>
      <c r="J47" s="573">
        <f t="shared" si="0"/>
        <v>31</v>
      </c>
      <c r="K47" s="572">
        <f t="shared" si="5"/>
        <v>542002.28619778133</v>
      </c>
      <c r="AC47" s="542"/>
    </row>
    <row r="48" spans="1:29">
      <c r="A48" s="568">
        <v>11</v>
      </c>
      <c r="B48" s="569">
        <v>41944</v>
      </c>
      <c r="C48" s="569">
        <v>41973</v>
      </c>
      <c r="D48" s="570">
        <v>0.19170000000000001</v>
      </c>
      <c r="E48" s="570">
        <f t="shared" si="1"/>
        <v>0.28755000000000003</v>
      </c>
      <c r="F48" s="571">
        <f t="shared" si="2"/>
        <v>6.9268140331879557E-4</v>
      </c>
      <c r="G48" s="571" t="s">
        <v>49</v>
      </c>
      <c r="H48" s="572">
        <f>(2848867-(C22*8%))</f>
        <v>2620957.64</v>
      </c>
      <c r="I48" s="572">
        <f t="shared" si="4"/>
        <v>30482876.900000006</v>
      </c>
      <c r="J48" s="573">
        <f t="shared" si="0"/>
        <v>30</v>
      </c>
      <c r="K48" s="572">
        <f t="shared" si="5"/>
        <v>578982.99996515352</v>
      </c>
      <c r="AC48" s="542"/>
    </row>
    <row r="49" spans="1:29" s="575" customFormat="1" ht="72">
      <c r="A49" s="568">
        <v>12</v>
      </c>
      <c r="B49" s="569">
        <v>41974</v>
      </c>
      <c r="C49" s="569">
        <v>42004</v>
      </c>
      <c r="D49" s="570">
        <v>0.19170000000000001</v>
      </c>
      <c r="E49" s="570">
        <f t="shared" si="1"/>
        <v>0.28755000000000003</v>
      </c>
      <c r="F49" s="571">
        <f t="shared" si="2"/>
        <v>6.9268140331879557E-4</v>
      </c>
      <c r="G49" s="574" t="s">
        <v>51</v>
      </c>
      <c r="H49" s="596">
        <f>(2848867-(C23*8%))+C26+C27+C28+C29+C30+C25</f>
        <v>13265520.571199998</v>
      </c>
      <c r="I49" s="572">
        <f>H49+I48</f>
        <v>43748397.471200004</v>
      </c>
      <c r="J49" s="573">
        <f t="shared" si="0"/>
        <v>31</v>
      </c>
      <c r="K49" s="572">
        <f t="shared" si="5"/>
        <v>654562.5803968691</v>
      </c>
      <c r="AC49" s="576"/>
    </row>
    <row r="50" spans="1:29">
      <c r="A50" s="568">
        <v>13</v>
      </c>
      <c r="B50" s="569">
        <v>42005</v>
      </c>
      <c r="C50" s="569">
        <v>42035</v>
      </c>
      <c r="D50" s="570">
        <v>0.19209999999999999</v>
      </c>
      <c r="E50" s="570">
        <f t="shared" si="1"/>
        <v>0.28815000000000002</v>
      </c>
      <c r="F50" s="571">
        <f t="shared" si="2"/>
        <v>6.9395870684818561E-4</v>
      </c>
      <c r="G50" s="574" t="s">
        <v>49</v>
      </c>
      <c r="H50" s="572">
        <f>(3019800-(F12*8%))</f>
        <v>2778216</v>
      </c>
      <c r="I50" s="572">
        <f t="shared" si="4"/>
        <v>46526613.471200004</v>
      </c>
      <c r="J50" s="573">
        <f t="shared" si="0"/>
        <v>31</v>
      </c>
      <c r="K50" s="572">
        <f t="shared" si="5"/>
        <v>941147.021409626</v>
      </c>
      <c r="AC50" s="542"/>
    </row>
    <row r="51" spans="1:29">
      <c r="A51" s="568">
        <v>14</v>
      </c>
      <c r="B51" s="569">
        <v>42036</v>
      </c>
      <c r="C51" s="569">
        <v>42063</v>
      </c>
      <c r="D51" s="570">
        <v>0.19209999999999999</v>
      </c>
      <c r="E51" s="570">
        <f t="shared" si="1"/>
        <v>0.28815000000000002</v>
      </c>
      <c r="F51" s="571">
        <f t="shared" si="2"/>
        <v>6.9395870684818561E-4</v>
      </c>
      <c r="G51" s="574" t="s">
        <v>49</v>
      </c>
      <c r="H51" s="572">
        <f>(3019800-(F13*8%))</f>
        <v>2778216</v>
      </c>
      <c r="I51" s="572">
        <f t="shared" si="4"/>
        <v>49304829.471200004</v>
      </c>
      <c r="J51" s="573">
        <f t="shared" si="0"/>
        <v>28</v>
      </c>
      <c r="K51" s="572">
        <f t="shared" si="5"/>
        <v>904051.35851798113</v>
      </c>
      <c r="AC51" s="542"/>
    </row>
    <row r="52" spans="1:29">
      <c r="A52" s="568">
        <v>15</v>
      </c>
      <c r="B52" s="569">
        <v>42064</v>
      </c>
      <c r="C52" s="569">
        <v>42094</v>
      </c>
      <c r="D52" s="570">
        <v>0.19209999999999999</v>
      </c>
      <c r="E52" s="570">
        <f t="shared" si="1"/>
        <v>0.28815000000000002</v>
      </c>
      <c r="F52" s="571">
        <f t="shared" si="2"/>
        <v>6.9395870684818561E-4</v>
      </c>
      <c r="G52" s="571" t="s">
        <v>49</v>
      </c>
      <c r="H52" s="572">
        <f>(3019800-(F14*8%))</f>
        <v>2778216</v>
      </c>
      <c r="I52" s="572">
        <f t="shared" si="4"/>
        <v>52083045.471200004</v>
      </c>
      <c r="J52" s="573">
        <f t="shared" si="0"/>
        <v>31</v>
      </c>
      <c r="K52" s="572">
        <f t="shared" si="5"/>
        <v>1060680.9867373323</v>
      </c>
      <c r="AC52" s="542"/>
    </row>
    <row r="53" spans="1:29">
      <c r="A53" s="568">
        <v>16</v>
      </c>
      <c r="B53" s="569">
        <v>42095</v>
      </c>
      <c r="C53" s="569">
        <v>42124</v>
      </c>
      <c r="D53" s="570">
        <v>0.19370000000000001</v>
      </c>
      <c r="E53" s="570">
        <f t="shared" si="1"/>
        <v>0.29055000000000003</v>
      </c>
      <c r="F53" s="571">
        <f t="shared" si="2"/>
        <v>6.9906199467517638E-4</v>
      </c>
      <c r="G53" s="571" t="s">
        <v>49</v>
      </c>
      <c r="H53" s="572">
        <f>(3019800-(F15*8%))</f>
        <v>2778216</v>
      </c>
      <c r="I53" s="572">
        <f t="shared" si="4"/>
        <v>54861261.471200004</v>
      </c>
      <c r="J53" s="573">
        <f t="shared" si="0"/>
        <v>30</v>
      </c>
      <c r="K53" s="572">
        <f t="shared" si="5"/>
        <v>1092278.3296756498</v>
      </c>
      <c r="AC53" s="542"/>
    </row>
    <row r="54" spans="1:29">
      <c r="A54" s="568">
        <v>17</v>
      </c>
      <c r="B54" s="569">
        <v>42125</v>
      </c>
      <c r="C54" s="569">
        <v>42155</v>
      </c>
      <c r="D54" s="570">
        <v>0.19370000000000001</v>
      </c>
      <c r="E54" s="570">
        <f t="shared" si="1"/>
        <v>0.29055000000000003</v>
      </c>
      <c r="F54" s="571">
        <f t="shared" si="2"/>
        <v>6.9906199467517638E-4</v>
      </c>
      <c r="G54" s="571" t="s">
        <v>49</v>
      </c>
      <c r="H54" s="572">
        <f>(3019800-(F16*8%))</f>
        <v>2778216</v>
      </c>
      <c r="I54" s="572">
        <f t="shared" si="4"/>
        <v>57639477.471200004</v>
      </c>
      <c r="J54" s="573">
        <f t="shared" si="0"/>
        <v>31</v>
      </c>
      <c r="K54" s="572">
        <f t="shared" si="5"/>
        <v>1188894.1091080578</v>
      </c>
      <c r="AC54" s="542"/>
    </row>
    <row r="55" spans="1:29">
      <c r="A55" s="568">
        <v>18</v>
      </c>
      <c r="B55" s="569">
        <v>42156</v>
      </c>
      <c r="C55" s="569">
        <v>42185</v>
      </c>
      <c r="D55" s="570">
        <v>0.19370000000000001</v>
      </c>
      <c r="E55" s="570">
        <f t="shared" si="1"/>
        <v>0.29055000000000003</v>
      </c>
      <c r="F55" s="571">
        <f t="shared" si="2"/>
        <v>6.9906199467517638E-4</v>
      </c>
      <c r="G55" s="571" t="s">
        <v>52</v>
      </c>
      <c r="H55" s="572">
        <f>(3019800+1509900-(F17*8%))</f>
        <v>4288116</v>
      </c>
      <c r="I55" s="572">
        <f t="shared" si="4"/>
        <v>61927593.471200004</v>
      </c>
      <c r="J55" s="573">
        <f t="shared" si="0"/>
        <v>30</v>
      </c>
      <c r="K55" s="572">
        <f t="shared" si="5"/>
        <v>1208807.0427915589</v>
      </c>
      <c r="AC55" s="542"/>
    </row>
    <row r="56" spans="1:29">
      <c r="A56" s="568">
        <v>19</v>
      </c>
      <c r="B56" s="569">
        <v>42186</v>
      </c>
      <c r="C56" s="569">
        <v>42216</v>
      </c>
      <c r="D56" s="570">
        <v>0.19259999999999999</v>
      </c>
      <c r="E56" s="570">
        <f t="shared" si="1"/>
        <v>0.28889999999999999</v>
      </c>
      <c r="F56" s="571">
        <f t="shared" si="2"/>
        <v>6.9555450216518544E-4</v>
      </c>
      <c r="G56" s="571" t="s">
        <v>49</v>
      </c>
      <c r="H56" s="572">
        <f>(3019800-(F18*8%))</f>
        <v>2778216</v>
      </c>
      <c r="I56" s="572">
        <f t="shared" si="4"/>
        <v>64705809.471200004</v>
      </c>
      <c r="J56" s="573">
        <f t="shared" si="0"/>
        <v>31</v>
      </c>
      <c r="K56" s="572">
        <f t="shared" si="5"/>
        <v>1335294.5098616036</v>
      </c>
      <c r="AC56" s="542"/>
    </row>
    <row r="57" spans="1:29">
      <c r="A57" s="568">
        <v>20</v>
      </c>
      <c r="B57" s="569">
        <v>42217</v>
      </c>
      <c r="C57" s="569">
        <v>42247</v>
      </c>
      <c r="D57" s="570">
        <v>0.19259999999999999</v>
      </c>
      <c r="E57" s="570">
        <f t="shared" si="1"/>
        <v>0.28889999999999999</v>
      </c>
      <c r="F57" s="571">
        <f t="shared" si="2"/>
        <v>6.9555450216518544E-4</v>
      </c>
      <c r="G57" s="571" t="s">
        <v>49</v>
      </c>
      <c r="H57" s="572">
        <f>(3019800-(F19*8%))</f>
        <v>2778216</v>
      </c>
      <c r="I57" s="572">
        <f t="shared" si="4"/>
        <v>67484025.471200004</v>
      </c>
      <c r="J57" s="573">
        <f t="shared" si="0"/>
        <v>31</v>
      </c>
      <c r="K57" s="572">
        <f t="shared" si="5"/>
        <v>1395198.9299120116</v>
      </c>
      <c r="AC57" s="542"/>
    </row>
    <row r="58" spans="1:29">
      <c r="A58" s="568">
        <v>21</v>
      </c>
      <c r="B58" s="569">
        <v>42248</v>
      </c>
      <c r="C58" s="569">
        <v>42277</v>
      </c>
      <c r="D58" s="570">
        <v>0.19259999999999999</v>
      </c>
      <c r="E58" s="570">
        <f t="shared" si="1"/>
        <v>0.28889999999999999</v>
      </c>
      <c r="F58" s="571">
        <f t="shared" si="2"/>
        <v>6.9555450216518544E-4</v>
      </c>
      <c r="G58" s="571" t="s">
        <v>49</v>
      </c>
      <c r="H58" s="572">
        <f>(3019800-(F20*8%))</f>
        <v>2778216</v>
      </c>
      <c r="I58" s="572">
        <f t="shared" si="4"/>
        <v>70262241.471200004</v>
      </c>
      <c r="J58" s="573">
        <f t="shared" si="0"/>
        <v>30</v>
      </c>
      <c r="K58" s="572">
        <f t="shared" si="5"/>
        <v>1408164.5322216963</v>
      </c>
      <c r="AC58" s="542"/>
    </row>
    <row r="59" spans="1:29">
      <c r="A59" s="568">
        <v>22</v>
      </c>
      <c r="B59" s="569">
        <v>42278</v>
      </c>
      <c r="C59" s="569">
        <v>42308</v>
      </c>
      <c r="D59" s="570">
        <v>0.1933</v>
      </c>
      <c r="E59" s="570">
        <f>+D59*1.5</f>
        <v>0.28994999999999999</v>
      </c>
      <c r="F59" s="571">
        <f t="shared" si="2"/>
        <v>6.9778706056067286E-4</v>
      </c>
      <c r="G59" s="571" t="s">
        <v>49</v>
      </c>
      <c r="H59" s="572">
        <f>(3019800-(F21*8%))</f>
        <v>2778216</v>
      </c>
      <c r="I59" s="572">
        <f t="shared" si="4"/>
        <v>73040457.471200004</v>
      </c>
      <c r="J59" s="573">
        <f t="shared" si="0"/>
        <v>31</v>
      </c>
      <c r="K59" s="572">
        <f t="shared" si="5"/>
        <v>1519870.5712823784</v>
      </c>
      <c r="AC59" s="542"/>
    </row>
    <row r="60" spans="1:29">
      <c r="A60" s="568">
        <v>23</v>
      </c>
      <c r="B60" s="569">
        <v>42309</v>
      </c>
      <c r="C60" s="569">
        <v>42338</v>
      </c>
      <c r="D60" s="570">
        <v>0.1933</v>
      </c>
      <c r="E60" s="570">
        <f t="shared" si="1"/>
        <v>0.28994999999999999</v>
      </c>
      <c r="F60" s="571">
        <f t="shared" si="2"/>
        <v>6.9778706056067286E-4</v>
      </c>
      <c r="G60" s="571" t="s">
        <v>49</v>
      </c>
      <c r="H60" s="572">
        <f>(3019800-(F22*8%))</f>
        <v>2778216</v>
      </c>
      <c r="I60" s="572">
        <f t="shared" si="4"/>
        <v>75818673.471200004</v>
      </c>
      <c r="J60" s="573">
        <f t="shared" si="0"/>
        <v>30</v>
      </c>
      <c r="K60" s="572">
        <f t="shared" si="5"/>
        <v>1529000.5836250647</v>
      </c>
      <c r="AC60" s="542"/>
    </row>
    <row r="61" spans="1:29" s="575" customFormat="1" ht="72">
      <c r="A61" s="568">
        <v>24</v>
      </c>
      <c r="B61" s="569">
        <v>42339</v>
      </c>
      <c r="C61" s="569">
        <v>42369</v>
      </c>
      <c r="D61" s="570">
        <v>0.1933</v>
      </c>
      <c r="E61" s="570">
        <f t="shared" si="1"/>
        <v>0.28994999999999999</v>
      </c>
      <c r="F61" s="571">
        <f t="shared" si="2"/>
        <v>6.9778706056067286E-4</v>
      </c>
      <c r="G61" s="574" t="s">
        <v>51</v>
      </c>
      <c r="H61" s="572">
        <f>(3019800-(F23*8%))+F25+F26+F27+F28+FF2931+F31+F29+F30</f>
        <v>15217030.84</v>
      </c>
      <c r="I61" s="572">
        <f t="shared" si="4"/>
        <v>91035704.311200008</v>
      </c>
      <c r="J61" s="573">
        <f t="shared" si="0"/>
        <v>31</v>
      </c>
      <c r="K61" s="572">
        <f>+I60*F61*J61</f>
        <v>1640063.9682094217</v>
      </c>
      <c r="AC61" s="576"/>
    </row>
    <row r="62" spans="1:29">
      <c r="A62" s="568">
        <v>25</v>
      </c>
      <c r="B62" s="569">
        <v>42370</v>
      </c>
      <c r="C62" s="569">
        <v>42400</v>
      </c>
      <c r="D62" s="570">
        <v>0.1968</v>
      </c>
      <c r="E62" s="570">
        <f t="shared" si="1"/>
        <v>0.29520000000000002</v>
      </c>
      <c r="F62" s="571">
        <f t="shared" si="2"/>
        <v>7.0892273793354832E-4</v>
      </c>
      <c r="G62" s="571" t="s">
        <v>49</v>
      </c>
      <c r="H62" s="572">
        <f>(3019800-(I12*8%))</f>
        <v>2752849.68</v>
      </c>
      <c r="I62" s="572">
        <f t="shared" si="4"/>
        <v>93788553.991200015</v>
      </c>
      <c r="J62" s="573">
        <f t="shared" si="0"/>
        <v>31</v>
      </c>
      <c r="K62" s="572">
        <f t="shared" si="5"/>
        <v>2000655.70325015</v>
      </c>
      <c r="AC62" s="542"/>
    </row>
    <row r="63" spans="1:29">
      <c r="A63" s="568">
        <v>26</v>
      </c>
      <c r="B63" s="569">
        <v>42401</v>
      </c>
      <c r="C63" s="569">
        <v>42429</v>
      </c>
      <c r="D63" s="570">
        <v>0.1968</v>
      </c>
      <c r="E63" s="570">
        <f t="shared" si="1"/>
        <v>0.29520000000000002</v>
      </c>
      <c r="F63" s="571">
        <f t="shared" si="2"/>
        <v>7.0892273793354832E-4</v>
      </c>
      <c r="G63" s="574" t="s">
        <v>49</v>
      </c>
      <c r="H63" s="572">
        <f t="shared" ref="H63:H71" si="6">(3019800-(I13*8%))</f>
        <v>2752849.68</v>
      </c>
      <c r="I63" s="572">
        <f t="shared" si="4"/>
        <v>96541403.671200022</v>
      </c>
      <c r="J63" s="573">
        <f t="shared" si="0"/>
        <v>29</v>
      </c>
      <c r="K63" s="572">
        <f t="shared" si="5"/>
        <v>1928176.3159858279</v>
      </c>
      <c r="AC63" s="542"/>
    </row>
    <row r="64" spans="1:29">
      <c r="A64" s="568">
        <v>27</v>
      </c>
      <c r="B64" s="569">
        <v>42430</v>
      </c>
      <c r="C64" s="569">
        <v>42460</v>
      </c>
      <c r="D64" s="570">
        <v>0.1968</v>
      </c>
      <c r="E64" s="570">
        <f t="shared" si="1"/>
        <v>0.29520000000000002</v>
      </c>
      <c r="F64" s="571">
        <f t="shared" si="2"/>
        <v>7.0892273793354832E-4</v>
      </c>
      <c r="G64" s="571" t="s">
        <v>49</v>
      </c>
      <c r="H64" s="572">
        <f t="shared" si="6"/>
        <v>2752849.68</v>
      </c>
      <c r="I64" s="572">
        <f t="shared" si="4"/>
        <v>99294253.351200029</v>
      </c>
      <c r="J64" s="573">
        <f t="shared" si="0"/>
        <v>31</v>
      </c>
      <c r="K64" s="572">
        <f t="shared" si="5"/>
        <v>2121652.2826505862</v>
      </c>
      <c r="AC64" s="542"/>
    </row>
    <row r="65" spans="1:29">
      <c r="A65" s="568">
        <v>28</v>
      </c>
      <c r="B65" s="569">
        <v>42461</v>
      </c>
      <c r="C65" s="569">
        <v>42490</v>
      </c>
      <c r="D65" s="570">
        <v>0.2054</v>
      </c>
      <c r="E65" s="570">
        <f t="shared" si="1"/>
        <v>0.30809999999999998</v>
      </c>
      <c r="F65" s="571">
        <f t="shared" si="2"/>
        <v>7.3609462782320279E-4</v>
      </c>
      <c r="G65" s="571" t="s">
        <v>49</v>
      </c>
      <c r="H65" s="572">
        <f t="shared" si="6"/>
        <v>2752849.68</v>
      </c>
      <c r="I65" s="572">
        <f t="shared" si="4"/>
        <v>102047103.03120004</v>
      </c>
      <c r="J65" s="573">
        <f t="shared" si="0"/>
        <v>30</v>
      </c>
      <c r="K65" s="572">
        <f t="shared" si="5"/>
        <v>2192698.9939660318</v>
      </c>
      <c r="AC65" s="542"/>
    </row>
    <row r="66" spans="1:29">
      <c r="A66" s="568">
        <v>29</v>
      </c>
      <c r="B66" s="569">
        <v>42491</v>
      </c>
      <c r="C66" s="569">
        <v>42521</v>
      </c>
      <c r="D66" s="570">
        <v>0.2054</v>
      </c>
      <c r="E66" s="570">
        <f t="shared" si="1"/>
        <v>0.30809999999999998</v>
      </c>
      <c r="F66" s="571">
        <f t="shared" si="2"/>
        <v>7.3609462782320279E-4</v>
      </c>
      <c r="G66" s="571" t="s">
        <v>49</v>
      </c>
      <c r="H66" s="572">
        <f t="shared" si="6"/>
        <v>2752849.68</v>
      </c>
      <c r="I66" s="572">
        <f t="shared" si="4"/>
        <v>104799952.71120004</v>
      </c>
      <c r="J66" s="573">
        <f t="shared" si="0"/>
        <v>31</v>
      </c>
      <c r="K66" s="572">
        <f t="shared" si="5"/>
        <v>2328606.0541118039</v>
      </c>
      <c r="AC66" s="542"/>
    </row>
    <row r="67" spans="1:29">
      <c r="A67" s="568">
        <v>30</v>
      </c>
      <c r="B67" s="569">
        <v>42522</v>
      </c>
      <c r="C67" s="569">
        <v>42551</v>
      </c>
      <c r="D67" s="570">
        <v>0.2054</v>
      </c>
      <c r="E67" s="570">
        <f t="shared" si="1"/>
        <v>0.30809999999999998</v>
      </c>
      <c r="F67" s="571">
        <f t="shared" si="2"/>
        <v>7.3609462782320279E-4</v>
      </c>
      <c r="G67" s="571" t="s">
        <v>52</v>
      </c>
      <c r="H67" s="572">
        <f>(3019800-(I17*8%))+I24</f>
        <v>4421288.68</v>
      </c>
      <c r="I67" s="572">
        <f t="shared" si="4"/>
        <v>109221241.39120004</v>
      </c>
      <c r="J67" s="573">
        <f t="shared" si="0"/>
        <v>30</v>
      </c>
      <c r="K67" s="572">
        <f t="shared" si="5"/>
        <v>2314280.4656052012</v>
      </c>
      <c r="AC67" s="542"/>
    </row>
    <row r="68" spans="1:29">
      <c r="A68" s="568">
        <v>31</v>
      </c>
      <c r="B68" s="569">
        <v>42552</v>
      </c>
      <c r="C68" s="569">
        <v>42582</v>
      </c>
      <c r="D68" s="570">
        <v>0.21340000000000001</v>
      </c>
      <c r="E68" s="570">
        <f t="shared" si="1"/>
        <v>0.3201</v>
      </c>
      <c r="F68" s="571">
        <f t="shared" si="2"/>
        <v>7.6113195596128058E-4</v>
      </c>
      <c r="G68" s="571" t="s">
        <v>49</v>
      </c>
      <c r="H68" s="572">
        <f t="shared" si="6"/>
        <v>2752849.68</v>
      </c>
      <c r="I68" s="572">
        <f t="shared" si="4"/>
        <v>111974091.07120004</v>
      </c>
      <c r="J68" s="573">
        <f t="shared" si="0"/>
        <v>31</v>
      </c>
      <c r="K68" s="572">
        <f t="shared" si="5"/>
        <v>2577085.0898707015</v>
      </c>
      <c r="AC68" s="542"/>
    </row>
    <row r="69" spans="1:29">
      <c r="A69" s="568">
        <v>32</v>
      </c>
      <c r="B69" s="569">
        <v>42583</v>
      </c>
      <c r="C69" s="569">
        <v>42613</v>
      </c>
      <c r="D69" s="570">
        <v>0.21340000000000001</v>
      </c>
      <c r="E69" s="570">
        <f t="shared" si="1"/>
        <v>0.3201</v>
      </c>
      <c r="F69" s="571">
        <f t="shared" si="2"/>
        <v>7.6113195596128058E-4</v>
      </c>
      <c r="G69" s="571" t="s">
        <v>49</v>
      </c>
      <c r="H69" s="572">
        <f t="shared" si="6"/>
        <v>2752849.68</v>
      </c>
      <c r="I69" s="572">
        <f t="shared" si="4"/>
        <v>114726940.75120005</v>
      </c>
      <c r="J69" s="573">
        <f t="shared" si="0"/>
        <v>31</v>
      </c>
      <c r="K69" s="572">
        <f t="shared" si="5"/>
        <v>2642038.827574281</v>
      </c>
      <c r="AC69" s="542"/>
    </row>
    <row r="70" spans="1:29">
      <c r="A70" s="568">
        <v>33</v>
      </c>
      <c r="B70" s="569">
        <v>42614</v>
      </c>
      <c r="C70" s="569">
        <v>42643</v>
      </c>
      <c r="D70" s="570">
        <v>0.21340000000000001</v>
      </c>
      <c r="E70" s="570">
        <f t="shared" si="1"/>
        <v>0.3201</v>
      </c>
      <c r="F70" s="571">
        <f t="shared" si="2"/>
        <v>7.6113195596128058E-4</v>
      </c>
      <c r="G70" s="571" t="s">
        <v>49</v>
      </c>
      <c r="H70" s="572">
        <f t="shared" si="6"/>
        <v>2752849.68</v>
      </c>
      <c r="I70" s="572">
        <f t="shared" si="4"/>
        <v>117479790.43120006</v>
      </c>
      <c r="J70" s="573">
        <f t="shared" si="0"/>
        <v>30</v>
      </c>
      <c r="K70" s="572">
        <f t="shared" si="5"/>
        <v>2619670.2244624454</v>
      </c>
      <c r="AC70" s="542"/>
    </row>
    <row r="71" spans="1:29">
      <c r="A71" s="568">
        <v>34</v>
      </c>
      <c r="B71" s="569">
        <v>42644</v>
      </c>
      <c r="C71" s="569">
        <v>42674</v>
      </c>
      <c r="D71" s="570">
        <v>0.21990000000000001</v>
      </c>
      <c r="E71" s="570">
        <f t="shared" si="1"/>
        <v>0.32985000000000003</v>
      </c>
      <c r="F71" s="571">
        <f t="shared" si="2"/>
        <v>7.8130822380240161E-4</v>
      </c>
      <c r="G71" s="571" t="s">
        <v>49</v>
      </c>
      <c r="H71" s="572">
        <f t="shared" si="6"/>
        <v>2752849.68</v>
      </c>
      <c r="I71" s="572">
        <f t="shared" si="4"/>
        <v>120232640.11120006</v>
      </c>
      <c r="J71" s="573">
        <f t="shared" si="0"/>
        <v>31</v>
      </c>
      <c r="K71" s="572">
        <f t="shared" si="5"/>
        <v>2845425.718228858</v>
      </c>
      <c r="AC71" s="542"/>
    </row>
    <row r="72" spans="1:29">
      <c r="A72" s="568">
        <v>35</v>
      </c>
      <c r="B72" s="569">
        <v>42675</v>
      </c>
      <c r="C72" s="569">
        <v>42704</v>
      </c>
      <c r="D72" s="570">
        <v>0.21990000000000001</v>
      </c>
      <c r="E72" s="570">
        <f t="shared" si="1"/>
        <v>0.32985000000000003</v>
      </c>
      <c r="F72" s="571">
        <f t="shared" si="2"/>
        <v>7.8130822380240161E-4</v>
      </c>
      <c r="G72" s="571" t="s">
        <v>49</v>
      </c>
      <c r="H72" s="572">
        <f>(3019800-(I22*8%))</f>
        <v>2752849.68</v>
      </c>
      <c r="I72" s="572">
        <f t="shared" si="4"/>
        <v>122985489.79120007</v>
      </c>
      <c r="J72" s="573">
        <f t="shared" si="0"/>
        <v>30</v>
      </c>
      <c r="K72" s="572">
        <f t="shared" si="5"/>
        <v>2818162.5146506536</v>
      </c>
      <c r="AC72" s="542"/>
    </row>
    <row r="73" spans="1:29" s="575" customFormat="1" ht="72">
      <c r="A73" s="568">
        <v>36</v>
      </c>
      <c r="B73" s="569">
        <v>42705</v>
      </c>
      <c r="C73" s="569">
        <v>42735</v>
      </c>
      <c r="D73" s="570">
        <v>0.21990000000000001</v>
      </c>
      <c r="E73" s="570">
        <f>+D73*1.5</f>
        <v>0.32985000000000003</v>
      </c>
      <c r="F73" s="571">
        <f t="shared" si="2"/>
        <v>7.8130822380240161E-4</v>
      </c>
      <c r="G73" s="574" t="s">
        <v>51</v>
      </c>
      <c r="H73" s="572">
        <f>(I23-(I23*8%))+I25+I26+I27+I28+I29+I30+I31</f>
        <v>16814819.559999999</v>
      </c>
      <c r="I73" s="572">
        <f>H73+I72</f>
        <v>139800309.35120007</v>
      </c>
      <c r="J73" s="573">
        <f t="shared" si="0"/>
        <v>31</v>
      </c>
      <c r="K73" s="572">
        <f t="shared" si="5"/>
        <v>2978776.8120491588</v>
      </c>
      <c r="AC73" s="576"/>
    </row>
    <row r="74" spans="1:29" s="575" customFormat="1" ht="84">
      <c r="A74" s="568">
        <v>37</v>
      </c>
      <c r="B74" s="569">
        <v>42736</v>
      </c>
      <c r="C74" s="569">
        <v>42766</v>
      </c>
      <c r="D74" s="570">
        <v>0.22339999999999999</v>
      </c>
      <c r="E74" s="570">
        <f>+D74*1.5</f>
        <v>0.33509999999999995</v>
      </c>
      <c r="F74" s="571">
        <f t="shared" si="2"/>
        <v>7.9211135028089963E-4</v>
      </c>
      <c r="G74" s="574" t="s">
        <v>53</v>
      </c>
      <c r="H74" s="572">
        <f>(L12-(L12*8%))+L14+L15+L16+L17+L18+L19+L20+L13</f>
        <v>4694141.4799999995</v>
      </c>
      <c r="I74" s="572">
        <f t="shared" si="4"/>
        <v>144494450.83120006</v>
      </c>
      <c r="J74" s="573">
        <f t="shared" si="0"/>
        <v>31</v>
      </c>
      <c r="K74" s="572">
        <f t="shared" si="5"/>
        <v>3432859.7661058633</v>
      </c>
      <c r="AC74" s="576"/>
    </row>
    <row r="75" spans="1:29">
      <c r="A75" s="568">
        <v>38</v>
      </c>
      <c r="B75" s="569">
        <v>42767</v>
      </c>
      <c r="C75" s="569">
        <v>42794</v>
      </c>
      <c r="D75" s="570">
        <v>0.22339999999999999</v>
      </c>
      <c r="E75" s="570">
        <f t="shared" ref="E75:E131" si="7">+D75*1.5</f>
        <v>0.33509999999999995</v>
      </c>
      <c r="F75" s="571">
        <f t="shared" si="2"/>
        <v>7.9211135028089963E-4</v>
      </c>
      <c r="G75" s="574"/>
      <c r="H75" s="572"/>
      <c r="I75" s="572">
        <f t="shared" si="4"/>
        <v>144494450.83120006</v>
      </c>
      <c r="J75" s="573">
        <f t="shared" si="0"/>
        <v>28</v>
      </c>
      <c r="K75" s="572">
        <f t="shared" si="5"/>
        <v>3204759.4475679705</v>
      </c>
      <c r="AC75" s="542"/>
    </row>
    <row r="76" spans="1:29">
      <c r="A76" s="568">
        <v>39</v>
      </c>
      <c r="B76" s="569">
        <v>42795</v>
      </c>
      <c r="C76" s="569">
        <v>42825</v>
      </c>
      <c r="D76" s="570">
        <v>0.22339999999999999</v>
      </c>
      <c r="E76" s="570">
        <f t="shared" si="7"/>
        <v>0.33509999999999995</v>
      </c>
      <c r="F76" s="571">
        <f t="shared" si="2"/>
        <v>7.9211135028089963E-4</v>
      </c>
      <c r="G76" s="571"/>
      <c r="H76" s="572"/>
      <c r="I76" s="572">
        <f t="shared" si="4"/>
        <v>144494450.83120006</v>
      </c>
      <c r="J76" s="573">
        <f t="shared" si="0"/>
        <v>31</v>
      </c>
      <c r="K76" s="572">
        <f t="shared" ref="K76:K131" si="8">+I76*F76*J76</f>
        <v>3548126.5312359673</v>
      </c>
      <c r="AC76" s="542"/>
    </row>
    <row r="77" spans="1:29">
      <c r="A77" s="568">
        <v>40</v>
      </c>
      <c r="B77" s="569">
        <v>42826</v>
      </c>
      <c r="C77" s="569">
        <v>42855</v>
      </c>
      <c r="D77" s="570">
        <v>0.2233</v>
      </c>
      <c r="E77" s="570">
        <f t="shared" si="7"/>
        <v>0.33494999999999997</v>
      </c>
      <c r="F77" s="571">
        <f t="shared" si="2"/>
        <v>7.9180327787309324E-4</v>
      </c>
      <c r="G77" s="571"/>
      <c r="H77" s="572"/>
      <c r="I77" s="572">
        <f t="shared" si="4"/>
        <v>144494450.83120006</v>
      </c>
      <c r="J77" s="573">
        <f t="shared" si="0"/>
        <v>30</v>
      </c>
      <c r="K77" s="572">
        <f t="shared" si="8"/>
        <v>3432335.3940785015</v>
      </c>
      <c r="AC77" s="542"/>
    </row>
    <row r="78" spans="1:29">
      <c r="A78" s="568">
        <v>41</v>
      </c>
      <c r="B78" s="569">
        <v>42856</v>
      </c>
      <c r="C78" s="569">
        <v>42886</v>
      </c>
      <c r="D78" s="570">
        <v>0.2233</v>
      </c>
      <c r="E78" s="570">
        <f t="shared" si="7"/>
        <v>0.33494999999999997</v>
      </c>
      <c r="F78" s="571">
        <f t="shared" si="2"/>
        <v>7.9180327787309324E-4</v>
      </c>
      <c r="G78" s="571"/>
      <c r="H78" s="572"/>
      <c r="I78" s="572">
        <f t="shared" si="4"/>
        <v>144494450.83120006</v>
      </c>
      <c r="J78" s="573">
        <f t="shared" si="0"/>
        <v>31</v>
      </c>
      <c r="K78" s="572">
        <f t="shared" si="8"/>
        <v>3546746.5738811181</v>
      </c>
      <c r="AC78" s="542"/>
    </row>
    <row r="79" spans="1:29">
      <c r="A79" s="568">
        <v>42</v>
      </c>
      <c r="B79" s="569">
        <v>42887</v>
      </c>
      <c r="C79" s="569">
        <v>42916</v>
      </c>
      <c r="D79" s="570">
        <v>0.2233</v>
      </c>
      <c r="E79" s="570">
        <f t="shared" si="7"/>
        <v>0.33494999999999997</v>
      </c>
      <c r="F79" s="571">
        <f t="shared" si="2"/>
        <v>7.9180327787309324E-4</v>
      </c>
      <c r="G79" s="571"/>
      <c r="H79" s="572"/>
      <c r="I79" s="572">
        <f t="shared" si="4"/>
        <v>144494450.83120006</v>
      </c>
      <c r="J79" s="573">
        <f t="shared" si="0"/>
        <v>30</v>
      </c>
      <c r="K79" s="572">
        <f t="shared" si="8"/>
        <v>3432335.3940785015</v>
      </c>
      <c r="AC79" s="542"/>
    </row>
    <row r="80" spans="1:29">
      <c r="A80" s="568">
        <v>43</v>
      </c>
      <c r="B80" s="569">
        <v>42917</v>
      </c>
      <c r="C80" s="569">
        <v>42947</v>
      </c>
      <c r="D80" s="570">
        <v>0.2198</v>
      </c>
      <c r="E80" s="570">
        <f t="shared" si="7"/>
        <v>0.32969999999999999</v>
      </c>
      <c r="F80" s="571">
        <f t="shared" si="2"/>
        <v>7.8099893845218205E-4</v>
      </c>
      <c r="G80" s="571"/>
      <c r="H80" s="572"/>
      <c r="I80" s="572">
        <f t="shared" si="4"/>
        <v>144494450.83120006</v>
      </c>
      <c r="J80" s="573">
        <f t="shared" si="0"/>
        <v>31</v>
      </c>
      <c r="K80" s="572">
        <f t="shared" si="8"/>
        <v>3498350.394053346</v>
      </c>
      <c r="AC80" s="542"/>
    </row>
    <row r="81" spans="1:29">
      <c r="A81" s="568">
        <v>44</v>
      </c>
      <c r="B81" s="569">
        <v>42948</v>
      </c>
      <c r="C81" s="569">
        <v>42978</v>
      </c>
      <c r="D81" s="570">
        <v>0.2198</v>
      </c>
      <c r="E81" s="570">
        <f t="shared" si="7"/>
        <v>0.32969999999999999</v>
      </c>
      <c r="F81" s="571">
        <f t="shared" si="2"/>
        <v>7.8099893845218205E-4</v>
      </c>
      <c r="G81" s="571"/>
      <c r="H81" s="572"/>
      <c r="I81" s="572">
        <f t="shared" si="4"/>
        <v>144494450.83120006</v>
      </c>
      <c r="J81" s="573">
        <f t="shared" si="0"/>
        <v>31</v>
      </c>
      <c r="K81" s="572">
        <f t="shared" si="8"/>
        <v>3498350.394053346</v>
      </c>
      <c r="AC81" s="542"/>
    </row>
    <row r="82" spans="1:29">
      <c r="A82" s="568">
        <v>45</v>
      </c>
      <c r="B82" s="569">
        <v>42979</v>
      </c>
      <c r="C82" s="569">
        <v>43008</v>
      </c>
      <c r="D82" s="570">
        <v>0.21479999999999999</v>
      </c>
      <c r="E82" s="570">
        <f t="shared" si="7"/>
        <v>0.32219999999999999</v>
      </c>
      <c r="F82" s="571">
        <f t="shared" si="2"/>
        <v>7.6549014202820231E-4</v>
      </c>
      <c r="G82" s="571"/>
      <c r="H82" s="572"/>
      <c r="I82" s="572">
        <f t="shared" si="4"/>
        <v>144494450.83120006</v>
      </c>
      <c r="J82" s="573">
        <f t="shared" si="0"/>
        <v>30</v>
      </c>
      <c r="K82" s="572">
        <f t="shared" si="8"/>
        <v>3318272.3306718729</v>
      </c>
      <c r="AC82" s="542"/>
    </row>
    <row r="83" spans="1:29">
      <c r="A83" s="568">
        <v>46</v>
      </c>
      <c r="B83" s="569">
        <v>43009</v>
      </c>
      <c r="C83" s="569">
        <v>43039</v>
      </c>
      <c r="D83" s="570">
        <v>0.21149999999999999</v>
      </c>
      <c r="E83" s="570">
        <f t="shared" si="7"/>
        <v>0.31724999999999998</v>
      </c>
      <c r="F83" s="571">
        <f t="shared" si="2"/>
        <v>7.5520620308799913E-4</v>
      </c>
      <c r="G83" s="571"/>
      <c r="H83" s="572"/>
      <c r="I83" s="572">
        <f t="shared" si="4"/>
        <v>144494450.83120006</v>
      </c>
      <c r="J83" s="573">
        <f t="shared" si="0"/>
        <v>31</v>
      </c>
      <c r="K83" s="572">
        <f t="shared" si="8"/>
        <v>3382816.2729650014</v>
      </c>
      <c r="AC83" s="542"/>
    </row>
    <row r="84" spans="1:29">
      <c r="A84" s="568">
        <v>47</v>
      </c>
      <c r="B84" s="569">
        <v>43040</v>
      </c>
      <c r="C84" s="569">
        <v>43069</v>
      </c>
      <c r="D84" s="570">
        <v>0.20960000000000001</v>
      </c>
      <c r="E84" s="570">
        <f t="shared" si="7"/>
        <v>0.31440000000000001</v>
      </c>
      <c r="F84" s="571">
        <f t="shared" si="2"/>
        <v>7.4926765057248268E-4</v>
      </c>
      <c r="G84" s="571"/>
      <c r="H84" s="572"/>
      <c r="I84" s="572">
        <f t="shared" si="4"/>
        <v>144494450.83120006</v>
      </c>
      <c r="J84" s="573">
        <f t="shared" si="0"/>
        <v>30</v>
      </c>
      <c r="K84" s="572">
        <f t="shared" si="8"/>
        <v>3247950.5308516314</v>
      </c>
      <c r="AC84" s="542"/>
    </row>
    <row r="85" spans="1:29">
      <c r="A85" s="568">
        <v>48</v>
      </c>
      <c r="B85" s="569">
        <v>43070</v>
      </c>
      <c r="C85" s="569">
        <v>43100</v>
      </c>
      <c r="D85" s="570">
        <v>0.2077</v>
      </c>
      <c r="E85" s="570">
        <f t="shared" si="7"/>
        <v>0.31154999999999999</v>
      </c>
      <c r="F85" s="571">
        <f t="shared" si="2"/>
        <v>7.4331624292400811E-4</v>
      </c>
      <c r="G85" s="571"/>
      <c r="H85" s="572"/>
      <c r="I85" s="572">
        <f t="shared" si="4"/>
        <v>144494450.83120006</v>
      </c>
      <c r="J85" s="573">
        <f t="shared" si="0"/>
        <v>31</v>
      </c>
      <c r="K85" s="572">
        <f t="shared" si="8"/>
        <v>3329557.2417716789</v>
      </c>
      <c r="AC85" s="542"/>
    </row>
    <row r="86" spans="1:29">
      <c r="A86" s="568">
        <v>49</v>
      </c>
      <c r="B86" s="569">
        <v>43101</v>
      </c>
      <c r="C86" s="569">
        <v>43131</v>
      </c>
      <c r="D86" s="570">
        <v>0.2069</v>
      </c>
      <c r="E86" s="570">
        <f t="shared" si="7"/>
        <v>0.31035000000000001</v>
      </c>
      <c r="F86" s="571">
        <f t="shared" si="2"/>
        <v>7.4080652774299871E-4</v>
      </c>
      <c r="G86" s="571"/>
      <c r="H86" s="572"/>
      <c r="I86" s="572">
        <f t="shared" si="4"/>
        <v>144494450.83120006</v>
      </c>
      <c r="J86" s="573">
        <f t="shared" si="0"/>
        <v>31</v>
      </c>
      <c r="K86" s="572">
        <f t="shared" si="8"/>
        <v>3318315.404350176</v>
      </c>
      <c r="AC86" s="542"/>
    </row>
    <row r="87" spans="1:29">
      <c r="A87" s="568">
        <v>50</v>
      </c>
      <c r="B87" s="569">
        <v>43132</v>
      </c>
      <c r="C87" s="569">
        <v>43159</v>
      </c>
      <c r="D87" s="570">
        <v>0.21010000000000001</v>
      </c>
      <c r="E87" s="570">
        <f t="shared" si="7"/>
        <v>0.31515000000000004</v>
      </c>
      <c r="F87" s="571">
        <f t="shared" si="2"/>
        <v>7.5083167162115494E-4</v>
      </c>
      <c r="G87" s="571"/>
      <c r="H87" s="572"/>
      <c r="I87" s="572">
        <f t="shared" si="4"/>
        <v>144494450.83120006</v>
      </c>
      <c r="J87" s="573">
        <f t="shared" si="0"/>
        <v>28</v>
      </c>
      <c r="K87" s="572">
        <f t="shared" si="8"/>
        <v>3037748.2816119799</v>
      </c>
      <c r="AC87" s="542"/>
    </row>
    <row r="88" spans="1:29">
      <c r="A88" s="568">
        <v>51</v>
      </c>
      <c r="B88" s="569">
        <v>43160</v>
      </c>
      <c r="C88" s="569">
        <v>43190</v>
      </c>
      <c r="D88" s="570">
        <v>0.20680000000000001</v>
      </c>
      <c r="E88" s="570">
        <f t="shared" si="7"/>
        <v>0.31020000000000003</v>
      </c>
      <c r="F88" s="571">
        <f t="shared" si="2"/>
        <v>7.4049265219700011E-4</v>
      </c>
      <c r="G88" s="571"/>
      <c r="H88" s="572"/>
      <c r="I88" s="572">
        <f t="shared" si="4"/>
        <v>144494450.83120006</v>
      </c>
      <c r="J88" s="573">
        <f t="shared" si="0"/>
        <v>31</v>
      </c>
      <c r="K88" s="572">
        <f t="shared" si="8"/>
        <v>3316909.4528360753</v>
      </c>
      <c r="AC88" s="542"/>
    </row>
    <row r="89" spans="1:29">
      <c r="A89" s="568">
        <v>52</v>
      </c>
      <c r="B89" s="569">
        <v>43191</v>
      </c>
      <c r="C89" s="569">
        <v>43220</v>
      </c>
      <c r="D89" s="570">
        <v>0.20480000000000001</v>
      </c>
      <c r="E89" s="570">
        <f t="shared" si="7"/>
        <v>0.30720000000000003</v>
      </c>
      <c r="F89" s="571">
        <f t="shared" si="2"/>
        <v>7.34207604366377E-4</v>
      </c>
      <c r="G89" s="571"/>
      <c r="H89" s="572"/>
      <c r="I89" s="572">
        <f t="shared" si="4"/>
        <v>144494450.83120006</v>
      </c>
      <c r="J89" s="573">
        <f t="shared" si="0"/>
        <v>30</v>
      </c>
      <c r="K89" s="572">
        <f t="shared" si="8"/>
        <v>3182667.7376703196</v>
      </c>
      <c r="AC89" s="542"/>
    </row>
    <row r="90" spans="1:29">
      <c r="A90" s="568">
        <v>53</v>
      </c>
      <c r="B90" s="569">
        <v>43221</v>
      </c>
      <c r="C90" s="569">
        <v>43251</v>
      </c>
      <c r="D90" s="570">
        <v>0.2044</v>
      </c>
      <c r="E90" s="570">
        <f t="shared" si="7"/>
        <v>0.30659999999999998</v>
      </c>
      <c r="F90" s="571">
        <f t="shared" si="2"/>
        <v>7.3294886878794152E-4</v>
      </c>
      <c r="G90" s="571"/>
      <c r="H90" s="572"/>
      <c r="I90" s="572">
        <f t="shared" si="4"/>
        <v>144494450.83120006</v>
      </c>
      <c r="J90" s="573">
        <f t="shared" si="0"/>
        <v>31</v>
      </c>
      <c r="K90" s="572">
        <f t="shared" si="8"/>
        <v>3283118.3727687504</v>
      </c>
      <c r="AC90" s="542"/>
    </row>
    <row r="91" spans="1:29">
      <c r="A91" s="568">
        <v>54</v>
      </c>
      <c r="B91" s="569">
        <v>43252</v>
      </c>
      <c r="C91" s="569">
        <v>43281</v>
      </c>
      <c r="D91" s="570">
        <v>0.20280000000000001</v>
      </c>
      <c r="E91" s="570">
        <f t="shared" si="7"/>
        <v>0.30420000000000003</v>
      </c>
      <c r="F91" s="571">
        <f t="shared" si="2"/>
        <v>7.2790815549184096E-4</v>
      </c>
      <c r="G91" s="571"/>
      <c r="H91" s="572"/>
      <c r="I91" s="572">
        <f t="shared" si="4"/>
        <v>144494450.83120006</v>
      </c>
      <c r="J91" s="573">
        <f t="shared" si="0"/>
        <v>30</v>
      </c>
      <c r="K91" s="572">
        <f t="shared" si="8"/>
        <v>3155360.6755003603</v>
      </c>
      <c r="AC91" s="542"/>
    </row>
    <row r="92" spans="1:29">
      <c r="A92" s="568">
        <v>55</v>
      </c>
      <c r="B92" s="569">
        <v>43282</v>
      </c>
      <c r="C92" s="569">
        <v>43312</v>
      </c>
      <c r="D92" s="570">
        <v>0.20030000000000001</v>
      </c>
      <c r="E92" s="570">
        <f t="shared" si="7"/>
        <v>0.30044999999999999</v>
      </c>
      <c r="F92" s="571">
        <f t="shared" si="2"/>
        <v>7.2001349197825526E-4</v>
      </c>
      <c r="G92" s="571"/>
      <c r="H92" s="572"/>
      <c r="I92" s="572">
        <f t="shared" si="4"/>
        <v>144494450.83120006</v>
      </c>
      <c r="J92" s="573">
        <f t="shared" si="0"/>
        <v>31</v>
      </c>
      <c r="K92" s="572">
        <f t="shared" si="8"/>
        <v>3225176.5775480326</v>
      </c>
      <c r="AC92" s="542"/>
    </row>
    <row r="93" spans="1:29">
      <c r="A93" s="568">
        <v>56</v>
      </c>
      <c r="B93" s="569">
        <v>43313</v>
      </c>
      <c r="C93" s="569">
        <v>43343</v>
      </c>
      <c r="D93" s="570">
        <v>0.19939999999999999</v>
      </c>
      <c r="E93" s="570">
        <f t="shared" si="7"/>
        <v>0.29909999999999998</v>
      </c>
      <c r="F93" s="571">
        <f t="shared" si="2"/>
        <v>7.1716585429704161E-4</v>
      </c>
      <c r="G93" s="571"/>
      <c r="H93" s="572"/>
      <c r="I93" s="572">
        <f t="shared" si="4"/>
        <v>144494450.83120006</v>
      </c>
      <c r="J93" s="573">
        <f t="shared" si="0"/>
        <v>31</v>
      </c>
      <c r="K93" s="572">
        <f t="shared" si="8"/>
        <v>3212421.0744177233</v>
      </c>
      <c r="AC93" s="542"/>
    </row>
    <row r="94" spans="1:29">
      <c r="A94" s="568">
        <v>57</v>
      </c>
      <c r="B94" s="569">
        <v>43344</v>
      </c>
      <c r="C94" s="569">
        <v>43373</v>
      </c>
      <c r="D94" s="570">
        <v>0.1981</v>
      </c>
      <c r="E94" s="570">
        <f t="shared" si="7"/>
        <v>0.29715000000000003</v>
      </c>
      <c r="F94" s="571">
        <f t="shared" si="2"/>
        <v>7.1304738558919389E-4</v>
      </c>
      <c r="G94" s="571"/>
      <c r="H94" s="572"/>
      <c r="I94" s="572">
        <f t="shared" si="4"/>
        <v>144494450.83120006</v>
      </c>
      <c r="J94" s="573">
        <f t="shared" si="0"/>
        <v>30</v>
      </c>
      <c r="K94" s="572">
        <f t="shared" si="8"/>
        <v>3090941.7119200057</v>
      </c>
      <c r="AC94" s="542"/>
    </row>
    <row r="95" spans="1:29">
      <c r="A95" s="568">
        <v>58</v>
      </c>
      <c r="B95" s="569">
        <v>43374</v>
      </c>
      <c r="C95" s="569">
        <v>43404</v>
      </c>
      <c r="D95" s="570">
        <v>0.1963</v>
      </c>
      <c r="E95" s="570">
        <f t="shared" si="7"/>
        <v>0.29444999999999999</v>
      </c>
      <c r="F95" s="571">
        <f t="shared" si="2"/>
        <v>7.073346857742191E-4</v>
      </c>
      <c r="G95" s="571"/>
      <c r="H95" s="572"/>
      <c r="I95" s="572">
        <f t="shared" si="4"/>
        <v>144494450.83120006</v>
      </c>
      <c r="J95" s="573">
        <f t="shared" si="0"/>
        <v>31</v>
      </c>
      <c r="K95" s="572">
        <f t="shared" si="8"/>
        <v>3168384.0462189624</v>
      </c>
      <c r="AC95" s="542"/>
    </row>
    <row r="96" spans="1:29">
      <c r="A96" s="568">
        <v>59</v>
      </c>
      <c r="B96" s="569">
        <v>43405</v>
      </c>
      <c r="C96" s="569">
        <v>43434</v>
      </c>
      <c r="D96" s="570">
        <v>0.19489999999999999</v>
      </c>
      <c r="E96" s="570">
        <f t="shared" si="7"/>
        <v>0.29235</v>
      </c>
      <c r="F96" s="571">
        <f t="shared" si="2"/>
        <v>7.0288325333756063E-4</v>
      </c>
      <c r="G96" s="571"/>
      <c r="H96" s="572"/>
      <c r="I96" s="572">
        <f t="shared" si="4"/>
        <v>144494450.83120006</v>
      </c>
      <c r="J96" s="573">
        <f t="shared" si="0"/>
        <v>30</v>
      </c>
      <c r="K96" s="572">
        <f t="shared" si="8"/>
        <v>3046881.8906837427</v>
      </c>
      <c r="AC96" s="542"/>
    </row>
    <row r="97" spans="1:29">
      <c r="A97" s="568">
        <v>60</v>
      </c>
      <c r="B97" s="569">
        <v>43435</v>
      </c>
      <c r="C97" s="569">
        <v>43465</v>
      </c>
      <c r="D97" s="570">
        <v>0.19400000000000001</v>
      </c>
      <c r="E97" s="570">
        <f t="shared" si="7"/>
        <v>0.29100000000000004</v>
      </c>
      <c r="F97" s="571">
        <f t="shared" si="2"/>
        <v>7.0001780740103214E-4</v>
      </c>
      <c r="G97" s="571"/>
      <c r="H97" s="572"/>
      <c r="I97" s="572">
        <f t="shared" si="4"/>
        <v>144494450.83120006</v>
      </c>
      <c r="J97" s="573">
        <f t="shared" si="0"/>
        <v>31</v>
      </c>
      <c r="K97" s="572">
        <f t="shared" si="8"/>
        <v>3135609.3482266604</v>
      </c>
      <c r="AC97" s="542"/>
    </row>
    <row r="98" spans="1:29">
      <c r="A98" s="568">
        <v>61</v>
      </c>
      <c r="B98" s="569">
        <v>43466</v>
      </c>
      <c r="C98" s="569">
        <v>43496</v>
      </c>
      <c r="D98" s="570">
        <v>0.19159999999999999</v>
      </c>
      <c r="E98" s="570">
        <f t="shared" si="7"/>
        <v>0.28739999999999999</v>
      </c>
      <c r="F98" s="571">
        <f t="shared" si="2"/>
        <v>6.9236198468725085E-4</v>
      </c>
      <c r="G98" s="571"/>
      <c r="H98" s="572"/>
      <c r="I98" s="572">
        <f t="shared" si="4"/>
        <v>144494450.83120006</v>
      </c>
      <c r="J98" s="573">
        <f t="shared" si="0"/>
        <v>31</v>
      </c>
      <c r="K98" s="572">
        <f t="shared" si="8"/>
        <v>3101316.4073673058</v>
      </c>
      <c r="AC98" s="542"/>
    </row>
    <row r="99" spans="1:29">
      <c r="A99" s="568">
        <v>62</v>
      </c>
      <c r="B99" s="569">
        <v>43497</v>
      </c>
      <c r="C99" s="569">
        <v>43524</v>
      </c>
      <c r="D99" s="570">
        <v>0.19700000000000001</v>
      </c>
      <c r="E99" s="570">
        <f t="shared" si="7"/>
        <v>0.29549999999999998</v>
      </c>
      <c r="F99" s="571">
        <f t="shared" si="2"/>
        <v>7.0955770203506852E-4</v>
      </c>
      <c r="G99" s="571"/>
      <c r="H99" s="572"/>
      <c r="I99" s="572">
        <f t="shared" si="4"/>
        <v>144494450.83120006</v>
      </c>
      <c r="J99" s="573">
        <f t="shared" si="0"/>
        <v>28</v>
      </c>
      <c r="K99" s="572">
        <f t="shared" si="8"/>
        <v>2870760.2136809547</v>
      </c>
      <c r="AC99" s="542"/>
    </row>
    <row r="100" spans="1:29">
      <c r="A100" s="568">
        <v>63</v>
      </c>
      <c r="B100" s="569">
        <v>43525</v>
      </c>
      <c r="C100" s="569">
        <v>43555</v>
      </c>
      <c r="D100" s="570">
        <v>0.19370000000000001</v>
      </c>
      <c r="E100" s="570">
        <f t="shared" si="7"/>
        <v>0.29055000000000003</v>
      </c>
      <c r="F100" s="571">
        <f t="shared" si="2"/>
        <v>6.9906199467517638E-4</v>
      </c>
      <c r="G100" s="571"/>
      <c r="H100" s="572"/>
      <c r="I100" s="572">
        <f t="shared" si="4"/>
        <v>144494450.83120006</v>
      </c>
      <c r="J100" s="573">
        <f t="shared" si="0"/>
        <v>31</v>
      </c>
      <c r="K100" s="572">
        <f t="shared" si="8"/>
        <v>3131327.9495441401</v>
      </c>
      <c r="AC100" s="542"/>
    </row>
    <row r="101" spans="1:29">
      <c r="A101" s="568">
        <v>64</v>
      </c>
      <c r="B101" s="569">
        <v>43556</v>
      </c>
      <c r="C101" s="569">
        <v>43585</v>
      </c>
      <c r="D101" s="570">
        <v>0.19320000000000001</v>
      </c>
      <c r="E101" s="570">
        <f t="shared" si="7"/>
        <v>0.2898</v>
      </c>
      <c r="F101" s="571">
        <f t="shared" si="2"/>
        <v>6.9746823462724095E-4</v>
      </c>
      <c r="G101" s="571"/>
      <c r="H101" s="572"/>
      <c r="I101" s="572">
        <f t="shared" si="4"/>
        <v>144494450.83120006</v>
      </c>
      <c r="J101" s="573">
        <f t="shared" si="0"/>
        <v>30</v>
      </c>
      <c r="K101" s="572">
        <f t="shared" si="8"/>
        <v>3023408.6860400932</v>
      </c>
      <c r="AC101" s="542"/>
    </row>
    <row r="102" spans="1:29">
      <c r="A102" s="568">
        <v>65</v>
      </c>
      <c r="B102" s="569">
        <v>43586</v>
      </c>
      <c r="C102" s="569">
        <v>43616</v>
      </c>
      <c r="D102" s="570">
        <v>0.19339999999999999</v>
      </c>
      <c r="E102" s="570">
        <f t="shared" si="7"/>
        <v>0.29009999999999997</v>
      </c>
      <c r="F102" s="571">
        <f t="shared" si="2"/>
        <v>6.9810584952367805E-4</v>
      </c>
      <c r="G102" s="571"/>
      <c r="H102" s="572"/>
      <c r="I102" s="572">
        <f t="shared" si="4"/>
        <v>144494450.83120006</v>
      </c>
      <c r="J102" s="573">
        <f t="shared" ref="J102:J131" si="9">_xlfn.DAYS(C102,B102)+1</f>
        <v>31</v>
      </c>
      <c r="K102" s="572">
        <f t="shared" si="8"/>
        <v>3127045.0618181396</v>
      </c>
      <c r="AC102" s="542"/>
    </row>
    <row r="103" spans="1:29">
      <c r="A103" s="568">
        <v>66</v>
      </c>
      <c r="B103" s="569">
        <v>43617</v>
      </c>
      <c r="C103" s="569">
        <v>43646</v>
      </c>
      <c r="D103" s="570">
        <v>0.193</v>
      </c>
      <c r="E103" s="570">
        <f t="shared" si="7"/>
        <v>0.28949999999999998</v>
      </c>
      <c r="F103" s="571">
        <f t="shared" ref="F103:F131" si="10">+((1+E103)^(1/365)-1)</f>
        <v>6.9683047181468005E-4</v>
      </c>
      <c r="G103" s="571"/>
      <c r="H103" s="572"/>
      <c r="I103" s="572">
        <f t="shared" si="4"/>
        <v>144494450.83120006</v>
      </c>
      <c r="J103" s="573">
        <f t="shared" si="9"/>
        <v>30</v>
      </c>
      <c r="K103" s="572">
        <f t="shared" si="8"/>
        <v>3020644.0904192468</v>
      </c>
      <c r="AC103" s="542"/>
    </row>
    <row r="104" spans="1:29">
      <c r="A104" s="568">
        <v>67</v>
      </c>
      <c r="B104" s="569">
        <v>43647</v>
      </c>
      <c r="C104" s="569">
        <v>43677</v>
      </c>
      <c r="D104" s="570">
        <v>0.1928</v>
      </c>
      <c r="E104" s="570">
        <f t="shared" si="7"/>
        <v>0.28920000000000001</v>
      </c>
      <c r="F104" s="571">
        <f t="shared" si="10"/>
        <v>6.9619256101671745E-4</v>
      </c>
      <c r="G104" s="571"/>
      <c r="H104" s="572"/>
      <c r="I104" s="572">
        <f t="shared" ref="I104:I131" si="11">H104+I103</f>
        <v>144494450.83120006</v>
      </c>
      <c r="J104" s="573">
        <f t="shared" si="9"/>
        <v>31</v>
      </c>
      <c r="K104" s="572">
        <f t="shared" si="8"/>
        <v>3118474.8150831973</v>
      </c>
      <c r="AC104" s="542"/>
    </row>
    <row r="105" spans="1:29">
      <c r="A105" s="568">
        <v>68</v>
      </c>
      <c r="B105" s="569">
        <v>43678</v>
      </c>
      <c r="C105" s="569">
        <v>43708</v>
      </c>
      <c r="D105" s="570">
        <v>0.19320000000000001</v>
      </c>
      <c r="E105" s="570">
        <f t="shared" si="7"/>
        <v>0.2898</v>
      </c>
      <c r="F105" s="571">
        <f t="shared" si="10"/>
        <v>6.9746823462724095E-4</v>
      </c>
      <c r="G105" s="571"/>
      <c r="H105" s="572"/>
      <c r="I105" s="572">
        <f t="shared" si="11"/>
        <v>144494450.83120006</v>
      </c>
      <c r="J105" s="573">
        <f t="shared" si="9"/>
        <v>31</v>
      </c>
      <c r="K105" s="572">
        <f t="shared" si="8"/>
        <v>3124188.975574763</v>
      </c>
      <c r="AC105" s="542"/>
    </row>
    <row r="106" spans="1:29">
      <c r="A106" s="568">
        <v>69</v>
      </c>
      <c r="B106" s="569">
        <v>43709</v>
      </c>
      <c r="C106" s="569">
        <v>43738</v>
      </c>
      <c r="D106" s="570">
        <v>0.19320000000000001</v>
      </c>
      <c r="E106" s="570">
        <f t="shared" si="7"/>
        <v>0.2898</v>
      </c>
      <c r="F106" s="571">
        <f t="shared" si="10"/>
        <v>6.9746823462724095E-4</v>
      </c>
      <c r="G106" s="571"/>
      <c r="H106" s="572"/>
      <c r="I106" s="572">
        <f t="shared" si="11"/>
        <v>144494450.83120006</v>
      </c>
      <c r="J106" s="573">
        <f t="shared" si="9"/>
        <v>30</v>
      </c>
      <c r="K106" s="572">
        <f t="shared" si="8"/>
        <v>3023408.6860400932</v>
      </c>
      <c r="AC106" s="542"/>
    </row>
    <row r="107" spans="1:29">
      <c r="A107" s="568">
        <v>70</v>
      </c>
      <c r="B107" s="569">
        <v>43739</v>
      </c>
      <c r="C107" s="569">
        <v>43769</v>
      </c>
      <c r="D107" s="570">
        <v>0.191</v>
      </c>
      <c r="E107" s="570">
        <f t="shared" si="7"/>
        <v>0.28649999999999998</v>
      </c>
      <c r="F107" s="571">
        <f t="shared" si="10"/>
        <v>6.9044469314105683E-4</v>
      </c>
      <c r="G107" s="571"/>
      <c r="H107" s="572"/>
      <c r="I107" s="572">
        <f t="shared" si="11"/>
        <v>144494450.83120006</v>
      </c>
      <c r="J107" s="573">
        <f t="shared" si="9"/>
        <v>31</v>
      </c>
      <c r="K107" s="572">
        <f t="shared" si="8"/>
        <v>3092728.2297067367</v>
      </c>
      <c r="AC107" s="542"/>
    </row>
    <row r="108" spans="1:29">
      <c r="A108" s="568">
        <v>71</v>
      </c>
      <c r="B108" s="569">
        <v>43770</v>
      </c>
      <c r="C108" s="569">
        <v>43799</v>
      </c>
      <c r="D108" s="570">
        <v>0.1903</v>
      </c>
      <c r="E108" s="570">
        <f t="shared" si="7"/>
        <v>0.28544999999999998</v>
      </c>
      <c r="F108" s="571">
        <f t="shared" si="10"/>
        <v>6.8820616169262827E-4</v>
      </c>
      <c r="G108" s="571"/>
      <c r="H108" s="572"/>
      <c r="I108" s="572">
        <f t="shared" si="11"/>
        <v>144494450.83120006</v>
      </c>
      <c r="J108" s="573">
        <f t="shared" si="9"/>
        <v>30</v>
      </c>
      <c r="K108" s="572">
        <f t="shared" si="8"/>
        <v>2983259.1417727321</v>
      </c>
      <c r="AC108" s="542"/>
    </row>
    <row r="109" spans="1:29">
      <c r="A109" s="568">
        <v>72</v>
      </c>
      <c r="B109" s="569">
        <v>43800</v>
      </c>
      <c r="C109" s="569">
        <v>43830</v>
      </c>
      <c r="D109" s="570">
        <v>0.18909999999999999</v>
      </c>
      <c r="E109" s="570">
        <f t="shared" si="7"/>
        <v>0.28364999999999996</v>
      </c>
      <c r="F109" s="571">
        <f t="shared" si="10"/>
        <v>6.8436443340047504E-4</v>
      </c>
      <c r="G109" s="571"/>
      <c r="H109" s="572"/>
      <c r="I109" s="572">
        <f t="shared" si="11"/>
        <v>144494450.83120006</v>
      </c>
      <c r="J109" s="573">
        <f t="shared" si="9"/>
        <v>31</v>
      </c>
      <c r="K109" s="572">
        <f t="shared" si="8"/>
        <v>3065492.7521508182</v>
      </c>
      <c r="AC109" s="542"/>
    </row>
    <row r="110" spans="1:29">
      <c r="A110" s="568">
        <v>73</v>
      </c>
      <c r="B110" s="569">
        <v>43831</v>
      </c>
      <c r="C110" s="569">
        <v>43861</v>
      </c>
      <c r="D110" s="570">
        <v>0.18770000000000001</v>
      </c>
      <c r="E110" s="570">
        <f t="shared" si="7"/>
        <v>0.28155000000000002</v>
      </c>
      <c r="F110" s="571">
        <f t="shared" si="10"/>
        <v>6.7987562124560696E-4</v>
      </c>
      <c r="G110" s="571"/>
      <c r="H110" s="572"/>
      <c r="I110" s="572">
        <f t="shared" si="11"/>
        <v>144494450.83120006</v>
      </c>
      <c r="J110" s="573">
        <f t="shared" si="9"/>
        <v>31</v>
      </c>
      <c r="K110" s="572">
        <f t="shared" si="8"/>
        <v>3045385.8902875534</v>
      </c>
      <c r="AC110" s="542"/>
    </row>
    <row r="111" spans="1:29">
      <c r="A111" s="568">
        <v>74</v>
      </c>
      <c r="B111" s="569">
        <v>43862</v>
      </c>
      <c r="C111" s="569">
        <v>43890</v>
      </c>
      <c r="D111" s="570">
        <v>0.19059999999999999</v>
      </c>
      <c r="E111" s="570">
        <f t="shared" si="7"/>
        <v>0.28589999999999999</v>
      </c>
      <c r="F111" s="571">
        <f t="shared" si="10"/>
        <v>6.8916575551658532E-4</v>
      </c>
      <c r="G111" s="571"/>
      <c r="H111" s="572"/>
      <c r="I111" s="572">
        <f t="shared" si="11"/>
        <v>144494450.83120006</v>
      </c>
      <c r="J111" s="573">
        <f t="shared" si="9"/>
        <v>29</v>
      </c>
      <c r="K111" s="572">
        <f t="shared" si="8"/>
        <v>2887838.1938761044</v>
      </c>
      <c r="AC111" s="542"/>
    </row>
    <row r="112" spans="1:29">
      <c r="A112" s="568">
        <v>75</v>
      </c>
      <c r="B112" s="569">
        <v>43891</v>
      </c>
      <c r="C112" s="569">
        <v>43921</v>
      </c>
      <c r="D112" s="570">
        <v>0.1895</v>
      </c>
      <c r="E112" s="570">
        <f t="shared" si="7"/>
        <v>0.28425</v>
      </c>
      <c r="F112" s="571">
        <f t="shared" si="10"/>
        <v>6.8564560609574166E-4</v>
      </c>
      <c r="G112" s="571"/>
      <c r="H112" s="572"/>
      <c r="I112" s="572">
        <f t="shared" si="11"/>
        <v>144494450.83120006</v>
      </c>
      <c r="J112" s="573">
        <f t="shared" si="9"/>
        <v>31</v>
      </c>
      <c r="K112" s="572">
        <f t="shared" si="8"/>
        <v>3071231.5448465152</v>
      </c>
      <c r="AC112" s="542"/>
    </row>
    <row r="113" spans="1:29">
      <c r="A113" s="568">
        <v>76</v>
      </c>
      <c r="B113" s="569">
        <v>43922</v>
      </c>
      <c r="C113" s="569">
        <v>43951</v>
      </c>
      <c r="D113" s="570">
        <v>0.18690000000000001</v>
      </c>
      <c r="E113" s="570">
        <f t="shared" si="7"/>
        <v>0.28034999999999999</v>
      </c>
      <c r="F113" s="571">
        <f t="shared" si="10"/>
        <v>6.7730729113191224E-4</v>
      </c>
      <c r="G113" s="571"/>
      <c r="H113" s="572"/>
      <c r="I113" s="572">
        <f t="shared" si="11"/>
        <v>144494450.83120006</v>
      </c>
      <c r="J113" s="573">
        <f t="shared" si="9"/>
        <v>30</v>
      </c>
      <c r="K113" s="572">
        <f t="shared" si="8"/>
        <v>2936014.3522822019</v>
      </c>
      <c r="AC113" s="542"/>
    </row>
    <row r="114" spans="1:29">
      <c r="A114" s="568">
        <v>77</v>
      </c>
      <c r="B114" s="569">
        <v>43952</v>
      </c>
      <c r="C114" s="569">
        <v>43982</v>
      </c>
      <c r="D114" s="570">
        <v>0.18190000000000001</v>
      </c>
      <c r="E114" s="570">
        <f t="shared" si="7"/>
        <v>0.27285000000000004</v>
      </c>
      <c r="F114" s="571">
        <f t="shared" si="10"/>
        <v>6.6120063584418354E-4</v>
      </c>
      <c r="G114" s="571"/>
      <c r="H114" s="572"/>
      <c r="I114" s="572">
        <f t="shared" si="11"/>
        <v>144494450.83120006</v>
      </c>
      <c r="J114" s="573">
        <f t="shared" si="9"/>
        <v>31</v>
      </c>
      <c r="K114" s="572">
        <f t="shared" si="8"/>
        <v>2961734.5057319137</v>
      </c>
      <c r="AC114" s="542"/>
    </row>
    <row r="115" spans="1:29">
      <c r="A115" s="568">
        <v>78</v>
      </c>
      <c r="B115" s="569">
        <v>43983</v>
      </c>
      <c r="C115" s="569">
        <v>44012</v>
      </c>
      <c r="D115" s="570">
        <v>0.1812</v>
      </c>
      <c r="E115" s="570">
        <f t="shared" si="7"/>
        <v>0.27179999999999999</v>
      </c>
      <c r="F115" s="571">
        <f t="shared" si="10"/>
        <v>6.5893815469997286E-4</v>
      </c>
      <c r="G115" s="571"/>
      <c r="H115" s="572"/>
      <c r="I115" s="572">
        <f t="shared" si="11"/>
        <v>144494450.83120006</v>
      </c>
      <c r="J115" s="573">
        <f t="shared" si="9"/>
        <v>30</v>
      </c>
      <c r="K115" s="572">
        <f t="shared" si="8"/>
        <v>2856387.2038529078</v>
      </c>
      <c r="AC115" s="542"/>
    </row>
    <row r="116" spans="1:29">
      <c r="A116" s="568">
        <v>79</v>
      </c>
      <c r="B116" s="569">
        <v>44013</v>
      </c>
      <c r="C116" s="569">
        <v>44043</v>
      </c>
      <c r="D116" s="570">
        <v>0.1812</v>
      </c>
      <c r="E116" s="570">
        <f t="shared" si="7"/>
        <v>0.27179999999999999</v>
      </c>
      <c r="F116" s="571">
        <f t="shared" si="10"/>
        <v>6.5893815469997286E-4</v>
      </c>
      <c r="G116" s="571"/>
      <c r="H116" s="572"/>
      <c r="I116" s="572">
        <f t="shared" si="11"/>
        <v>144494450.83120006</v>
      </c>
      <c r="J116" s="573">
        <f t="shared" si="9"/>
        <v>31</v>
      </c>
      <c r="K116" s="572">
        <f t="shared" si="8"/>
        <v>2951600.1106480048</v>
      </c>
      <c r="AC116" s="542"/>
    </row>
    <row r="117" spans="1:29">
      <c r="A117" s="568">
        <v>80</v>
      </c>
      <c r="B117" s="569">
        <v>44044</v>
      </c>
      <c r="C117" s="569">
        <v>44074</v>
      </c>
      <c r="D117" s="570">
        <v>0.18290000000000001</v>
      </c>
      <c r="E117" s="570">
        <f t="shared" si="7"/>
        <v>0.27434999999999998</v>
      </c>
      <c r="F117" s="571">
        <f t="shared" si="10"/>
        <v>6.6442952514544906E-4</v>
      </c>
      <c r="G117" s="571"/>
      <c r="H117" s="572"/>
      <c r="I117" s="572">
        <f t="shared" si="11"/>
        <v>144494450.83120006</v>
      </c>
      <c r="J117" s="573">
        <f t="shared" si="9"/>
        <v>31</v>
      </c>
      <c r="K117" s="572">
        <f t="shared" si="8"/>
        <v>2976197.7599097276</v>
      </c>
      <c r="AC117" s="542"/>
    </row>
    <row r="118" spans="1:29">
      <c r="A118" s="568">
        <v>81</v>
      </c>
      <c r="B118" s="569">
        <v>44075</v>
      </c>
      <c r="C118" s="569">
        <v>44104</v>
      </c>
      <c r="D118" s="570">
        <v>0.1835</v>
      </c>
      <c r="E118" s="570">
        <f t="shared" si="7"/>
        <v>0.27524999999999999</v>
      </c>
      <c r="F118" s="571">
        <f t="shared" si="10"/>
        <v>6.6636503991857055E-4</v>
      </c>
      <c r="G118" s="571"/>
      <c r="H118" s="572"/>
      <c r="I118" s="572">
        <f t="shared" si="11"/>
        <v>144494450.83120006</v>
      </c>
      <c r="J118" s="573">
        <f t="shared" si="9"/>
        <v>30</v>
      </c>
      <c r="K118" s="572">
        <f t="shared" si="8"/>
        <v>2888581.5148843369</v>
      </c>
      <c r="AC118" s="542"/>
    </row>
    <row r="119" spans="1:29">
      <c r="A119" s="568">
        <v>82</v>
      </c>
      <c r="B119" s="569">
        <v>44105</v>
      </c>
      <c r="C119" s="569">
        <v>44135</v>
      </c>
      <c r="D119" s="570">
        <v>0.18090000000000001</v>
      </c>
      <c r="E119" s="570">
        <f t="shared" si="7"/>
        <v>0.27134999999999998</v>
      </c>
      <c r="F119" s="571">
        <f t="shared" si="10"/>
        <v>6.5796794962613703E-4</v>
      </c>
      <c r="G119" s="571"/>
      <c r="H119" s="572"/>
      <c r="I119" s="572">
        <f t="shared" si="11"/>
        <v>144494450.83120006</v>
      </c>
      <c r="J119" s="573">
        <f t="shared" si="9"/>
        <v>31</v>
      </c>
      <c r="K119" s="572">
        <f t="shared" si="8"/>
        <v>2947254.2439185409</v>
      </c>
      <c r="AC119" s="542"/>
    </row>
    <row r="120" spans="1:29">
      <c r="A120" s="568">
        <v>83</v>
      </c>
      <c r="B120" s="569">
        <v>44136</v>
      </c>
      <c r="C120" s="569">
        <v>44165</v>
      </c>
      <c r="D120" s="570">
        <v>0.1784</v>
      </c>
      <c r="E120" s="570">
        <f t="shared" si="7"/>
        <v>0.2676</v>
      </c>
      <c r="F120" s="571">
        <f t="shared" si="10"/>
        <v>6.4986956374091243E-4</v>
      </c>
      <c r="G120" s="571"/>
      <c r="H120" s="572"/>
      <c r="I120" s="572">
        <f t="shared" si="11"/>
        <v>144494450.83120006</v>
      </c>
      <c r="J120" s="573">
        <f t="shared" si="9"/>
        <v>30</v>
      </c>
      <c r="K120" s="572">
        <f t="shared" si="8"/>
        <v>2817076.3717396408</v>
      </c>
      <c r="AC120" s="542"/>
    </row>
    <row r="121" spans="1:29">
      <c r="A121" s="568">
        <v>84</v>
      </c>
      <c r="B121" s="569">
        <v>44166</v>
      </c>
      <c r="C121" s="569">
        <v>44196</v>
      </c>
      <c r="D121" s="570">
        <v>0.17460000000000001</v>
      </c>
      <c r="E121" s="570">
        <f t="shared" si="7"/>
        <v>0.26190000000000002</v>
      </c>
      <c r="F121" s="571">
        <f t="shared" si="10"/>
        <v>6.3751414410861962E-4</v>
      </c>
      <c r="G121" s="571"/>
      <c r="H121" s="572"/>
      <c r="I121" s="572">
        <f t="shared" si="11"/>
        <v>144494450.83120006</v>
      </c>
      <c r="J121" s="573">
        <f t="shared" si="9"/>
        <v>31</v>
      </c>
      <c r="K121" s="572">
        <f t="shared" si="8"/>
        <v>2855634.9406530233</v>
      </c>
      <c r="AC121" s="542"/>
    </row>
    <row r="122" spans="1:29">
      <c r="A122" s="568">
        <v>85</v>
      </c>
      <c r="B122" s="569">
        <v>44197</v>
      </c>
      <c r="C122" s="569">
        <v>44227</v>
      </c>
      <c r="D122" s="570">
        <v>0.17319999999999999</v>
      </c>
      <c r="E122" s="570">
        <f t="shared" si="7"/>
        <v>0.25979999999999998</v>
      </c>
      <c r="F122" s="571">
        <f t="shared" si="10"/>
        <v>6.3294811266723094E-4</v>
      </c>
      <c r="G122" s="571"/>
      <c r="H122" s="572"/>
      <c r="I122" s="572">
        <f t="shared" si="11"/>
        <v>144494450.83120006</v>
      </c>
      <c r="J122" s="573">
        <f t="shared" si="9"/>
        <v>31</v>
      </c>
      <c r="K122" s="572">
        <f t="shared" si="8"/>
        <v>2835182.1882793782</v>
      </c>
      <c r="AC122" s="542"/>
    </row>
    <row r="123" spans="1:29">
      <c r="A123" s="568">
        <v>86</v>
      </c>
      <c r="B123" s="569">
        <v>44228</v>
      </c>
      <c r="C123" s="569">
        <v>44255</v>
      </c>
      <c r="D123" s="570">
        <v>0.1754</v>
      </c>
      <c r="E123" s="570">
        <f t="shared" si="7"/>
        <v>0.2631</v>
      </c>
      <c r="F123" s="571">
        <f t="shared" si="10"/>
        <v>6.4011990387169426E-4</v>
      </c>
      <c r="G123" s="571"/>
      <c r="H123" s="572"/>
      <c r="I123" s="572">
        <f t="shared" si="11"/>
        <v>144494450.83120006</v>
      </c>
      <c r="J123" s="573">
        <f t="shared" si="9"/>
        <v>28</v>
      </c>
      <c r="K123" s="572">
        <f t="shared" si="8"/>
        <v>2589825.6713297092</v>
      </c>
      <c r="AC123" s="542"/>
    </row>
    <row r="124" spans="1:29">
      <c r="A124" s="568">
        <v>87</v>
      </c>
      <c r="B124" s="569">
        <v>44256</v>
      </c>
      <c r="C124" s="569">
        <v>44286</v>
      </c>
      <c r="D124" s="570">
        <v>0.1741</v>
      </c>
      <c r="E124" s="570">
        <f t="shared" si="7"/>
        <v>0.26114999999999999</v>
      </c>
      <c r="F124" s="571">
        <f t="shared" si="10"/>
        <v>6.3588428907812578E-4</v>
      </c>
      <c r="G124" s="571"/>
      <c r="H124" s="572"/>
      <c r="I124" s="572">
        <f t="shared" si="11"/>
        <v>144494450.83120006</v>
      </c>
      <c r="J124" s="573">
        <f t="shared" si="9"/>
        <v>31</v>
      </c>
      <c r="K124" s="572">
        <f t="shared" si="8"/>
        <v>2848334.2854184876</v>
      </c>
      <c r="AC124" s="542"/>
    </row>
    <row r="125" spans="1:29">
      <c r="A125" s="568">
        <v>88</v>
      </c>
      <c r="B125" s="569">
        <v>44287</v>
      </c>
      <c r="C125" s="569">
        <v>44316</v>
      </c>
      <c r="D125" s="570">
        <v>0.1731</v>
      </c>
      <c r="E125" s="570">
        <f t="shared" si="7"/>
        <v>0.25964999999999999</v>
      </c>
      <c r="F125" s="571">
        <f t="shared" si="10"/>
        <v>6.326216771728177E-4</v>
      </c>
      <c r="G125" s="571"/>
      <c r="H125" s="572"/>
      <c r="I125" s="572">
        <f t="shared" si="11"/>
        <v>144494450.83120006</v>
      </c>
      <c r="J125" s="573">
        <f t="shared" si="9"/>
        <v>30</v>
      </c>
      <c r="K125" s="572">
        <f t="shared" si="8"/>
        <v>2742309.6548099709</v>
      </c>
      <c r="AC125" s="542"/>
    </row>
    <row r="126" spans="1:29">
      <c r="A126" s="568">
        <v>89</v>
      </c>
      <c r="B126" s="569">
        <v>44317</v>
      </c>
      <c r="C126" s="569">
        <v>44347</v>
      </c>
      <c r="D126" s="570">
        <v>0.17219999999999999</v>
      </c>
      <c r="E126" s="570">
        <f t="shared" si="7"/>
        <v>0.25829999999999997</v>
      </c>
      <c r="F126" s="571">
        <f t="shared" si="10"/>
        <v>6.2968201205726437E-4</v>
      </c>
      <c r="G126" s="571"/>
      <c r="H126" s="572"/>
      <c r="I126" s="572">
        <f t="shared" si="11"/>
        <v>144494450.83120006</v>
      </c>
      <c r="J126" s="573">
        <f t="shared" si="9"/>
        <v>31</v>
      </c>
      <c r="K126" s="572">
        <f t="shared" si="8"/>
        <v>2820552.252445485</v>
      </c>
      <c r="AC126" s="542"/>
    </row>
    <row r="127" spans="1:29">
      <c r="A127" s="568">
        <v>90</v>
      </c>
      <c r="B127" s="569">
        <v>44348</v>
      </c>
      <c r="C127" s="569">
        <v>44377</v>
      </c>
      <c r="D127" s="570">
        <v>0.1721</v>
      </c>
      <c r="E127" s="570">
        <f t="shared" si="7"/>
        <v>0.25814999999999999</v>
      </c>
      <c r="F127" s="571">
        <f t="shared" si="10"/>
        <v>6.2935518846773952E-4</v>
      </c>
      <c r="G127" s="571"/>
      <c r="H127" s="572"/>
      <c r="I127" s="572">
        <f t="shared" si="11"/>
        <v>144494450.83120006</v>
      </c>
      <c r="J127" s="573">
        <f t="shared" si="9"/>
        <v>30</v>
      </c>
      <c r="K127" s="572">
        <f t="shared" si="8"/>
        <v>2728149.9700623732</v>
      </c>
      <c r="AC127" s="542"/>
    </row>
    <row r="128" spans="1:29">
      <c r="A128" s="568">
        <v>91</v>
      </c>
      <c r="B128" s="569">
        <v>44378</v>
      </c>
      <c r="C128" s="569">
        <v>44408</v>
      </c>
      <c r="D128" s="570">
        <v>0.17180000000000001</v>
      </c>
      <c r="E128" s="570">
        <f t="shared" si="7"/>
        <v>0.25770000000000004</v>
      </c>
      <c r="F128" s="571">
        <f t="shared" si="10"/>
        <v>6.2837448450037137E-4</v>
      </c>
      <c r="G128" s="571"/>
      <c r="H128" s="572"/>
      <c r="I128" s="572">
        <f t="shared" si="11"/>
        <v>144494450.83120006</v>
      </c>
      <c r="J128" s="573">
        <f t="shared" si="9"/>
        <v>31</v>
      </c>
      <c r="K128" s="572">
        <f t="shared" si="8"/>
        <v>2814695.4076808076</v>
      </c>
      <c r="AC128" s="542"/>
    </row>
    <row r="129" spans="1:29">
      <c r="A129" s="568">
        <v>92</v>
      </c>
      <c r="B129" s="569">
        <v>44409</v>
      </c>
      <c r="C129" s="569">
        <v>44439</v>
      </c>
      <c r="D129" s="570">
        <v>0.1724</v>
      </c>
      <c r="E129" s="570">
        <f t="shared" si="7"/>
        <v>0.2586</v>
      </c>
      <c r="F129" s="571">
        <f t="shared" si="10"/>
        <v>6.3033554269220637E-4</v>
      </c>
      <c r="G129" s="571"/>
      <c r="H129" s="572"/>
      <c r="I129" s="572">
        <f t="shared" si="11"/>
        <v>144494450.83120006</v>
      </c>
      <c r="J129" s="573">
        <f t="shared" si="9"/>
        <v>31</v>
      </c>
      <c r="K129" s="572">
        <f t="shared" si="8"/>
        <v>2823479.6305016018</v>
      </c>
      <c r="AC129" s="542"/>
    </row>
    <row r="130" spans="1:29">
      <c r="A130" s="568">
        <v>93</v>
      </c>
      <c r="B130" s="569">
        <v>44440</v>
      </c>
      <c r="C130" s="569">
        <v>44469</v>
      </c>
      <c r="D130" s="570">
        <v>0.1719</v>
      </c>
      <c r="E130" s="570">
        <f t="shared" si="7"/>
        <v>0.25785000000000002</v>
      </c>
      <c r="F130" s="571">
        <f t="shared" si="10"/>
        <v>6.2870142469861889E-4</v>
      </c>
      <c r="G130" s="571"/>
      <c r="H130" s="572"/>
      <c r="I130" s="572">
        <f t="shared" si="11"/>
        <v>144494450.83120006</v>
      </c>
      <c r="J130" s="573">
        <f t="shared" si="9"/>
        <v>30</v>
      </c>
      <c r="K130" s="572">
        <f t="shared" si="8"/>
        <v>2725316.0129586007</v>
      </c>
      <c r="AC130" s="542"/>
    </row>
    <row r="131" spans="1:29">
      <c r="A131" s="568">
        <v>94</v>
      </c>
      <c r="B131" s="569">
        <v>44470</v>
      </c>
      <c r="C131" s="569">
        <v>44500</v>
      </c>
      <c r="D131" s="570">
        <v>0.17080000000000001</v>
      </c>
      <c r="E131" s="570">
        <f t="shared" si="7"/>
        <v>0.25619999999999998</v>
      </c>
      <c r="F131" s="571">
        <f t="shared" si="10"/>
        <v>6.2510294214179751E-4</v>
      </c>
      <c r="G131" s="571"/>
      <c r="H131" s="572"/>
      <c r="I131" s="572">
        <f t="shared" si="11"/>
        <v>144494450.83120006</v>
      </c>
      <c r="J131" s="573">
        <f t="shared" si="9"/>
        <v>31</v>
      </c>
      <c r="K131" s="572">
        <f t="shared" si="8"/>
        <v>2800041.0964701404</v>
      </c>
      <c r="AC131" s="542"/>
    </row>
    <row r="132" spans="1:29">
      <c r="A132" s="568">
        <v>95</v>
      </c>
      <c r="B132" s="569">
        <v>44501</v>
      </c>
      <c r="C132" s="569">
        <v>44518</v>
      </c>
      <c r="D132" s="570">
        <v>0.17269999999999999</v>
      </c>
      <c r="E132" s="570">
        <f>+D132*1.5</f>
        <v>0.25905</v>
      </c>
      <c r="F132" s="571">
        <f>+((1+E132)^(1/365)-1)</f>
        <v>6.3131554742335005E-4</v>
      </c>
      <c r="G132" s="571"/>
      <c r="H132" s="572"/>
      <c r="I132" s="572">
        <f>H132+I131</f>
        <v>144494450.83120006</v>
      </c>
      <c r="J132" s="573">
        <f>_xlfn.DAYS(C132,B132)+1</f>
        <v>18</v>
      </c>
      <c r="K132" s="572">
        <f>+I132*F132*J132</f>
        <v>1641988.6798704374</v>
      </c>
      <c r="AC132" s="542"/>
    </row>
    <row r="133" spans="1:29">
      <c r="A133" s="568"/>
      <c r="B133" s="568"/>
      <c r="C133" s="568"/>
      <c r="D133" s="568"/>
      <c r="E133" s="568"/>
      <c r="F133" s="568"/>
      <c r="G133" s="577"/>
      <c r="H133" s="578"/>
      <c r="I133" s="578"/>
      <c r="J133" s="579" t="s">
        <v>54</v>
      </c>
      <c r="K133" s="580">
        <f>SUM(K38:K132)</f>
        <v>228807135.8757152</v>
      </c>
      <c r="AC133" s="542"/>
    </row>
    <row r="134" spans="1:29">
      <c r="B134" s="2542" t="s">
        <v>55</v>
      </c>
      <c r="C134" s="2542"/>
      <c r="D134" s="221"/>
      <c r="AB134" s="542"/>
    </row>
    <row r="135" spans="1:29">
      <c r="B135" s="502" t="s">
        <v>56</v>
      </c>
      <c r="C135" s="502" t="s">
        <v>57</v>
      </c>
      <c r="D135" s="581"/>
      <c r="AB135" s="542"/>
    </row>
    <row r="136" spans="1:29" ht="36">
      <c r="B136" s="597" t="s">
        <v>58</v>
      </c>
      <c r="C136" s="582">
        <f>I131</f>
        <v>144494450.83120006</v>
      </c>
      <c r="D136" s="581"/>
      <c r="AB136" s="542"/>
    </row>
    <row r="137" spans="1:29">
      <c r="B137" s="399" t="s">
        <v>59</v>
      </c>
      <c r="C137" s="582">
        <f>+K133</f>
        <v>228807135.8757152</v>
      </c>
      <c r="D137" s="581"/>
      <c r="AB137" s="542"/>
    </row>
    <row r="138" spans="1:29">
      <c r="B138" s="399" t="s">
        <v>60</v>
      </c>
      <c r="C138" s="582">
        <f>(C136+C137)*0.05</f>
        <v>18665079.335345764</v>
      </c>
      <c r="D138" s="581"/>
      <c r="AB138" s="542"/>
    </row>
    <row r="139" spans="1:29">
      <c r="B139" s="583" t="s">
        <v>61</v>
      </c>
      <c r="C139" s="584">
        <f>SUM(C136:C138)</f>
        <v>391966666.042261</v>
      </c>
      <c r="D139" s="217"/>
      <c r="AB139" s="542"/>
    </row>
    <row r="140" spans="1:29">
      <c r="B140" s="221" t="s">
        <v>62</v>
      </c>
      <c r="D140" s="217"/>
      <c r="AB140" s="542"/>
    </row>
    <row r="141" spans="1:29">
      <c r="C141" s="218"/>
      <c r="D141" s="217"/>
      <c r="AB141" s="542"/>
    </row>
    <row r="142" spans="1:29">
      <c r="C142" s="218"/>
      <c r="D142" s="217"/>
      <c r="AB142" s="542"/>
    </row>
    <row r="143" spans="1:29">
      <c r="B143" s="476" t="s">
        <v>63</v>
      </c>
      <c r="C143" s="218"/>
      <c r="AB143" s="542"/>
    </row>
    <row r="144" spans="1:29">
      <c r="B144" s="476" t="s">
        <v>64</v>
      </c>
      <c r="C144" s="218"/>
      <c r="AB144" s="542"/>
    </row>
    <row r="145" spans="2:28">
      <c r="B145" s="221" t="s">
        <v>65</v>
      </c>
      <c r="C145" s="218"/>
      <c r="AB145" s="542"/>
    </row>
  </sheetData>
  <mergeCells count="2">
    <mergeCell ref="A36:K36"/>
    <mergeCell ref="B134:C134"/>
  </mergeCells>
  <pageMargins left="0.7" right="0.7" top="0.75" bottom="0.75" header="0.3" footer="0.3"/>
  <pageSetup paperSize="135" scale="72" orientation="portrait" r:id="rId1"/>
  <colBreaks count="1" manualBreakCount="1">
    <brk id="12" max="1048575" man="1"/>
  </col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80E18-E724-4175-BC46-B060BED7B63A}">
  <sheetPr codeName="Hoja9"/>
  <dimension ref="A1:J104"/>
  <sheetViews>
    <sheetView topLeftCell="A2" zoomScale="130" zoomScaleNormal="130" workbookViewId="0">
      <selection activeCell="E94" sqref="E94"/>
    </sheetView>
  </sheetViews>
  <sheetFormatPr defaultColWidth="11.42578125" defaultRowHeight="12.75"/>
  <cols>
    <col min="1" max="1" width="2.42578125" customWidth="1"/>
    <col min="2" max="2" width="14.7109375" customWidth="1"/>
    <col min="3" max="3" width="12.28515625" customWidth="1"/>
    <col min="4" max="4" width="11.140625" customWidth="1"/>
    <col min="5" max="5" width="9.28515625" customWidth="1"/>
    <col min="6" max="6" width="7.140625" customWidth="1"/>
    <col min="7" max="7" width="10.42578125" customWidth="1"/>
    <col min="8" max="8" width="11.42578125" customWidth="1"/>
    <col min="9" max="9" width="12.85546875" bestFit="1" customWidth="1"/>
  </cols>
  <sheetData>
    <row r="1" spans="1:9" ht="13.5">
      <c r="A1" s="791"/>
      <c r="B1" s="791"/>
      <c r="C1" s="791"/>
      <c r="D1" s="791"/>
      <c r="E1" s="1141"/>
      <c r="F1" s="791"/>
      <c r="G1" s="791"/>
      <c r="H1" s="791"/>
    </row>
    <row r="2" spans="1:9" ht="25.5">
      <c r="A2" s="791"/>
      <c r="B2" s="789" t="s">
        <v>0</v>
      </c>
      <c r="C2" s="737" t="s">
        <v>237</v>
      </c>
      <c r="D2" s="791"/>
      <c r="E2" s="791"/>
      <c r="F2" s="791"/>
      <c r="G2" s="791"/>
      <c r="H2" s="791"/>
    </row>
    <row r="3" spans="1:9" ht="16.5" customHeight="1">
      <c r="A3" s="791"/>
      <c r="B3" s="875" t="s">
        <v>238</v>
      </c>
      <c r="C3" s="1142">
        <v>73091071</v>
      </c>
      <c r="D3" s="791"/>
      <c r="E3" s="791"/>
      <c r="F3" s="791"/>
      <c r="G3" s="791"/>
      <c r="H3" s="791"/>
    </row>
    <row r="4" spans="1:9" ht="13.5">
      <c r="A4" s="791"/>
      <c r="B4" s="1330" t="s">
        <v>4</v>
      </c>
      <c r="C4" s="724" t="s">
        <v>239</v>
      </c>
      <c r="D4" s="854"/>
      <c r="E4" s="791"/>
      <c r="F4" s="791"/>
      <c r="G4" s="791"/>
      <c r="H4" s="791"/>
    </row>
    <row r="5" spans="1:9" ht="13.5">
      <c r="A5" s="791"/>
      <c r="B5" s="728" t="s">
        <v>2</v>
      </c>
      <c r="C5" s="887" t="s">
        <v>240</v>
      </c>
      <c r="D5" s="737"/>
      <c r="E5" s="791"/>
      <c r="F5" s="791"/>
      <c r="G5" s="791"/>
      <c r="H5" s="791"/>
    </row>
    <row r="6" spans="1:9" ht="13.5">
      <c r="A6" s="791"/>
      <c r="B6" s="728" t="s">
        <v>241</v>
      </c>
      <c r="C6" s="737" t="s">
        <v>242</v>
      </c>
      <c r="D6" s="791"/>
      <c r="E6" s="791"/>
      <c r="F6" s="791"/>
      <c r="G6" s="791"/>
      <c r="H6" s="791"/>
    </row>
    <row r="7" spans="1:9" ht="13.5">
      <c r="A7" s="791"/>
      <c r="B7" s="728" t="s">
        <v>124</v>
      </c>
      <c r="C7" s="737" t="s">
        <v>243</v>
      </c>
      <c r="D7" s="737"/>
      <c r="E7" s="791"/>
      <c r="F7" s="791"/>
      <c r="G7" s="791"/>
      <c r="H7" s="791"/>
    </row>
    <row r="8" spans="1:9" ht="13.5">
      <c r="A8" s="791"/>
      <c r="B8" s="888" t="s">
        <v>244</v>
      </c>
      <c r="C8" s="737"/>
      <c r="D8" s="791"/>
      <c r="E8" s="791"/>
      <c r="F8" s="791"/>
      <c r="G8" s="791"/>
      <c r="H8" s="791"/>
    </row>
    <row r="9" spans="1:9" ht="13.5">
      <c r="A9" s="791"/>
      <c r="B9" s="726" t="s">
        <v>245</v>
      </c>
      <c r="C9" s="737"/>
      <c r="D9" s="791"/>
      <c r="E9" s="791"/>
      <c r="F9" s="791"/>
      <c r="G9" s="791"/>
      <c r="H9" s="791"/>
    </row>
    <row r="10" spans="1:9" ht="13.5">
      <c r="A10" s="791"/>
      <c r="B10" s="726" t="s">
        <v>246</v>
      </c>
      <c r="C10" s="850">
        <v>457783</v>
      </c>
      <c r="D10" s="791"/>
      <c r="E10" s="791"/>
      <c r="F10" s="791"/>
      <c r="G10" s="791"/>
      <c r="H10" s="791"/>
    </row>
    <row r="11" spans="1:9" ht="13.5">
      <c r="A11" s="791"/>
      <c r="B11" s="726" t="s">
        <v>247</v>
      </c>
      <c r="C11" s="850">
        <v>489828</v>
      </c>
      <c r="D11" s="791"/>
      <c r="E11" s="791"/>
      <c r="F11" s="791"/>
      <c r="G11" s="791"/>
      <c r="H11" s="791"/>
    </row>
    <row r="12" spans="1:9" ht="13.5">
      <c r="A12" s="791"/>
      <c r="B12" s="791"/>
      <c r="C12" s="791"/>
      <c r="D12" s="791"/>
      <c r="E12" s="791"/>
      <c r="F12" s="791"/>
      <c r="G12" s="791"/>
      <c r="H12" s="791"/>
    </row>
    <row r="13" spans="1:9" ht="39.75" customHeight="1">
      <c r="A13" s="791"/>
      <c r="B13" s="888" t="s">
        <v>248</v>
      </c>
      <c r="C13" s="1331">
        <v>36892</v>
      </c>
      <c r="D13" s="1331">
        <v>37621</v>
      </c>
      <c r="E13" s="1190" t="s">
        <v>249</v>
      </c>
      <c r="F13" s="1329">
        <v>94.07</v>
      </c>
      <c r="G13" s="791"/>
      <c r="H13" s="791"/>
    </row>
    <row r="14" spans="1:9" ht="13.5">
      <c r="A14" s="791"/>
      <c r="B14" s="2559" t="s">
        <v>250</v>
      </c>
      <c r="C14" s="2559"/>
      <c r="D14" s="2559"/>
      <c r="E14" s="2559"/>
      <c r="F14" s="2559"/>
      <c r="G14" s="2559"/>
      <c r="H14" s="2559"/>
    </row>
    <row r="15" spans="1:9" ht="26.25" customHeight="1">
      <c r="A15" s="791"/>
      <c r="B15" s="761" t="s">
        <v>206</v>
      </c>
      <c r="C15" s="761" t="s">
        <v>10</v>
      </c>
      <c r="D15" s="1112" t="s">
        <v>251</v>
      </c>
      <c r="E15" s="1112" t="s">
        <v>252</v>
      </c>
      <c r="F15" s="761" t="s">
        <v>76</v>
      </c>
      <c r="G15" s="761" t="s">
        <v>77</v>
      </c>
      <c r="H15" s="761" t="s">
        <v>253</v>
      </c>
    </row>
    <row r="16" spans="1:9" ht="13.5">
      <c r="A16" s="791">
        <v>1</v>
      </c>
      <c r="B16" s="724">
        <v>36892</v>
      </c>
      <c r="C16" s="724">
        <v>36922</v>
      </c>
      <c r="D16" s="883">
        <f>+$C$10*8%</f>
        <v>36622.639999999999</v>
      </c>
      <c r="E16" s="883">
        <f>+$C$10*10.13%</f>
        <v>46373.4179</v>
      </c>
      <c r="F16" s="741">
        <v>43.72</v>
      </c>
      <c r="G16" s="741">
        <f t="shared" ref="G16:G39" si="0">$F$13/F16</f>
        <v>2.1516468435498628</v>
      </c>
      <c r="H16" s="883">
        <f>+(D16+E16)*G16</f>
        <v>178578.20600761665</v>
      </c>
      <c r="I16" s="188" t="s">
        <v>254</v>
      </c>
    </row>
    <row r="17" spans="1:9" ht="13.5">
      <c r="A17" s="791">
        <v>2</v>
      </c>
      <c r="B17" s="724">
        <v>36923</v>
      </c>
      <c r="C17" s="724">
        <v>36950</v>
      </c>
      <c r="D17" s="883">
        <f t="shared" ref="D17:D27" si="1">+$C$10*8%</f>
        <v>36622.639999999999</v>
      </c>
      <c r="E17" s="883">
        <f t="shared" ref="E17:E27" si="2">+$C$10*10.13%</f>
        <v>46373.4179</v>
      </c>
      <c r="F17" s="741">
        <v>44.55</v>
      </c>
      <c r="G17" s="741">
        <f t="shared" si="0"/>
        <v>2.1115600448933782</v>
      </c>
      <c r="H17" s="883">
        <f t="shared" ref="H17:H39" si="3">+(D17+E17)*G17</f>
        <v>175251.15974529742</v>
      </c>
      <c r="I17" s="188"/>
    </row>
    <row r="18" spans="1:9" ht="13.5">
      <c r="A18" s="791">
        <v>3</v>
      </c>
      <c r="B18" s="724">
        <v>36951</v>
      </c>
      <c r="C18" s="724">
        <v>36981</v>
      </c>
      <c r="D18" s="883">
        <f t="shared" si="1"/>
        <v>36622.639999999999</v>
      </c>
      <c r="E18" s="883">
        <f t="shared" si="2"/>
        <v>46373.4179</v>
      </c>
      <c r="F18" s="741">
        <v>45.21</v>
      </c>
      <c r="G18" s="741">
        <f t="shared" si="0"/>
        <v>2.0807343508073433</v>
      </c>
      <c r="H18" s="883">
        <f t="shared" si="3"/>
        <v>172692.74865412517</v>
      </c>
    </row>
    <row r="19" spans="1:9" ht="13.5">
      <c r="A19" s="791">
        <v>4</v>
      </c>
      <c r="B19" s="724">
        <v>36982</v>
      </c>
      <c r="C19" s="724">
        <v>37011</v>
      </c>
      <c r="D19" s="883">
        <f t="shared" si="1"/>
        <v>36622.639999999999</v>
      </c>
      <c r="E19" s="883">
        <f t="shared" si="2"/>
        <v>46373.4179</v>
      </c>
      <c r="F19" s="741">
        <v>45.73</v>
      </c>
      <c r="G19" s="741">
        <f t="shared" si="0"/>
        <v>2.0570741307675489</v>
      </c>
      <c r="H19" s="883">
        <f t="shared" si="3"/>
        <v>170729.04366177565</v>
      </c>
    </row>
    <row r="20" spans="1:9" ht="13.5">
      <c r="A20" s="791">
        <v>5</v>
      </c>
      <c r="B20" s="724">
        <v>37012</v>
      </c>
      <c r="C20" s="724">
        <v>37042</v>
      </c>
      <c r="D20" s="883">
        <f t="shared" si="1"/>
        <v>36622.639999999999</v>
      </c>
      <c r="E20" s="883">
        <f t="shared" si="2"/>
        <v>46373.4179</v>
      </c>
      <c r="F20" s="741">
        <v>45.92</v>
      </c>
      <c r="G20" s="741">
        <f t="shared" si="0"/>
        <v>2.0485627177700345</v>
      </c>
      <c r="H20" s="883">
        <f t="shared" si="3"/>
        <v>170022.62993582315</v>
      </c>
    </row>
    <row r="21" spans="1:9" ht="13.5">
      <c r="A21" s="791">
        <v>6</v>
      </c>
      <c r="B21" s="724">
        <v>37043</v>
      </c>
      <c r="C21" s="724">
        <v>37072</v>
      </c>
      <c r="D21" s="883">
        <f t="shared" si="1"/>
        <v>36622.639999999999</v>
      </c>
      <c r="E21" s="883">
        <f t="shared" si="2"/>
        <v>46373.4179</v>
      </c>
      <c r="F21" s="741">
        <v>45.94</v>
      </c>
      <c r="G21" s="741">
        <f t="shared" si="0"/>
        <v>2.0476708750544188</v>
      </c>
      <c r="H21" s="883">
        <f t="shared" si="3"/>
        <v>169948.61050616021</v>
      </c>
    </row>
    <row r="22" spans="1:9" ht="13.5">
      <c r="A22" s="791">
        <v>7</v>
      </c>
      <c r="B22" s="724">
        <v>37073</v>
      </c>
      <c r="C22" s="724">
        <v>37103</v>
      </c>
      <c r="D22" s="883">
        <f t="shared" si="1"/>
        <v>36622.639999999999</v>
      </c>
      <c r="E22" s="883">
        <f t="shared" si="2"/>
        <v>46373.4179</v>
      </c>
      <c r="F22" s="741">
        <v>45.99</v>
      </c>
      <c r="G22" s="741">
        <f t="shared" si="0"/>
        <v>2.045444661883018</v>
      </c>
      <c r="H22" s="883">
        <f t="shared" si="3"/>
        <v>169763.84358888888</v>
      </c>
    </row>
    <row r="23" spans="1:9" ht="13.5">
      <c r="A23" s="791">
        <v>8</v>
      </c>
      <c r="B23" s="724">
        <v>37104</v>
      </c>
      <c r="C23" s="724">
        <v>37134</v>
      </c>
      <c r="D23" s="883">
        <f t="shared" si="1"/>
        <v>36622.639999999999</v>
      </c>
      <c r="E23" s="883">
        <f t="shared" si="2"/>
        <v>46373.4179</v>
      </c>
      <c r="F23" s="741">
        <v>46.11</v>
      </c>
      <c r="G23" s="741">
        <f t="shared" si="0"/>
        <v>2.0401214487096073</v>
      </c>
      <c r="H23" s="883">
        <f t="shared" si="3"/>
        <v>169322.03788013445</v>
      </c>
    </row>
    <row r="24" spans="1:9" ht="13.5">
      <c r="A24" s="791">
        <v>9</v>
      </c>
      <c r="B24" s="724">
        <v>37135</v>
      </c>
      <c r="C24" s="724">
        <v>37164</v>
      </c>
      <c r="D24" s="883">
        <f t="shared" si="1"/>
        <v>36622.639999999999</v>
      </c>
      <c r="E24" s="883">
        <f t="shared" si="2"/>
        <v>46373.4179</v>
      </c>
      <c r="F24" s="741">
        <v>46.28</v>
      </c>
      <c r="G24" s="741">
        <f t="shared" si="0"/>
        <v>2.0326274848746757</v>
      </c>
      <c r="H24" s="883">
        <f t="shared" si="3"/>
        <v>168700.06842378995</v>
      </c>
    </row>
    <row r="25" spans="1:9" ht="13.5">
      <c r="A25" s="791">
        <v>10</v>
      </c>
      <c r="B25" s="724">
        <v>37165</v>
      </c>
      <c r="C25" s="724">
        <v>37195</v>
      </c>
      <c r="D25" s="883">
        <f t="shared" si="1"/>
        <v>36622.639999999999</v>
      </c>
      <c r="E25" s="883">
        <f t="shared" si="2"/>
        <v>46373.4179</v>
      </c>
      <c r="F25" s="741">
        <v>46.37</v>
      </c>
      <c r="G25" s="741">
        <f t="shared" si="0"/>
        <v>2.0286823377183523</v>
      </c>
      <c r="H25" s="883">
        <f t="shared" si="3"/>
        <v>168372.63676197972</v>
      </c>
    </row>
    <row r="26" spans="1:9" ht="13.5">
      <c r="A26" s="791">
        <v>11</v>
      </c>
      <c r="B26" s="724">
        <v>37196</v>
      </c>
      <c r="C26" s="724">
        <v>37225</v>
      </c>
      <c r="D26" s="883">
        <f t="shared" si="1"/>
        <v>36622.639999999999</v>
      </c>
      <c r="E26" s="883">
        <f t="shared" si="2"/>
        <v>46373.4179</v>
      </c>
      <c r="F26" s="741">
        <v>46.42</v>
      </c>
      <c r="G26" s="741">
        <f t="shared" si="0"/>
        <v>2.0264971994829812</v>
      </c>
      <c r="H26" s="883">
        <f t="shared" si="3"/>
        <v>168191.27890247735</v>
      </c>
    </row>
    <row r="27" spans="1:9" ht="13.5">
      <c r="A27" s="791">
        <v>12</v>
      </c>
      <c r="B27" s="724">
        <v>37226</v>
      </c>
      <c r="C27" s="724">
        <v>37256</v>
      </c>
      <c r="D27" s="883">
        <f t="shared" si="1"/>
        <v>36622.639999999999</v>
      </c>
      <c r="E27" s="883">
        <f t="shared" si="2"/>
        <v>46373.4179</v>
      </c>
      <c r="F27" s="741">
        <v>46.58</v>
      </c>
      <c r="G27" s="741">
        <f t="shared" si="0"/>
        <v>2.019536281665951</v>
      </c>
      <c r="H27" s="883">
        <f t="shared" si="3"/>
        <v>167613.55016429798</v>
      </c>
    </row>
    <row r="28" spans="1:9" s="60" customFormat="1" ht="13.5">
      <c r="A28" s="1086">
        <v>13</v>
      </c>
      <c r="B28" s="821">
        <v>37257</v>
      </c>
      <c r="C28" s="821">
        <v>37287</v>
      </c>
      <c r="D28" s="1144">
        <f>+$C$11*8%</f>
        <v>39186.239999999998</v>
      </c>
      <c r="E28" s="1144">
        <f>+$C$11*10.13%</f>
        <v>49619.576399999998</v>
      </c>
      <c r="F28" s="1145">
        <v>46.95</v>
      </c>
      <c r="G28" s="1145">
        <f t="shared" si="0"/>
        <v>2.0036208732694352</v>
      </c>
      <c r="H28" s="1144">
        <f t="shared" si="3"/>
        <v>177933.18740677313</v>
      </c>
    </row>
    <row r="29" spans="1:9" s="60" customFormat="1" ht="13.5">
      <c r="A29" s="1086">
        <v>14</v>
      </c>
      <c r="B29" s="821">
        <v>37288</v>
      </c>
      <c r="C29" s="821">
        <v>37315</v>
      </c>
      <c r="D29" s="1144">
        <f t="shared" ref="D29:D39" si="4">+$C$11*8%</f>
        <v>39186.239999999998</v>
      </c>
      <c r="E29" s="1144">
        <f t="shared" ref="E29:E39" si="5">+$C$11*10.13%</f>
        <v>49619.576399999998</v>
      </c>
      <c r="F29" s="1145">
        <v>47.54</v>
      </c>
      <c r="G29" s="1145">
        <f t="shared" si="0"/>
        <v>1.9787547328565418</v>
      </c>
      <c r="H29" s="1144">
        <f t="shared" si="3"/>
        <v>175724.92950668908</v>
      </c>
    </row>
    <row r="30" spans="1:9" s="60" customFormat="1" ht="13.5">
      <c r="A30" s="1086">
        <v>15</v>
      </c>
      <c r="B30" s="821">
        <v>37316</v>
      </c>
      <c r="C30" s="821">
        <v>37346</v>
      </c>
      <c r="D30" s="1144">
        <f t="shared" si="4"/>
        <v>39186.239999999998</v>
      </c>
      <c r="E30" s="1144">
        <f t="shared" si="5"/>
        <v>49619.576399999998</v>
      </c>
      <c r="F30" s="1145">
        <v>47.87</v>
      </c>
      <c r="G30" s="1145">
        <f t="shared" si="0"/>
        <v>1.9651138500104448</v>
      </c>
      <c r="H30" s="1144">
        <f t="shared" si="3"/>
        <v>174513.53976912471</v>
      </c>
    </row>
    <row r="31" spans="1:9" s="60" customFormat="1" ht="13.5">
      <c r="A31" s="1086">
        <v>16</v>
      </c>
      <c r="B31" s="821">
        <v>37347</v>
      </c>
      <c r="C31" s="821">
        <v>37376</v>
      </c>
      <c r="D31" s="1144">
        <f t="shared" si="4"/>
        <v>39186.239999999998</v>
      </c>
      <c r="E31" s="1144">
        <f t="shared" si="5"/>
        <v>49619.576399999998</v>
      </c>
      <c r="F31" s="1145">
        <v>48.31</v>
      </c>
      <c r="G31" s="1145">
        <f t="shared" si="0"/>
        <v>1.9472158973297451</v>
      </c>
      <c r="H31" s="1144">
        <f t="shared" si="3"/>
        <v>172924.09746942658</v>
      </c>
    </row>
    <row r="32" spans="1:9" s="60" customFormat="1" ht="13.5">
      <c r="A32" s="1086">
        <v>17</v>
      </c>
      <c r="B32" s="821">
        <v>37377</v>
      </c>
      <c r="C32" s="821">
        <v>37407</v>
      </c>
      <c r="D32" s="1144">
        <f t="shared" si="4"/>
        <v>39186.239999999998</v>
      </c>
      <c r="E32" s="1144">
        <f t="shared" si="5"/>
        <v>49619.576399999998</v>
      </c>
      <c r="F32" s="1145">
        <v>48.6</v>
      </c>
      <c r="G32" s="1145">
        <f t="shared" si="0"/>
        <v>1.9355967078189298</v>
      </c>
      <c r="H32" s="1144">
        <f t="shared" si="3"/>
        <v>171892.24585901233</v>
      </c>
    </row>
    <row r="33" spans="1:8" s="60" customFormat="1" ht="13.5">
      <c r="A33" s="1086">
        <v>18</v>
      </c>
      <c r="B33" s="821">
        <v>37408</v>
      </c>
      <c r="C33" s="821">
        <v>37437</v>
      </c>
      <c r="D33" s="1144">
        <f t="shared" si="4"/>
        <v>39186.239999999998</v>
      </c>
      <c r="E33" s="1144">
        <f t="shared" si="5"/>
        <v>49619.576399999998</v>
      </c>
      <c r="F33" s="1145">
        <v>48.81</v>
      </c>
      <c r="G33" s="1145">
        <f t="shared" si="0"/>
        <v>1.9272690022536363</v>
      </c>
      <c r="H33" s="1144">
        <f t="shared" si="3"/>
        <v>171152.69716754759</v>
      </c>
    </row>
    <row r="34" spans="1:8" s="60" customFormat="1" ht="13.5">
      <c r="A34" s="1086">
        <v>19</v>
      </c>
      <c r="B34" s="821">
        <v>37438</v>
      </c>
      <c r="C34" s="821">
        <v>37468</v>
      </c>
      <c r="D34" s="1144">
        <f t="shared" si="4"/>
        <v>39186.239999999998</v>
      </c>
      <c r="E34" s="1144">
        <f t="shared" si="5"/>
        <v>49619.576399999998</v>
      </c>
      <c r="F34" s="1145">
        <v>48.82</v>
      </c>
      <c r="G34" s="1145">
        <f t="shared" si="0"/>
        <v>1.9268742318721834</v>
      </c>
      <c r="H34" s="1144">
        <f t="shared" si="3"/>
        <v>171117.63926153214</v>
      </c>
    </row>
    <row r="35" spans="1:8" s="60" customFormat="1" ht="13.5">
      <c r="A35" s="1086">
        <v>20</v>
      </c>
      <c r="B35" s="821">
        <v>37469</v>
      </c>
      <c r="C35" s="821">
        <v>37499</v>
      </c>
      <c r="D35" s="1144">
        <f t="shared" si="4"/>
        <v>39186.239999999998</v>
      </c>
      <c r="E35" s="1144">
        <f t="shared" si="5"/>
        <v>49619.576399999998</v>
      </c>
      <c r="F35" s="1145">
        <v>48.87</v>
      </c>
      <c r="G35" s="1145">
        <f t="shared" si="0"/>
        <v>1.924902803355842</v>
      </c>
      <c r="H35" s="1144">
        <f t="shared" si="3"/>
        <v>170942.5649426642</v>
      </c>
    </row>
    <row r="36" spans="1:8" s="60" customFormat="1" ht="13.5">
      <c r="A36" s="1086">
        <v>21</v>
      </c>
      <c r="B36" s="821">
        <v>37500</v>
      </c>
      <c r="C36" s="821">
        <v>37529</v>
      </c>
      <c r="D36" s="1144">
        <f t="shared" si="4"/>
        <v>39186.239999999998</v>
      </c>
      <c r="E36" s="1144">
        <f t="shared" si="5"/>
        <v>49619.576399999998</v>
      </c>
      <c r="F36" s="1145">
        <v>49.04</v>
      </c>
      <c r="G36" s="1145">
        <f t="shared" si="0"/>
        <v>1.9182300163132135</v>
      </c>
      <c r="H36" s="1144">
        <f t="shared" si="3"/>
        <v>170349.98264168025</v>
      </c>
    </row>
    <row r="37" spans="1:8" s="60" customFormat="1" ht="13.5">
      <c r="A37" s="1086">
        <v>22</v>
      </c>
      <c r="B37" s="821">
        <v>37530</v>
      </c>
      <c r="C37" s="821">
        <v>37560</v>
      </c>
      <c r="D37" s="1144">
        <f t="shared" si="4"/>
        <v>39186.239999999998</v>
      </c>
      <c r="E37" s="1144">
        <f t="shared" si="5"/>
        <v>49619.576399999998</v>
      </c>
      <c r="F37" s="1145">
        <v>49.32</v>
      </c>
      <c r="G37" s="1145">
        <f t="shared" si="0"/>
        <v>1.9073398215733981</v>
      </c>
      <c r="H37" s="1144">
        <f t="shared" si="3"/>
        <v>169382.87000705596</v>
      </c>
    </row>
    <row r="38" spans="1:8" s="60" customFormat="1" ht="13.5">
      <c r="A38" s="1086">
        <v>23</v>
      </c>
      <c r="B38" s="821">
        <v>37561</v>
      </c>
      <c r="C38" s="821">
        <v>37590</v>
      </c>
      <c r="D38" s="1144">
        <f t="shared" si="4"/>
        <v>39186.239999999998</v>
      </c>
      <c r="E38" s="1144">
        <f t="shared" si="5"/>
        <v>49619.576399999998</v>
      </c>
      <c r="F38" s="1192">
        <v>49.7</v>
      </c>
      <c r="G38" s="1145">
        <f t="shared" si="0"/>
        <v>1.8927565392354122</v>
      </c>
      <c r="H38" s="1144">
        <f t="shared" si="3"/>
        <v>168087.78971323941</v>
      </c>
    </row>
    <row r="39" spans="1:8" s="60" customFormat="1" ht="13.5">
      <c r="A39" s="1086">
        <v>24</v>
      </c>
      <c r="B39" s="821">
        <v>37591</v>
      </c>
      <c r="C39" s="821">
        <v>37621</v>
      </c>
      <c r="D39" s="1144">
        <f t="shared" si="4"/>
        <v>39186.239999999998</v>
      </c>
      <c r="E39" s="1144">
        <f t="shared" si="5"/>
        <v>49619.576399999998</v>
      </c>
      <c r="F39" s="1145">
        <v>49.83</v>
      </c>
      <c r="G39" s="1145">
        <f t="shared" si="0"/>
        <v>1.8878185831828216</v>
      </c>
      <c r="H39" s="1144">
        <f t="shared" si="3"/>
        <v>167649.27049464177</v>
      </c>
    </row>
    <row r="40" spans="1:8" ht="14.25" thickBot="1">
      <c r="A40" s="791"/>
      <c r="B40" s="791"/>
      <c r="C40" s="791"/>
      <c r="D40" s="791"/>
      <c r="E40" s="791"/>
      <c r="F40" s="791"/>
      <c r="G40" s="889" t="s">
        <v>97</v>
      </c>
      <c r="H40" s="890">
        <f>SUM(H16:H39)</f>
        <v>4110856.6284717526</v>
      </c>
    </row>
    <row r="41" spans="1:8" ht="39" thickTop="1">
      <c r="A41" s="791"/>
      <c r="B41" s="884" t="s">
        <v>255</v>
      </c>
      <c r="C41" s="851">
        <v>489828</v>
      </c>
      <c r="D41" s="791"/>
      <c r="E41" s="791"/>
      <c r="F41" s="791"/>
      <c r="G41" s="791"/>
      <c r="H41" s="791"/>
    </row>
    <row r="42" spans="1:8" ht="38.25">
      <c r="A42" s="791"/>
      <c r="B42" s="884" t="s">
        <v>256</v>
      </c>
      <c r="C42" s="851">
        <v>489828</v>
      </c>
      <c r="D42" s="791"/>
      <c r="E42" s="791"/>
      <c r="F42" s="791"/>
      <c r="G42" s="791"/>
      <c r="H42" s="791"/>
    </row>
    <row r="43" spans="1:8" ht="13.5">
      <c r="A43" s="791"/>
      <c r="B43" s="848" t="s">
        <v>257</v>
      </c>
      <c r="C43" s="885">
        <v>37681</v>
      </c>
      <c r="D43" s="885">
        <v>38122</v>
      </c>
      <c r="E43" s="791"/>
      <c r="F43" s="791"/>
      <c r="G43" s="791"/>
      <c r="H43" s="791"/>
    </row>
    <row r="44" spans="1:8" ht="13.5">
      <c r="A44" s="791"/>
      <c r="B44" s="2559" t="s">
        <v>250</v>
      </c>
      <c r="C44" s="2559"/>
      <c r="D44" s="2559"/>
      <c r="E44" s="2559"/>
      <c r="F44" s="2559"/>
      <c r="G44" s="2559"/>
      <c r="H44" s="2559"/>
    </row>
    <row r="45" spans="1:8" ht="13.5">
      <c r="A45" s="791"/>
      <c r="B45" s="761" t="s">
        <v>206</v>
      </c>
      <c r="C45" s="761" t="s">
        <v>10</v>
      </c>
      <c r="D45" s="735" t="s">
        <v>251</v>
      </c>
      <c r="E45" s="735" t="s">
        <v>252</v>
      </c>
      <c r="F45" s="734" t="s">
        <v>76</v>
      </c>
      <c r="G45" s="734" t="s">
        <v>77</v>
      </c>
      <c r="H45" s="734" t="s">
        <v>253</v>
      </c>
    </row>
    <row r="46" spans="1:8" ht="13.5">
      <c r="A46" s="791"/>
      <c r="B46" s="724">
        <v>37681</v>
      </c>
      <c r="C46" s="724">
        <v>37711</v>
      </c>
      <c r="D46" s="883">
        <f>+$C$41*8%</f>
        <v>39186.239999999998</v>
      </c>
      <c r="E46" s="883">
        <f>+$C$41*10.13%</f>
        <v>49619.576399999998</v>
      </c>
      <c r="F46" s="741">
        <v>51.51</v>
      </c>
      <c r="G46" s="741">
        <f>$F$13/F46</f>
        <v>1.8262473306154143</v>
      </c>
      <c r="H46" s="883">
        <f t="shared" ref="H46:H60" si="6">+(D46+E46)*G46</f>
        <v>162181.38514362258</v>
      </c>
    </row>
    <row r="47" spans="1:8" ht="13.5">
      <c r="A47" s="791"/>
      <c r="B47" s="724">
        <v>37712</v>
      </c>
      <c r="C47" s="724">
        <v>37741</v>
      </c>
      <c r="D47" s="883">
        <f t="shared" ref="D47:D60" si="7">+$C$41*8%</f>
        <v>39186.239999999998</v>
      </c>
      <c r="E47" s="883">
        <f t="shared" ref="E47:E60" si="8">+$C$41*10.13%</f>
        <v>49619.576399999998</v>
      </c>
      <c r="F47" s="1191">
        <v>52.1</v>
      </c>
      <c r="G47" s="741">
        <f t="shared" ref="G47:G60" si="9">$F$13/F47</f>
        <v>1.8055662188099806</v>
      </c>
      <c r="H47" s="883">
        <f t="shared" si="6"/>
        <v>160344.78212568135</v>
      </c>
    </row>
    <row r="48" spans="1:8" ht="13.5">
      <c r="A48" s="791"/>
      <c r="B48" s="724">
        <v>37742</v>
      </c>
      <c r="C48" s="724">
        <v>37772</v>
      </c>
      <c r="D48" s="883">
        <f t="shared" si="7"/>
        <v>39186.239999999998</v>
      </c>
      <c r="E48" s="883">
        <f t="shared" si="8"/>
        <v>49619.576399999998</v>
      </c>
      <c r="F48" s="741">
        <v>52.36</v>
      </c>
      <c r="G48" s="741">
        <f t="shared" si="9"/>
        <v>1.7966004583651642</v>
      </c>
      <c r="H48" s="883">
        <f t="shared" si="6"/>
        <v>159548.57044973262</v>
      </c>
    </row>
    <row r="49" spans="1:8" ht="13.5">
      <c r="A49" s="791"/>
      <c r="B49" s="724">
        <v>37773</v>
      </c>
      <c r="C49" s="724">
        <v>37802</v>
      </c>
      <c r="D49" s="883">
        <f t="shared" si="7"/>
        <v>39186.239999999998</v>
      </c>
      <c r="E49" s="883">
        <f t="shared" si="8"/>
        <v>49619.576399999998</v>
      </c>
      <c r="F49" s="741">
        <v>52.33</v>
      </c>
      <c r="G49" s="741">
        <f t="shared" si="9"/>
        <v>1.7976304223198929</v>
      </c>
      <c r="H49" s="883">
        <f t="shared" si="6"/>
        <v>159640.03723959485</v>
      </c>
    </row>
    <row r="50" spans="1:8" ht="13.5">
      <c r="A50" s="791"/>
      <c r="B50" s="724">
        <v>37803</v>
      </c>
      <c r="C50" s="724">
        <v>37833</v>
      </c>
      <c r="D50" s="883">
        <f t="shared" si="7"/>
        <v>39186.239999999998</v>
      </c>
      <c r="E50" s="883">
        <f t="shared" si="8"/>
        <v>49619.576399999998</v>
      </c>
      <c r="F50" s="741">
        <v>52.26</v>
      </c>
      <c r="G50" s="741">
        <f t="shared" si="9"/>
        <v>1.8000382701875239</v>
      </c>
      <c r="H50" s="883">
        <f t="shared" si="6"/>
        <v>159853.86813524683</v>
      </c>
    </row>
    <row r="51" spans="1:8" ht="13.5">
      <c r="A51" s="791"/>
      <c r="B51" s="724">
        <v>37834</v>
      </c>
      <c r="C51" s="724">
        <v>37864</v>
      </c>
      <c r="D51" s="883">
        <f t="shared" si="7"/>
        <v>39186.239999999998</v>
      </c>
      <c r="E51" s="883">
        <f t="shared" si="8"/>
        <v>49619.576399999998</v>
      </c>
      <c r="F51" s="741">
        <v>52.42</v>
      </c>
      <c r="G51" s="741">
        <f t="shared" si="9"/>
        <v>1.7945440671499426</v>
      </c>
      <c r="H51" s="883">
        <f t="shared" si="6"/>
        <v>159365.95094902706</v>
      </c>
    </row>
    <row r="52" spans="1:8" ht="13.5">
      <c r="A52" s="791"/>
      <c r="B52" s="724">
        <v>37865</v>
      </c>
      <c r="C52" s="724">
        <v>37894</v>
      </c>
      <c r="D52" s="883">
        <f t="shared" si="7"/>
        <v>39186.239999999998</v>
      </c>
      <c r="E52" s="883">
        <f t="shared" si="8"/>
        <v>49619.576399999998</v>
      </c>
      <c r="F52" s="741">
        <v>52.53</v>
      </c>
      <c r="G52" s="741">
        <f t="shared" si="9"/>
        <v>1.790786217399581</v>
      </c>
      <c r="H52" s="883">
        <f t="shared" si="6"/>
        <v>159032.23203403768</v>
      </c>
    </row>
    <row r="53" spans="1:8" ht="13.5">
      <c r="A53" s="791"/>
      <c r="B53" s="724">
        <v>37895</v>
      </c>
      <c r="C53" s="724">
        <v>37925</v>
      </c>
      <c r="D53" s="883">
        <f t="shared" si="7"/>
        <v>39186.239999999998</v>
      </c>
      <c r="E53" s="883">
        <f t="shared" si="8"/>
        <v>49619.576399999998</v>
      </c>
      <c r="F53" s="741">
        <v>52.56</v>
      </c>
      <c r="G53" s="741">
        <f t="shared" si="9"/>
        <v>1.7897640791476406</v>
      </c>
      <c r="H53" s="883">
        <f t="shared" si="6"/>
        <v>158941.46021210044</v>
      </c>
    </row>
    <row r="54" spans="1:8" ht="13.5">
      <c r="A54" s="791"/>
      <c r="B54" s="724">
        <v>37926</v>
      </c>
      <c r="C54" s="724">
        <v>37955</v>
      </c>
      <c r="D54" s="883">
        <f t="shared" si="7"/>
        <v>39186.239999999998</v>
      </c>
      <c r="E54" s="883">
        <f t="shared" si="8"/>
        <v>49619.576399999998</v>
      </c>
      <c r="F54" s="741">
        <v>52.75</v>
      </c>
      <c r="G54" s="741">
        <f t="shared" si="9"/>
        <v>1.7833175355450235</v>
      </c>
      <c r="H54" s="883">
        <f t="shared" si="6"/>
        <v>158368.96964451182</v>
      </c>
    </row>
    <row r="55" spans="1:8" ht="13.5">
      <c r="A55" s="791"/>
      <c r="B55" s="724">
        <v>37956</v>
      </c>
      <c r="C55" s="724">
        <v>37986</v>
      </c>
      <c r="D55" s="883">
        <f t="shared" si="7"/>
        <v>39186.239999999998</v>
      </c>
      <c r="E55" s="883">
        <f t="shared" si="8"/>
        <v>49619.576399999998</v>
      </c>
      <c r="F55" s="741">
        <v>53.07</v>
      </c>
      <c r="G55" s="741">
        <f t="shared" si="9"/>
        <v>1.7725645374034293</v>
      </c>
      <c r="H55" s="883">
        <f t="shared" si="6"/>
        <v>157414.04086579988</v>
      </c>
    </row>
    <row r="56" spans="1:8" ht="13.5">
      <c r="A56" s="791"/>
      <c r="B56" s="724">
        <v>37987</v>
      </c>
      <c r="C56" s="724">
        <v>38017</v>
      </c>
      <c r="D56" s="883">
        <f>+$C$41*8%</f>
        <v>39186.239999999998</v>
      </c>
      <c r="E56" s="883">
        <f>+$C$41*10.13%</f>
        <v>49619.576399999998</v>
      </c>
      <c r="F56" s="741">
        <v>53.54</v>
      </c>
      <c r="G56" s="741">
        <f t="shared" si="9"/>
        <v>1.7570041090773252</v>
      </c>
      <c r="H56" s="883">
        <f t="shared" si="6"/>
        <v>156032.18432476651</v>
      </c>
    </row>
    <row r="57" spans="1:8" ht="13.5">
      <c r="A57" s="791"/>
      <c r="B57" s="724">
        <v>38018</v>
      </c>
      <c r="C57" s="724">
        <v>38046</v>
      </c>
      <c r="D57" s="883">
        <f t="shared" si="7"/>
        <v>39186.239999999998</v>
      </c>
      <c r="E57" s="883">
        <f t="shared" si="8"/>
        <v>49619.576399999998</v>
      </c>
      <c r="F57" s="741">
        <v>54.18</v>
      </c>
      <c r="G57" s="741">
        <f t="shared" si="9"/>
        <v>1.7362495385751198</v>
      </c>
      <c r="H57" s="883">
        <f t="shared" si="6"/>
        <v>154189.0577472868</v>
      </c>
    </row>
    <row r="58" spans="1:8" ht="13.5">
      <c r="A58" s="791"/>
      <c r="B58" s="724">
        <v>38047</v>
      </c>
      <c r="C58" s="724">
        <v>38077</v>
      </c>
      <c r="D58" s="883">
        <f t="shared" si="7"/>
        <v>39186.239999999998</v>
      </c>
      <c r="E58" s="883">
        <f t="shared" si="8"/>
        <v>49619.576399999998</v>
      </c>
      <c r="F58" s="741">
        <v>54.71</v>
      </c>
      <c r="G58" s="741">
        <f t="shared" si="9"/>
        <v>1.71942972034363</v>
      </c>
      <c r="H58" s="883">
        <f t="shared" si="6"/>
        <v>152695.36005753974</v>
      </c>
    </row>
    <row r="59" spans="1:8" ht="13.5">
      <c r="A59" s="791"/>
      <c r="B59" s="724">
        <v>38078</v>
      </c>
      <c r="C59" s="724">
        <v>38107</v>
      </c>
      <c r="D59" s="883">
        <f t="shared" si="7"/>
        <v>39186.239999999998</v>
      </c>
      <c r="E59" s="883">
        <f t="shared" si="8"/>
        <v>49619.576399999998</v>
      </c>
      <c r="F59" s="741">
        <v>54.96</v>
      </c>
      <c r="G59" s="741">
        <f t="shared" si="9"/>
        <v>1.7116084425036389</v>
      </c>
      <c r="H59" s="883">
        <f t="shared" si="6"/>
        <v>152000.78509366809</v>
      </c>
    </row>
    <row r="60" spans="1:8" ht="13.5">
      <c r="A60" s="791"/>
      <c r="B60" s="724">
        <v>38108</v>
      </c>
      <c r="C60" s="724">
        <v>38122</v>
      </c>
      <c r="D60" s="883">
        <f t="shared" si="7"/>
        <v>39186.239999999998</v>
      </c>
      <c r="E60" s="883">
        <f t="shared" si="8"/>
        <v>49619.576399999998</v>
      </c>
      <c r="F60" s="741">
        <v>55.17</v>
      </c>
      <c r="G60" s="741">
        <f t="shared" si="9"/>
        <v>1.7050933478339676</v>
      </c>
      <c r="H60" s="883">
        <f t="shared" si="6"/>
        <v>151422.20679260464</v>
      </c>
    </row>
    <row r="61" spans="1:8" ht="13.5">
      <c r="A61" s="791"/>
      <c r="B61" s="791"/>
      <c r="C61" s="791"/>
      <c r="D61" s="791"/>
      <c r="E61" s="791"/>
      <c r="F61" s="791"/>
      <c r="G61" s="728" t="s">
        <v>97</v>
      </c>
      <c r="H61" s="907">
        <f>SUM(H46:H60)</f>
        <v>2361030.8908152208</v>
      </c>
    </row>
    <row r="62" spans="1:8" ht="13.5">
      <c r="A62" s="791"/>
      <c r="B62" s="791"/>
      <c r="C62" s="791"/>
      <c r="D62" s="791"/>
      <c r="E62" s="791"/>
      <c r="F62" s="791"/>
      <c r="G62" s="791"/>
      <c r="H62" s="791"/>
    </row>
    <row r="63" spans="1:8" ht="36.75" customHeight="1">
      <c r="A63" s="791"/>
      <c r="B63" s="793" t="s">
        <v>258</v>
      </c>
      <c r="C63" s="922" t="s">
        <v>259</v>
      </c>
      <c r="D63" s="921" t="s">
        <v>260</v>
      </c>
      <c r="E63" s="761" t="s">
        <v>76</v>
      </c>
      <c r="F63" s="761" t="s">
        <v>77</v>
      </c>
      <c r="G63" s="761" t="s">
        <v>253</v>
      </c>
      <c r="H63" s="1143"/>
    </row>
    <row r="64" spans="1:8" ht="13.5">
      <c r="A64" s="791"/>
      <c r="B64" s="728" t="s">
        <v>261</v>
      </c>
      <c r="C64" s="791"/>
      <c r="D64" s="929"/>
      <c r="E64" s="737"/>
      <c r="F64" s="951"/>
      <c r="G64" s="951"/>
      <c r="H64" s="1143"/>
    </row>
    <row r="65" spans="1:10" ht="13.5">
      <c r="A65" s="791"/>
      <c r="B65" s="737" t="s">
        <v>262</v>
      </c>
      <c r="C65" s="929">
        <v>286000</v>
      </c>
      <c r="D65" s="929">
        <f>((C65/30)*28)</f>
        <v>266933.33333333337</v>
      </c>
      <c r="E65" s="737">
        <v>45.73</v>
      </c>
      <c r="F65" s="1188">
        <f>+$F$13/E65</f>
        <v>2.0570741307675489</v>
      </c>
      <c r="G65" s="883">
        <f>+D65*F65</f>
        <v>549101.65463955107</v>
      </c>
      <c r="H65" s="1143"/>
    </row>
    <row r="66" spans="1:10" ht="13.5">
      <c r="A66" s="791"/>
      <c r="B66" s="737" t="s">
        <v>263</v>
      </c>
      <c r="C66" s="929">
        <v>286000</v>
      </c>
      <c r="D66" s="929">
        <f>((C66/30)*28)</f>
        <v>266933.33333333337</v>
      </c>
      <c r="E66" s="737">
        <v>46.11</v>
      </c>
      <c r="F66" s="1188">
        <f>+$F$13/E66</f>
        <v>2.0401214487096073</v>
      </c>
      <c r="G66" s="883">
        <f t="shared" ref="G66:G77" si="10">+D66*F66</f>
        <v>544576.41870888462</v>
      </c>
      <c r="H66" s="1143"/>
    </row>
    <row r="67" spans="1:10" ht="13.5">
      <c r="A67" s="791"/>
      <c r="B67" s="737" t="s">
        <v>264</v>
      </c>
      <c r="C67" s="929">
        <v>286000</v>
      </c>
      <c r="D67" s="929">
        <f>((C67/30)*28)</f>
        <v>266933.33333333337</v>
      </c>
      <c r="E67" s="737">
        <v>46.58</v>
      </c>
      <c r="F67" s="1188">
        <f>+$F$13/E67</f>
        <v>2.019536281665951</v>
      </c>
      <c r="G67" s="883">
        <f t="shared" si="10"/>
        <v>539081.55145269795</v>
      </c>
      <c r="H67" s="1143"/>
    </row>
    <row r="68" spans="1:10" ht="13.5">
      <c r="A68" s="791"/>
      <c r="B68" s="728" t="s">
        <v>265</v>
      </c>
      <c r="C68" s="929"/>
      <c r="D68" s="929"/>
      <c r="E68" s="737"/>
      <c r="F68" s="954"/>
      <c r="G68" s="954"/>
      <c r="H68" s="1143"/>
    </row>
    <row r="69" spans="1:10" ht="13.5">
      <c r="A69" s="791"/>
      <c r="B69" s="737" t="s">
        <v>266</v>
      </c>
      <c r="C69" s="929">
        <v>309000</v>
      </c>
      <c r="D69" s="929">
        <f>((C69/30)*28)</f>
        <v>288400</v>
      </c>
      <c r="E69" s="737">
        <v>48.31</v>
      </c>
      <c r="F69" s="1188">
        <f>+$F$13/E69</f>
        <v>1.9472158973297451</v>
      </c>
      <c r="G69" s="883">
        <f t="shared" si="10"/>
        <v>561577.06478989846</v>
      </c>
      <c r="H69" s="1143"/>
    </row>
    <row r="70" spans="1:10" ht="13.5">
      <c r="A70" s="791"/>
      <c r="B70" s="737" t="s">
        <v>267</v>
      </c>
      <c r="C70" s="929">
        <v>309000</v>
      </c>
      <c r="D70" s="929">
        <f>((C70/30)*28)</f>
        <v>288400</v>
      </c>
      <c r="E70" s="737">
        <v>48.87</v>
      </c>
      <c r="F70" s="1188">
        <f>+$F$13/E70</f>
        <v>1.924902803355842</v>
      </c>
      <c r="G70" s="883">
        <f t="shared" si="10"/>
        <v>555141.96848782478</v>
      </c>
      <c r="H70" s="1143"/>
    </row>
    <row r="71" spans="1:10" ht="13.5">
      <c r="A71" s="791"/>
      <c r="B71" s="737" t="s">
        <v>268</v>
      </c>
      <c r="C71" s="929">
        <v>309000</v>
      </c>
      <c r="D71" s="929">
        <f>((C71/30)*28)</f>
        <v>288400</v>
      </c>
      <c r="E71" s="737">
        <v>49.83</v>
      </c>
      <c r="F71" s="1188">
        <f>+$F$13/E71</f>
        <v>1.8878185831828216</v>
      </c>
      <c r="G71" s="883">
        <f t="shared" si="10"/>
        <v>544446.87938992574</v>
      </c>
      <c r="H71" s="1143"/>
    </row>
    <row r="72" spans="1:10" ht="13.5">
      <c r="A72" s="791"/>
      <c r="B72" s="728" t="s">
        <v>269</v>
      </c>
      <c r="C72" s="929"/>
      <c r="D72" s="929"/>
      <c r="E72" s="737"/>
      <c r="F72" s="954"/>
      <c r="G72" s="954"/>
      <c r="H72" s="1143"/>
    </row>
    <row r="73" spans="1:10" ht="13.5">
      <c r="A73" s="791"/>
      <c r="B73" s="737" t="s">
        <v>270</v>
      </c>
      <c r="C73" s="929">
        <v>332000</v>
      </c>
      <c r="D73" s="929">
        <f>((C73/30)*28)</f>
        <v>309866.66666666663</v>
      </c>
      <c r="E73" s="903">
        <v>52.1</v>
      </c>
      <c r="F73" s="1188">
        <f>+$F$13/E73</f>
        <v>1.8055662188099806</v>
      </c>
      <c r="G73" s="883">
        <f t="shared" si="10"/>
        <v>559484.78566858592</v>
      </c>
      <c r="H73" s="1143"/>
    </row>
    <row r="74" spans="1:10" ht="13.5">
      <c r="A74" s="791"/>
      <c r="B74" s="737" t="s">
        <v>271</v>
      </c>
      <c r="C74" s="929">
        <v>332000</v>
      </c>
      <c r="D74" s="929">
        <f>((C74/30)*28)</f>
        <v>309866.66666666663</v>
      </c>
      <c r="E74" s="737">
        <v>52.42</v>
      </c>
      <c r="F74" s="1188">
        <f>+$F$13/E74</f>
        <v>1.7945440671499426</v>
      </c>
      <c r="G74" s="883">
        <f t="shared" si="10"/>
        <v>556069.38827419549</v>
      </c>
      <c r="H74" s="1143"/>
    </row>
    <row r="75" spans="1:10" ht="13.5">
      <c r="A75" s="791"/>
      <c r="B75" s="737" t="s">
        <v>272</v>
      </c>
      <c r="C75" s="929">
        <v>332000</v>
      </c>
      <c r="D75" s="929">
        <f>((C75/30)*28)</f>
        <v>309866.66666666663</v>
      </c>
      <c r="E75" s="737">
        <v>53.07</v>
      </c>
      <c r="F75" s="1188">
        <f>+$F$13/E75</f>
        <v>1.7725645374034293</v>
      </c>
      <c r="G75" s="883">
        <f t="shared" si="10"/>
        <v>549258.66465674259</v>
      </c>
      <c r="H75" s="1143"/>
    </row>
    <row r="76" spans="1:10" ht="13.5">
      <c r="A76" s="791"/>
      <c r="B76" s="728" t="s">
        <v>273</v>
      </c>
      <c r="C76" s="929"/>
      <c r="D76" s="929"/>
      <c r="E76" s="737"/>
      <c r="F76" s="1188"/>
      <c r="G76" s="954"/>
      <c r="H76" s="1143"/>
      <c r="I76" s="8"/>
      <c r="J76" s="8"/>
    </row>
    <row r="77" spans="1:10" ht="13.5">
      <c r="A77" s="791"/>
      <c r="B77" s="737" t="s">
        <v>274</v>
      </c>
      <c r="C77" s="929">
        <v>358000</v>
      </c>
      <c r="D77" s="929">
        <f>((C77/30)*28)</f>
        <v>334133.33333333337</v>
      </c>
      <c r="E77" s="737">
        <v>54.96</v>
      </c>
      <c r="F77" s="1188">
        <f>+$F$13/E77</f>
        <v>1.7116084425036389</v>
      </c>
      <c r="G77" s="883">
        <f t="shared" si="10"/>
        <v>571905.43425521592</v>
      </c>
      <c r="H77" s="8"/>
      <c r="I77" s="8"/>
      <c r="J77" s="8"/>
    </row>
    <row r="78" spans="1:10" ht="13.5">
      <c r="A78" s="791"/>
      <c r="B78" s="791"/>
      <c r="C78" s="791"/>
      <c r="D78" s="791"/>
      <c r="E78" s="1194" t="s">
        <v>275</v>
      </c>
      <c r="F78" s="1193"/>
      <c r="G78" s="822"/>
      <c r="H78" s="8"/>
      <c r="I78" s="8"/>
      <c r="J78" s="8"/>
    </row>
    <row r="79" spans="1:10" ht="14.25" thickBot="1">
      <c r="A79" s="791"/>
      <c r="B79" s="791"/>
      <c r="C79" s="791"/>
      <c r="D79" s="791"/>
      <c r="E79" s="891" t="s">
        <v>276</v>
      </c>
      <c r="F79" s="891"/>
      <c r="G79" s="892">
        <f>+H40+H61+G78</f>
        <v>6471887.5192869734</v>
      </c>
      <c r="H79" s="8"/>
      <c r="I79" s="8"/>
      <c r="J79" s="8"/>
    </row>
    <row r="80" spans="1:10" ht="14.25" thickTop="1">
      <c r="A80" s="791"/>
      <c r="B80" s="791"/>
      <c r="C80" s="791"/>
      <c r="D80" s="791"/>
      <c r="E80" s="8"/>
      <c r="F80" s="8"/>
      <c r="G80" s="8"/>
      <c r="H80" s="8"/>
      <c r="I80" s="8"/>
      <c r="J80" s="8"/>
    </row>
    <row r="81" spans="1:10" ht="13.5">
      <c r="A81" s="791"/>
      <c r="B81" s="728" t="s">
        <v>277</v>
      </c>
      <c r="C81" s="791"/>
      <c r="D81" s="791"/>
      <c r="E81" s="8"/>
      <c r="F81" s="8"/>
      <c r="G81" s="8"/>
      <c r="H81" s="8"/>
      <c r="I81" s="8"/>
      <c r="J81" s="8"/>
    </row>
    <row r="82" spans="1:10" ht="13.5">
      <c r="A82" s="791"/>
      <c r="B82" s="1189" t="s">
        <v>278</v>
      </c>
      <c r="C82" s="791"/>
      <c r="D82" s="791"/>
      <c r="E82" s="791"/>
      <c r="F82" s="791"/>
      <c r="G82" s="791"/>
      <c r="H82" s="791"/>
      <c r="I82" s="8"/>
      <c r="J82" s="8"/>
    </row>
    <row r="83" spans="1:10" ht="13.5">
      <c r="A83" s="791"/>
      <c r="B83" s="726" t="s">
        <v>164</v>
      </c>
      <c r="C83" s="895">
        <f>+G79</f>
        <v>6471887.5192869734</v>
      </c>
      <c r="D83" s="791"/>
      <c r="E83" s="791"/>
      <c r="F83" s="791"/>
      <c r="G83" s="791"/>
      <c r="H83" s="791"/>
    </row>
    <row r="84" spans="1:10" ht="24" customHeight="1">
      <c r="A84" s="791"/>
      <c r="B84" s="761" t="s">
        <v>206</v>
      </c>
      <c r="C84" s="761" t="s">
        <v>10</v>
      </c>
      <c r="D84" s="1195" t="s">
        <v>279</v>
      </c>
      <c r="E84" s="1113" t="s">
        <v>129</v>
      </c>
      <c r="F84" s="1112" t="s">
        <v>280</v>
      </c>
      <c r="G84" s="893" t="s">
        <v>43</v>
      </c>
      <c r="H84" s="1113" t="s">
        <v>253</v>
      </c>
    </row>
    <row r="85" spans="1:10" ht="13.5">
      <c r="A85" s="791"/>
      <c r="B85" s="724">
        <v>42753</v>
      </c>
      <c r="C85" s="724">
        <v>42766</v>
      </c>
      <c r="D85" s="894">
        <f>_xlfn.DAYS(C85,B85)+1</f>
        <v>14</v>
      </c>
      <c r="E85" s="895">
        <f>+$C$83</f>
        <v>6471887.5192869734</v>
      </c>
      <c r="F85" s="896">
        <v>6.9400000000000003E-2</v>
      </c>
      <c r="G85" s="897">
        <f>((1+F85)^(1/365)-1)</f>
        <v>1.8384633200141387E-4</v>
      </c>
      <c r="H85" s="883">
        <f>+E85*G85*D85</f>
        <v>16657.658941652957</v>
      </c>
    </row>
    <row r="86" spans="1:10" ht="13.5">
      <c r="A86" s="791"/>
      <c r="B86" s="724">
        <v>42767</v>
      </c>
      <c r="C86" s="724">
        <v>42794</v>
      </c>
      <c r="D86" s="894">
        <f>_xlfn.DAYS(C86,B86)+1</f>
        <v>28</v>
      </c>
      <c r="E86" s="895">
        <f>+$C$83</f>
        <v>6471887.5192869734</v>
      </c>
      <c r="F86" s="896">
        <v>6.7799999999999999E-2</v>
      </c>
      <c r="G86" s="897">
        <f>((1+F86)^(1/365)-1)</f>
        <v>1.7974343159732342E-4</v>
      </c>
      <c r="H86" s="883">
        <f>+E86*G86*D86</f>
        <v>32571.819605598823</v>
      </c>
    </row>
    <row r="87" spans="1:10" ht="13.5">
      <c r="A87" s="791"/>
      <c r="B87" s="724">
        <v>42795</v>
      </c>
      <c r="C87" s="724">
        <v>42825</v>
      </c>
      <c r="D87" s="894">
        <f>_xlfn.DAYS(C87,B87)+1</f>
        <v>31</v>
      </c>
      <c r="E87" s="895">
        <f>+$C$83</f>
        <v>6471887.5192869734</v>
      </c>
      <c r="F87" s="896">
        <v>6.6500000000000004E-2</v>
      </c>
      <c r="G87" s="897">
        <f>((1+F87)^(1/365)-1)</f>
        <v>1.7640530807794264E-4</v>
      </c>
      <c r="H87" s="883">
        <f>+E87*G87*D87</f>
        <v>35391.934662253923</v>
      </c>
    </row>
    <row r="88" spans="1:10" ht="13.5">
      <c r="A88" s="791"/>
      <c r="B88" s="724">
        <v>42826</v>
      </c>
      <c r="C88" s="724">
        <v>42843</v>
      </c>
      <c r="D88" s="894">
        <f>_xlfn.DAYS(C88,B88)+1</f>
        <v>18</v>
      </c>
      <c r="E88" s="895">
        <f>+$C$83</f>
        <v>6471887.5192869734</v>
      </c>
      <c r="F88" s="896">
        <v>6.5299999999999997E-2</v>
      </c>
      <c r="G88" s="897">
        <f>((1+F88)^(1/365)-1)</f>
        <v>1.7332035970407667E-4</v>
      </c>
      <c r="H88" s="883">
        <f>+E88*G88*D88</f>
        <v>20190.777710528568</v>
      </c>
    </row>
    <row r="89" spans="1:10" ht="14.25" thickBot="1">
      <c r="A89" s="791"/>
      <c r="B89" s="886"/>
      <c r="C89" s="886"/>
      <c r="D89" s="791"/>
      <c r="E89" s="791"/>
      <c r="F89" s="791"/>
      <c r="G89" s="889" t="s">
        <v>97</v>
      </c>
      <c r="H89" s="898">
        <f>SUM(H85:H88)</f>
        <v>104812.19092003426</v>
      </c>
    </row>
    <row r="90" spans="1:10" ht="14.25" thickTop="1">
      <c r="A90" s="791"/>
      <c r="B90" s="791" t="s">
        <v>281</v>
      </c>
      <c r="C90" s="791"/>
      <c r="D90" s="791"/>
      <c r="E90" s="791"/>
      <c r="F90" s="791"/>
      <c r="G90" s="791"/>
      <c r="H90" s="791"/>
    </row>
    <row r="91" spans="1:10" ht="13.5">
      <c r="A91" s="791"/>
      <c r="B91" s="791" t="s">
        <v>282</v>
      </c>
      <c r="C91" s="791"/>
      <c r="D91" s="791"/>
      <c r="E91" s="791"/>
      <c r="F91" s="791"/>
      <c r="G91" s="791"/>
      <c r="H91" s="791"/>
    </row>
    <row r="92" spans="1:10" ht="13.5">
      <c r="A92" s="791"/>
      <c r="B92" s="2559" t="s">
        <v>55</v>
      </c>
      <c r="C92" s="2559"/>
      <c r="D92" s="791"/>
      <c r="E92" s="791"/>
      <c r="F92" s="791"/>
      <c r="G92" s="791"/>
      <c r="H92" s="791"/>
    </row>
    <row r="93" spans="1:10" ht="25.5">
      <c r="A93" s="791"/>
      <c r="B93" s="845" t="s">
        <v>283</v>
      </c>
      <c r="C93" s="899">
        <f>+G79</f>
        <v>6471887.5192869734</v>
      </c>
      <c r="D93" s="791"/>
      <c r="E93" s="791"/>
      <c r="F93" s="791"/>
      <c r="G93" s="791"/>
      <c r="H93" s="791"/>
    </row>
    <row r="94" spans="1:10" ht="13.5">
      <c r="A94" s="791"/>
      <c r="B94" s="845" t="s">
        <v>284</v>
      </c>
      <c r="C94" s="899">
        <f>+H89</f>
        <v>104812.19092003426</v>
      </c>
      <c r="D94" s="791"/>
      <c r="E94" s="791"/>
      <c r="F94" s="925"/>
      <c r="G94" s="925"/>
      <c r="H94" s="925"/>
    </row>
    <row r="95" spans="1:10" ht="13.5">
      <c r="A95" s="791"/>
      <c r="B95" s="728" t="s">
        <v>97</v>
      </c>
      <c r="C95" s="822">
        <f>SUM(C93:C94)</f>
        <v>6576699.7102070078</v>
      </c>
      <c r="D95" s="791"/>
      <c r="E95" s="791"/>
      <c r="F95" s="925"/>
      <c r="G95" s="925"/>
      <c r="H95" s="925"/>
    </row>
    <row r="96" spans="1:10" ht="13.5">
      <c r="A96" s="791"/>
      <c r="B96" s="900" t="s">
        <v>62</v>
      </c>
      <c r="C96" s="791"/>
      <c r="D96" s="791"/>
      <c r="E96" s="791"/>
      <c r="F96" s="925"/>
      <c r="G96" s="925"/>
      <c r="H96" s="925"/>
    </row>
    <row r="97" spans="1:8" ht="13.5">
      <c r="A97" s="791"/>
      <c r="B97" s="814"/>
      <c r="C97" s="791"/>
      <c r="D97" s="791"/>
      <c r="E97" s="791"/>
      <c r="F97" s="925"/>
      <c r="G97" s="925"/>
      <c r="H97" s="925"/>
    </row>
    <row r="98" spans="1:8" ht="13.5">
      <c r="A98" s="791"/>
      <c r="B98" s="814"/>
      <c r="C98" s="791"/>
      <c r="D98" s="791"/>
      <c r="E98" s="791"/>
      <c r="F98" s="791"/>
      <c r="G98" s="791"/>
      <c r="H98" s="791"/>
    </row>
    <row r="99" spans="1:8" ht="13.5">
      <c r="A99" s="791"/>
      <c r="B99" s="818" t="s">
        <v>63</v>
      </c>
      <c r="C99" s="791"/>
      <c r="D99" s="791"/>
      <c r="E99" s="791"/>
      <c r="F99" s="791"/>
      <c r="G99" s="791"/>
      <c r="H99" s="791"/>
    </row>
    <row r="100" spans="1:8" ht="13.5">
      <c r="A100" s="791"/>
      <c r="B100" s="818" t="s">
        <v>64</v>
      </c>
      <c r="C100" s="791"/>
      <c r="D100" s="791"/>
      <c r="E100" s="791"/>
      <c r="F100" s="791"/>
      <c r="G100" s="791"/>
      <c r="H100" s="791"/>
    </row>
    <row r="101" spans="1:8" ht="13.5">
      <c r="B101" s="900" t="s">
        <v>65</v>
      </c>
      <c r="C101" s="791"/>
      <c r="D101" s="791"/>
      <c r="E101" s="791"/>
      <c r="F101" s="791"/>
      <c r="G101" s="791"/>
      <c r="H101" s="791"/>
    </row>
    <row r="102" spans="1:8" ht="13.5">
      <c r="B102" s="791"/>
      <c r="C102" s="791"/>
      <c r="D102" s="791"/>
      <c r="E102" s="791"/>
      <c r="F102" s="791"/>
      <c r="G102" s="791"/>
      <c r="H102" s="791"/>
    </row>
    <row r="103" spans="1:8">
      <c r="B103" s="147"/>
      <c r="C103" s="147"/>
      <c r="D103" s="147"/>
      <c r="E103" s="147"/>
      <c r="F103" s="147"/>
      <c r="G103" s="147"/>
      <c r="H103" s="147"/>
    </row>
    <row r="104" spans="1:8">
      <c r="B104" s="147"/>
      <c r="C104" s="147"/>
      <c r="D104" s="147"/>
      <c r="E104" s="147"/>
      <c r="F104" s="147"/>
      <c r="G104" s="147"/>
      <c r="H104" s="147"/>
    </row>
  </sheetData>
  <mergeCells count="3">
    <mergeCell ref="B14:H14"/>
    <mergeCell ref="B44:H44"/>
    <mergeCell ref="B92:C92"/>
  </mergeCells>
  <pageMargins left="0.7" right="0.7" top="0.75" bottom="0.75" header="0.3" footer="0.3"/>
  <pageSetup paperSize="9" scale="64"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33C87-0AA9-4EBB-90E9-E5D9CFA6510D}">
  <sheetPr codeName="Hoja110"/>
  <dimension ref="A3:N129"/>
  <sheetViews>
    <sheetView topLeftCell="A82" workbookViewId="0">
      <selection activeCell="H125" sqref="H125"/>
    </sheetView>
  </sheetViews>
  <sheetFormatPr defaultColWidth="11.42578125" defaultRowHeight="12.75"/>
  <cols>
    <col min="1" max="1" width="2.7109375" customWidth="1"/>
    <col min="2" max="2" width="18.85546875" customWidth="1"/>
    <col min="3" max="3" width="15.42578125" customWidth="1"/>
    <col min="7" max="7" width="12.85546875" bestFit="1" customWidth="1"/>
    <col min="8" max="8" width="14.42578125" bestFit="1" customWidth="1"/>
  </cols>
  <sheetData>
    <row r="3" spans="2:14">
      <c r="B3" s="188" t="s">
        <v>1707</v>
      </c>
    </row>
    <row r="5" spans="2:14">
      <c r="B5" s="1926" t="s">
        <v>508</v>
      </c>
      <c r="C5" s="1329" t="s">
        <v>1708</v>
      </c>
    </row>
    <row r="6" spans="2:14" ht="38.25">
      <c r="B6" s="1926" t="s">
        <v>814</v>
      </c>
      <c r="C6" s="2157" t="s">
        <v>851</v>
      </c>
    </row>
    <row r="7" spans="2:14" ht="25.5">
      <c r="B7" s="1926" t="s">
        <v>220</v>
      </c>
      <c r="C7" s="2157" t="s">
        <v>1709</v>
      </c>
    </row>
    <row r="8" spans="2:14">
      <c r="B8" s="1926" t="s">
        <v>1338</v>
      </c>
      <c r="C8" s="2155">
        <v>44047</v>
      </c>
    </row>
    <row r="9" spans="2:14">
      <c r="B9" s="1926" t="s">
        <v>700</v>
      </c>
      <c r="C9" s="1329" t="s">
        <v>820</v>
      </c>
    </row>
    <row r="10" spans="2:14" ht="25.5">
      <c r="B10" s="1928" t="s">
        <v>1002</v>
      </c>
      <c r="C10" s="2155">
        <v>43994</v>
      </c>
      <c r="F10" s="188" t="s">
        <v>529</v>
      </c>
    </row>
    <row r="11" spans="2:14">
      <c r="E11" s="7">
        <v>40585</v>
      </c>
      <c r="F11">
        <f>_xlfn.DAYS(E12,E11)</f>
        <v>323</v>
      </c>
    </row>
    <row r="12" spans="2:14">
      <c r="B12" s="183" t="s">
        <v>1710</v>
      </c>
      <c r="E12" s="7">
        <v>40908</v>
      </c>
    </row>
    <row r="13" spans="2:14">
      <c r="B13" s="183" t="s">
        <v>1711</v>
      </c>
      <c r="C13" s="2158">
        <v>44047</v>
      </c>
      <c r="D13" t="s">
        <v>1712</v>
      </c>
    </row>
    <row r="14" spans="2:14">
      <c r="C14">
        <v>104.96</v>
      </c>
      <c r="H14" s="2549" t="s">
        <v>1713</v>
      </c>
      <c r="I14" s="2549"/>
      <c r="J14" s="2549"/>
      <c r="K14" s="2549"/>
      <c r="L14" s="2549"/>
      <c r="M14" s="2549"/>
      <c r="N14" s="2549"/>
    </row>
    <row r="15" spans="2:14" ht="22.5">
      <c r="B15" s="2159" t="s">
        <v>11</v>
      </c>
      <c r="C15" s="144" t="s">
        <v>113</v>
      </c>
      <c r="D15" s="122" t="s">
        <v>76</v>
      </c>
      <c r="E15" s="122" t="s">
        <v>77</v>
      </c>
      <c r="F15" s="144" t="s">
        <v>57</v>
      </c>
      <c r="H15" s="226" t="s">
        <v>11</v>
      </c>
      <c r="I15" s="1179" t="s">
        <v>1006</v>
      </c>
      <c r="J15" s="1179" t="s">
        <v>1572</v>
      </c>
      <c r="K15" s="1179" t="s">
        <v>1573</v>
      </c>
      <c r="L15" s="1179" t="s">
        <v>1574</v>
      </c>
      <c r="M15" s="1179" t="s">
        <v>82</v>
      </c>
      <c r="N15" s="1179" t="s">
        <v>83</v>
      </c>
    </row>
    <row r="16" spans="2:14" ht="13.5">
      <c r="B16" s="2156">
        <v>44603</v>
      </c>
      <c r="C16" s="929">
        <f>(1500000/30)*17</f>
        <v>850000</v>
      </c>
      <c r="D16" s="134">
        <v>74.569999999999993</v>
      </c>
      <c r="E16" s="132">
        <f>+$C$14/D16</f>
        <v>1.4075365428456483</v>
      </c>
      <c r="F16" s="133">
        <f>ROUND(C16*E16,0)</f>
        <v>1196406</v>
      </c>
      <c r="H16" s="233" t="s">
        <v>16</v>
      </c>
      <c r="I16" s="229">
        <f>+C16*0.04</f>
        <v>34000</v>
      </c>
      <c r="J16" s="229">
        <f>+C16*0.04</f>
        <v>34000</v>
      </c>
      <c r="K16" s="229">
        <f>+C16*0.08</f>
        <v>68000</v>
      </c>
      <c r="L16" s="229">
        <f>+C16*0.125</f>
        <v>106250</v>
      </c>
      <c r="M16" s="229">
        <f>+I16+K16</f>
        <v>102000</v>
      </c>
      <c r="N16" s="229">
        <f>+L16+J16</f>
        <v>140250</v>
      </c>
    </row>
    <row r="17" spans="2:14" ht="13.5">
      <c r="B17" s="132" t="s">
        <v>19</v>
      </c>
      <c r="C17" s="929">
        <v>1500000</v>
      </c>
      <c r="D17" s="134">
        <v>74.77</v>
      </c>
      <c r="E17" s="132">
        <f t="shared" ref="E17:E31" si="0">+$C$14/D17</f>
        <v>1.403771566136151</v>
      </c>
      <c r="F17" s="133">
        <f t="shared" ref="F17:F31" si="1">ROUND(C17*E17,0)</f>
        <v>2105657</v>
      </c>
      <c r="H17" s="233" t="s">
        <v>17</v>
      </c>
      <c r="I17" s="229">
        <f t="shared" ref="I17:I27" si="2">+C17*0.04</f>
        <v>60000</v>
      </c>
      <c r="J17" s="229">
        <f t="shared" ref="J17:J27" si="3">+C17*0.04</f>
        <v>60000</v>
      </c>
      <c r="K17" s="229">
        <f t="shared" ref="K17:K27" si="4">+C17*0.08</f>
        <v>120000</v>
      </c>
      <c r="L17" s="229">
        <f t="shared" ref="L17:L27" si="5">+C17*0.125</f>
        <v>187500</v>
      </c>
      <c r="M17" s="229">
        <f t="shared" ref="M17:M27" si="6">+I17+K17</f>
        <v>180000</v>
      </c>
      <c r="N17" s="229">
        <f t="shared" ref="N17:N27" si="7">+L17+J17</f>
        <v>247500</v>
      </c>
    </row>
    <row r="18" spans="2:14" ht="13.5">
      <c r="B18" s="132" t="s">
        <v>21</v>
      </c>
      <c r="C18" s="929">
        <v>1500000</v>
      </c>
      <c r="D18" s="134">
        <v>74.86</v>
      </c>
      <c r="E18" s="132">
        <f t="shared" si="0"/>
        <v>1.4020838899278654</v>
      </c>
      <c r="F18" s="133">
        <f t="shared" si="1"/>
        <v>2103126</v>
      </c>
      <c r="H18" s="233" t="s">
        <v>19</v>
      </c>
      <c r="I18" s="229">
        <f t="shared" si="2"/>
        <v>60000</v>
      </c>
      <c r="J18" s="229">
        <f t="shared" si="3"/>
        <v>60000</v>
      </c>
      <c r="K18" s="229">
        <f t="shared" si="4"/>
        <v>120000</v>
      </c>
      <c r="L18" s="229">
        <f t="shared" si="5"/>
        <v>187500</v>
      </c>
      <c r="M18" s="229">
        <f t="shared" si="6"/>
        <v>180000</v>
      </c>
      <c r="N18" s="229">
        <f t="shared" si="7"/>
        <v>247500</v>
      </c>
    </row>
    <row r="19" spans="2:14" ht="13.5">
      <c r="B19" s="132" t="s">
        <v>23</v>
      </c>
      <c r="C19" s="929">
        <v>1500000</v>
      </c>
      <c r="D19" s="134">
        <v>75.069999999999993</v>
      </c>
      <c r="E19" s="132">
        <f t="shared" si="0"/>
        <v>1.3981617157319834</v>
      </c>
      <c r="F19" s="133">
        <f t="shared" si="1"/>
        <v>2097243</v>
      </c>
      <c r="H19" s="233" t="s">
        <v>21</v>
      </c>
      <c r="I19" s="229">
        <f t="shared" si="2"/>
        <v>60000</v>
      </c>
      <c r="J19" s="229">
        <f t="shared" si="3"/>
        <v>60000</v>
      </c>
      <c r="K19" s="229">
        <f t="shared" si="4"/>
        <v>120000</v>
      </c>
      <c r="L19" s="229">
        <f t="shared" si="5"/>
        <v>187500</v>
      </c>
      <c r="M19" s="229">
        <f t="shared" si="6"/>
        <v>180000</v>
      </c>
      <c r="N19" s="229">
        <f t="shared" si="7"/>
        <v>247500</v>
      </c>
    </row>
    <row r="20" spans="2:14" ht="13.5">
      <c r="B20" s="132" t="s">
        <v>25</v>
      </c>
      <c r="C20" s="929">
        <v>1500000</v>
      </c>
      <c r="D20" s="134">
        <v>75.31</v>
      </c>
      <c r="E20" s="132">
        <f t="shared" si="0"/>
        <v>1.3937060151374319</v>
      </c>
      <c r="F20" s="133">
        <f t="shared" si="1"/>
        <v>2090559</v>
      </c>
      <c r="H20" s="233" t="s">
        <v>23</v>
      </c>
      <c r="I20" s="229">
        <f t="shared" si="2"/>
        <v>60000</v>
      </c>
      <c r="J20" s="229">
        <f t="shared" si="3"/>
        <v>60000</v>
      </c>
      <c r="K20" s="229">
        <f t="shared" si="4"/>
        <v>120000</v>
      </c>
      <c r="L20" s="229">
        <f t="shared" si="5"/>
        <v>187500</v>
      </c>
      <c r="M20" s="229">
        <f t="shared" si="6"/>
        <v>180000</v>
      </c>
      <c r="N20" s="229">
        <f t="shared" si="7"/>
        <v>247500</v>
      </c>
    </row>
    <row r="21" spans="2:14" ht="13.5">
      <c r="B21" s="132" t="s">
        <v>27</v>
      </c>
      <c r="C21" s="929">
        <v>1500000</v>
      </c>
      <c r="D21" s="134">
        <v>75.42</v>
      </c>
      <c r="E21" s="132">
        <f t="shared" si="0"/>
        <v>1.3916732962079024</v>
      </c>
      <c r="F21" s="133">
        <f t="shared" si="1"/>
        <v>2087510</v>
      </c>
      <c r="H21" s="233" t="s">
        <v>25</v>
      </c>
      <c r="I21" s="229">
        <f t="shared" si="2"/>
        <v>60000</v>
      </c>
      <c r="J21" s="229">
        <f t="shared" si="3"/>
        <v>60000</v>
      </c>
      <c r="K21" s="229">
        <f t="shared" si="4"/>
        <v>120000</v>
      </c>
      <c r="L21" s="229">
        <f t="shared" si="5"/>
        <v>187500</v>
      </c>
      <c r="M21" s="229">
        <f t="shared" si="6"/>
        <v>180000</v>
      </c>
      <c r="N21" s="229">
        <f t="shared" si="7"/>
        <v>247500</v>
      </c>
    </row>
    <row r="22" spans="2:14" ht="13.5">
      <c r="B22" s="132" t="s">
        <v>29</v>
      </c>
      <c r="C22" s="929">
        <v>1500000</v>
      </c>
      <c r="D22" s="134">
        <v>75.39</v>
      </c>
      <c r="E22" s="132">
        <f t="shared" si="0"/>
        <v>1.3922270858204004</v>
      </c>
      <c r="F22" s="133">
        <f t="shared" si="1"/>
        <v>2088341</v>
      </c>
      <c r="H22" s="233" t="s">
        <v>27</v>
      </c>
      <c r="I22" s="229">
        <f t="shared" si="2"/>
        <v>60000</v>
      </c>
      <c r="J22" s="229">
        <f t="shared" si="3"/>
        <v>60000</v>
      </c>
      <c r="K22" s="229">
        <f t="shared" si="4"/>
        <v>120000</v>
      </c>
      <c r="L22" s="229">
        <f t="shared" si="5"/>
        <v>187500</v>
      </c>
      <c r="M22" s="229">
        <f t="shared" si="6"/>
        <v>180000</v>
      </c>
      <c r="N22" s="229">
        <f t="shared" si="7"/>
        <v>247500</v>
      </c>
    </row>
    <row r="23" spans="2:14" ht="13.5">
      <c r="B23" s="132" t="s">
        <v>31</v>
      </c>
      <c r="C23" s="929">
        <v>1500000</v>
      </c>
      <c r="D23" s="134">
        <v>75.62</v>
      </c>
      <c r="E23" s="132">
        <f t="shared" si="0"/>
        <v>1.3879925945517058</v>
      </c>
      <c r="F23" s="133">
        <f t="shared" si="1"/>
        <v>2081989</v>
      </c>
      <c r="H23" s="233" t="s">
        <v>29</v>
      </c>
      <c r="I23" s="229">
        <f t="shared" si="2"/>
        <v>60000</v>
      </c>
      <c r="J23" s="229">
        <f t="shared" si="3"/>
        <v>60000</v>
      </c>
      <c r="K23" s="229">
        <f t="shared" si="4"/>
        <v>120000</v>
      </c>
      <c r="L23" s="229">
        <f t="shared" si="5"/>
        <v>187500</v>
      </c>
      <c r="M23" s="229">
        <f t="shared" si="6"/>
        <v>180000</v>
      </c>
      <c r="N23" s="229">
        <f t="shared" si="7"/>
        <v>247500</v>
      </c>
    </row>
    <row r="24" spans="2:14" ht="13.5">
      <c r="B24" s="132" t="s">
        <v>33</v>
      </c>
      <c r="C24" s="929">
        <v>1500000</v>
      </c>
      <c r="D24" s="134">
        <v>75.77</v>
      </c>
      <c r="E24" s="132">
        <f t="shared" si="0"/>
        <v>1.3852448198495446</v>
      </c>
      <c r="F24" s="133">
        <f t="shared" si="1"/>
        <v>2077867</v>
      </c>
      <c r="H24" s="233" t="s">
        <v>31</v>
      </c>
      <c r="I24" s="229">
        <f t="shared" si="2"/>
        <v>60000</v>
      </c>
      <c r="J24" s="229">
        <f t="shared" si="3"/>
        <v>60000</v>
      </c>
      <c r="K24" s="229">
        <f t="shared" si="4"/>
        <v>120000</v>
      </c>
      <c r="L24" s="229">
        <f t="shared" si="5"/>
        <v>187500</v>
      </c>
      <c r="M24" s="229">
        <f t="shared" si="6"/>
        <v>180000</v>
      </c>
      <c r="N24" s="229">
        <f t="shared" si="7"/>
        <v>247500</v>
      </c>
    </row>
    <row r="25" spans="2:14" ht="13.5">
      <c r="B25" s="132" t="s">
        <v>34</v>
      </c>
      <c r="C25" s="929">
        <v>1500000</v>
      </c>
      <c r="D25" s="134">
        <v>75.87</v>
      </c>
      <c r="E25" s="132">
        <f t="shared" si="0"/>
        <v>1.3834190061948068</v>
      </c>
      <c r="F25" s="133">
        <f t="shared" si="1"/>
        <v>2075129</v>
      </c>
      <c r="H25" s="233" t="s">
        <v>33</v>
      </c>
      <c r="I25" s="229">
        <f t="shared" si="2"/>
        <v>60000</v>
      </c>
      <c r="J25" s="229">
        <f t="shared" si="3"/>
        <v>60000</v>
      </c>
      <c r="K25" s="229">
        <f t="shared" si="4"/>
        <v>120000</v>
      </c>
      <c r="L25" s="229">
        <f t="shared" si="5"/>
        <v>187500</v>
      </c>
      <c r="M25" s="229">
        <f t="shared" si="6"/>
        <v>180000</v>
      </c>
      <c r="N25" s="229">
        <f t="shared" si="7"/>
        <v>247500</v>
      </c>
    </row>
    <row r="26" spans="2:14" ht="13.5">
      <c r="B26" s="132" t="s">
        <v>35</v>
      </c>
      <c r="C26" s="929">
        <v>1500000</v>
      </c>
      <c r="D26" s="134">
        <v>76.19</v>
      </c>
      <c r="E26" s="132">
        <f t="shared" si="0"/>
        <v>1.3776086100538127</v>
      </c>
      <c r="F26" s="133">
        <f t="shared" si="1"/>
        <v>2066413</v>
      </c>
      <c r="H26" s="233" t="s">
        <v>34</v>
      </c>
      <c r="I26" s="229">
        <f t="shared" si="2"/>
        <v>60000</v>
      </c>
      <c r="J26" s="229">
        <f t="shared" si="3"/>
        <v>60000</v>
      </c>
      <c r="K26" s="229">
        <f t="shared" si="4"/>
        <v>120000</v>
      </c>
      <c r="L26" s="229">
        <f t="shared" si="5"/>
        <v>187500</v>
      </c>
      <c r="M26" s="229">
        <f t="shared" si="6"/>
        <v>180000</v>
      </c>
      <c r="N26" s="229">
        <f t="shared" si="7"/>
        <v>247500</v>
      </c>
    </row>
    <row r="27" spans="2:14" ht="13.5">
      <c r="B27" s="132" t="s">
        <v>101</v>
      </c>
      <c r="C27" s="929">
        <f>(1500000*0.35*323)/360</f>
        <v>471041.66666666669</v>
      </c>
      <c r="D27" s="134">
        <f>+D26</f>
        <v>76.19</v>
      </c>
      <c r="E27" s="132">
        <f t="shared" si="0"/>
        <v>1.3776086100538127</v>
      </c>
      <c r="F27" s="133">
        <f t="shared" si="1"/>
        <v>648911</v>
      </c>
      <c r="H27" s="233" t="s">
        <v>35</v>
      </c>
      <c r="I27" s="229">
        <f t="shared" si="2"/>
        <v>18841.666666666668</v>
      </c>
      <c r="J27" s="229">
        <f t="shared" si="3"/>
        <v>18841.666666666668</v>
      </c>
      <c r="K27" s="229">
        <f t="shared" si="4"/>
        <v>37683.333333333336</v>
      </c>
      <c r="L27" s="229">
        <f t="shared" si="5"/>
        <v>58880.208333333336</v>
      </c>
      <c r="M27" s="229">
        <f t="shared" si="6"/>
        <v>56525</v>
      </c>
      <c r="N27" s="229">
        <f t="shared" si="7"/>
        <v>77721.875</v>
      </c>
    </row>
    <row r="28" spans="2:14" ht="13.5">
      <c r="B28" s="132" t="s">
        <v>102</v>
      </c>
      <c r="C28" s="929">
        <f>(C26/30*20)</f>
        <v>1000000</v>
      </c>
      <c r="D28" s="134">
        <f>+D27</f>
        <v>76.19</v>
      </c>
      <c r="E28" s="132">
        <f t="shared" si="0"/>
        <v>1.3776086100538127</v>
      </c>
      <c r="F28" s="133">
        <f t="shared" si="1"/>
        <v>1377609</v>
      </c>
      <c r="H28" s="3" t="s">
        <v>1011</v>
      </c>
      <c r="I28" s="229">
        <f t="shared" ref="I28:N28" si="8">SUM(I16:I27)</f>
        <v>652841.66666666663</v>
      </c>
      <c r="J28" s="229">
        <f t="shared" si="8"/>
        <v>652841.66666666663</v>
      </c>
      <c r="K28" s="229">
        <f t="shared" si="8"/>
        <v>1305683.3333333333</v>
      </c>
      <c r="L28" s="229">
        <f t="shared" si="8"/>
        <v>2040130.2083333333</v>
      </c>
      <c r="M28" s="229">
        <f t="shared" si="8"/>
        <v>1958525</v>
      </c>
      <c r="N28" s="229">
        <f t="shared" si="8"/>
        <v>2692971.875</v>
      </c>
    </row>
    <row r="29" spans="2:14" ht="13.5">
      <c r="B29" s="132" t="s">
        <v>103</v>
      </c>
      <c r="C29" s="929">
        <f>(C26/30*2*323)/360</f>
        <v>89722.222222222219</v>
      </c>
      <c r="D29" s="134">
        <f>+D28</f>
        <v>76.19</v>
      </c>
      <c r="E29" s="132">
        <f t="shared" si="0"/>
        <v>1.3776086100538127</v>
      </c>
      <c r="F29" s="133">
        <f t="shared" si="1"/>
        <v>123602</v>
      </c>
    </row>
    <row r="30" spans="2:14" ht="13.5">
      <c r="B30" s="132" t="s">
        <v>104</v>
      </c>
      <c r="C30" s="929">
        <f>(C26/30*21)*323/360</f>
        <v>942083.33333333337</v>
      </c>
      <c r="D30" s="134">
        <f>+D29</f>
        <v>76.19</v>
      </c>
      <c r="E30" s="132">
        <f t="shared" si="0"/>
        <v>1.3776086100538127</v>
      </c>
      <c r="F30" s="133">
        <f t="shared" si="1"/>
        <v>1297822</v>
      </c>
    </row>
    <row r="31" spans="2:14" ht="13.5">
      <c r="B31" s="132" t="s">
        <v>95</v>
      </c>
      <c r="C31" s="929">
        <f>(C26*323)/360</f>
        <v>1345833.3333333333</v>
      </c>
      <c r="D31" s="134">
        <f>+D30</f>
        <v>76.19</v>
      </c>
      <c r="E31" s="132">
        <f t="shared" si="0"/>
        <v>1.3776086100538127</v>
      </c>
      <c r="F31" s="133">
        <f t="shared" si="1"/>
        <v>1854032</v>
      </c>
    </row>
    <row r="32" spans="2:14">
      <c r="B32" s="132" t="s">
        <v>96</v>
      </c>
      <c r="C32" s="133"/>
      <c r="D32" s="134"/>
      <c r="E32" s="132"/>
      <c r="F32" s="133">
        <f>SUM(F16:F31)</f>
        <v>27372216</v>
      </c>
    </row>
    <row r="33" spans="2:14">
      <c r="B33" s="132" t="s">
        <v>98</v>
      </c>
      <c r="C33" s="133"/>
      <c r="D33" s="134"/>
      <c r="E33" s="132"/>
      <c r="F33" s="133">
        <f>+I28+J28</f>
        <v>1305683.3333333333</v>
      </c>
    </row>
    <row r="34" spans="2:14">
      <c r="B34" s="132" t="s">
        <v>99</v>
      </c>
      <c r="C34" s="133"/>
      <c r="D34" s="134"/>
      <c r="E34" s="132"/>
      <c r="F34" s="133">
        <f>+F32-F33</f>
        <v>26066532.666666668</v>
      </c>
    </row>
    <row r="35" spans="2:14">
      <c r="H35" s="2549" t="s">
        <v>1714</v>
      </c>
      <c r="I35" s="2549"/>
      <c r="J35" s="2549"/>
      <c r="K35" s="2549"/>
      <c r="L35" s="2549"/>
      <c r="M35" s="2549"/>
      <c r="N35" s="2549"/>
    </row>
    <row r="36" spans="2:14" ht="22.5">
      <c r="B36" s="122" t="s">
        <v>11</v>
      </c>
      <c r="C36" s="144" t="s">
        <v>114</v>
      </c>
      <c r="D36" s="2160" t="s">
        <v>76</v>
      </c>
      <c r="E36" s="122" t="s">
        <v>77</v>
      </c>
      <c r="F36" s="144" t="s">
        <v>57</v>
      </c>
      <c r="G36" s="8"/>
      <c r="H36" s="226" t="s">
        <v>11</v>
      </c>
      <c r="I36" s="1179" t="s">
        <v>1006</v>
      </c>
      <c r="J36" s="1179" t="s">
        <v>1572</v>
      </c>
      <c r="K36" s="1179" t="s">
        <v>1573</v>
      </c>
      <c r="L36" s="1179" t="s">
        <v>1574</v>
      </c>
      <c r="M36" s="1179" t="s">
        <v>82</v>
      </c>
      <c r="N36" s="1179" t="s">
        <v>83</v>
      </c>
    </row>
    <row r="37" spans="2:14" ht="13.5">
      <c r="B37" s="2156" t="s">
        <v>16</v>
      </c>
      <c r="C37" s="929">
        <v>1200000</v>
      </c>
      <c r="D37" s="134">
        <v>76.75</v>
      </c>
      <c r="E37" s="132">
        <f>+$C$14/D37</f>
        <v>1.367557003257329</v>
      </c>
      <c r="F37" s="133">
        <f>ROUND(C37*E37,0)</f>
        <v>1641068</v>
      </c>
      <c r="H37" s="233" t="s">
        <v>16</v>
      </c>
      <c r="I37" s="229">
        <f>+C37*0.04</f>
        <v>48000</v>
      </c>
      <c r="J37" s="229">
        <f>+C37*0.04</f>
        <v>48000</v>
      </c>
      <c r="K37" s="229">
        <f>+C37*0.08</f>
        <v>96000</v>
      </c>
      <c r="L37" s="229">
        <f>+C37*0.125</f>
        <v>150000</v>
      </c>
      <c r="M37" s="229">
        <f>+I37+K37</f>
        <v>144000</v>
      </c>
      <c r="N37" s="229">
        <f>+L37+J37</f>
        <v>198000</v>
      </c>
    </row>
    <row r="38" spans="2:14" ht="13.5">
      <c r="B38" s="2156" t="s">
        <v>1715</v>
      </c>
      <c r="C38" s="929">
        <v>1200000</v>
      </c>
      <c r="D38" s="134">
        <v>77.22</v>
      </c>
      <c r="E38" s="132">
        <f t="shared" ref="E38:E53" si="9">+$C$14/D38</f>
        <v>1.3592333592333592</v>
      </c>
      <c r="F38" s="133">
        <f t="shared" ref="F38:F48" si="10">ROUND(C38*E38,0)</f>
        <v>1631080</v>
      </c>
      <c r="H38" s="233" t="s">
        <v>17</v>
      </c>
      <c r="I38" s="229">
        <f t="shared" ref="I38:I48" si="11">+C38*0.04</f>
        <v>48000</v>
      </c>
      <c r="J38" s="229">
        <f t="shared" ref="J38:J48" si="12">+C38*0.04</f>
        <v>48000</v>
      </c>
      <c r="K38" s="229">
        <f t="shared" ref="K38:K48" si="13">+C38*0.08</f>
        <v>96000</v>
      </c>
      <c r="L38" s="229">
        <f t="shared" ref="L38:L48" si="14">+C38*0.125</f>
        <v>150000</v>
      </c>
      <c r="M38" s="229">
        <f t="shared" ref="M38:M48" si="15">+I38+K38</f>
        <v>144000</v>
      </c>
      <c r="N38" s="229">
        <f t="shared" ref="N38:N48" si="16">+L38+J38</f>
        <v>198000</v>
      </c>
    </row>
    <row r="39" spans="2:14" ht="13.5">
      <c r="B39" s="132" t="s">
        <v>19</v>
      </c>
      <c r="C39" s="929">
        <v>1200000</v>
      </c>
      <c r="D39" s="134">
        <v>77.31</v>
      </c>
      <c r="E39" s="132">
        <f t="shared" si="9"/>
        <v>1.3576510153925752</v>
      </c>
      <c r="F39" s="133">
        <f t="shared" si="10"/>
        <v>1629181</v>
      </c>
      <c r="H39" s="233" t="s">
        <v>19</v>
      </c>
      <c r="I39" s="229">
        <f t="shared" si="11"/>
        <v>48000</v>
      </c>
      <c r="J39" s="229">
        <f t="shared" si="12"/>
        <v>48000</v>
      </c>
      <c r="K39" s="229">
        <f t="shared" si="13"/>
        <v>96000</v>
      </c>
      <c r="L39" s="229">
        <f t="shared" si="14"/>
        <v>150000</v>
      </c>
      <c r="M39" s="229">
        <f t="shared" si="15"/>
        <v>144000</v>
      </c>
      <c r="N39" s="229">
        <f t="shared" si="16"/>
        <v>198000</v>
      </c>
    </row>
    <row r="40" spans="2:14" ht="13.5">
      <c r="B40" s="132" t="s">
        <v>21</v>
      </c>
      <c r="C40" s="929">
        <v>1200000</v>
      </c>
      <c r="D40" s="134">
        <v>77.42</v>
      </c>
      <c r="E40" s="132">
        <f t="shared" si="9"/>
        <v>1.3557220356497028</v>
      </c>
      <c r="F40" s="133">
        <f t="shared" si="10"/>
        <v>1626866</v>
      </c>
      <c r="H40" s="233" t="s">
        <v>21</v>
      </c>
      <c r="I40" s="229">
        <f t="shared" si="11"/>
        <v>48000</v>
      </c>
      <c r="J40" s="229">
        <f t="shared" si="12"/>
        <v>48000</v>
      </c>
      <c r="K40" s="229">
        <f t="shared" si="13"/>
        <v>96000</v>
      </c>
      <c r="L40" s="229">
        <f t="shared" si="14"/>
        <v>150000</v>
      </c>
      <c r="M40" s="229">
        <f t="shared" si="15"/>
        <v>144000</v>
      </c>
      <c r="N40" s="229">
        <f t="shared" si="16"/>
        <v>198000</v>
      </c>
    </row>
    <row r="41" spans="2:14" ht="13.5">
      <c r="B41" s="132" t="s">
        <v>23</v>
      </c>
      <c r="C41" s="929">
        <v>1200000</v>
      </c>
      <c r="D41" s="134">
        <v>77.66</v>
      </c>
      <c r="E41" s="132">
        <f t="shared" si="9"/>
        <v>1.3515323203708474</v>
      </c>
      <c r="F41" s="133">
        <f t="shared" si="10"/>
        <v>1621839</v>
      </c>
      <c r="H41" s="233" t="s">
        <v>23</v>
      </c>
      <c r="I41" s="229">
        <f t="shared" si="11"/>
        <v>48000</v>
      </c>
      <c r="J41" s="229">
        <f t="shared" si="12"/>
        <v>48000</v>
      </c>
      <c r="K41" s="229">
        <f t="shared" si="13"/>
        <v>96000</v>
      </c>
      <c r="L41" s="229">
        <f t="shared" si="14"/>
        <v>150000</v>
      </c>
      <c r="M41" s="229">
        <f t="shared" si="15"/>
        <v>144000</v>
      </c>
      <c r="N41" s="229">
        <f t="shared" si="16"/>
        <v>198000</v>
      </c>
    </row>
    <row r="42" spans="2:14" ht="13.5">
      <c r="B42" s="132" t="s">
        <v>25</v>
      </c>
      <c r="C42" s="929">
        <v>1200000</v>
      </c>
      <c r="D42" s="134">
        <v>77.72</v>
      </c>
      <c r="E42" s="132">
        <f t="shared" si="9"/>
        <v>1.3504889346371589</v>
      </c>
      <c r="F42" s="133">
        <f t="shared" si="10"/>
        <v>1620587</v>
      </c>
      <c r="H42" s="233" t="s">
        <v>25</v>
      </c>
      <c r="I42" s="229">
        <f t="shared" si="11"/>
        <v>48000</v>
      </c>
      <c r="J42" s="229">
        <f t="shared" si="12"/>
        <v>48000</v>
      </c>
      <c r="K42" s="229">
        <f t="shared" si="13"/>
        <v>96000</v>
      </c>
      <c r="L42" s="229">
        <f t="shared" si="14"/>
        <v>150000</v>
      </c>
      <c r="M42" s="229">
        <f t="shared" si="15"/>
        <v>144000</v>
      </c>
      <c r="N42" s="229">
        <f t="shared" si="16"/>
        <v>198000</v>
      </c>
    </row>
    <row r="43" spans="2:14" ht="13.5">
      <c r="B43" s="132" t="s">
        <v>27</v>
      </c>
      <c r="C43" s="929">
        <v>1200000</v>
      </c>
      <c r="D43" s="134">
        <v>77.7</v>
      </c>
      <c r="E43" s="132">
        <f>+$C$14/D43</f>
        <v>1.3508365508365507</v>
      </c>
      <c r="F43" s="133">
        <f t="shared" si="10"/>
        <v>1621004</v>
      </c>
      <c r="H43" s="233" t="s">
        <v>27</v>
      </c>
      <c r="I43" s="229">
        <f t="shared" si="11"/>
        <v>48000</v>
      </c>
      <c r="J43" s="229">
        <f t="shared" si="12"/>
        <v>48000</v>
      </c>
      <c r="K43" s="229">
        <f t="shared" si="13"/>
        <v>96000</v>
      </c>
      <c r="L43" s="229">
        <f t="shared" si="14"/>
        <v>150000</v>
      </c>
      <c r="M43" s="229">
        <f t="shared" si="15"/>
        <v>144000</v>
      </c>
      <c r="N43" s="229">
        <f t="shared" si="16"/>
        <v>198000</v>
      </c>
    </row>
    <row r="44" spans="2:14" ht="13.5">
      <c r="B44" s="132" t="s">
        <v>29</v>
      </c>
      <c r="C44" s="929">
        <v>1200000</v>
      </c>
      <c r="D44" s="134">
        <v>77.73</v>
      </c>
      <c r="E44" s="132">
        <f t="shared" si="9"/>
        <v>1.3503151936189373</v>
      </c>
      <c r="F44" s="133">
        <f>ROUND(C44*E44,0)</f>
        <v>1620378</v>
      </c>
      <c r="H44" s="233" t="s">
        <v>29</v>
      </c>
      <c r="I44" s="229">
        <f t="shared" si="11"/>
        <v>48000</v>
      </c>
      <c r="J44" s="229">
        <f t="shared" si="12"/>
        <v>48000</v>
      </c>
      <c r="K44" s="229">
        <f t="shared" si="13"/>
        <v>96000</v>
      </c>
      <c r="L44" s="229">
        <f t="shared" si="14"/>
        <v>150000</v>
      </c>
      <c r="M44" s="229">
        <f t="shared" si="15"/>
        <v>144000</v>
      </c>
      <c r="N44" s="229">
        <f t="shared" si="16"/>
        <v>198000</v>
      </c>
    </row>
    <row r="45" spans="2:14" ht="13.5">
      <c r="B45" s="132" t="s">
        <v>31</v>
      </c>
      <c r="C45" s="929">
        <v>1200000</v>
      </c>
      <c r="D45" s="134">
        <v>77.959999999999994</v>
      </c>
      <c r="E45" s="132">
        <f t="shared" si="9"/>
        <v>1.3463314520266805</v>
      </c>
      <c r="F45" s="133">
        <f t="shared" si="10"/>
        <v>1615598</v>
      </c>
      <c r="H45" s="233" t="s">
        <v>31</v>
      </c>
      <c r="I45" s="229">
        <f t="shared" si="11"/>
        <v>48000</v>
      </c>
      <c r="J45" s="229">
        <f t="shared" si="12"/>
        <v>48000</v>
      </c>
      <c r="K45" s="229">
        <f t="shared" si="13"/>
        <v>96000</v>
      </c>
      <c r="L45" s="229">
        <f t="shared" si="14"/>
        <v>150000</v>
      </c>
      <c r="M45" s="229">
        <f t="shared" si="15"/>
        <v>144000</v>
      </c>
      <c r="N45" s="229">
        <f t="shared" si="16"/>
        <v>198000</v>
      </c>
    </row>
    <row r="46" spans="2:14" ht="13.5">
      <c r="B46" s="132" t="s">
        <v>33</v>
      </c>
      <c r="C46" s="929">
        <v>1200000</v>
      </c>
      <c r="D46" s="134">
        <v>78.08</v>
      </c>
      <c r="E46" s="132">
        <f t="shared" si="9"/>
        <v>1.3442622950819672</v>
      </c>
      <c r="F46" s="133">
        <f t="shared" si="10"/>
        <v>1613115</v>
      </c>
      <c r="H46" s="233" t="s">
        <v>33</v>
      </c>
      <c r="I46" s="229">
        <f t="shared" si="11"/>
        <v>48000</v>
      </c>
      <c r="J46" s="229">
        <f t="shared" si="12"/>
        <v>48000</v>
      </c>
      <c r="K46" s="229">
        <f t="shared" si="13"/>
        <v>96000</v>
      </c>
      <c r="L46" s="229">
        <f t="shared" si="14"/>
        <v>150000</v>
      </c>
      <c r="M46" s="229">
        <f t="shared" si="15"/>
        <v>144000</v>
      </c>
      <c r="N46" s="229">
        <f t="shared" si="16"/>
        <v>198000</v>
      </c>
    </row>
    <row r="47" spans="2:14" ht="13.5">
      <c r="B47" s="132" t="s">
        <v>34</v>
      </c>
      <c r="C47" s="929">
        <v>1200000</v>
      </c>
      <c r="D47" s="134">
        <v>77.98</v>
      </c>
      <c r="E47" s="132">
        <f t="shared" si="9"/>
        <v>1.3459861502949473</v>
      </c>
      <c r="F47" s="133">
        <f t="shared" si="10"/>
        <v>1615183</v>
      </c>
      <c r="H47" s="233" t="s">
        <v>34</v>
      </c>
      <c r="I47" s="229">
        <f t="shared" si="11"/>
        <v>48000</v>
      </c>
      <c r="J47" s="229">
        <f t="shared" si="12"/>
        <v>48000</v>
      </c>
      <c r="K47" s="229">
        <f t="shared" si="13"/>
        <v>96000</v>
      </c>
      <c r="L47" s="229">
        <f t="shared" si="14"/>
        <v>150000</v>
      </c>
      <c r="M47" s="229">
        <f t="shared" si="15"/>
        <v>144000</v>
      </c>
      <c r="N47" s="229">
        <f t="shared" si="16"/>
        <v>198000</v>
      </c>
    </row>
    <row r="48" spans="2:14" ht="13.5">
      <c r="B48" s="132" t="s">
        <v>35</v>
      </c>
      <c r="C48" s="929">
        <v>1200000</v>
      </c>
      <c r="D48" s="134">
        <v>78.05</v>
      </c>
      <c r="E48" s="132">
        <f t="shared" si="9"/>
        <v>1.3447789878283152</v>
      </c>
      <c r="F48" s="133">
        <f t="shared" si="10"/>
        <v>1613735</v>
      </c>
      <c r="H48" s="233" t="s">
        <v>35</v>
      </c>
      <c r="I48" s="229">
        <f t="shared" si="11"/>
        <v>48000</v>
      </c>
      <c r="J48" s="229">
        <f t="shared" si="12"/>
        <v>48000</v>
      </c>
      <c r="K48" s="229">
        <f t="shared" si="13"/>
        <v>96000</v>
      </c>
      <c r="L48" s="229">
        <f t="shared" si="14"/>
        <v>150000</v>
      </c>
      <c r="M48" s="229">
        <f t="shared" si="15"/>
        <v>144000</v>
      </c>
      <c r="N48" s="229">
        <f t="shared" si="16"/>
        <v>198000</v>
      </c>
    </row>
    <row r="49" spans="2:14" ht="13.5">
      <c r="B49" s="132" t="s">
        <v>101</v>
      </c>
      <c r="C49" s="929">
        <f>(C48*0.35*360)/360</f>
        <v>420000</v>
      </c>
      <c r="D49" s="134">
        <v>78.05</v>
      </c>
      <c r="E49" s="132">
        <f t="shared" si="9"/>
        <v>1.3447789878283152</v>
      </c>
      <c r="F49" s="133">
        <f>+C49*E49</f>
        <v>564807.17488789232</v>
      </c>
      <c r="H49" s="3" t="s">
        <v>1011</v>
      </c>
      <c r="I49" s="229">
        <f t="shared" ref="I49:N49" si="17">SUM(I37:I48)</f>
        <v>576000</v>
      </c>
      <c r="J49" s="229">
        <f t="shared" si="17"/>
        <v>576000</v>
      </c>
      <c r="K49" s="229">
        <f t="shared" si="17"/>
        <v>1152000</v>
      </c>
      <c r="L49" s="229">
        <f t="shared" si="17"/>
        <v>1800000</v>
      </c>
      <c r="M49" s="229">
        <f t="shared" si="17"/>
        <v>1728000</v>
      </c>
      <c r="N49" s="229">
        <f t="shared" si="17"/>
        <v>2376000</v>
      </c>
    </row>
    <row r="50" spans="2:14" ht="13.5">
      <c r="B50" s="132" t="s">
        <v>102</v>
      </c>
      <c r="C50" s="929">
        <f>(C48/30*20)</f>
        <v>800000</v>
      </c>
      <c r="D50" s="134">
        <v>78.05</v>
      </c>
      <c r="E50" s="132">
        <f t="shared" si="9"/>
        <v>1.3447789878283152</v>
      </c>
      <c r="F50" s="133">
        <f>+C50*E50</f>
        <v>1075823.1902626522</v>
      </c>
      <c r="I50" s="444"/>
    </row>
    <row r="51" spans="2:14" ht="13.5">
      <c r="B51" s="132" t="s">
        <v>103</v>
      </c>
      <c r="C51" s="929">
        <f>(C48/30*2*360)/360</f>
        <v>80000</v>
      </c>
      <c r="D51" s="134">
        <v>78.05</v>
      </c>
      <c r="E51" s="132">
        <f t="shared" si="9"/>
        <v>1.3447789878283152</v>
      </c>
      <c r="F51" s="133">
        <f>+C51*E51</f>
        <v>107582.31902626522</v>
      </c>
    </row>
    <row r="52" spans="2:14" ht="13.5">
      <c r="B52" s="132" t="s">
        <v>104</v>
      </c>
      <c r="C52" s="929">
        <f>(C48/30*21)*360/360</f>
        <v>840000</v>
      </c>
      <c r="D52" s="134">
        <v>78.05</v>
      </c>
      <c r="E52" s="132">
        <f t="shared" si="9"/>
        <v>1.3447789878283152</v>
      </c>
      <c r="F52" s="133">
        <f>+C52*E52</f>
        <v>1129614.3497757846</v>
      </c>
    </row>
    <row r="53" spans="2:14" ht="13.5">
      <c r="B53" s="132" t="s">
        <v>95</v>
      </c>
      <c r="C53" s="929">
        <f>(C48*360)/360</f>
        <v>1200000</v>
      </c>
      <c r="D53" s="134">
        <v>78.05</v>
      </c>
      <c r="E53" s="132">
        <f t="shared" si="9"/>
        <v>1.3447789878283152</v>
      </c>
      <c r="F53" s="133">
        <f>+C53*E53</f>
        <v>1613734.7853939782</v>
      </c>
    </row>
    <row r="54" spans="2:14">
      <c r="B54" s="132" t="s">
        <v>96</v>
      </c>
      <c r="C54" s="133"/>
      <c r="D54" s="134"/>
      <c r="E54" s="132"/>
      <c r="F54" s="133">
        <f>SUM(F37:F53)</f>
        <v>23961195.819346573</v>
      </c>
    </row>
    <row r="55" spans="2:14">
      <c r="B55" s="132" t="s">
        <v>98</v>
      </c>
      <c r="C55" s="133"/>
      <c r="D55" s="134"/>
      <c r="E55" s="132"/>
      <c r="F55" s="133">
        <f>+I49+J49</f>
        <v>1152000</v>
      </c>
    </row>
    <row r="56" spans="2:14">
      <c r="B56" s="132" t="s">
        <v>99</v>
      </c>
      <c r="C56" s="133"/>
      <c r="D56" s="134"/>
      <c r="E56" s="132"/>
      <c r="F56" s="133">
        <f>+F54-F55</f>
        <v>22809195.819346573</v>
      </c>
    </row>
    <row r="57" spans="2:14">
      <c r="H57" s="2549" t="s">
        <v>1716</v>
      </c>
      <c r="I57" s="2549"/>
      <c r="J57" s="2549"/>
      <c r="K57" s="2549"/>
      <c r="L57" s="2549"/>
      <c r="M57" s="2549"/>
      <c r="N57" s="2549"/>
    </row>
    <row r="58" spans="2:14" ht="22.5">
      <c r="B58" s="122" t="s">
        <v>11</v>
      </c>
      <c r="C58" s="144" t="s">
        <v>115</v>
      </c>
      <c r="D58" s="2160" t="s">
        <v>76</v>
      </c>
      <c r="E58" s="122" t="s">
        <v>77</v>
      </c>
      <c r="F58" s="144" t="s">
        <v>57</v>
      </c>
      <c r="H58" s="226" t="s">
        <v>11</v>
      </c>
      <c r="I58" s="1179" t="s">
        <v>1006</v>
      </c>
      <c r="J58" s="1179" t="s">
        <v>1572</v>
      </c>
      <c r="K58" s="1179" t="s">
        <v>1573</v>
      </c>
      <c r="L58" s="1179" t="s">
        <v>1574</v>
      </c>
      <c r="M58" s="1179" t="s">
        <v>82</v>
      </c>
      <c r="N58" s="1179" t="s">
        <v>83</v>
      </c>
    </row>
    <row r="59" spans="2:14" ht="13.5">
      <c r="B59" s="2156" t="s">
        <v>16</v>
      </c>
      <c r="C59" s="929">
        <v>1500000</v>
      </c>
      <c r="D59" s="134">
        <v>76.75</v>
      </c>
      <c r="E59" s="132">
        <f>+$C$14/D59</f>
        <v>1.367557003257329</v>
      </c>
      <c r="F59" s="133">
        <f t="shared" ref="F59:F75" si="18">ROUND(C59*E59,0)</f>
        <v>2051336</v>
      </c>
      <c r="H59" s="233" t="s">
        <v>16</v>
      </c>
      <c r="I59" s="229">
        <f>+C59*0.04</f>
        <v>60000</v>
      </c>
      <c r="J59" s="229">
        <f>+C59*0.04</f>
        <v>60000</v>
      </c>
      <c r="K59" s="229">
        <f>+C59*0.08</f>
        <v>120000</v>
      </c>
      <c r="L59" s="229">
        <f>+C59*0.125</f>
        <v>187500</v>
      </c>
      <c r="M59" s="229">
        <f>+I59+K59</f>
        <v>180000</v>
      </c>
      <c r="N59" s="229">
        <f>+L59+J59</f>
        <v>247500</v>
      </c>
    </row>
    <row r="60" spans="2:14" ht="13.5">
      <c r="B60" s="2156" t="s">
        <v>1715</v>
      </c>
      <c r="C60" s="929">
        <v>1500000</v>
      </c>
      <c r="D60" s="134">
        <v>77.22</v>
      </c>
      <c r="E60" s="132">
        <f t="shared" ref="E60:E75" si="19">+$C$14/D60</f>
        <v>1.3592333592333592</v>
      </c>
      <c r="F60" s="133">
        <f t="shared" si="18"/>
        <v>2038850</v>
      </c>
      <c r="H60" s="233" t="s">
        <v>17</v>
      </c>
      <c r="I60" s="229">
        <f t="shared" ref="I60:I70" si="20">+C60*0.04</f>
        <v>60000</v>
      </c>
      <c r="J60" s="229">
        <f t="shared" ref="J60:J70" si="21">+C60*0.04</f>
        <v>60000</v>
      </c>
      <c r="K60" s="229">
        <f t="shared" ref="K60:K70" si="22">+C60*0.08</f>
        <v>120000</v>
      </c>
      <c r="L60" s="229">
        <f t="shared" ref="L60:L70" si="23">+C60*0.125</f>
        <v>187500</v>
      </c>
      <c r="M60" s="229">
        <f t="shared" ref="M60:M70" si="24">+I60+K60</f>
        <v>180000</v>
      </c>
      <c r="N60" s="229">
        <f t="shared" ref="N60:N70" si="25">+L60+J60</f>
        <v>247500</v>
      </c>
    </row>
    <row r="61" spans="2:14" ht="13.5">
      <c r="B61" s="132" t="s">
        <v>19</v>
      </c>
      <c r="C61" s="929">
        <v>1500000</v>
      </c>
      <c r="D61" s="134">
        <v>77.31</v>
      </c>
      <c r="E61" s="132">
        <f t="shared" si="19"/>
        <v>1.3576510153925752</v>
      </c>
      <c r="F61" s="133">
        <f t="shared" si="18"/>
        <v>2036477</v>
      </c>
      <c r="H61" s="233" t="s">
        <v>19</v>
      </c>
      <c r="I61" s="229">
        <f t="shared" si="20"/>
        <v>60000</v>
      </c>
      <c r="J61" s="229">
        <f t="shared" si="21"/>
        <v>60000</v>
      </c>
      <c r="K61" s="229">
        <f t="shared" si="22"/>
        <v>120000</v>
      </c>
      <c r="L61" s="229">
        <f t="shared" si="23"/>
        <v>187500</v>
      </c>
      <c r="M61" s="229">
        <f t="shared" si="24"/>
        <v>180000</v>
      </c>
      <c r="N61" s="229">
        <f t="shared" si="25"/>
        <v>247500</v>
      </c>
    </row>
    <row r="62" spans="2:14" ht="13.5">
      <c r="B62" s="132" t="s">
        <v>21</v>
      </c>
      <c r="C62" s="929">
        <v>1500000</v>
      </c>
      <c r="D62" s="134">
        <v>77.42</v>
      </c>
      <c r="E62" s="132">
        <f t="shared" si="19"/>
        <v>1.3557220356497028</v>
      </c>
      <c r="F62" s="133">
        <f t="shared" si="18"/>
        <v>2033583</v>
      </c>
      <c r="H62" s="233" t="s">
        <v>21</v>
      </c>
      <c r="I62" s="229">
        <f t="shared" si="20"/>
        <v>60000</v>
      </c>
      <c r="J62" s="229">
        <f t="shared" si="21"/>
        <v>60000</v>
      </c>
      <c r="K62" s="229">
        <f t="shared" si="22"/>
        <v>120000</v>
      </c>
      <c r="L62" s="229">
        <f t="shared" si="23"/>
        <v>187500</v>
      </c>
      <c r="M62" s="229">
        <f t="shared" si="24"/>
        <v>180000</v>
      </c>
      <c r="N62" s="229">
        <f t="shared" si="25"/>
        <v>247500</v>
      </c>
    </row>
    <row r="63" spans="2:14" ht="13.5">
      <c r="B63" s="132" t="s">
        <v>23</v>
      </c>
      <c r="C63" s="929">
        <v>1500000</v>
      </c>
      <c r="D63" s="134">
        <v>77.66</v>
      </c>
      <c r="E63" s="132">
        <f t="shared" si="19"/>
        <v>1.3515323203708474</v>
      </c>
      <c r="F63" s="133">
        <f t="shared" si="18"/>
        <v>2027298</v>
      </c>
      <c r="H63" s="233" t="s">
        <v>23</v>
      </c>
      <c r="I63" s="229">
        <f t="shared" si="20"/>
        <v>60000</v>
      </c>
      <c r="J63" s="229">
        <f t="shared" si="21"/>
        <v>60000</v>
      </c>
      <c r="K63" s="229">
        <f t="shared" si="22"/>
        <v>120000</v>
      </c>
      <c r="L63" s="229">
        <f t="shared" si="23"/>
        <v>187500</v>
      </c>
      <c r="M63" s="229">
        <f t="shared" si="24"/>
        <v>180000</v>
      </c>
      <c r="N63" s="229">
        <f t="shared" si="25"/>
        <v>247500</v>
      </c>
    </row>
    <row r="64" spans="2:14" ht="13.5">
      <c r="B64" s="132" t="s">
        <v>25</v>
      </c>
      <c r="C64" s="929">
        <v>1500000</v>
      </c>
      <c r="D64" s="134">
        <v>77.72</v>
      </c>
      <c r="E64" s="132">
        <f t="shared" si="19"/>
        <v>1.3504889346371589</v>
      </c>
      <c r="F64" s="133">
        <f t="shared" si="18"/>
        <v>2025733</v>
      </c>
      <c r="H64" s="233" t="s">
        <v>25</v>
      </c>
      <c r="I64" s="229">
        <f t="shared" si="20"/>
        <v>60000</v>
      </c>
      <c r="J64" s="229">
        <f t="shared" si="21"/>
        <v>60000</v>
      </c>
      <c r="K64" s="229">
        <f t="shared" si="22"/>
        <v>120000</v>
      </c>
      <c r="L64" s="229">
        <f t="shared" si="23"/>
        <v>187500</v>
      </c>
      <c r="M64" s="229">
        <f t="shared" si="24"/>
        <v>180000</v>
      </c>
      <c r="N64" s="229">
        <f t="shared" si="25"/>
        <v>247500</v>
      </c>
    </row>
    <row r="65" spans="2:14" ht="13.5">
      <c r="B65" s="132" t="s">
        <v>27</v>
      </c>
      <c r="C65" s="929">
        <v>1500000</v>
      </c>
      <c r="D65" s="134">
        <v>77.7</v>
      </c>
      <c r="E65" s="132">
        <f>+$C$14/D65</f>
        <v>1.3508365508365507</v>
      </c>
      <c r="F65" s="133">
        <f t="shared" si="18"/>
        <v>2026255</v>
      </c>
      <c r="H65" s="233" t="s">
        <v>27</v>
      </c>
      <c r="I65" s="229">
        <f t="shared" si="20"/>
        <v>60000</v>
      </c>
      <c r="J65" s="229">
        <f t="shared" si="21"/>
        <v>60000</v>
      </c>
      <c r="K65" s="229">
        <f t="shared" si="22"/>
        <v>120000</v>
      </c>
      <c r="L65" s="229">
        <f t="shared" si="23"/>
        <v>187500</v>
      </c>
      <c r="M65" s="229">
        <f t="shared" si="24"/>
        <v>180000</v>
      </c>
      <c r="N65" s="229">
        <f t="shared" si="25"/>
        <v>247500</v>
      </c>
    </row>
    <row r="66" spans="2:14" ht="13.5">
      <c r="B66" s="132" t="s">
        <v>29</v>
      </c>
      <c r="C66" s="929">
        <v>1500000</v>
      </c>
      <c r="D66" s="134">
        <v>77.73</v>
      </c>
      <c r="E66" s="132">
        <f t="shared" si="19"/>
        <v>1.3503151936189373</v>
      </c>
      <c r="F66" s="133">
        <f t="shared" si="18"/>
        <v>2025473</v>
      </c>
      <c r="H66" s="233" t="s">
        <v>29</v>
      </c>
      <c r="I66" s="229">
        <f t="shared" si="20"/>
        <v>60000</v>
      </c>
      <c r="J66" s="229">
        <f t="shared" si="21"/>
        <v>60000</v>
      </c>
      <c r="K66" s="229">
        <f t="shared" si="22"/>
        <v>120000</v>
      </c>
      <c r="L66" s="229">
        <f t="shared" si="23"/>
        <v>187500</v>
      </c>
      <c r="M66" s="229">
        <f t="shared" si="24"/>
        <v>180000</v>
      </c>
      <c r="N66" s="229">
        <f t="shared" si="25"/>
        <v>247500</v>
      </c>
    </row>
    <row r="67" spans="2:14" ht="13.5">
      <c r="B67" s="132" t="s">
        <v>31</v>
      </c>
      <c r="C67" s="929">
        <v>1500000</v>
      </c>
      <c r="D67" s="134">
        <v>77.959999999999994</v>
      </c>
      <c r="E67" s="132">
        <f t="shared" si="19"/>
        <v>1.3463314520266805</v>
      </c>
      <c r="F67" s="133">
        <f t="shared" si="18"/>
        <v>2019497</v>
      </c>
      <c r="H67" s="233" t="s">
        <v>31</v>
      </c>
      <c r="I67" s="229">
        <f t="shared" si="20"/>
        <v>60000</v>
      </c>
      <c r="J67" s="229">
        <f t="shared" si="21"/>
        <v>60000</v>
      </c>
      <c r="K67" s="229">
        <f t="shared" si="22"/>
        <v>120000</v>
      </c>
      <c r="L67" s="229">
        <f t="shared" si="23"/>
        <v>187500</v>
      </c>
      <c r="M67" s="229">
        <f t="shared" si="24"/>
        <v>180000</v>
      </c>
      <c r="N67" s="229">
        <f t="shared" si="25"/>
        <v>247500</v>
      </c>
    </row>
    <row r="68" spans="2:14" ht="13.5">
      <c r="B68" s="132" t="s">
        <v>33</v>
      </c>
      <c r="C68" s="929">
        <v>1500000</v>
      </c>
      <c r="D68" s="134">
        <v>78.08</v>
      </c>
      <c r="E68" s="132">
        <f t="shared" si="19"/>
        <v>1.3442622950819672</v>
      </c>
      <c r="F68" s="133">
        <f t="shared" si="18"/>
        <v>2016393</v>
      </c>
      <c r="H68" s="233" t="s">
        <v>33</v>
      </c>
      <c r="I68" s="229">
        <f t="shared" si="20"/>
        <v>60000</v>
      </c>
      <c r="J68" s="229">
        <f t="shared" si="21"/>
        <v>60000</v>
      </c>
      <c r="K68" s="229">
        <f t="shared" si="22"/>
        <v>120000</v>
      </c>
      <c r="L68" s="229">
        <f t="shared" si="23"/>
        <v>187500</v>
      </c>
      <c r="M68" s="229">
        <f t="shared" si="24"/>
        <v>180000</v>
      </c>
      <c r="N68" s="229">
        <f t="shared" si="25"/>
        <v>247500</v>
      </c>
    </row>
    <row r="69" spans="2:14" ht="13.5">
      <c r="B69" s="132" t="s">
        <v>34</v>
      </c>
      <c r="C69" s="929">
        <v>1500000</v>
      </c>
      <c r="D69" s="134">
        <v>77.98</v>
      </c>
      <c r="E69" s="132">
        <f t="shared" si="19"/>
        <v>1.3459861502949473</v>
      </c>
      <c r="F69" s="133">
        <f t="shared" si="18"/>
        <v>2018979</v>
      </c>
      <c r="H69" s="233" t="s">
        <v>34</v>
      </c>
      <c r="I69" s="229">
        <f t="shared" si="20"/>
        <v>60000</v>
      </c>
      <c r="J69" s="229">
        <f t="shared" si="21"/>
        <v>60000</v>
      </c>
      <c r="K69" s="229">
        <f t="shared" si="22"/>
        <v>120000</v>
      </c>
      <c r="L69" s="229">
        <f t="shared" si="23"/>
        <v>187500</v>
      </c>
      <c r="M69" s="229">
        <f t="shared" si="24"/>
        <v>180000</v>
      </c>
      <c r="N69" s="229">
        <f t="shared" si="25"/>
        <v>247500</v>
      </c>
    </row>
    <row r="70" spans="2:14" ht="13.5">
      <c r="B70" s="132" t="s">
        <v>35</v>
      </c>
      <c r="C70" s="929">
        <v>1500000</v>
      </c>
      <c r="D70" s="134">
        <v>78.05</v>
      </c>
      <c r="E70" s="132">
        <f t="shared" si="19"/>
        <v>1.3447789878283152</v>
      </c>
      <c r="F70" s="133">
        <f t="shared" si="18"/>
        <v>2017168</v>
      </c>
      <c r="H70" s="233" t="s">
        <v>35</v>
      </c>
      <c r="I70" s="229">
        <f t="shared" si="20"/>
        <v>60000</v>
      </c>
      <c r="J70" s="229">
        <f t="shared" si="21"/>
        <v>60000</v>
      </c>
      <c r="K70" s="229">
        <f t="shared" si="22"/>
        <v>120000</v>
      </c>
      <c r="L70" s="229">
        <f t="shared" si="23"/>
        <v>187500</v>
      </c>
      <c r="M70" s="229">
        <f t="shared" si="24"/>
        <v>180000</v>
      </c>
      <c r="N70" s="229">
        <f t="shared" si="25"/>
        <v>247500</v>
      </c>
    </row>
    <row r="71" spans="2:14" ht="13.5">
      <c r="B71" s="132" t="s">
        <v>101</v>
      </c>
      <c r="C71" s="929">
        <f>(C70*0.35*360)/360</f>
        <v>525000</v>
      </c>
      <c r="D71" s="134">
        <v>78.05</v>
      </c>
      <c r="E71" s="132">
        <f t="shared" si="19"/>
        <v>1.3447789878283152</v>
      </c>
      <c r="F71" s="133">
        <f t="shared" si="18"/>
        <v>706009</v>
      </c>
      <c r="H71" s="3" t="s">
        <v>1011</v>
      </c>
      <c r="I71" s="229">
        <f t="shared" ref="I71:N71" si="26">SUM(I59:I70)</f>
        <v>720000</v>
      </c>
      <c r="J71" s="229">
        <f t="shared" si="26"/>
        <v>720000</v>
      </c>
      <c r="K71" s="229">
        <f t="shared" si="26"/>
        <v>1440000</v>
      </c>
      <c r="L71" s="229">
        <f t="shared" si="26"/>
        <v>2250000</v>
      </c>
      <c r="M71" s="229">
        <f t="shared" si="26"/>
        <v>2160000</v>
      </c>
      <c r="N71" s="229">
        <f t="shared" si="26"/>
        <v>2970000</v>
      </c>
    </row>
    <row r="72" spans="2:14" ht="13.5">
      <c r="B72" s="132" t="s">
        <v>102</v>
      </c>
      <c r="C72" s="929">
        <f>(C70/30*20)</f>
        <v>1000000</v>
      </c>
      <c r="D72" s="134">
        <v>78.05</v>
      </c>
      <c r="E72" s="132">
        <f t="shared" si="19"/>
        <v>1.3447789878283152</v>
      </c>
      <c r="F72" s="133">
        <f t="shared" si="18"/>
        <v>1344779</v>
      </c>
    </row>
    <row r="73" spans="2:14" ht="13.5">
      <c r="B73" s="132" t="s">
        <v>103</v>
      </c>
      <c r="C73" s="929">
        <f>(C70/30*2*360)/360</f>
        <v>100000</v>
      </c>
      <c r="D73" s="134">
        <v>78.05</v>
      </c>
      <c r="E73" s="132">
        <f t="shared" si="19"/>
        <v>1.3447789878283152</v>
      </c>
      <c r="F73" s="133">
        <f t="shared" si="18"/>
        <v>134478</v>
      </c>
    </row>
    <row r="74" spans="2:14" ht="13.5">
      <c r="B74" s="132" t="s">
        <v>104</v>
      </c>
      <c r="C74" s="929">
        <f>(C70/30*21)*360/360</f>
        <v>1050000</v>
      </c>
      <c r="D74" s="134">
        <v>78.05</v>
      </c>
      <c r="E74" s="132">
        <f t="shared" si="19"/>
        <v>1.3447789878283152</v>
      </c>
      <c r="F74" s="133">
        <f t="shared" si="18"/>
        <v>1412018</v>
      </c>
    </row>
    <row r="75" spans="2:14" ht="13.5">
      <c r="B75" s="132" t="s">
        <v>95</v>
      </c>
      <c r="C75" s="929">
        <f>(C70*360)/360</f>
        <v>1500000</v>
      </c>
      <c r="D75" s="134">
        <v>78.05</v>
      </c>
      <c r="E75" s="132">
        <f t="shared" si="19"/>
        <v>1.3447789878283152</v>
      </c>
      <c r="F75" s="133">
        <f t="shared" si="18"/>
        <v>2017168</v>
      </c>
    </row>
    <row r="76" spans="2:14">
      <c r="B76" s="132" t="s">
        <v>96</v>
      </c>
      <c r="C76" s="133"/>
      <c r="D76" s="134"/>
      <c r="E76" s="132"/>
      <c r="F76" s="133">
        <f>SUM(F59:F75)</f>
        <v>29951494</v>
      </c>
    </row>
    <row r="77" spans="2:14">
      <c r="B77" s="132" t="s">
        <v>98</v>
      </c>
      <c r="C77" s="133"/>
      <c r="D77" s="134"/>
      <c r="E77" s="132"/>
      <c r="F77" s="133">
        <f>+I71+J71</f>
        <v>1440000</v>
      </c>
    </row>
    <row r="78" spans="2:14">
      <c r="B78" s="132" t="s">
        <v>99</v>
      </c>
      <c r="C78" s="133"/>
      <c r="D78" s="134"/>
      <c r="E78" s="132"/>
      <c r="F78" s="133">
        <f>+F76-F77</f>
        <v>28511494</v>
      </c>
    </row>
    <row r="81" spans="1:8">
      <c r="B81" s="233" t="s">
        <v>1582</v>
      </c>
      <c r="C81" s="231">
        <f>F32+F54+F76</f>
        <v>81284905.819346577</v>
      </c>
    </row>
    <row r="82" spans="1:8">
      <c r="B82" s="233" t="s">
        <v>1583</v>
      </c>
      <c r="C82" s="231">
        <f>F33+F55+F77</f>
        <v>3897683.333333333</v>
      </c>
    </row>
    <row r="83" spans="1:8" ht="22.5">
      <c r="B83" s="2124" t="s">
        <v>1717</v>
      </c>
      <c r="C83" s="2125">
        <f>+C81-C82</f>
        <v>77387222.486013249</v>
      </c>
    </row>
    <row r="85" spans="1:8" ht="13.5">
      <c r="B85" s="2161" t="s">
        <v>1338</v>
      </c>
      <c r="C85" s="2162">
        <f>+C13</f>
        <v>44047</v>
      </c>
    </row>
    <row r="87" spans="1:8">
      <c r="B87" s="2820" t="s">
        <v>84</v>
      </c>
      <c r="C87" s="2821"/>
      <c r="D87" s="2821"/>
      <c r="E87" s="2821"/>
      <c r="F87" s="2821"/>
      <c r="G87" s="2821"/>
      <c r="H87" s="2822"/>
    </row>
    <row r="88" spans="1:8" ht="38.25">
      <c r="B88" s="969" t="s">
        <v>199</v>
      </c>
      <c r="C88" s="969" t="s">
        <v>200</v>
      </c>
      <c r="D88" s="2752" t="s">
        <v>536</v>
      </c>
      <c r="E88" s="2752"/>
      <c r="F88" s="969" t="s">
        <v>204</v>
      </c>
      <c r="G88" s="2122" t="s">
        <v>537</v>
      </c>
      <c r="H88" s="969" t="s">
        <v>205</v>
      </c>
    </row>
    <row r="89" spans="1:8" ht="13.5">
      <c r="A89" s="729">
        <v>3</v>
      </c>
      <c r="B89" s="724">
        <v>44048</v>
      </c>
      <c r="C89" s="724">
        <v>44074</v>
      </c>
      <c r="D89" s="2"/>
      <c r="E89" s="897">
        <v>2.7900000000000001E-2</v>
      </c>
      <c r="F89" s="897">
        <f t="shared" ref="F89:F116" si="27">((1+E89)^(1/365)-1)</f>
        <v>7.5394310601994974E-5</v>
      </c>
      <c r="G89" s="931">
        <f t="shared" ref="G89:G96" si="28">+_xlfn.DAYS(C89,B89)+1</f>
        <v>27</v>
      </c>
      <c r="H89" s="231">
        <f t="shared" ref="H89:H116" si="29">ROUND(F89*G89*$C$83,0)</f>
        <v>157533</v>
      </c>
    </row>
    <row r="90" spans="1:8" ht="13.5">
      <c r="A90" s="729">
        <v>4</v>
      </c>
      <c r="B90" s="724">
        <v>44075</v>
      </c>
      <c r="C90" s="724">
        <v>44104</v>
      </c>
      <c r="D90" s="2"/>
      <c r="E90" s="897">
        <v>2.3900000000000001E-2</v>
      </c>
      <c r="F90" s="897">
        <f t="shared" si="27"/>
        <v>6.4711314504917183E-5</v>
      </c>
      <c r="G90" s="931">
        <f t="shared" si="28"/>
        <v>30</v>
      </c>
      <c r="H90" s="231">
        <f t="shared" si="29"/>
        <v>150235</v>
      </c>
    </row>
    <row r="91" spans="1:8" ht="13.5">
      <c r="A91" s="729">
        <v>5</v>
      </c>
      <c r="B91" s="724">
        <v>44105</v>
      </c>
      <c r="C91" s="724">
        <v>44135</v>
      </c>
      <c r="D91" s="2"/>
      <c r="E91" s="897">
        <v>2.0299999999999999E-2</v>
      </c>
      <c r="F91" s="897">
        <f t="shared" si="27"/>
        <v>5.5060972509624051E-5</v>
      </c>
      <c r="G91" s="931">
        <f t="shared" si="28"/>
        <v>31</v>
      </c>
      <c r="H91" s="231">
        <f t="shared" si="29"/>
        <v>132091</v>
      </c>
    </row>
    <row r="92" spans="1:8" ht="13.5">
      <c r="A92" s="729">
        <v>6</v>
      </c>
      <c r="B92" s="724">
        <v>44136</v>
      </c>
      <c r="C92" s="724">
        <v>44165</v>
      </c>
      <c r="D92" s="2"/>
      <c r="E92" s="897">
        <v>1.9599999999999999E-2</v>
      </c>
      <c r="F92" s="897">
        <f t="shared" si="27"/>
        <v>5.3180574364875E-5</v>
      </c>
      <c r="G92" s="931">
        <f t="shared" si="28"/>
        <v>30</v>
      </c>
      <c r="H92" s="231">
        <f t="shared" si="29"/>
        <v>123465</v>
      </c>
    </row>
    <row r="93" spans="1:8" ht="13.5">
      <c r="A93" s="729">
        <v>7</v>
      </c>
      <c r="B93" s="724">
        <v>44166</v>
      </c>
      <c r="C93" s="724">
        <v>44196</v>
      </c>
      <c r="D93" s="2"/>
      <c r="E93" s="897">
        <v>1.9299999999999998E-2</v>
      </c>
      <c r="F93" s="897">
        <f t="shared" si="27"/>
        <v>5.2374295299806306E-5</v>
      </c>
      <c r="G93" s="931">
        <f t="shared" si="28"/>
        <v>31</v>
      </c>
      <c r="H93" s="231">
        <f t="shared" si="29"/>
        <v>125646</v>
      </c>
    </row>
    <row r="94" spans="1:8" ht="13.5">
      <c r="A94" s="729">
        <v>8</v>
      </c>
      <c r="B94" s="724">
        <v>44197</v>
      </c>
      <c r="C94" s="724">
        <v>44227</v>
      </c>
      <c r="D94" s="2"/>
      <c r="E94" s="897">
        <v>1.9099999999999999E-2</v>
      </c>
      <c r="F94" s="897">
        <f t="shared" si="27"/>
        <v>5.1836644438196799E-5</v>
      </c>
      <c r="G94" s="931">
        <f t="shared" si="28"/>
        <v>31</v>
      </c>
      <c r="H94" s="231">
        <f t="shared" si="29"/>
        <v>124356</v>
      </c>
    </row>
    <row r="95" spans="1:8" ht="13.5">
      <c r="A95" s="729">
        <v>9</v>
      </c>
      <c r="B95" s="724">
        <v>44228</v>
      </c>
      <c r="C95" s="724">
        <v>44255</v>
      </c>
      <c r="D95" s="2"/>
      <c r="E95" s="897">
        <v>1.8100000000000002E-2</v>
      </c>
      <c r="F95" s="897">
        <f t="shared" si="27"/>
        <v>4.9146810763511795E-5</v>
      </c>
      <c r="G95" s="931">
        <f t="shared" si="28"/>
        <v>28</v>
      </c>
      <c r="H95" s="231">
        <f t="shared" si="29"/>
        <v>106493</v>
      </c>
    </row>
    <row r="96" spans="1:8" ht="13.5">
      <c r="A96" s="729">
        <v>10</v>
      </c>
      <c r="B96" s="724">
        <v>44256</v>
      </c>
      <c r="C96" s="724">
        <v>44286</v>
      </c>
      <c r="D96" s="2"/>
      <c r="E96" s="897">
        <v>1.77E-2</v>
      </c>
      <c r="F96" s="897">
        <f t="shared" si="27"/>
        <v>4.8070139484934771E-5</v>
      </c>
      <c r="G96" s="931">
        <f t="shared" si="28"/>
        <v>31</v>
      </c>
      <c r="H96" s="231">
        <f t="shared" si="29"/>
        <v>115320</v>
      </c>
    </row>
    <row r="97" spans="1:8" ht="13.5">
      <c r="A97" s="729">
        <v>11</v>
      </c>
      <c r="B97" s="724">
        <v>44287</v>
      </c>
      <c r="C97" s="724">
        <v>44304</v>
      </c>
      <c r="D97" s="2"/>
      <c r="E97" s="897">
        <v>1.7600000000000001E-2</v>
      </c>
      <c r="F97" s="897">
        <f t="shared" si="27"/>
        <v>4.7800905724759701E-5</v>
      </c>
      <c r="G97" s="931">
        <f>+_xlfn.DAYS(C97,B97)+1</f>
        <v>18</v>
      </c>
      <c r="H97" s="231">
        <f t="shared" si="29"/>
        <v>66585</v>
      </c>
    </row>
    <row r="98" spans="1:8" ht="13.5">
      <c r="A98" s="729">
        <v>12</v>
      </c>
      <c r="B98" s="821">
        <v>44305</v>
      </c>
      <c r="C98" s="724">
        <v>44316</v>
      </c>
      <c r="D98" s="2123"/>
      <c r="E98" s="2123">
        <v>1.7600000000000001E-2</v>
      </c>
      <c r="F98" s="897">
        <f t="shared" si="27"/>
        <v>4.7800905724759701E-5</v>
      </c>
      <c r="G98" s="931">
        <f>+_xlfn.DAYS(C98,B98)+1</f>
        <v>12</v>
      </c>
      <c r="H98" s="231">
        <f t="shared" si="29"/>
        <v>44390</v>
      </c>
    </row>
    <row r="99" spans="1:8" ht="13.5">
      <c r="A99" s="729">
        <v>13</v>
      </c>
      <c r="B99" s="724">
        <v>44317</v>
      </c>
      <c r="C99" s="724">
        <v>44347</v>
      </c>
      <c r="D99" s="2123"/>
      <c r="E99" s="2123">
        <v>1.8200000000000001E-2</v>
      </c>
      <c r="F99" s="897">
        <f t="shared" si="27"/>
        <v>4.9415912668715478E-5</v>
      </c>
      <c r="G99" s="931">
        <f>+_xlfn.DAYS(C99,B99)+1</f>
        <v>31</v>
      </c>
      <c r="H99" s="231">
        <f t="shared" si="29"/>
        <v>118549</v>
      </c>
    </row>
    <row r="100" spans="1:8" ht="13.5">
      <c r="A100" s="729">
        <v>14</v>
      </c>
      <c r="B100" s="724">
        <v>44348</v>
      </c>
      <c r="C100" s="724">
        <v>44352</v>
      </c>
      <c r="D100" s="2123"/>
      <c r="E100" s="2123">
        <v>1.9099999999999999E-2</v>
      </c>
      <c r="F100" s="897">
        <f t="shared" si="27"/>
        <v>5.1836644438196799E-5</v>
      </c>
      <c r="G100" s="931">
        <f t="shared" ref="G100:G108" si="30">+_xlfn.DAYS(C100,B100)+1</f>
        <v>5</v>
      </c>
      <c r="H100" s="231">
        <f t="shared" si="29"/>
        <v>20057</v>
      </c>
    </row>
    <row r="101" spans="1:8" ht="13.5">
      <c r="A101" s="729">
        <v>15</v>
      </c>
      <c r="B101" s="724">
        <v>44353</v>
      </c>
      <c r="C101" s="724">
        <v>44377</v>
      </c>
      <c r="D101" s="2123">
        <v>0.1721</v>
      </c>
      <c r="E101" s="2123">
        <f>+D101*1.5</f>
        <v>0.25814999999999999</v>
      </c>
      <c r="F101" s="897">
        <f>((1+E101)^(1/365)-1)</f>
        <v>6.2935518846773952E-4</v>
      </c>
      <c r="G101" s="931">
        <f>+_xlfn.DAYS(C101,B101)+1</f>
        <v>25</v>
      </c>
      <c r="H101" s="231">
        <f t="shared" si="29"/>
        <v>1217601</v>
      </c>
    </row>
    <row r="102" spans="1:8" ht="13.5">
      <c r="A102" s="729">
        <v>16</v>
      </c>
      <c r="B102" s="724">
        <v>44378</v>
      </c>
      <c r="C102" s="724">
        <v>44408</v>
      </c>
      <c r="D102" s="2123">
        <v>0.17180000000000001</v>
      </c>
      <c r="E102" s="2123">
        <f t="shared" ref="E102:E116" si="31">+D102*1.5</f>
        <v>0.25770000000000004</v>
      </c>
      <c r="F102" s="897">
        <f t="shared" si="27"/>
        <v>6.2837448450037137E-4</v>
      </c>
      <c r="G102" s="931">
        <f t="shared" si="30"/>
        <v>31</v>
      </c>
      <c r="H102" s="231">
        <f t="shared" si="29"/>
        <v>1507473</v>
      </c>
    </row>
    <row r="103" spans="1:8" ht="13.5">
      <c r="A103" s="729">
        <v>17</v>
      </c>
      <c r="B103" s="724">
        <v>44409</v>
      </c>
      <c r="C103" s="724">
        <v>44439</v>
      </c>
      <c r="D103" s="2123">
        <v>0.1724</v>
      </c>
      <c r="E103" s="2123">
        <f t="shared" si="31"/>
        <v>0.2586</v>
      </c>
      <c r="F103" s="897">
        <f t="shared" si="27"/>
        <v>6.3033554269220637E-4</v>
      </c>
      <c r="G103" s="931">
        <f t="shared" si="30"/>
        <v>31</v>
      </c>
      <c r="H103" s="231">
        <f t="shared" si="29"/>
        <v>1512177</v>
      </c>
    </row>
    <row r="104" spans="1:8" ht="13.5">
      <c r="A104" s="729">
        <v>18</v>
      </c>
      <c r="B104" s="724">
        <v>44440</v>
      </c>
      <c r="C104" s="724">
        <v>44469</v>
      </c>
      <c r="D104" s="2123">
        <v>0.17299999999999999</v>
      </c>
      <c r="E104" s="2123">
        <f t="shared" si="31"/>
        <v>0.25949999999999995</v>
      </c>
      <c r="F104" s="897">
        <f t="shared" si="27"/>
        <v>6.3229520291052665E-4</v>
      </c>
      <c r="G104" s="931">
        <f t="shared" si="30"/>
        <v>30</v>
      </c>
      <c r="H104" s="231">
        <f t="shared" si="29"/>
        <v>1467947</v>
      </c>
    </row>
    <row r="105" spans="1:8" ht="13.5">
      <c r="A105" s="729">
        <v>19</v>
      </c>
      <c r="B105" s="724">
        <v>44470</v>
      </c>
      <c r="C105" s="724">
        <v>44500</v>
      </c>
      <c r="D105" s="2123">
        <v>0.17080000000000001</v>
      </c>
      <c r="E105" s="2123">
        <f t="shared" si="31"/>
        <v>0.25619999999999998</v>
      </c>
      <c r="F105" s="897">
        <f t="shared" si="27"/>
        <v>6.2510294214179751E-4</v>
      </c>
      <c r="G105" s="931">
        <f t="shared" si="30"/>
        <v>31</v>
      </c>
      <c r="H105" s="231">
        <f t="shared" si="29"/>
        <v>1499624</v>
      </c>
    </row>
    <row r="106" spans="1:8" ht="13.5">
      <c r="A106" s="729">
        <v>20</v>
      </c>
      <c r="B106" s="724">
        <v>44501</v>
      </c>
      <c r="C106" s="724">
        <v>44530</v>
      </c>
      <c r="D106" s="2123">
        <v>0.17269999999999999</v>
      </c>
      <c r="E106" s="2123">
        <f t="shared" si="31"/>
        <v>0.25905</v>
      </c>
      <c r="F106" s="897">
        <f t="shared" si="27"/>
        <v>6.3131554742335005E-4</v>
      </c>
      <c r="G106" s="931">
        <f t="shared" si="30"/>
        <v>30</v>
      </c>
      <c r="H106" s="231">
        <f t="shared" si="29"/>
        <v>1465673</v>
      </c>
    </row>
    <row r="107" spans="1:8" ht="13.5">
      <c r="A107" s="729">
        <v>21</v>
      </c>
      <c r="B107" s="724">
        <v>44531</v>
      </c>
      <c r="C107" s="724">
        <v>44561</v>
      </c>
      <c r="D107" s="2123">
        <v>0.17460000000000001</v>
      </c>
      <c r="E107" s="2123">
        <f t="shared" si="31"/>
        <v>0.26190000000000002</v>
      </c>
      <c r="F107" s="897">
        <f t="shared" si="27"/>
        <v>6.3751414410861962E-4</v>
      </c>
      <c r="G107" s="931">
        <f t="shared" si="30"/>
        <v>31</v>
      </c>
      <c r="H107" s="231">
        <f t="shared" si="29"/>
        <v>1529399</v>
      </c>
    </row>
    <row r="108" spans="1:8" ht="13.5">
      <c r="A108" s="729">
        <v>22</v>
      </c>
      <c r="B108" s="724">
        <v>44562</v>
      </c>
      <c r="C108" s="724">
        <v>44592</v>
      </c>
      <c r="D108" s="2123">
        <v>0.17660000000000001</v>
      </c>
      <c r="E108" s="2123">
        <f t="shared" si="31"/>
        <v>0.26490000000000002</v>
      </c>
      <c r="F108" s="897">
        <f t="shared" si="27"/>
        <v>6.4402391816376081E-4</v>
      </c>
      <c r="G108" s="931">
        <f t="shared" si="30"/>
        <v>31</v>
      </c>
      <c r="H108" s="231">
        <f t="shared" si="29"/>
        <v>1545016</v>
      </c>
    </row>
    <row r="109" spans="1:8" ht="13.5">
      <c r="A109" s="729">
        <v>23</v>
      </c>
      <c r="B109" s="724">
        <v>44593</v>
      </c>
      <c r="C109" s="724">
        <v>44620</v>
      </c>
      <c r="D109" s="2123">
        <v>0.183</v>
      </c>
      <c r="E109" s="2123">
        <f t="shared" si="31"/>
        <v>0.27449999999999997</v>
      </c>
      <c r="F109" s="897">
        <f t="shared" si="27"/>
        <v>6.6475220558892545E-4</v>
      </c>
      <c r="G109" s="931">
        <f t="shared" ref="G109:G117" si="32">+_xlfn.DAYS(C109,B109)+1</f>
        <v>28</v>
      </c>
      <c r="H109" s="231">
        <f t="shared" si="29"/>
        <v>1440413</v>
      </c>
    </row>
    <row r="110" spans="1:8" ht="13.5">
      <c r="A110" s="729">
        <v>24</v>
      </c>
      <c r="B110" s="724">
        <v>44621</v>
      </c>
      <c r="C110" s="724">
        <v>44651</v>
      </c>
      <c r="D110" s="2123">
        <v>0.1847</v>
      </c>
      <c r="E110" s="2123">
        <f t="shared" si="31"/>
        <v>0.27705000000000002</v>
      </c>
      <c r="F110" s="897">
        <f t="shared" si="27"/>
        <v>6.7023198611315671E-4</v>
      </c>
      <c r="G110" s="931">
        <f t="shared" si="32"/>
        <v>31</v>
      </c>
      <c r="H110" s="231">
        <f t="shared" si="29"/>
        <v>1607889</v>
      </c>
    </row>
    <row r="111" spans="1:8" ht="13.5">
      <c r="A111" s="729">
        <v>25</v>
      </c>
      <c r="B111" s="724">
        <v>44652</v>
      </c>
      <c r="C111" s="724">
        <v>44681</v>
      </c>
      <c r="D111" s="2123">
        <v>0.1905</v>
      </c>
      <c r="E111" s="2123">
        <f t="shared" si="31"/>
        <v>0.28575</v>
      </c>
      <c r="F111" s="897">
        <f t="shared" si="27"/>
        <v>6.8884592812357148E-4</v>
      </c>
      <c r="G111" s="931">
        <f t="shared" si="32"/>
        <v>30</v>
      </c>
      <c r="H111" s="231">
        <f t="shared" si="29"/>
        <v>1599236</v>
      </c>
    </row>
    <row r="112" spans="1:8" ht="13.5">
      <c r="A112" s="729">
        <v>26</v>
      </c>
      <c r="B112" s="724">
        <v>44682</v>
      </c>
      <c r="C112" s="724">
        <v>44712</v>
      </c>
      <c r="D112" s="2123">
        <v>0.1971</v>
      </c>
      <c r="E112" s="2123">
        <f t="shared" si="31"/>
        <v>0.29564999999999997</v>
      </c>
      <c r="F112" s="897">
        <f t="shared" si="27"/>
        <v>7.0987512909947981E-4</v>
      </c>
      <c r="G112" s="931">
        <f t="shared" si="32"/>
        <v>31</v>
      </c>
      <c r="H112" s="231">
        <f t="shared" si="29"/>
        <v>1702993</v>
      </c>
    </row>
    <row r="113" spans="1:8" ht="13.5">
      <c r="A113" s="729">
        <v>27</v>
      </c>
      <c r="B113" s="724">
        <v>44713</v>
      </c>
      <c r="C113" s="724">
        <v>44742</v>
      </c>
      <c r="D113" s="2123">
        <v>0.20399999999999999</v>
      </c>
      <c r="E113" s="2123">
        <f t="shared" si="31"/>
        <v>0.30599999999999999</v>
      </c>
      <c r="F113" s="897">
        <f t="shared" si="27"/>
        <v>7.3168955664093538E-4</v>
      </c>
      <c r="G113" s="931">
        <f t="shared" si="32"/>
        <v>30</v>
      </c>
      <c r="H113" s="231">
        <f t="shared" si="29"/>
        <v>1698703</v>
      </c>
    </row>
    <row r="114" spans="1:8" ht="13.5">
      <c r="A114" s="729">
        <v>28</v>
      </c>
      <c r="B114" s="724">
        <v>44743</v>
      </c>
      <c r="C114" s="724">
        <v>44773</v>
      </c>
      <c r="D114" s="2123">
        <v>0.21279999999999999</v>
      </c>
      <c r="E114" s="2123">
        <f t="shared" si="31"/>
        <v>0.31919999999999998</v>
      </c>
      <c r="F114" s="897">
        <f t="shared" si="27"/>
        <v>7.5926204501630679E-4</v>
      </c>
      <c r="G114" s="931">
        <f t="shared" si="32"/>
        <v>31</v>
      </c>
      <c r="H114" s="231">
        <f t="shared" si="29"/>
        <v>1821473</v>
      </c>
    </row>
    <row r="115" spans="1:8" ht="13.5">
      <c r="A115" s="729">
        <v>29</v>
      </c>
      <c r="B115" s="724">
        <v>44774</v>
      </c>
      <c r="C115" s="724">
        <v>44804</v>
      </c>
      <c r="D115" s="2123">
        <v>0.22209999999999999</v>
      </c>
      <c r="E115" s="2123">
        <f t="shared" si="31"/>
        <v>0.33315</v>
      </c>
      <c r="F115" s="897">
        <f t="shared" si="27"/>
        <v>7.8810371394433254E-4</v>
      </c>
      <c r="G115" s="931">
        <f t="shared" si="32"/>
        <v>31</v>
      </c>
      <c r="H115" s="231">
        <f t="shared" si="29"/>
        <v>1890664</v>
      </c>
    </row>
    <row r="116" spans="1:8" ht="13.5">
      <c r="A116" s="729">
        <v>30</v>
      </c>
      <c r="B116" s="724">
        <v>44805</v>
      </c>
      <c r="C116" s="724">
        <v>44834</v>
      </c>
      <c r="D116" s="2123">
        <v>0.23499999999999999</v>
      </c>
      <c r="E116" s="2123">
        <f t="shared" si="31"/>
        <v>0.35249999999999998</v>
      </c>
      <c r="F116" s="897">
        <f t="shared" si="27"/>
        <v>8.2761552252574866E-4</v>
      </c>
      <c r="G116" s="931">
        <f t="shared" si="32"/>
        <v>30</v>
      </c>
      <c r="H116" s="231">
        <f t="shared" si="29"/>
        <v>1921406</v>
      </c>
    </row>
    <row r="117" spans="1:8" ht="13.5">
      <c r="A117" s="729">
        <v>31</v>
      </c>
      <c r="B117" s="724">
        <v>44835</v>
      </c>
      <c r="C117" s="724">
        <v>44865</v>
      </c>
      <c r="D117" s="2123">
        <v>0.24610000000000001</v>
      </c>
      <c r="E117" s="2123">
        <f>+D117*1.5</f>
        <v>0.36915000000000003</v>
      </c>
      <c r="F117" s="897">
        <f>((1+E117)^(1/365)-1)</f>
        <v>8.611654102768096E-4</v>
      </c>
      <c r="G117" s="931">
        <f t="shared" si="32"/>
        <v>31</v>
      </c>
      <c r="H117" s="231">
        <f>ROUND(F117*G117*$C$83,0)</f>
        <v>2065939</v>
      </c>
    </row>
    <row r="118" spans="1:8" ht="12.75" customHeight="1">
      <c r="A118" s="729">
        <v>32</v>
      </c>
      <c r="B118" s="724">
        <v>44866</v>
      </c>
      <c r="C118" s="724">
        <v>44895</v>
      </c>
      <c r="D118" s="2123">
        <v>0.25779999999999997</v>
      </c>
      <c r="E118" s="2123">
        <f t="shared" ref="E118" si="33">+D118*1.5</f>
        <v>0.38669999999999993</v>
      </c>
      <c r="F118" s="897">
        <f t="shared" ref="F118" si="34">((1+E118)^(1/365)-1)</f>
        <v>8.9609117817124329E-4</v>
      </c>
      <c r="G118" s="931">
        <f t="shared" ref="G118:G120" si="35">+_xlfn.DAYS(C118,B118)+1</f>
        <v>30</v>
      </c>
      <c r="H118" s="231">
        <f t="shared" ref="H118" si="36">ROUND(F118*G118*$C$83,0)</f>
        <v>2080380</v>
      </c>
    </row>
    <row r="119" spans="1:8" ht="12.75" customHeight="1">
      <c r="A119" s="729">
        <v>33</v>
      </c>
      <c r="B119" s="724">
        <v>44896</v>
      </c>
      <c r="C119" s="724">
        <v>44926</v>
      </c>
      <c r="D119" s="2123">
        <v>0.27639999999999998</v>
      </c>
      <c r="E119" s="2123">
        <f>+D119*1.5</f>
        <v>0.41459999999999997</v>
      </c>
      <c r="F119" s="897">
        <f>((1+E119)^(1/365)-1)</f>
        <v>9.5071686592063109E-4</v>
      </c>
      <c r="G119" s="931">
        <f t="shared" si="35"/>
        <v>31</v>
      </c>
      <c r="H119" s="231">
        <f>ROUND(F119*G119*$C$83,0)</f>
        <v>2280773</v>
      </c>
    </row>
    <row r="120" spans="1:8" ht="12.75" customHeight="1">
      <c r="A120" s="729">
        <v>34</v>
      </c>
      <c r="B120" s="724">
        <v>44927</v>
      </c>
      <c r="C120" s="724">
        <v>44957</v>
      </c>
      <c r="D120" s="2123">
        <v>0.28839999999999999</v>
      </c>
      <c r="E120" s="2123">
        <f>+D120*1.5</f>
        <v>0.43259999999999998</v>
      </c>
      <c r="F120" s="897">
        <f>((1+E120)^(1/365)-1)</f>
        <v>9.8539196132163553E-4</v>
      </c>
      <c r="G120" s="931">
        <f t="shared" si="35"/>
        <v>31</v>
      </c>
      <c r="H120" s="231">
        <f>ROUND(F120*G120*$C$83,0)</f>
        <v>2363959</v>
      </c>
    </row>
    <row r="121" spans="1:8" ht="12.75" customHeight="1">
      <c r="A121" s="729">
        <v>35</v>
      </c>
      <c r="B121" s="724">
        <v>44958</v>
      </c>
      <c r="C121" s="724">
        <v>44985</v>
      </c>
      <c r="D121" s="2123">
        <v>0.30180000000000001</v>
      </c>
      <c r="E121" s="2123">
        <f t="shared" ref="E121" si="37">+D121*1.5</f>
        <v>0.45269999999999999</v>
      </c>
      <c r="F121" s="897">
        <f t="shared" ref="F121" si="38">((1+E121)^(1/365)-1)</f>
        <v>1.0236026853662761E-3</v>
      </c>
      <c r="G121" s="931">
        <f t="shared" ref="G121:G122" si="39">+_xlfn.DAYS(C121,B121)+1</f>
        <v>28</v>
      </c>
      <c r="H121" s="231">
        <f t="shared" ref="H121" si="40">ROUND(F121*G121*$C$83,0)</f>
        <v>2217986</v>
      </c>
    </row>
    <row r="122" spans="1:8" ht="12.75" customHeight="1">
      <c r="A122" s="729">
        <v>36</v>
      </c>
      <c r="B122" s="724">
        <v>44986</v>
      </c>
      <c r="C122" s="724">
        <v>45016</v>
      </c>
      <c r="D122" s="2123">
        <v>0.30840000000000001</v>
      </c>
      <c r="E122" s="2123">
        <f>+D122*1.5</f>
        <v>0.46260000000000001</v>
      </c>
      <c r="F122" s="897">
        <f>((1+E122)^(1/365)-1)</f>
        <v>1.0422295217955568E-3</v>
      </c>
      <c r="G122" s="931">
        <f t="shared" si="39"/>
        <v>31</v>
      </c>
      <c r="H122" s="231">
        <f>ROUND(F122*G122*$C$83,0)</f>
        <v>2500313</v>
      </c>
    </row>
    <row r="123" spans="1:8" ht="12.75" customHeight="1">
      <c r="A123" s="729">
        <v>37</v>
      </c>
      <c r="B123" s="724">
        <v>45017</v>
      </c>
      <c r="C123" s="724">
        <v>45046</v>
      </c>
      <c r="D123" s="2123">
        <v>0.31390000000000001</v>
      </c>
      <c r="E123" s="2123">
        <f t="shared" ref="E123" si="41">+D123*1.5</f>
        <v>0.47084999999999999</v>
      </c>
      <c r="F123" s="897">
        <f t="shared" ref="F123" si="42">((1+E123)^(1/365)-1)</f>
        <v>1.0576560884423269E-3</v>
      </c>
      <c r="G123" s="931">
        <f t="shared" ref="G123" si="43">+_xlfn.DAYS(C123,B123)+1</f>
        <v>30</v>
      </c>
      <c r="H123" s="231">
        <f t="shared" ref="H123" si="44">ROUND(F123*G123*$C$83,0)</f>
        <v>2455472</v>
      </c>
    </row>
    <row r="124" spans="1:8">
      <c r="F124" s="2831" t="s">
        <v>913</v>
      </c>
      <c r="G124" s="2832"/>
      <c r="H124" s="231">
        <f>SUM(H89:H123)</f>
        <v>42677229</v>
      </c>
    </row>
    <row r="126" spans="1:8" ht="13.5">
      <c r="B126" s="2672" t="s">
        <v>55</v>
      </c>
      <c r="C126" s="2672"/>
      <c r="H126" s="2214">
        <f>+C83+H124</f>
        <v>120064451.48601325</v>
      </c>
    </row>
    <row r="127" spans="1:8" ht="13.5">
      <c r="B127" s="737" t="s">
        <v>276</v>
      </c>
      <c r="C127" s="2154">
        <f>+C83</f>
        <v>77387222.486013249</v>
      </c>
    </row>
    <row r="128" spans="1:8" ht="25.5">
      <c r="B128" s="902" t="s">
        <v>338</v>
      </c>
      <c r="C128" s="2154">
        <f>+H124</f>
        <v>42677229</v>
      </c>
    </row>
    <row r="129" spans="2:4" ht="13.5">
      <c r="B129" s="737" t="s">
        <v>1705</v>
      </c>
      <c r="C129" s="2154">
        <f>SUM(C127:C128)</f>
        <v>120064451.48601325</v>
      </c>
      <c r="D129" s="2214">
        <f>+C129-H120</f>
        <v>117700492.48601325</v>
      </c>
    </row>
  </sheetData>
  <mergeCells count="7">
    <mergeCell ref="B126:C126"/>
    <mergeCell ref="F124:G124"/>
    <mergeCell ref="H14:N14"/>
    <mergeCell ref="H35:N35"/>
    <mergeCell ref="H57:N57"/>
    <mergeCell ref="B87:H87"/>
    <mergeCell ref="D88:E88"/>
  </mergeCells>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3DEBE-1410-4DBE-8E45-8FBD864CAB9D}">
  <sheetPr codeName="Hoja96"/>
  <dimension ref="A1:G50"/>
  <sheetViews>
    <sheetView topLeftCell="A31" workbookViewId="0">
      <selection activeCell="G45" sqref="G45"/>
    </sheetView>
  </sheetViews>
  <sheetFormatPr defaultColWidth="11.42578125" defaultRowHeight="12.75"/>
  <cols>
    <col min="1" max="1" width="23.85546875" style="217" customWidth="1"/>
    <col min="2" max="2" width="16.5703125" style="217" bestFit="1" customWidth="1"/>
    <col min="3" max="4" width="11.42578125" style="217"/>
    <col min="5" max="5" width="13.85546875" style="217" bestFit="1" customWidth="1"/>
    <col min="6" max="6" width="11.42578125" style="217"/>
    <col min="7" max="7" width="14.85546875" style="217" customWidth="1"/>
    <col min="8" max="16384" width="11.42578125" style="217"/>
  </cols>
  <sheetData>
    <row r="1" spans="1:7" ht="13.5">
      <c r="A1" s="814"/>
      <c r="B1" s="814"/>
      <c r="C1" s="814"/>
      <c r="D1" s="814"/>
      <c r="E1" s="814"/>
    </row>
    <row r="2" spans="1:7" ht="13.5">
      <c r="A2" s="814"/>
      <c r="B2" s="814"/>
      <c r="C2" s="814"/>
      <c r="D2" s="814"/>
      <c r="E2" s="814"/>
    </row>
    <row r="3" spans="1:7" ht="13.5">
      <c r="A3" s="1201" t="s">
        <v>121</v>
      </c>
      <c r="B3" s="741" t="s">
        <v>1718</v>
      </c>
      <c r="C3" s="814"/>
      <c r="D3" s="814"/>
      <c r="E3" s="814"/>
    </row>
    <row r="4" spans="1:7" ht="13.5">
      <c r="A4" s="726" t="s">
        <v>67</v>
      </c>
      <c r="B4" s="812">
        <v>379098332</v>
      </c>
      <c r="C4" s="814"/>
      <c r="D4" s="814"/>
      <c r="E4" s="814"/>
    </row>
    <row r="5" spans="1:7" ht="13.5">
      <c r="A5" s="726" t="s">
        <v>1318</v>
      </c>
      <c r="B5" s="800">
        <v>44083</v>
      </c>
      <c r="C5" s="814"/>
      <c r="D5" s="814"/>
      <c r="E5" s="814"/>
    </row>
    <row r="6" spans="1:7" ht="13.5">
      <c r="A6" s="726" t="s">
        <v>291</v>
      </c>
      <c r="B6" s="1065" t="s">
        <v>1719</v>
      </c>
      <c r="C6" s="814"/>
      <c r="D6" s="814"/>
      <c r="E6" s="814"/>
    </row>
    <row r="7" spans="1:7" ht="13.5">
      <c r="A7" s="814"/>
      <c r="B7" s="814"/>
      <c r="C7" s="814"/>
      <c r="D7" s="814"/>
      <c r="E7" s="814"/>
    </row>
    <row r="8" spans="1:7" ht="13.5">
      <c r="A8" s="900" t="s">
        <v>1720</v>
      </c>
      <c r="B8" s="814"/>
      <c r="C8" s="814"/>
      <c r="D8" s="814"/>
      <c r="E8" s="814"/>
    </row>
    <row r="9" spans="1:7" ht="13.5">
      <c r="A9" s="900" t="s">
        <v>1721</v>
      </c>
      <c r="B9" s="800">
        <v>44110</v>
      </c>
      <c r="C9" s="814"/>
      <c r="D9" s="814"/>
      <c r="E9" s="814"/>
    </row>
    <row r="10" spans="1:7" ht="13.5">
      <c r="A10" s="814"/>
      <c r="B10" s="814"/>
      <c r="C10" s="814"/>
      <c r="D10" s="814"/>
      <c r="E10" s="814"/>
    </row>
    <row r="13" spans="1:7" ht="13.5">
      <c r="A13" s="814" t="s">
        <v>1722</v>
      </c>
      <c r="B13" s="814"/>
      <c r="C13" s="814"/>
      <c r="D13" s="814"/>
      <c r="E13" s="814"/>
      <c r="F13" s="814"/>
      <c r="G13" s="814"/>
    </row>
    <row r="14" spans="1:7" ht="13.5">
      <c r="A14" s="741" t="s">
        <v>1723</v>
      </c>
      <c r="B14" s="812">
        <v>379098332</v>
      </c>
      <c r="C14" s="814"/>
      <c r="D14" s="814"/>
      <c r="E14" s="814"/>
      <c r="F14" s="814"/>
      <c r="G14" s="814"/>
    </row>
    <row r="15" spans="1:7" ht="13.5">
      <c r="A15" s="2604" t="s">
        <v>1406</v>
      </c>
      <c r="B15" s="2681"/>
      <c r="C15" s="2681"/>
      <c r="D15" s="2681"/>
      <c r="E15" s="2681"/>
      <c r="F15" s="2681"/>
      <c r="G15" s="2605"/>
    </row>
    <row r="16" spans="1:7" ht="25.5">
      <c r="A16" s="734" t="s">
        <v>206</v>
      </c>
      <c r="B16" s="734" t="s">
        <v>10</v>
      </c>
      <c r="C16" s="1648" t="s">
        <v>59</v>
      </c>
      <c r="D16" s="1648" t="s">
        <v>43</v>
      </c>
      <c r="E16" s="735" t="s">
        <v>129</v>
      </c>
      <c r="F16" s="734" t="s">
        <v>279</v>
      </c>
      <c r="G16" s="735" t="s">
        <v>253</v>
      </c>
    </row>
    <row r="17" spans="1:7" ht="13.5">
      <c r="A17" s="800">
        <v>44234</v>
      </c>
      <c r="B17" s="800">
        <v>44255</v>
      </c>
      <c r="C17" s="1120">
        <v>0.2631</v>
      </c>
      <c r="D17" s="909">
        <f t="shared" ref="D17:D28" si="0">((1+C17)^(1/365)-1)</f>
        <v>6.4011990387169426E-4</v>
      </c>
      <c r="E17" s="1121">
        <f t="shared" ref="E17:E43" si="1">+$B$14</f>
        <v>379098332</v>
      </c>
      <c r="F17" s="1157">
        <f t="shared" ref="F17:F28" si="2">_xlfn.DAYS(B17,A17)+1</f>
        <v>22</v>
      </c>
      <c r="G17" s="1356">
        <f t="shared" ref="G17:G36" si="3">ROUND(D17*E17*F17,2)</f>
        <v>5338704.53</v>
      </c>
    </row>
    <row r="18" spans="1:7" ht="13.5">
      <c r="A18" s="800">
        <v>44256</v>
      </c>
      <c r="B18" s="800">
        <v>44286</v>
      </c>
      <c r="C18" s="1120">
        <v>0.26114999999999999</v>
      </c>
      <c r="D18" s="909">
        <f t="shared" si="0"/>
        <v>6.3588428907812578E-4</v>
      </c>
      <c r="E18" s="1121">
        <f t="shared" si="1"/>
        <v>379098332</v>
      </c>
      <c r="F18" s="1157">
        <f t="shared" si="2"/>
        <v>31</v>
      </c>
      <c r="G18" s="1356">
        <f t="shared" si="3"/>
        <v>7472942.8700000001</v>
      </c>
    </row>
    <row r="19" spans="1:7" ht="13.5">
      <c r="A19" s="800">
        <v>44287</v>
      </c>
      <c r="B19" s="800">
        <v>44316</v>
      </c>
      <c r="C19" s="1120">
        <v>0.25964999999999999</v>
      </c>
      <c r="D19" s="909">
        <f t="shared" si="0"/>
        <v>6.326216771728177E-4</v>
      </c>
      <c r="E19" s="1121">
        <f t="shared" si="1"/>
        <v>379098332</v>
      </c>
      <c r="F19" s="1157">
        <f t="shared" si="2"/>
        <v>30</v>
      </c>
      <c r="G19" s="1356">
        <f t="shared" si="3"/>
        <v>7194774.6799999997</v>
      </c>
    </row>
    <row r="20" spans="1:7" ht="13.5">
      <c r="A20" s="800">
        <v>44317</v>
      </c>
      <c r="B20" s="800">
        <v>44347</v>
      </c>
      <c r="C20" s="1120">
        <v>0.25829999999999997</v>
      </c>
      <c r="D20" s="909">
        <f t="shared" si="0"/>
        <v>6.2968201205726437E-4</v>
      </c>
      <c r="E20" s="1121">
        <f t="shared" si="1"/>
        <v>379098332</v>
      </c>
      <c r="F20" s="1157">
        <f t="shared" si="2"/>
        <v>31</v>
      </c>
      <c r="G20" s="1356">
        <f t="shared" si="3"/>
        <v>7400053.4100000001</v>
      </c>
    </row>
    <row r="21" spans="1:7" ht="13.5">
      <c r="A21" s="800">
        <v>44348</v>
      </c>
      <c r="B21" s="800">
        <v>44377</v>
      </c>
      <c r="C21" s="1120">
        <v>0.25814999999999999</v>
      </c>
      <c r="D21" s="909">
        <f t="shared" si="0"/>
        <v>6.2935518846773952E-4</v>
      </c>
      <c r="E21" s="1121">
        <f t="shared" si="1"/>
        <v>379098332</v>
      </c>
      <c r="F21" s="1122">
        <f t="shared" si="2"/>
        <v>30</v>
      </c>
      <c r="G21" s="1356">
        <f t="shared" si="3"/>
        <v>7157625.0700000003</v>
      </c>
    </row>
    <row r="22" spans="1:7" ht="13.5">
      <c r="A22" s="800">
        <v>44378</v>
      </c>
      <c r="B22" s="800">
        <v>44408</v>
      </c>
      <c r="C22" s="1120">
        <f>17.18%*1.5</f>
        <v>0.25770000000000004</v>
      </c>
      <c r="D22" s="909">
        <f t="shared" si="0"/>
        <v>6.2837448450037137E-4</v>
      </c>
      <c r="E22" s="1121">
        <f t="shared" si="1"/>
        <v>379098332</v>
      </c>
      <c r="F22" s="1122">
        <f t="shared" si="2"/>
        <v>31</v>
      </c>
      <c r="G22" s="1356">
        <f t="shared" si="3"/>
        <v>7384687.29</v>
      </c>
    </row>
    <row r="23" spans="1:7" ht="13.5">
      <c r="A23" s="800">
        <v>44409</v>
      </c>
      <c r="B23" s="800">
        <v>44439</v>
      </c>
      <c r="C23" s="1120">
        <f>17.24%*1.5</f>
        <v>0.2586</v>
      </c>
      <c r="D23" s="909">
        <f t="shared" si="0"/>
        <v>6.3033554269220637E-4</v>
      </c>
      <c r="E23" s="1121">
        <f t="shared" si="1"/>
        <v>379098332</v>
      </c>
      <c r="F23" s="1122">
        <f t="shared" si="2"/>
        <v>31</v>
      </c>
      <c r="G23" s="1356">
        <f t="shared" si="3"/>
        <v>7407733.7400000002</v>
      </c>
    </row>
    <row r="24" spans="1:7" ht="13.5">
      <c r="A24" s="800">
        <v>44440</v>
      </c>
      <c r="B24" s="800">
        <v>44469</v>
      </c>
      <c r="C24" s="1120">
        <f>17.19%*1.5</f>
        <v>0.25785000000000002</v>
      </c>
      <c r="D24" s="909">
        <f t="shared" si="0"/>
        <v>6.2870142469861889E-4</v>
      </c>
      <c r="E24" s="1121">
        <f t="shared" si="1"/>
        <v>379098332</v>
      </c>
      <c r="F24" s="1122">
        <f t="shared" si="2"/>
        <v>30</v>
      </c>
      <c r="G24" s="1356">
        <f t="shared" si="3"/>
        <v>7150189.8399999999</v>
      </c>
    </row>
    <row r="25" spans="1:7" ht="13.5">
      <c r="A25" s="800">
        <v>44470</v>
      </c>
      <c r="B25" s="800">
        <v>44500</v>
      </c>
      <c r="C25" s="1120">
        <f>17.08%*1.5</f>
        <v>0.25619999999999998</v>
      </c>
      <c r="D25" s="909">
        <f t="shared" si="0"/>
        <v>6.2510294214179751E-4</v>
      </c>
      <c r="E25" s="1121">
        <f t="shared" si="1"/>
        <v>379098332</v>
      </c>
      <c r="F25" s="1122">
        <f t="shared" si="2"/>
        <v>31</v>
      </c>
      <c r="G25" s="1356">
        <f t="shared" si="3"/>
        <v>7346239.96</v>
      </c>
    </row>
    <row r="26" spans="1:7" ht="13.5">
      <c r="A26" s="800">
        <v>44501</v>
      </c>
      <c r="B26" s="800">
        <v>44530</v>
      </c>
      <c r="C26" s="1120">
        <f>17.27%*1.5</f>
        <v>0.25905</v>
      </c>
      <c r="D26" s="909">
        <f t="shared" si="0"/>
        <v>6.3131554742335005E-4</v>
      </c>
      <c r="E26" s="1121">
        <f t="shared" si="1"/>
        <v>379098332</v>
      </c>
      <c r="F26" s="1122">
        <f t="shared" si="2"/>
        <v>30</v>
      </c>
      <c r="G26" s="1356">
        <f t="shared" si="3"/>
        <v>7179920.1299999999</v>
      </c>
    </row>
    <row r="27" spans="1:7" ht="13.5">
      <c r="A27" s="800">
        <v>44531</v>
      </c>
      <c r="B27" s="800">
        <v>44561</v>
      </c>
      <c r="C27" s="1120">
        <f>17.46%*1.5</f>
        <v>0.26190000000000002</v>
      </c>
      <c r="D27" s="909">
        <f t="shared" si="0"/>
        <v>6.3751414410861962E-4</v>
      </c>
      <c r="E27" s="1121">
        <f t="shared" si="1"/>
        <v>379098332</v>
      </c>
      <c r="F27" s="1122">
        <f t="shared" si="2"/>
        <v>31</v>
      </c>
      <c r="G27" s="1356">
        <f t="shared" si="3"/>
        <v>7492097.0099999998</v>
      </c>
    </row>
    <row r="28" spans="1:7" ht="13.5">
      <c r="A28" s="800">
        <v>44562</v>
      </c>
      <c r="B28" s="800">
        <v>44592</v>
      </c>
      <c r="C28" s="1120">
        <f>17.66%*1.5</f>
        <v>0.26490000000000002</v>
      </c>
      <c r="D28" s="909">
        <f t="shared" si="0"/>
        <v>6.4402391816376081E-4</v>
      </c>
      <c r="E28" s="1121">
        <f t="shared" si="1"/>
        <v>379098332</v>
      </c>
      <c r="F28" s="1122">
        <f t="shared" si="2"/>
        <v>31</v>
      </c>
      <c r="G28" s="1356">
        <f t="shared" si="3"/>
        <v>7568600.1900000004</v>
      </c>
    </row>
    <row r="29" spans="1:7" ht="13.5">
      <c r="A29" s="800">
        <v>44593</v>
      </c>
      <c r="B29" s="800">
        <v>44620</v>
      </c>
      <c r="C29" s="1120">
        <f>18.3%*1.5</f>
        <v>0.27449999999999997</v>
      </c>
      <c r="D29" s="909">
        <f t="shared" ref="D29:D37" si="4">((1+C29)^(1/365)-1)</f>
        <v>6.6475220558892545E-4</v>
      </c>
      <c r="E29" s="1121">
        <f t="shared" si="1"/>
        <v>379098332</v>
      </c>
      <c r="F29" s="1122">
        <f t="shared" ref="F29:F37" si="5">_xlfn.DAYS(B29,A29)+1</f>
        <v>28</v>
      </c>
      <c r="G29" s="1356">
        <f t="shared" si="3"/>
        <v>7056180.6699999999</v>
      </c>
    </row>
    <row r="30" spans="1:7" ht="13.5">
      <c r="A30" s="800">
        <v>44621</v>
      </c>
      <c r="B30" s="800">
        <v>44651</v>
      </c>
      <c r="C30" s="1120">
        <f>18.47%*1.5</f>
        <v>0.27704999999999996</v>
      </c>
      <c r="D30" s="909">
        <f t="shared" si="4"/>
        <v>6.7023198611315671E-4</v>
      </c>
      <c r="E30" s="1121">
        <f t="shared" si="1"/>
        <v>379098332</v>
      </c>
      <c r="F30" s="1122">
        <f t="shared" si="5"/>
        <v>31</v>
      </c>
      <c r="G30" s="1356">
        <f t="shared" si="3"/>
        <v>7876598.6699999999</v>
      </c>
    </row>
    <row r="31" spans="1:7" ht="13.5">
      <c r="A31" s="800">
        <v>44652</v>
      </c>
      <c r="B31" s="800">
        <v>44681</v>
      </c>
      <c r="C31" s="1120">
        <f>19.05%*1.5</f>
        <v>0.28575</v>
      </c>
      <c r="D31" s="909">
        <f t="shared" si="4"/>
        <v>6.8884592812357148E-4</v>
      </c>
      <c r="E31" s="1121">
        <f t="shared" si="1"/>
        <v>379098332</v>
      </c>
      <c r="F31" s="1122">
        <f t="shared" si="5"/>
        <v>30</v>
      </c>
      <c r="G31" s="1356">
        <f t="shared" si="3"/>
        <v>7834210.2699999996</v>
      </c>
    </row>
    <row r="32" spans="1:7" ht="13.5">
      <c r="A32" s="800">
        <v>44682</v>
      </c>
      <c r="B32" s="800">
        <v>44712</v>
      </c>
      <c r="C32" s="1120">
        <f>19.71%*1.5</f>
        <v>0.29564999999999997</v>
      </c>
      <c r="D32" s="909">
        <f t="shared" si="4"/>
        <v>7.0987512909947981E-4</v>
      </c>
      <c r="E32" s="1121">
        <f t="shared" si="1"/>
        <v>379098332</v>
      </c>
      <c r="F32" s="1122">
        <f t="shared" si="5"/>
        <v>31</v>
      </c>
      <c r="G32" s="1356">
        <f t="shared" si="3"/>
        <v>8342486.7999999998</v>
      </c>
    </row>
    <row r="33" spans="1:7" ht="13.5">
      <c r="A33" s="800">
        <v>44713</v>
      </c>
      <c r="B33" s="800">
        <v>44742</v>
      </c>
      <c r="C33" s="1120">
        <f>19.05%*1.5</f>
        <v>0.28575</v>
      </c>
      <c r="D33" s="909">
        <f t="shared" si="4"/>
        <v>6.8884592812357148E-4</v>
      </c>
      <c r="E33" s="1121">
        <f t="shared" si="1"/>
        <v>379098332</v>
      </c>
      <c r="F33" s="1122">
        <f t="shared" si="5"/>
        <v>30</v>
      </c>
      <c r="G33" s="1356">
        <f t="shared" si="3"/>
        <v>7834210.2699999996</v>
      </c>
    </row>
    <row r="34" spans="1:7" ht="13.5">
      <c r="A34" s="800">
        <v>44743</v>
      </c>
      <c r="B34" s="800">
        <v>44773</v>
      </c>
      <c r="C34" s="1120">
        <f>19.71%*1.5</f>
        <v>0.29564999999999997</v>
      </c>
      <c r="D34" s="909">
        <f t="shared" si="4"/>
        <v>7.0987512909947981E-4</v>
      </c>
      <c r="E34" s="1121">
        <f t="shared" si="1"/>
        <v>379098332</v>
      </c>
      <c r="F34" s="1122">
        <f t="shared" si="5"/>
        <v>31</v>
      </c>
      <c r="G34" s="1356">
        <f t="shared" si="3"/>
        <v>8342486.7999999998</v>
      </c>
    </row>
    <row r="35" spans="1:7" ht="13.5">
      <c r="A35" s="800">
        <v>44774</v>
      </c>
      <c r="B35" s="800">
        <v>44804</v>
      </c>
      <c r="C35" s="1120">
        <f>22.21%*1.5</f>
        <v>0.33315000000000006</v>
      </c>
      <c r="D35" s="909">
        <f t="shared" si="4"/>
        <v>7.8810371394433254E-4</v>
      </c>
      <c r="E35" s="1121">
        <f t="shared" si="1"/>
        <v>379098332</v>
      </c>
      <c r="F35" s="1122">
        <f t="shared" si="5"/>
        <v>31</v>
      </c>
      <c r="G35" s="1356">
        <f t="shared" si="3"/>
        <v>9261832.9100000001</v>
      </c>
    </row>
    <row r="36" spans="1:7" ht="13.5">
      <c r="A36" s="800">
        <v>44805</v>
      </c>
      <c r="B36" s="800">
        <v>44834</v>
      </c>
      <c r="C36" s="1120">
        <f>23.5%*1.5</f>
        <v>0.35249999999999998</v>
      </c>
      <c r="D36" s="909">
        <f t="shared" si="4"/>
        <v>8.2761552252574866E-4</v>
      </c>
      <c r="E36" s="1121">
        <f t="shared" si="1"/>
        <v>379098332</v>
      </c>
      <c r="F36" s="1122">
        <f t="shared" si="5"/>
        <v>30</v>
      </c>
      <c r="G36" s="1356">
        <f t="shared" si="3"/>
        <v>9412429.9199999999</v>
      </c>
    </row>
    <row r="37" spans="1:7" ht="13.5">
      <c r="A37" s="800">
        <v>44835</v>
      </c>
      <c r="B37" s="800">
        <v>44865</v>
      </c>
      <c r="C37" s="1120">
        <v>0.24610000000000001</v>
      </c>
      <c r="D37" s="909">
        <f t="shared" si="4"/>
        <v>6.0297260251718221E-4</v>
      </c>
      <c r="E37" s="1121">
        <f t="shared" si="1"/>
        <v>379098332</v>
      </c>
      <c r="F37" s="1122">
        <f t="shared" si="5"/>
        <v>31</v>
      </c>
      <c r="G37" s="1356">
        <f>ROUND(D37*E37*F37,2)</f>
        <v>7086163.1399999997</v>
      </c>
    </row>
    <row r="38" spans="1:7" ht="13.5">
      <c r="A38" s="800">
        <v>44866</v>
      </c>
      <c r="B38" s="800">
        <v>44895</v>
      </c>
      <c r="C38" s="1120">
        <v>0.25779999999999997</v>
      </c>
      <c r="D38" s="909">
        <f t="shared" ref="D38:D40" si="6">((1+C38)^(1/365)-1)</f>
        <v>6.2859244895285826E-4</v>
      </c>
      <c r="E38" s="1121">
        <f t="shared" si="1"/>
        <v>379098332</v>
      </c>
      <c r="F38" s="1122">
        <f t="shared" ref="F38:F40" si="7">_xlfn.DAYS(B38,A38)+1</f>
        <v>30</v>
      </c>
      <c r="G38" s="1356">
        <f>ROUND(D38*E38*F38,2)</f>
        <v>7148950.4699999997</v>
      </c>
    </row>
    <row r="39" spans="1:7" ht="13.5">
      <c r="A39" s="800">
        <v>44896</v>
      </c>
      <c r="B39" s="800">
        <v>44926</v>
      </c>
      <c r="C39" s="1120">
        <f>27.64%*1.5</f>
        <v>0.41459999999999997</v>
      </c>
      <c r="D39" s="909">
        <f t="shared" si="6"/>
        <v>9.5071686592063109E-4</v>
      </c>
      <c r="E39" s="1121">
        <f t="shared" si="1"/>
        <v>379098332</v>
      </c>
      <c r="F39" s="1122">
        <f t="shared" si="7"/>
        <v>31</v>
      </c>
      <c r="G39" s="1356">
        <f t="shared" ref="G39" si="8">ROUND(D39*E39*F39,2)</f>
        <v>11172870.52</v>
      </c>
    </row>
    <row r="40" spans="1:7" ht="13.5">
      <c r="A40" s="800">
        <v>44927</v>
      </c>
      <c r="B40" s="800">
        <v>44957</v>
      </c>
      <c r="C40" s="1120">
        <f>28.84*1.5%</f>
        <v>0.43259999999999998</v>
      </c>
      <c r="D40" s="909">
        <f t="shared" si="6"/>
        <v>9.8539196132163553E-4</v>
      </c>
      <c r="E40" s="1121">
        <f t="shared" si="1"/>
        <v>379098332</v>
      </c>
      <c r="F40" s="1122">
        <f t="shared" si="7"/>
        <v>31</v>
      </c>
      <c r="G40" s="1356">
        <f>ROUND(D40*E40*F40,2)</f>
        <v>11580373.92</v>
      </c>
    </row>
    <row r="41" spans="1:7" ht="13.5">
      <c r="A41" s="800">
        <v>44958</v>
      </c>
      <c r="B41" s="800">
        <v>44985</v>
      </c>
      <c r="C41" s="1120">
        <f>28.84%*1.5</f>
        <v>0.43259999999999998</v>
      </c>
      <c r="D41" s="909">
        <f t="shared" ref="D41:D42" si="9">((1+C41)^(1/365)-1)</f>
        <v>9.8539196132163553E-4</v>
      </c>
      <c r="E41" s="1121">
        <f t="shared" si="1"/>
        <v>379098332</v>
      </c>
      <c r="F41" s="1122">
        <f t="shared" ref="F41:F42" si="10">_xlfn.DAYS(B41,A41)+1</f>
        <v>28</v>
      </c>
      <c r="G41" s="1356">
        <f>ROUND(D41*E41*F41,2)</f>
        <v>10459692.57</v>
      </c>
    </row>
    <row r="42" spans="1:7" ht="13.5">
      <c r="A42" s="800">
        <v>44986</v>
      </c>
      <c r="B42" s="800">
        <v>45016</v>
      </c>
      <c r="C42" s="1120">
        <f>30.84%*1.5</f>
        <v>0.46260000000000001</v>
      </c>
      <c r="D42" s="909">
        <f t="shared" si="9"/>
        <v>1.0422295217955568E-3</v>
      </c>
      <c r="E42" s="1121">
        <f t="shared" si="1"/>
        <v>379098332</v>
      </c>
      <c r="F42" s="1122">
        <f t="shared" si="10"/>
        <v>31</v>
      </c>
      <c r="G42" s="1356">
        <f>ROUND(D42*E42*F42,2)</f>
        <v>12248331.67</v>
      </c>
    </row>
    <row r="43" spans="1:7" ht="13.5">
      <c r="A43" s="800">
        <v>45017</v>
      </c>
      <c r="B43" s="800">
        <v>45046</v>
      </c>
      <c r="C43" s="1120">
        <f>31.39%*1.5</f>
        <v>0.47084999999999999</v>
      </c>
      <c r="D43" s="909">
        <f t="shared" ref="D43" si="11">((1+C43)^(1/365)-1)</f>
        <v>1.0576560884423269E-3</v>
      </c>
      <c r="E43" s="1121">
        <f t="shared" si="1"/>
        <v>379098332</v>
      </c>
      <c r="F43" s="1122">
        <f t="shared" ref="F43" si="12">_xlfn.DAYS(B43,A43)+1</f>
        <v>30</v>
      </c>
      <c r="G43" s="1356">
        <f>ROUND(D43*E43*F43,2)</f>
        <v>12028669.77</v>
      </c>
    </row>
    <row r="44" spans="1:7" ht="13.5">
      <c r="A44" s="814"/>
      <c r="B44" s="814"/>
      <c r="C44" s="814"/>
      <c r="D44" s="814"/>
      <c r="E44" s="1043" t="s">
        <v>951</v>
      </c>
      <c r="F44" s="1043"/>
      <c r="G44" s="1356">
        <f>SUM(G17:G43)</f>
        <v>223779057.08999997</v>
      </c>
    </row>
    <row r="45" spans="1:7" ht="13.5">
      <c r="A45" s="814"/>
      <c r="B45" s="814"/>
      <c r="C45" s="814"/>
      <c r="D45" s="814"/>
      <c r="E45" s="741" t="s">
        <v>1724</v>
      </c>
      <c r="F45" s="741"/>
      <c r="G45" s="1356">
        <f>+B14+G44</f>
        <v>602877389.08999991</v>
      </c>
    </row>
    <row r="47" spans="1:7" ht="13.5">
      <c r="A47" s="2686" t="s">
        <v>346</v>
      </c>
      <c r="B47" s="2686"/>
    </row>
    <row r="48" spans="1:7" ht="13.5">
      <c r="A48" s="741" t="s">
        <v>959</v>
      </c>
      <c r="B48" s="1121">
        <f>+B14</f>
        <v>379098332</v>
      </c>
    </row>
    <row r="49" spans="1:2" ht="13.5">
      <c r="A49" s="741" t="s">
        <v>951</v>
      </c>
      <c r="B49" s="1121">
        <f>+G44</f>
        <v>223779057.08999997</v>
      </c>
    </row>
    <row r="50" spans="1:2" ht="13.5">
      <c r="A50" s="726" t="s">
        <v>61</v>
      </c>
      <c r="B50" s="1125">
        <f>SUM(B48:B49)</f>
        <v>602877389.08999991</v>
      </c>
    </row>
  </sheetData>
  <mergeCells count="2">
    <mergeCell ref="A15:G15"/>
    <mergeCell ref="A47:B47"/>
  </mergeCells>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388F-CCD8-4CD9-83F3-52984C4E991D}">
  <sheetPr codeName="Hoja95"/>
  <dimension ref="A4:J100"/>
  <sheetViews>
    <sheetView topLeftCell="A86" zoomScale="118" zoomScaleNormal="118" workbookViewId="0">
      <selection activeCell="I100" sqref="I100"/>
    </sheetView>
  </sheetViews>
  <sheetFormatPr defaultColWidth="11.42578125" defaultRowHeight="12.75"/>
  <cols>
    <col min="1" max="1" width="2.85546875" style="814" customWidth="1"/>
    <col min="2" max="2" width="21.5703125" style="814" customWidth="1"/>
    <col min="3" max="3" width="15.7109375" style="814" bestFit="1" customWidth="1"/>
    <col min="4" max="4" width="12.85546875" style="814" bestFit="1" customWidth="1"/>
    <col min="5" max="5" width="18.140625" style="814" customWidth="1"/>
    <col min="6" max="6" width="11.85546875" style="814" bestFit="1" customWidth="1"/>
    <col min="7" max="7" width="15.42578125" style="814" bestFit="1" customWidth="1"/>
    <col min="8" max="8" width="11.42578125" style="814"/>
    <col min="9" max="9" width="16.85546875" style="814" customWidth="1"/>
    <col min="10" max="16384" width="11.42578125" style="814"/>
  </cols>
  <sheetData>
    <row r="4" spans="2:4">
      <c r="B4" s="1201" t="s">
        <v>121</v>
      </c>
      <c r="C4" s="741" t="s">
        <v>1725</v>
      </c>
      <c r="D4" s="741"/>
    </row>
    <row r="5" spans="2:4">
      <c r="B5" s="916" t="s">
        <v>238</v>
      </c>
      <c r="C5" s="1061">
        <v>7929538</v>
      </c>
      <c r="D5" s="741"/>
    </row>
    <row r="6" spans="2:4">
      <c r="B6" s="726" t="s">
        <v>667</v>
      </c>
      <c r="C6" s="1644">
        <f>+C57</f>
        <v>14872436</v>
      </c>
      <c r="D6" s="741"/>
    </row>
    <row r="7" spans="2:4">
      <c r="B7" s="801" t="s">
        <v>4</v>
      </c>
      <c r="C7" s="1202">
        <v>43897</v>
      </c>
      <c r="D7" s="741"/>
    </row>
    <row r="8" spans="2:4">
      <c r="B8" s="726" t="s">
        <v>11</v>
      </c>
      <c r="C8" s="1132"/>
      <c r="D8" s="741"/>
    </row>
    <row r="9" spans="2:4" ht="12.75" customHeight="1">
      <c r="B9" s="916" t="s">
        <v>219</v>
      </c>
      <c r="C9" s="1132" t="s">
        <v>1726</v>
      </c>
      <c r="D9" s="741"/>
    </row>
    <row r="10" spans="2:4">
      <c r="B10" s="814" t="s">
        <v>1727</v>
      </c>
    </row>
    <row r="11" spans="2:4">
      <c r="B11" s="814" t="s">
        <v>1728</v>
      </c>
    </row>
    <row r="12" spans="2:4">
      <c r="B12" s="900" t="s">
        <v>1729</v>
      </c>
      <c r="C12" s="1202">
        <v>41316</v>
      </c>
    </row>
    <row r="13" spans="2:4">
      <c r="B13" s="900" t="s">
        <v>1730</v>
      </c>
      <c r="C13" s="1202">
        <v>41639</v>
      </c>
    </row>
    <row r="14" spans="2:4">
      <c r="B14" s="900" t="s">
        <v>1731</v>
      </c>
      <c r="C14" s="979">
        <v>16060000</v>
      </c>
    </row>
    <row r="16" spans="2:4">
      <c r="B16" s="900" t="s">
        <v>1732</v>
      </c>
    </row>
    <row r="17" spans="1:6">
      <c r="A17" s="741"/>
      <c r="B17" s="1113" t="s">
        <v>173</v>
      </c>
      <c r="C17" s="1113" t="s">
        <v>40</v>
      </c>
      <c r="D17" s="726" t="s">
        <v>299</v>
      </c>
      <c r="E17" s="814" t="s">
        <v>1733</v>
      </c>
    </row>
    <row r="18" spans="1:6">
      <c r="A18" s="741">
        <v>1</v>
      </c>
      <c r="B18" s="1073">
        <v>40109</v>
      </c>
      <c r="C18" s="1073">
        <v>40198</v>
      </c>
      <c r="D18" s="741">
        <f t="shared" ref="D18:D23" si="0">+_xlfn.DAYS(C18,B18)</f>
        <v>89</v>
      </c>
      <c r="E18" s="979">
        <v>1460000</v>
      </c>
    </row>
    <row r="19" spans="1:6">
      <c r="A19" s="741">
        <v>2</v>
      </c>
      <c r="B19" s="1073">
        <v>40206</v>
      </c>
      <c r="C19" s="1073">
        <v>40387</v>
      </c>
      <c r="D19" s="741">
        <f t="shared" si="0"/>
        <v>181</v>
      </c>
    </row>
    <row r="20" spans="1:6">
      <c r="A20" s="741">
        <v>3</v>
      </c>
      <c r="B20" s="1073">
        <v>40403</v>
      </c>
      <c r="C20" s="1073">
        <v>40543</v>
      </c>
      <c r="D20" s="741">
        <f t="shared" si="0"/>
        <v>140</v>
      </c>
    </row>
    <row r="21" spans="1:6">
      <c r="A21" s="741">
        <v>4</v>
      </c>
      <c r="B21" s="1073">
        <v>40577</v>
      </c>
      <c r="C21" s="1073">
        <v>40908</v>
      </c>
      <c r="D21" s="741">
        <f t="shared" si="0"/>
        <v>331</v>
      </c>
    </row>
    <row r="22" spans="1:6">
      <c r="A22" s="741">
        <v>5</v>
      </c>
      <c r="B22" s="1073">
        <v>40927</v>
      </c>
      <c r="C22" s="1073">
        <v>41274</v>
      </c>
      <c r="D22" s="741">
        <f t="shared" si="0"/>
        <v>347</v>
      </c>
    </row>
    <row r="23" spans="1:6">
      <c r="A23" s="741">
        <v>6</v>
      </c>
      <c r="B23" s="1073">
        <v>41313</v>
      </c>
      <c r="C23" s="1073">
        <v>41639</v>
      </c>
      <c r="D23" s="741">
        <f t="shared" si="0"/>
        <v>326</v>
      </c>
    </row>
    <row r="26" spans="1:6">
      <c r="B26" s="900" t="s">
        <v>1734</v>
      </c>
      <c r="C26" s="1148"/>
      <c r="D26" s="979"/>
      <c r="E26" s="900" t="s">
        <v>1735</v>
      </c>
      <c r="F26" s="1148"/>
    </row>
    <row r="27" spans="1:6">
      <c r="B27" s="814" t="s">
        <v>472</v>
      </c>
      <c r="C27" s="1148">
        <f>+($E$18*D18)/360</f>
        <v>360944.44444444444</v>
      </c>
      <c r="D27" s="979"/>
      <c r="E27" s="814" t="s">
        <v>472</v>
      </c>
      <c r="F27" s="1148">
        <f>+(D22*E18)/360</f>
        <v>1407277.7777777778</v>
      </c>
    </row>
    <row r="28" spans="1:6">
      <c r="B28" s="814" t="s">
        <v>475</v>
      </c>
      <c r="C28" s="1148">
        <f>+($C$27*D18*12%)/360</f>
        <v>10708.018518518518</v>
      </c>
      <c r="D28" s="979"/>
      <c r="E28" s="814" t="s">
        <v>475</v>
      </c>
      <c r="F28" s="1148">
        <f>+(F27*D22*12%)/360</f>
        <v>162775.12962962964</v>
      </c>
    </row>
    <row r="29" spans="1:6">
      <c r="B29" s="814" t="s">
        <v>477</v>
      </c>
      <c r="C29" s="1148">
        <f>+(D18*E18)/360</f>
        <v>360944.44444444444</v>
      </c>
      <c r="E29" s="814" t="s">
        <v>477</v>
      </c>
      <c r="F29" s="1148">
        <f>+(E18*D22)/360</f>
        <v>1407277.7777777778</v>
      </c>
    </row>
    <row r="30" spans="1:6" ht="13.5" thickBot="1">
      <c r="B30" s="1151" t="s">
        <v>482</v>
      </c>
      <c r="C30" s="1152">
        <f>+(D18*E18)/720</f>
        <v>180472.22222222222</v>
      </c>
      <c r="E30" s="1151" t="s">
        <v>482</v>
      </c>
      <c r="F30" s="1152">
        <f>+(E18*D22)/720</f>
        <v>703638.88888888888</v>
      </c>
    </row>
    <row r="31" spans="1:6">
      <c r="B31" s="900" t="s">
        <v>276</v>
      </c>
      <c r="C31" s="1118">
        <f>SUM(C27:C30)</f>
        <v>913069.12962962966</v>
      </c>
      <c r="E31" s="900" t="s">
        <v>276</v>
      </c>
      <c r="F31" s="1118">
        <f>SUM(F27:F30)</f>
        <v>3680969.5740740742</v>
      </c>
    </row>
    <row r="34" spans="2:6">
      <c r="B34" s="900" t="s">
        <v>1736</v>
      </c>
      <c r="C34" s="1148"/>
      <c r="D34" s="979"/>
      <c r="E34" s="900" t="s">
        <v>1737</v>
      </c>
      <c r="F34" s="1148"/>
    </row>
    <row r="35" spans="2:6">
      <c r="B35" s="814" t="s">
        <v>472</v>
      </c>
      <c r="C35" s="1148">
        <f>+(D19*E18)/360</f>
        <v>734055.5555555555</v>
      </c>
      <c r="D35" s="979"/>
      <c r="E35" s="814" t="s">
        <v>472</v>
      </c>
      <c r="F35" s="1148">
        <f>+(E18*D23)/360</f>
        <v>1322111.111111111</v>
      </c>
    </row>
    <row r="36" spans="2:6">
      <c r="B36" s="814" t="s">
        <v>475</v>
      </c>
      <c r="C36" s="1148">
        <f>+(C35*D19*0.12)/360</f>
        <v>44288.018518518518</v>
      </c>
      <c r="D36" s="979"/>
      <c r="E36" s="814" t="s">
        <v>475</v>
      </c>
      <c r="F36" s="1148">
        <f>+(F35*D23*0.12)/360</f>
        <v>143669.40740740739</v>
      </c>
    </row>
    <row r="37" spans="2:6">
      <c r="B37" s="814" t="s">
        <v>477</v>
      </c>
      <c r="C37" s="1116">
        <f>+(D19*E18)/360</f>
        <v>734055.5555555555</v>
      </c>
      <c r="E37" s="814" t="s">
        <v>477</v>
      </c>
      <c r="F37" s="1116">
        <f>+(E18*D23)/360</f>
        <v>1322111.111111111</v>
      </c>
    </row>
    <row r="38" spans="2:6" ht="13.5" thickBot="1">
      <c r="B38" s="1151" t="s">
        <v>482</v>
      </c>
      <c r="C38" s="1152">
        <f>+(D19*E18)/720</f>
        <v>367027.77777777775</v>
      </c>
      <c r="E38" s="1151" t="s">
        <v>482</v>
      </c>
      <c r="F38" s="1152">
        <f>+(E18*D23)/720</f>
        <v>661055.5555555555</v>
      </c>
    </row>
    <row r="39" spans="2:6">
      <c r="B39" s="900" t="s">
        <v>1344</v>
      </c>
      <c r="C39" s="1118">
        <f>SUM(C35:C38)</f>
        <v>1879426.9074074074</v>
      </c>
      <c r="E39" s="900" t="s">
        <v>1344</v>
      </c>
      <c r="F39" s="1118">
        <f>SUM(F35:F38)</f>
        <v>3448947.1851851852</v>
      </c>
    </row>
    <row r="42" spans="2:6">
      <c r="B42" s="900" t="s">
        <v>1738</v>
      </c>
      <c r="C42" s="1148"/>
      <c r="D42" s="979"/>
    </row>
    <row r="43" spans="2:6">
      <c r="B43" s="814" t="s">
        <v>472</v>
      </c>
      <c r="C43" s="1148">
        <f>+(D20*E18)/360</f>
        <v>567777.77777777775</v>
      </c>
      <c r="D43" s="979"/>
    </row>
    <row r="44" spans="2:6">
      <c r="B44" s="814" t="s">
        <v>475</v>
      </c>
      <c r="C44" s="1148">
        <f>+(C43*D20*0.12)/360</f>
        <v>26496.296296296296</v>
      </c>
      <c r="D44" s="979"/>
    </row>
    <row r="45" spans="2:6">
      <c r="B45" s="814" t="s">
        <v>477</v>
      </c>
      <c r="C45" s="1116">
        <f>+(D20*E18)/360</f>
        <v>567777.77777777775</v>
      </c>
    </row>
    <row r="46" spans="2:6" ht="13.5" thickBot="1">
      <c r="B46" s="1151" t="s">
        <v>482</v>
      </c>
      <c r="C46" s="1152">
        <f>+(D20*E18)/720</f>
        <v>283888.88888888888</v>
      </c>
    </row>
    <row r="47" spans="2:6">
      <c r="B47" s="900" t="s">
        <v>1344</v>
      </c>
      <c r="C47" s="1118">
        <f>SUM(C43:C46)</f>
        <v>1445940.7407407407</v>
      </c>
    </row>
    <row r="50" spans="1:9">
      <c r="B50" s="900" t="s">
        <v>1739</v>
      </c>
      <c r="C50" s="1148"/>
    </row>
    <row r="51" spans="1:9">
      <c r="B51" s="814" t="s">
        <v>472</v>
      </c>
      <c r="C51" s="1148">
        <f>+(D21*E18)/360</f>
        <v>1342388.888888889</v>
      </c>
    </row>
    <row r="52" spans="1:9" ht="18.75" customHeight="1">
      <c r="B52" s="884" t="s">
        <v>475</v>
      </c>
      <c r="C52" s="1148">
        <f>+(C51*D21*0.12)/360</f>
        <v>148110.24074074076</v>
      </c>
    </row>
    <row r="53" spans="1:9">
      <c r="B53" s="814" t="s">
        <v>477</v>
      </c>
      <c r="C53" s="1116">
        <f>+(D21*E18)/360</f>
        <v>1342388.888888889</v>
      </c>
    </row>
    <row r="54" spans="1:9" ht="13.5" thickBot="1">
      <c r="B54" s="1151" t="s">
        <v>482</v>
      </c>
      <c r="C54" s="1152">
        <f>+(D21*E18)/720</f>
        <v>671194.4444444445</v>
      </c>
    </row>
    <row r="55" spans="1:9">
      <c r="B55" s="900" t="s">
        <v>1344</v>
      </c>
      <c r="C55" s="1118">
        <f>SUM(C51:C54)</f>
        <v>3504082.4629629632</v>
      </c>
    </row>
    <row r="57" spans="1:9">
      <c r="B57" s="900" t="s">
        <v>1740</v>
      </c>
      <c r="C57" s="1118">
        <f>+C31+C39+C47+C55+F31+F39</f>
        <v>14872436</v>
      </c>
    </row>
    <row r="58" spans="1:9">
      <c r="B58" s="814" t="str">
        <f>+B7</f>
        <v>Fecha Ejecutoria</v>
      </c>
      <c r="C58" s="1073">
        <f>+C7</f>
        <v>43897</v>
      </c>
    </row>
    <row r="59" spans="1:9">
      <c r="A59" s="741" t="s">
        <v>254</v>
      </c>
      <c r="B59" s="2591" t="s">
        <v>1406</v>
      </c>
      <c r="C59" s="2591"/>
      <c r="D59" s="2591"/>
      <c r="E59" s="2591"/>
      <c r="F59" s="2591"/>
      <c r="G59" s="2591"/>
      <c r="H59" s="2591"/>
      <c r="I59" s="2591"/>
    </row>
    <row r="60" spans="1:9" ht="25.5" customHeight="1">
      <c r="A60" s="741"/>
      <c r="B60" s="2133" t="s">
        <v>206</v>
      </c>
      <c r="C60" s="970" t="s">
        <v>10</v>
      </c>
      <c r="D60" s="923" t="s">
        <v>148</v>
      </c>
      <c r="E60" s="970" t="s">
        <v>149</v>
      </c>
      <c r="F60" s="923" t="s">
        <v>43</v>
      </c>
      <c r="G60" s="970" t="s">
        <v>129</v>
      </c>
      <c r="H60" s="1119" t="s">
        <v>706</v>
      </c>
      <c r="I60" s="970" t="s">
        <v>48</v>
      </c>
    </row>
    <row r="61" spans="1:9">
      <c r="A61" s="741">
        <v>1</v>
      </c>
      <c r="B61" s="1073">
        <v>43898</v>
      </c>
      <c r="C61" s="1073">
        <v>43921</v>
      </c>
      <c r="D61" s="1120">
        <v>0.1895</v>
      </c>
      <c r="E61" s="1344">
        <f t="shared" ref="E61:E83" si="1">+D61*1.5</f>
        <v>0.28425</v>
      </c>
      <c r="F61" s="909">
        <f t="shared" ref="F61:F83" si="2">((1+E61)^(1/365)-1)</f>
        <v>6.8564560609574166E-4</v>
      </c>
      <c r="G61" s="1616">
        <f t="shared" ref="G61:G98" si="3">+$C$57</f>
        <v>14872436</v>
      </c>
      <c r="H61" s="1131">
        <f t="shared" ref="H61:H83" si="4">_xlfn.DAYS(C61,B61)+1</f>
        <v>24</v>
      </c>
      <c r="I61" s="1356">
        <f>ROUND(F61*G61*H61,2)</f>
        <v>244733.29</v>
      </c>
    </row>
    <row r="62" spans="1:9">
      <c r="A62" s="741">
        <v>2</v>
      </c>
      <c r="B62" s="1073">
        <v>43922</v>
      </c>
      <c r="C62" s="1073">
        <v>43951</v>
      </c>
      <c r="D62" s="1120">
        <v>0.18690000000000001</v>
      </c>
      <c r="E62" s="1344">
        <f t="shared" si="1"/>
        <v>0.28034999999999999</v>
      </c>
      <c r="F62" s="909">
        <f t="shared" si="2"/>
        <v>6.7730729113191224E-4</v>
      </c>
      <c r="G62" s="1616">
        <f t="shared" si="3"/>
        <v>14872436</v>
      </c>
      <c r="H62" s="1131">
        <f t="shared" si="4"/>
        <v>30</v>
      </c>
      <c r="I62" s="1356">
        <f>ROUND(F62*G62*H62,2)</f>
        <v>302196.28000000003</v>
      </c>
    </row>
    <row r="63" spans="1:9">
      <c r="A63" s="741">
        <v>3</v>
      </c>
      <c r="B63" s="1073">
        <v>43952</v>
      </c>
      <c r="C63" s="1073">
        <v>43982</v>
      </c>
      <c r="D63" s="1120">
        <v>0.18190000000000001</v>
      </c>
      <c r="E63" s="1344">
        <f t="shared" si="1"/>
        <v>0.27285000000000004</v>
      </c>
      <c r="F63" s="909">
        <f t="shared" si="2"/>
        <v>6.6120063584418354E-4</v>
      </c>
      <c r="G63" s="1616">
        <f t="shared" si="3"/>
        <v>14872436</v>
      </c>
      <c r="H63" s="1131">
        <f t="shared" si="4"/>
        <v>31</v>
      </c>
      <c r="I63" s="1356">
        <f t="shared" ref="I63:I89" si="5">ROUND(F63*G63*H63,2)</f>
        <v>304843.59000000003</v>
      </c>
    </row>
    <row r="64" spans="1:9">
      <c r="A64" s="741">
        <v>4</v>
      </c>
      <c r="B64" s="1073">
        <v>43983</v>
      </c>
      <c r="C64" s="1073">
        <v>44012</v>
      </c>
      <c r="D64" s="1120">
        <v>0.1812</v>
      </c>
      <c r="E64" s="1344">
        <f t="shared" si="1"/>
        <v>0.27179999999999999</v>
      </c>
      <c r="F64" s="909">
        <f t="shared" si="2"/>
        <v>6.5893815469997286E-4</v>
      </c>
      <c r="G64" s="1616">
        <f t="shared" si="3"/>
        <v>14872436</v>
      </c>
      <c r="H64" s="1131">
        <f t="shared" si="4"/>
        <v>30</v>
      </c>
      <c r="I64" s="1356">
        <f t="shared" si="5"/>
        <v>294000.46999999997</v>
      </c>
    </row>
    <row r="65" spans="1:9">
      <c r="A65" s="741">
        <v>5</v>
      </c>
      <c r="B65" s="1073">
        <v>44013</v>
      </c>
      <c r="C65" s="1073">
        <v>44043</v>
      </c>
      <c r="D65" s="1220">
        <v>0.1812</v>
      </c>
      <c r="E65" s="1344">
        <f t="shared" si="1"/>
        <v>0.27179999999999999</v>
      </c>
      <c r="F65" s="909">
        <f t="shared" si="2"/>
        <v>6.5893815469997286E-4</v>
      </c>
      <c r="G65" s="1616">
        <f t="shared" si="3"/>
        <v>14872436</v>
      </c>
      <c r="H65" s="1131">
        <f t="shared" si="4"/>
        <v>31</v>
      </c>
      <c r="I65" s="1356">
        <f t="shared" si="5"/>
        <v>303800.48</v>
      </c>
    </row>
    <row r="66" spans="1:9">
      <c r="A66" s="741">
        <v>6</v>
      </c>
      <c r="B66" s="1073">
        <v>44044</v>
      </c>
      <c r="C66" s="1073">
        <v>44074</v>
      </c>
      <c r="D66" s="1120">
        <v>0.18290000000000001</v>
      </c>
      <c r="E66" s="1344">
        <f t="shared" si="1"/>
        <v>0.27434999999999998</v>
      </c>
      <c r="F66" s="909">
        <f t="shared" si="2"/>
        <v>6.6442952514544906E-4</v>
      </c>
      <c r="G66" s="1616">
        <f t="shared" si="3"/>
        <v>14872436</v>
      </c>
      <c r="H66" s="1131">
        <f t="shared" si="4"/>
        <v>31</v>
      </c>
      <c r="I66" s="1356">
        <f t="shared" si="5"/>
        <v>306332.25</v>
      </c>
    </row>
    <row r="67" spans="1:9">
      <c r="A67" s="741">
        <v>7</v>
      </c>
      <c r="B67" s="1073">
        <v>44075</v>
      </c>
      <c r="C67" s="1073">
        <v>44104</v>
      </c>
      <c r="D67" s="1120">
        <v>0.1835</v>
      </c>
      <c r="E67" s="1344">
        <f t="shared" si="1"/>
        <v>0.27524999999999999</v>
      </c>
      <c r="F67" s="909">
        <f t="shared" si="2"/>
        <v>6.6636503991857055E-4</v>
      </c>
      <c r="G67" s="1616">
        <f t="shared" si="3"/>
        <v>14872436</v>
      </c>
      <c r="H67" s="1131">
        <f t="shared" si="4"/>
        <v>30</v>
      </c>
      <c r="I67" s="1356">
        <f t="shared" si="5"/>
        <v>297314.14</v>
      </c>
    </row>
    <row r="68" spans="1:9">
      <c r="A68" s="741">
        <v>8</v>
      </c>
      <c r="B68" s="1073">
        <v>44105</v>
      </c>
      <c r="C68" s="1073">
        <v>44135</v>
      </c>
      <c r="D68" s="1120">
        <v>0.18090000000000001</v>
      </c>
      <c r="E68" s="1344">
        <f t="shared" si="1"/>
        <v>0.27134999999999998</v>
      </c>
      <c r="F68" s="909">
        <f t="shared" si="2"/>
        <v>6.5796794962613703E-4</v>
      </c>
      <c r="G68" s="1616">
        <f t="shared" si="3"/>
        <v>14872436</v>
      </c>
      <c r="H68" s="1131">
        <f t="shared" si="4"/>
        <v>31</v>
      </c>
      <c r="I68" s="1356">
        <f t="shared" si="5"/>
        <v>303353.17</v>
      </c>
    </row>
    <row r="69" spans="1:9">
      <c r="A69" s="741">
        <v>9</v>
      </c>
      <c r="B69" s="1073">
        <v>44136</v>
      </c>
      <c r="C69" s="1073">
        <v>44165</v>
      </c>
      <c r="D69" s="1120">
        <v>0.1784</v>
      </c>
      <c r="E69" s="1344">
        <f t="shared" si="1"/>
        <v>0.2676</v>
      </c>
      <c r="F69" s="909">
        <f t="shared" si="2"/>
        <v>6.4986956374091243E-4</v>
      </c>
      <c r="G69" s="1616">
        <f t="shared" si="3"/>
        <v>14872436</v>
      </c>
      <c r="H69" s="1131">
        <f t="shared" si="4"/>
        <v>30</v>
      </c>
      <c r="I69" s="1356">
        <f t="shared" si="5"/>
        <v>289954.3</v>
      </c>
    </row>
    <row r="70" spans="1:9">
      <c r="A70" s="741">
        <v>10</v>
      </c>
      <c r="B70" s="1073">
        <v>44166</v>
      </c>
      <c r="C70" s="1073">
        <v>44196</v>
      </c>
      <c r="D70" s="1120">
        <v>0.17460000000000001</v>
      </c>
      <c r="E70" s="1344">
        <f t="shared" si="1"/>
        <v>0.26190000000000002</v>
      </c>
      <c r="F70" s="909">
        <f t="shared" si="2"/>
        <v>6.3751414410861962E-4</v>
      </c>
      <c r="G70" s="1616">
        <f t="shared" si="3"/>
        <v>14872436</v>
      </c>
      <c r="H70" s="1131">
        <f t="shared" si="4"/>
        <v>31</v>
      </c>
      <c r="I70" s="1356">
        <f t="shared" si="5"/>
        <v>293923.03999999998</v>
      </c>
    </row>
    <row r="71" spans="1:9">
      <c r="A71" s="741">
        <v>11</v>
      </c>
      <c r="B71" s="1073">
        <v>44197</v>
      </c>
      <c r="C71" s="1073">
        <v>44227</v>
      </c>
      <c r="D71" s="1120">
        <v>0.17319999999999999</v>
      </c>
      <c r="E71" s="1344">
        <f t="shared" si="1"/>
        <v>0.25979999999999998</v>
      </c>
      <c r="F71" s="909">
        <f t="shared" si="2"/>
        <v>6.3294811266723094E-4</v>
      </c>
      <c r="G71" s="1616">
        <f t="shared" si="3"/>
        <v>14872436</v>
      </c>
      <c r="H71" s="1131">
        <f t="shared" si="4"/>
        <v>31</v>
      </c>
      <c r="I71" s="1356">
        <f t="shared" si="5"/>
        <v>291817.89</v>
      </c>
    </row>
    <row r="72" spans="1:9">
      <c r="A72" s="741">
        <v>12</v>
      </c>
      <c r="B72" s="1073">
        <v>44228</v>
      </c>
      <c r="C72" s="1073">
        <v>44255</v>
      </c>
      <c r="D72" s="1120">
        <v>0.1754</v>
      </c>
      <c r="E72" s="1344">
        <f t="shared" si="1"/>
        <v>0.2631</v>
      </c>
      <c r="F72" s="909">
        <f t="shared" si="2"/>
        <v>6.4011990387169426E-4</v>
      </c>
      <c r="G72" s="1616">
        <f t="shared" si="3"/>
        <v>14872436</v>
      </c>
      <c r="H72" s="1131">
        <f t="shared" si="4"/>
        <v>28</v>
      </c>
      <c r="I72" s="1356">
        <f t="shared" si="5"/>
        <v>266563.98</v>
      </c>
    </row>
    <row r="73" spans="1:9">
      <c r="A73" s="741">
        <v>13</v>
      </c>
      <c r="B73" s="1073">
        <v>44256</v>
      </c>
      <c r="C73" s="1073">
        <v>44286</v>
      </c>
      <c r="D73" s="1120">
        <v>0.1741</v>
      </c>
      <c r="E73" s="1344">
        <f t="shared" si="1"/>
        <v>0.26114999999999999</v>
      </c>
      <c r="F73" s="909">
        <f t="shared" si="2"/>
        <v>6.3588428907812578E-4</v>
      </c>
      <c r="G73" s="1616">
        <f t="shared" si="3"/>
        <v>14872436</v>
      </c>
      <c r="H73" s="1131">
        <f t="shared" si="4"/>
        <v>31</v>
      </c>
      <c r="I73" s="1356">
        <f t="shared" si="5"/>
        <v>293171.59999999998</v>
      </c>
    </row>
    <row r="74" spans="1:9">
      <c r="A74" s="741">
        <v>14</v>
      </c>
      <c r="B74" s="1073">
        <v>44287</v>
      </c>
      <c r="C74" s="1073">
        <v>44316</v>
      </c>
      <c r="D74" s="1120">
        <v>0.1731</v>
      </c>
      <c r="E74" s="1344">
        <f t="shared" si="1"/>
        <v>0.25964999999999999</v>
      </c>
      <c r="F74" s="909">
        <f t="shared" si="2"/>
        <v>6.326216771728177E-4</v>
      </c>
      <c r="G74" s="1616">
        <f t="shared" si="3"/>
        <v>14872436</v>
      </c>
      <c r="H74" s="1131">
        <f t="shared" si="4"/>
        <v>30</v>
      </c>
      <c r="I74" s="1356">
        <f t="shared" si="5"/>
        <v>282258.76</v>
      </c>
    </row>
    <row r="75" spans="1:9">
      <c r="A75" s="741">
        <v>15</v>
      </c>
      <c r="B75" s="1073">
        <v>44317</v>
      </c>
      <c r="C75" s="1073">
        <v>44347</v>
      </c>
      <c r="D75" s="1120">
        <v>0.17219999999999999</v>
      </c>
      <c r="E75" s="1344">
        <f t="shared" si="1"/>
        <v>0.25829999999999997</v>
      </c>
      <c r="F75" s="909">
        <f t="shared" si="2"/>
        <v>6.2968201205726437E-4</v>
      </c>
      <c r="G75" s="1616">
        <f t="shared" si="3"/>
        <v>14872436</v>
      </c>
      <c r="H75" s="1131">
        <f t="shared" si="4"/>
        <v>31</v>
      </c>
      <c r="I75" s="1356">
        <f t="shared" si="5"/>
        <v>290312.07</v>
      </c>
    </row>
    <row r="76" spans="1:9">
      <c r="A76" s="741">
        <v>16</v>
      </c>
      <c r="B76" s="1073">
        <v>44348</v>
      </c>
      <c r="C76" s="1073">
        <v>44377</v>
      </c>
      <c r="D76" s="1120">
        <v>0.1721</v>
      </c>
      <c r="E76" s="1344">
        <f t="shared" si="1"/>
        <v>0.25814999999999999</v>
      </c>
      <c r="F76" s="909">
        <f t="shared" si="2"/>
        <v>6.2935518846773952E-4</v>
      </c>
      <c r="G76" s="2136">
        <f t="shared" si="3"/>
        <v>14872436</v>
      </c>
      <c r="H76" s="2140">
        <f t="shared" si="4"/>
        <v>30</v>
      </c>
      <c r="I76" s="1356">
        <f t="shared" si="5"/>
        <v>280801.34000000003</v>
      </c>
    </row>
    <row r="77" spans="1:9">
      <c r="A77" s="741">
        <v>17</v>
      </c>
      <c r="B77" s="1073">
        <v>44378</v>
      </c>
      <c r="C77" s="1073">
        <v>44408</v>
      </c>
      <c r="D77" s="1120">
        <v>0.17180000000000001</v>
      </c>
      <c r="E77" s="1344">
        <f t="shared" si="1"/>
        <v>0.25770000000000004</v>
      </c>
      <c r="F77" s="909">
        <f t="shared" si="2"/>
        <v>6.2837448450037137E-4</v>
      </c>
      <c r="G77" s="1616">
        <f t="shared" si="3"/>
        <v>14872436</v>
      </c>
      <c r="H77" s="1131">
        <f t="shared" si="4"/>
        <v>31</v>
      </c>
      <c r="I77" s="1356">
        <f t="shared" si="5"/>
        <v>289709.24</v>
      </c>
    </row>
    <row r="78" spans="1:9">
      <c r="A78" s="741">
        <v>18</v>
      </c>
      <c r="B78" s="1073">
        <v>44409</v>
      </c>
      <c r="C78" s="1073">
        <v>44439</v>
      </c>
      <c r="D78" s="1120">
        <v>0.17150000000000001</v>
      </c>
      <c r="E78" s="1344">
        <f t="shared" si="1"/>
        <v>0.25725000000000003</v>
      </c>
      <c r="F78" s="909">
        <f t="shared" si="2"/>
        <v>6.2739343053985763E-4</v>
      </c>
      <c r="G78" s="2136">
        <f t="shared" si="3"/>
        <v>14872436</v>
      </c>
      <c r="H78" s="2140">
        <f t="shared" si="4"/>
        <v>31</v>
      </c>
      <c r="I78" s="1356">
        <f t="shared" si="5"/>
        <v>289256.93</v>
      </c>
    </row>
    <row r="79" spans="1:9">
      <c r="A79" s="741">
        <v>19</v>
      </c>
      <c r="B79" s="1073">
        <v>44440</v>
      </c>
      <c r="C79" s="1073">
        <v>44469</v>
      </c>
      <c r="D79" s="1120">
        <v>0.1719</v>
      </c>
      <c r="E79" s="1344">
        <f t="shared" si="1"/>
        <v>0.25785000000000002</v>
      </c>
      <c r="F79" s="909">
        <f t="shared" si="2"/>
        <v>6.2870142469861889E-4</v>
      </c>
      <c r="G79" s="1616">
        <f t="shared" si="3"/>
        <v>14872436</v>
      </c>
      <c r="H79" s="1131">
        <f t="shared" si="4"/>
        <v>30</v>
      </c>
      <c r="I79" s="1356">
        <f t="shared" si="5"/>
        <v>280509.65000000002</v>
      </c>
    </row>
    <row r="80" spans="1:9">
      <c r="A80" s="741">
        <v>20</v>
      </c>
      <c r="B80" s="1073">
        <v>44470</v>
      </c>
      <c r="C80" s="1073">
        <v>44500</v>
      </c>
      <c r="D80" s="1120">
        <v>0.17080000000000001</v>
      </c>
      <c r="E80" s="1344">
        <f t="shared" si="1"/>
        <v>0.25619999999999998</v>
      </c>
      <c r="F80" s="909">
        <f t="shared" si="2"/>
        <v>6.2510294214179751E-4</v>
      </c>
      <c r="G80" s="2136">
        <f t="shared" si="3"/>
        <v>14872436</v>
      </c>
      <c r="H80" s="2140">
        <f t="shared" si="4"/>
        <v>31</v>
      </c>
      <c r="I80" s="1356">
        <f t="shared" si="5"/>
        <v>288200.90999999997</v>
      </c>
    </row>
    <row r="81" spans="1:9">
      <c r="A81" s="741">
        <v>21</v>
      </c>
      <c r="B81" s="1073">
        <v>44501</v>
      </c>
      <c r="C81" s="1073">
        <v>44530</v>
      </c>
      <c r="D81" s="1120">
        <v>0.17269999999999999</v>
      </c>
      <c r="E81" s="1344">
        <f t="shared" si="1"/>
        <v>0.25905</v>
      </c>
      <c r="F81" s="909">
        <f t="shared" si="2"/>
        <v>6.3131554742335005E-4</v>
      </c>
      <c r="G81" s="1616">
        <f t="shared" si="3"/>
        <v>14872436</v>
      </c>
      <c r="H81" s="1131">
        <f t="shared" si="4"/>
        <v>30</v>
      </c>
      <c r="I81" s="1356">
        <f t="shared" si="5"/>
        <v>281676</v>
      </c>
    </row>
    <row r="82" spans="1:9">
      <c r="A82" s="741">
        <v>22</v>
      </c>
      <c r="B82" s="1073">
        <v>44531</v>
      </c>
      <c r="C82" s="1073">
        <v>44561</v>
      </c>
      <c r="D82" s="1120">
        <v>0.17460000000000001</v>
      </c>
      <c r="E82" s="1344">
        <f t="shared" si="1"/>
        <v>0.26190000000000002</v>
      </c>
      <c r="F82" s="909">
        <f t="shared" si="2"/>
        <v>6.3751414410861962E-4</v>
      </c>
      <c r="G82" s="2136">
        <f t="shared" si="3"/>
        <v>14872436</v>
      </c>
      <c r="H82" s="2140">
        <f t="shared" si="4"/>
        <v>31</v>
      </c>
      <c r="I82" s="1356">
        <f t="shared" si="5"/>
        <v>293923.03999999998</v>
      </c>
    </row>
    <row r="83" spans="1:9">
      <c r="A83" s="741">
        <v>23</v>
      </c>
      <c r="B83" s="1073">
        <v>44562</v>
      </c>
      <c r="C83" s="1073">
        <v>44592</v>
      </c>
      <c r="D83" s="1120">
        <v>0.17660000000000001</v>
      </c>
      <c r="E83" s="1344">
        <f t="shared" si="1"/>
        <v>0.26490000000000002</v>
      </c>
      <c r="F83" s="909">
        <f t="shared" si="2"/>
        <v>6.4402391816376081E-4</v>
      </c>
      <c r="G83" s="1616">
        <f t="shared" si="3"/>
        <v>14872436</v>
      </c>
      <c r="H83" s="1131">
        <f t="shared" si="4"/>
        <v>31</v>
      </c>
      <c r="I83" s="1356">
        <f t="shared" si="5"/>
        <v>296924.34000000003</v>
      </c>
    </row>
    <row r="84" spans="1:9">
      <c r="A84" s="741">
        <v>24</v>
      </c>
      <c r="B84" s="1073">
        <v>44593</v>
      </c>
      <c r="C84" s="1073">
        <v>44620</v>
      </c>
      <c r="D84" s="1120">
        <v>0.183</v>
      </c>
      <c r="E84" s="1344">
        <f t="shared" ref="E84:E92" si="6">+D84*1.5</f>
        <v>0.27449999999999997</v>
      </c>
      <c r="F84" s="909">
        <f t="shared" ref="F84:F92" si="7">((1+E84)^(1/365)-1)</f>
        <v>6.6475220558892545E-4</v>
      </c>
      <c r="G84" s="2136">
        <f t="shared" si="3"/>
        <v>14872436</v>
      </c>
      <c r="H84" s="2140">
        <f t="shared" ref="H84:H92" si="8">_xlfn.DAYS(C84,B84)+1</f>
        <v>28</v>
      </c>
      <c r="I84" s="1356">
        <f t="shared" si="5"/>
        <v>276821.57</v>
      </c>
    </row>
    <row r="85" spans="1:9">
      <c r="A85" s="741">
        <v>25</v>
      </c>
      <c r="B85" s="1073">
        <v>44621</v>
      </c>
      <c r="C85" s="1073">
        <v>44651</v>
      </c>
      <c r="D85" s="1120">
        <v>0.1847</v>
      </c>
      <c r="E85" s="1344">
        <f t="shared" si="6"/>
        <v>0.27705000000000002</v>
      </c>
      <c r="F85" s="909">
        <f t="shared" si="7"/>
        <v>6.7023198611315671E-4</v>
      </c>
      <c r="G85" s="2136">
        <f t="shared" si="3"/>
        <v>14872436</v>
      </c>
      <c r="H85" s="2140">
        <f t="shared" si="8"/>
        <v>31</v>
      </c>
      <c r="I85" s="1356">
        <f t="shared" si="5"/>
        <v>309007.45</v>
      </c>
    </row>
    <row r="86" spans="1:9">
      <c r="A86" s="741">
        <v>26</v>
      </c>
      <c r="B86" s="1073">
        <v>44652</v>
      </c>
      <c r="C86" s="1073">
        <v>44681</v>
      </c>
      <c r="D86" s="1120">
        <v>0.1905</v>
      </c>
      <c r="E86" s="1344">
        <f t="shared" si="6"/>
        <v>0.28575</v>
      </c>
      <c r="F86" s="909">
        <f t="shared" si="7"/>
        <v>6.8884592812357148E-4</v>
      </c>
      <c r="G86" s="1616">
        <f t="shared" si="3"/>
        <v>14872436</v>
      </c>
      <c r="H86" s="1131">
        <f t="shared" si="8"/>
        <v>30</v>
      </c>
      <c r="I86" s="1356">
        <f t="shared" si="5"/>
        <v>307344.51</v>
      </c>
    </row>
    <row r="87" spans="1:9">
      <c r="A87" s="741">
        <v>27</v>
      </c>
      <c r="B87" s="1073">
        <v>44682</v>
      </c>
      <c r="C87" s="1073">
        <v>44712</v>
      </c>
      <c r="D87" s="1120">
        <v>0.1971</v>
      </c>
      <c r="E87" s="1344">
        <f t="shared" si="6"/>
        <v>0.29564999999999997</v>
      </c>
      <c r="F87" s="909">
        <f t="shared" si="7"/>
        <v>7.0987512909947981E-4</v>
      </c>
      <c r="G87" s="2136">
        <f t="shared" si="3"/>
        <v>14872436</v>
      </c>
      <c r="H87" s="2140">
        <f t="shared" si="8"/>
        <v>31</v>
      </c>
      <c r="I87" s="1356">
        <f t="shared" si="5"/>
        <v>327284.75</v>
      </c>
    </row>
    <row r="88" spans="1:9">
      <c r="A88" s="741">
        <v>28</v>
      </c>
      <c r="B88" s="1073">
        <v>44713</v>
      </c>
      <c r="C88" s="1073">
        <v>44742</v>
      </c>
      <c r="D88" s="1120">
        <v>0.20399999999999999</v>
      </c>
      <c r="E88" s="1344">
        <f t="shared" si="6"/>
        <v>0.30599999999999999</v>
      </c>
      <c r="F88" s="909">
        <f t="shared" si="7"/>
        <v>7.3168955664093538E-4</v>
      </c>
      <c r="G88" s="2136">
        <f t="shared" si="3"/>
        <v>14872436</v>
      </c>
      <c r="H88" s="2140">
        <f t="shared" si="8"/>
        <v>30</v>
      </c>
      <c r="I88" s="1356">
        <f t="shared" si="5"/>
        <v>326460.18</v>
      </c>
    </row>
    <row r="89" spans="1:9">
      <c r="A89" s="741">
        <v>29</v>
      </c>
      <c r="B89" s="1073">
        <v>44743</v>
      </c>
      <c r="C89" s="1073">
        <v>44773</v>
      </c>
      <c r="D89" s="1120">
        <v>0.21279999999999999</v>
      </c>
      <c r="E89" s="1344">
        <f t="shared" si="6"/>
        <v>0.31919999999999998</v>
      </c>
      <c r="F89" s="909">
        <f t="shared" si="7"/>
        <v>7.5926204501630679E-4</v>
      </c>
      <c r="G89" s="1616">
        <f t="shared" si="3"/>
        <v>14872436</v>
      </c>
      <c r="H89" s="1131">
        <f t="shared" si="8"/>
        <v>31</v>
      </c>
      <c r="I89" s="1356">
        <f t="shared" si="5"/>
        <v>350054.36</v>
      </c>
    </row>
    <row r="90" spans="1:9">
      <c r="A90" s="741">
        <v>30</v>
      </c>
      <c r="B90" s="1073">
        <v>44774</v>
      </c>
      <c r="C90" s="1073">
        <v>44804</v>
      </c>
      <c r="D90" s="1120">
        <v>0.22159999999999999</v>
      </c>
      <c r="E90" s="1344">
        <f t="shared" si="6"/>
        <v>0.33239999999999997</v>
      </c>
      <c r="F90" s="909">
        <f t="shared" si="7"/>
        <v>7.865607585459955E-4</v>
      </c>
      <c r="G90" s="2136">
        <f t="shared" si="3"/>
        <v>14872436</v>
      </c>
      <c r="H90" s="2140">
        <f t="shared" si="8"/>
        <v>31</v>
      </c>
      <c r="I90" s="1356">
        <f t="shared" ref="I90:I95" si="9">ROUND(F90*G90*H90,2)</f>
        <v>362640.31</v>
      </c>
    </row>
    <row r="91" spans="1:9">
      <c r="A91" s="741">
        <v>31</v>
      </c>
      <c r="B91" s="1073">
        <v>44805</v>
      </c>
      <c r="C91" s="1073">
        <v>44834</v>
      </c>
      <c r="D91" s="1120">
        <v>0.23499999999999999</v>
      </c>
      <c r="E91" s="1344">
        <f t="shared" si="6"/>
        <v>0.35249999999999998</v>
      </c>
      <c r="F91" s="909">
        <f t="shared" si="7"/>
        <v>8.2761552252574866E-4</v>
      </c>
      <c r="G91" s="1616">
        <f t="shared" si="3"/>
        <v>14872436</v>
      </c>
      <c r="H91" s="1131">
        <f t="shared" si="8"/>
        <v>30</v>
      </c>
      <c r="I91" s="1356">
        <f t="shared" si="9"/>
        <v>369259.77</v>
      </c>
    </row>
    <row r="92" spans="1:9">
      <c r="A92" s="741">
        <v>32</v>
      </c>
      <c r="B92" s="1073">
        <v>44835</v>
      </c>
      <c r="C92" s="1073">
        <v>44865</v>
      </c>
      <c r="D92" s="1120">
        <v>0.24610000000000001</v>
      </c>
      <c r="E92" s="1344">
        <f t="shared" si="6"/>
        <v>0.36915000000000003</v>
      </c>
      <c r="F92" s="909">
        <f t="shared" si="7"/>
        <v>8.611654102768096E-4</v>
      </c>
      <c r="G92" s="1616">
        <f t="shared" si="3"/>
        <v>14872436</v>
      </c>
      <c r="H92" s="1131">
        <f t="shared" si="8"/>
        <v>31</v>
      </c>
      <c r="I92" s="1356">
        <f t="shared" si="9"/>
        <v>397036.45</v>
      </c>
    </row>
    <row r="93" spans="1:9">
      <c r="A93" s="741">
        <v>33</v>
      </c>
      <c r="B93" s="1073">
        <v>44866</v>
      </c>
      <c r="C93" s="1073">
        <v>44895</v>
      </c>
      <c r="D93" s="1120">
        <v>0.25779999999999997</v>
      </c>
      <c r="E93" s="1344">
        <f t="shared" ref="E93:E94" si="10">+D93*1.5</f>
        <v>0.38669999999999993</v>
      </c>
      <c r="F93" s="909">
        <f t="shared" ref="F93:F94" si="11">((1+E93)^(1/365)-1)</f>
        <v>8.9609117817124329E-4</v>
      </c>
      <c r="G93" s="2136">
        <f t="shared" si="3"/>
        <v>14872436</v>
      </c>
      <c r="H93" s="2140">
        <f t="shared" ref="H93:H94" si="12">_xlfn.DAYS(C93,B93)+1</f>
        <v>30</v>
      </c>
      <c r="I93" s="1356">
        <f t="shared" si="9"/>
        <v>399811.76</v>
      </c>
    </row>
    <row r="94" spans="1:9">
      <c r="A94" s="741">
        <v>34</v>
      </c>
      <c r="B94" s="1073">
        <v>44896</v>
      </c>
      <c r="C94" s="1073">
        <v>44926</v>
      </c>
      <c r="D94" s="1120">
        <v>0.27639999999999998</v>
      </c>
      <c r="E94" s="1344">
        <f t="shared" si="10"/>
        <v>0.41459999999999997</v>
      </c>
      <c r="F94" s="909">
        <f t="shared" si="11"/>
        <v>9.5071686592063109E-4</v>
      </c>
      <c r="G94" s="1616">
        <f t="shared" si="3"/>
        <v>14872436</v>
      </c>
      <c r="H94" s="1131">
        <f t="shared" si="12"/>
        <v>31</v>
      </c>
      <c r="I94" s="1356">
        <f t="shared" si="9"/>
        <v>438323.75</v>
      </c>
    </row>
    <row r="95" spans="1:9">
      <c r="A95" s="741">
        <v>35</v>
      </c>
      <c r="B95" s="1073">
        <v>44927</v>
      </c>
      <c r="C95" s="1073">
        <v>44957</v>
      </c>
      <c r="D95" s="1120">
        <v>0.28839999999999999</v>
      </c>
      <c r="E95" s="1344">
        <f t="shared" ref="E95:E97" si="13">+D95*1.5</f>
        <v>0.43259999999999998</v>
      </c>
      <c r="F95" s="909">
        <f t="shared" ref="F95:F97" si="14">((1+E95)^(1/365)-1)</f>
        <v>9.8539196132163553E-4</v>
      </c>
      <c r="G95" s="2136">
        <f t="shared" si="3"/>
        <v>14872436</v>
      </c>
      <c r="H95" s="2140">
        <f t="shared" ref="H95:H97" si="15">_xlfn.DAYS(C95,B95)+1</f>
        <v>31</v>
      </c>
      <c r="I95" s="1356">
        <f t="shared" si="9"/>
        <v>454310.55</v>
      </c>
    </row>
    <row r="96" spans="1:9">
      <c r="A96" s="741">
        <v>36</v>
      </c>
      <c r="B96" s="1073">
        <v>44958</v>
      </c>
      <c r="C96" s="1073">
        <v>44985</v>
      </c>
      <c r="D96" s="1120">
        <v>0.30180000000000001</v>
      </c>
      <c r="E96" s="1344">
        <f t="shared" si="13"/>
        <v>0.45269999999999999</v>
      </c>
      <c r="F96" s="909">
        <f t="shared" si="14"/>
        <v>1.0236026853662761E-3</v>
      </c>
      <c r="G96" s="2136">
        <f t="shared" si="3"/>
        <v>14872436</v>
      </c>
      <c r="H96" s="2140">
        <f t="shared" si="15"/>
        <v>28</v>
      </c>
      <c r="I96" s="1356">
        <f t="shared" ref="I96:I97" si="16">ROUND(F96*G96*H96,2)</f>
        <v>426257.03</v>
      </c>
    </row>
    <row r="97" spans="1:10">
      <c r="A97" s="741">
        <v>37</v>
      </c>
      <c r="B97" s="1073">
        <v>44986</v>
      </c>
      <c r="C97" s="1073">
        <v>45016</v>
      </c>
      <c r="D97" s="1120">
        <v>0.30840000000000001</v>
      </c>
      <c r="E97" s="1344">
        <f t="shared" si="13"/>
        <v>0.46260000000000001</v>
      </c>
      <c r="F97" s="909">
        <f t="shared" si="14"/>
        <v>1.0422295217955568E-3</v>
      </c>
      <c r="G97" s="1616">
        <f t="shared" si="3"/>
        <v>14872436</v>
      </c>
      <c r="H97" s="1131">
        <f t="shared" si="15"/>
        <v>31</v>
      </c>
      <c r="I97" s="1356">
        <f t="shared" si="16"/>
        <v>480515.25</v>
      </c>
    </row>
    <row r="98" spans="1:10" ht="13.5" thickBot="1">
      <c r="A98" s="741">
        <v>38</v>
      </c>
      <c r="B98" s="1073">
        <v>45017</v>
      </c>
      <c r="C98" s="1073">
        <v>45046</v>
      </c>
      <c r="D98" s="1120">
        <v>0.31390000000000001</v>
      </c>
      <c r="E98" s="1344">
        <f t="shared" ref="E98" si="17">+D98*1.5</f>
        <v>0.47084999999999999</v>
      </c>
      <c r="F98" s="909">
        <f t="shared" ref="F98" si="18">((1+E98)^(1/365)-1)</f>
        <v>1.0576560884423269E-3</v>
      </c>
      <c r="G98" s="2136">
        <f t="shared" si="3"/>
        <v>14872436</v>
      </c>
      <c r="H98" s="2140">
        <f t="shared" ref="H98" si="19">_xlfn.DAYS(C98,B98)+1</f>
        <v>30</v>
      </c>
      <c r="I98" s="1356">
        <f t="shared" ref="I98" si="20">ROUND(F98*G98*H98,2)</f>
        <v>471897.67</v>
      </c>
    </row>
    <row r="99" spans="1:10" ht="13.5" thickBot="1">
      <c r="G99" s="2141" t="s">
        <v>1741</v>
      </c>
      <c r="H99" s="2142"/>
      <c r="I99" s="2143">
        <f>SUM(I61:I98)</f>
        <v>12362602.119999999</v>
      </c>
    </row>
    <row r="100" spans="1:10" ht="13.5" thickBot="1">
      <c r="G100" s="2144" t="s">
        <v>1742</v>
      </c>
      <c r="H100" s="2145"/>
      <c r="I100" s="2146">
        <f>+C57+I99</f>
        <v>27235038.119999997</v>
      </c>
      <c r="J100" s="1400">
        <f>+I100-I95</f>
        <v>26780727.569999997</v>
      </c>
    </row>
  </sheetData>
  <mergeCells count="1">
    <mergeCell ref="B59:I59"/>
  </mergeCells>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545D4-F026-4DD5-80DD-E07BCD9A73AA}">
  <sheetPr codeName="Hoja99"/>
  <dimension ref="A3:L226"/>
  <sheetViews>
    <sheetView topLeftCell="A204" workbookViewId="0">
      <selection activeCell="I183" sqref="I183"/>
    </sheetView>
  </sheetViews>
  <sheetFormatPr defaultColWidth="11.42578125" defaultRowHeight="12.75"/>
  <cols>
    <col min="1" max="1" width="3.140625" customWidth="1"/>
    <col min="2" max="2" width="20" customWidth="1"/>
    <col min="3" max="3" width="16.140625" customWidth="1"/>
    <col min="4" max="5" width="13.85546875" customWidth="1"/>
    <col min="9" max="9" width="14.28515625" customWidth="1"/>
    <col min="12" max="12" width="13.85546875" bestFit="1" customWidth="1"/>
  </cols>
  <sheetData>
    <row r="3" spans="1:9" ht="13.5">
      <c r="A3" s="697"/>
      <c r="B3" s="1627" t="s">
        <v>121</v>
      </c>
      <c r="C3" s="723" t="s">
        <v>1743</v>
      </c>
      <c r="D3" s="697"/>
      <c r="E3" s="697"/>
      <c r="F3" s="697"/>
      <c r="G3" s="697"/>
      <c r="H3" s="697"/>
      <c r="I3" s="697"/>
    </row>
    <row r="4" spans="1:9" ht="13.5">
      <c r="A4" s="697"/>
      <c r="B4" s="683" t="s">
        <v>291</v>
      </c>
      <c r="C4" s="723" t="s">
        <v>1744</v>
      </c>
      <c r="D4" s="697"/>
      <c r="E4" s="697"/>
      <c r="F4" s="697"/>
      <c r="G4" s="697"/>
      <c r="H4" s="697"/>
      <c r="I4" s="697"/>
    </row>
    <row r="5" spans="1:9">
      <c r="A5" s="697"/>
      <c r="B5" s="1628" t="s">
        <v>4</v>
      </c>
      <c r="C5" s="1629">
        <v>44245</v>
      </c>
      <c r="D5" s="697"/>
      <c r="E5" s="697"/>
      <c r="F5" s="697"/>
      <c r="G5" s="697"/>
      <c r="H5" s="697"/>
      <c r="I5" s="697"/>
    </row>
    <row r="6" spans="1:9" ht="38.25">
      <c r="A6" s="697"/>
      <c r="B6" s="1630" t="s">
        <v>2</v>
      </c>
      <c r="C6" s="1631" t="s">
        <v>1745</v>
      </c>
      <c r="D6" s="697"/>
      <c r="E6" s="697"/>
      <c r="F6" s="697"/>
      <c r="G6" s="697"/>
      <c r="H6" s="697"/>
      <c r="I6" s="697"/>
    </row>
    <row r="7" spans="1:9">
      <c r="A7" s="697"/>
      <c r="B7" s="1632" t="s">
        <v>1746</v>
      </c>
      <c r="C7" s="723"/>
      <c r="D7" s="697"/>
      <c r="E7" s="697"/>
      <c r="F7" s="697"/>
      <c r="G7" s="697"/>
      <c r="H7" s="697"/>
      <c r="I7" s="697"/>
    </row>
    <row r="8" spans="1:9">
      <c r="A8" s="697"/>
      <c r="B8" s="1633" t="s">
        <v>1409</v>
      </c>
      <c r="C8" s="697" t="s">
        <v>921</v>
      </c>
      <c r="D8" s="697"/>
      <c r="E8" s="697"/>
      <c r="F8" s="697"/>
      <c r="G8" s="697"/>
      <c r="H8" s="697"/>
      <c r="I8" s="697"/>
    </row>
    <row r="9" spans="1:9" ht="25.5">
      <c r="A9" s="697"/>
      <c r="B9" s="1634" t="s">
        <v>1411</v>
      </c>
      <c r="C9" s="1629">
        <v>44601</v>
      </c>
      <c r="D9" s="697"/>
      <c r="E9" s="697"/>
      <c r="F9" s="697"/>
      <c r="G9" s="697"/>
      <c r="H9" s="697"/>
      <c r="I9" s="697"/>
    </row>
    <row r="10" spans="1:9" ht="13.5" thickBot="1">
      <c r="A10" s="697"/>
      <c r="B10" s="1635" t="s">
        <v>1747</v>
      </c>
      <c r="C10" s="1636" t="s">
        <v>1748</v>
      </c>
      <c r="D10" s="1637">
        <v>908526</v>
      </c>
      <c r="E10" s="1638" t="s">
        <v>1749</v>
      </c>
      <c r="F10" s="697"/>
      <c r="G10" s="697"/>
      <c r="H10" s="697"/>
      <c r="I10" s="697"/>
    </row>
    <row r="11" spans="1:9">
      <c r="A11" s="697"/>
      <c r="B11" s="1633" t="s">
        <v>1750</v>
      </c>
      <c r="C11" s="697"/>
      <c r="D11" s="697"/>
      <c r="E11" s="1639">
        <v>0.7</v>
      </c>
      <c r="F11" s="697"/>
      <c r="G11" s="697"/>
      <c r="H11" s="697"/>
      <c r="I11" s="697"/>
    </row>
    <row r="12" spans="1:9">
      <c r="A12" s="697">
        <v>1</v>
      </c>
      <c r="B12" s="697" t="s">
        <v>1751</v>
      </c>
      <c r="C12" s="1638">
        <v>50</v>
      </c>
      <c r="D12" s="1640">
        <f>+$D$10*C12</f>
        <v>45426300</v>
      </c>
      <c r="E12" s="1640">
        <f>+D12*$E$11</f>
        <v>31798409.999999996</v>
      </c>
      <c r="F12" s="697"/>
      <c r="G12" s="697"/>
      <c r="H12" s="697"/>
      <c r="I12" s="697"/>
    </row>
    <row r="13" spans="1:9">
      <c r="A13" s="697">
        <v>2</v>
      </c>
      <c r="B13" s="697" t="s">
        <v>1752</v>
      </c>
      <c r="C13" s="1638">
        <v>50</v>
      </c>
      <c r="D13" s="1640">
        <f>+$D$10*C13</f>
        <v>45426300</v>
      </c>
      <c r="E13" s="1640">
        <f>+D13*$E$11</f>
        <v>31798409.999999996</v>
      </c>
      <c r="F13" s="697"/>
      <c r="G13" s="697"/>
      <c r="H13" s="697"/>
      <c r="I13" s="697"/>
    </row>
    <row r="14" spans="1:9">
      <c r="A14" s="697"/>
      <c r="B14" s="697"/>
      <c r="C14" s="1638"/>
      <c r="D14" s="697"/>
      <c r="E14" s="697"/>
      <c r="F14" s="697"/>
      <c r="G14" s="697"/>
      <c r="H14" s="697"/>
      <c r="I14" s="697"/>
    </row>
    <row r="15" spans="1:9">
      <c r="A15" s="697"/>
      <c r="B15" s="1633" t="s">
        <v>1753</v>
      </c>
      <c r="C15" s="1638"/>
      <c r="D15" s="697"/>
      <c r="E15" s="697"/>
      <c r="F15" s="697"/>
      <c r="G15" s="697"/>
      <c r="H15" s="697"/>
      <c r="I15" s="697"/>
    </row>
    <row r="16" spans="1:9">
      <c r="A16" s="697">
        <v>3</v>
      </c>
      <c r="B16" s="697" t="s">
        <v>1754</v>
      </c>
      <c r="C16" s="1638">
        <v>25</v>
      </c>
      <c r="D16" s="1640">
        <f>+$D$10*C16</f>
        <v>22713150</v>
      </c>
      <c r="E16" s="1640">
        <f>+D16*$E$11</f>
        <v>15899204.999999998</v>
      </c>
      <c r="F16" s="697"/>
      <c r="G16" s="697"/>
      <c r="H16" s="697"/>
      <c r="I16" s="697"/>
    </row>
    <row r="17" spans="1:9">
      <c r="A17" s="697">
        <v>4</v>
      </c>
      <c r="B17" s="697" t="s">
        <v>1755</v>
      </c>
      <c r="C17" s="1638">
        <v>25</v>
      </c>
      <c r="D17" s="1640">
        <f>+$D$10*C17</f>
        <v>22713150</v>
      </c>
      <c r="E17" s="1640">
        <f>+D17*$E$11</f>
        <v>15899204.999999998</v>
      </c>
      <c r="F17" s="697"/>
      <c r="G17" s="697"/>
      <c r="H17" s="697"/>
      <c r="I17" s="697"/>
    </row>
    <row r="18" spans="1:9">
      <c r="A18" s="697">
        <v>5</v>
      </c>
      <c r="B18" s="697" t="s">
        <v>1756</v>
      </c>
      <c r="C18" s="1638">
        <v>25</v>
      </c>
      <c r="D18" s="1640">
        <f>+$D$10*C18</f>
        <v>22713150</v>
      </c>
      <c r="E18" s="1640">
        <f>+D18*$E$11</f>
        <v>15899204.999999998</v>
      </c>
      <c r="F18" s="697"/>
      <c r="G18" s="697"/>
      <c r="H18" s="697"/>
      <c r="I18" s="697"/>
    </row>
    <row r="19" spans="1:9">
      <c r="A19" s="697">
        <v>6</v>
      </c>
      <c r="B19" s="697" t="s">
        <v>1757</v>
      </c>
      <c r="C19" s="1638">
        <v>25</v>
      </c>
      <c r="D19" s="1640">
        <f>+$D$10*C19</f>
        <v>22713150</v>
      </c>
      <c r="E19" s="1640">
        <f>+D19*$E$11</f>
        <v>15899204.999999998</v>
      </c>
      <c r="F19" s="697"/>
      <c r="G19" s="697"/>
      <c r="H19" s="697"/>
      <c r="I19" s="697"/>
    </row>
    <row r="20" spans="1:9" ht="13.5">
      <c r="A20" s="697"/>
      <c r="B20" s="697"/>
      <c r="C20" s="697"/>
      <c r="D20" s="731" t="s">
        <v>198</v>
      </c>
      <c r="E20" s="1641">
        <f>SUM(E12:E19)</f>
        <v>127193639.99999999</v>
      </c>
      <c r="F20" s="697"/>
      <c r="G20" s="697"/>
      <c r="H20" s="697"/>
      <c r="I20" s="697"/>
    </row>
    <row r="21" spans="1:9">
      <c r="A21" s="697"/>
      <c r="B21" s="697"/>
      <c r="C21" s="697"/>
      <c r="D21" s="697"/>
      <c r="E21" s="697"/>
      <c r="F21" s="697"/>
      <c r="G21" s="697"/>
      <c r="H21" s="697"/>
      <c r="I21" s="697"/>
    </row>
    <row r="22" spans="1:9" ht="16.5">
      <c r="A22" s="697"/>
      <c r="B22" s="1632" t="s">
        <v>121</v>
      </c>
      <c r="C22" s="1646" t="s">
        <v>1751</v>
      </c>
      <c r="D22" s="697"/>
      <c r="E22" s="697"/>
      <c r="F22" s="697"/>
      <c r="G22" s="697"/>
      <c r="H22" s="697"/>
      <c r="I22" s="697"/>
    </row>
    <row r="23" spans="1:9">
      <c r="A23" s="702" t="s">
        <v>254</v>
      </c>
      <c r="B23" s="2794" t="s">
        <v>957</v>
      </c>
      <c r="C23" s="2795"/>
      <c r="D23" s="2795"/>
      <c r="E23" s="2795"/>
      <c r="F23" s="2795"/>
      <c r="G23" s="2795"/>
      <c r="H23" s="2795"/>
      <c r="I23" s="2795"/>
    </row>
    <row r="24" spans="1:9" ht="27">
      <c r="A24" s="702"/>
      <c r="B24" s="970" t="s">
        <v>206</v>
      </c>
      <c r="C24" s="970" t="s">
        <v>10</v>
      </c>
      <c r="D24" s="699" t="s">
        <v>148</v>
      </c>
      <c r="E24" s="700" t="s">
        <v>149</v>
      </c>
      <c r="F24" s="699" t="s">
        <v>43</v>
      </c>
      <c r="G24" s="1642" t="s">
        <v>129</v>
      </c>
      <c r="H24" s="1643" t="s">
        <v>47</v>
      </c>
      <c r="I24" s="1642" t="s">
        <v>48</v>
      </c>
    </row>
    <row r="25" spans="1:9" ht="13.5">
      <c r="A25" s="697">
        <v>1</v>
      </c>
      <c r="B25" s="1629">
        <v>44246</v>
      </c>
      <c r="C25" s="1629">
        <v>44255</v>
      </c>
      <c r="D25" s="1120">
        <v>0.1754</v>
      </c>
      <c r="E25" s="1120">
        <f>+D25*1.5</f>
        <v>0.2631</v>
      </c>
      <c r="F25" s="909">
        <f>((1+E25)^(1/365)-1)</f>
        <v>6.4011990387169426E-4</v>
      </c>
      <c r="G25" s="1616">
        <f>$E$12</f>
        <v>31798409.999999996</v>
      </c>
      <c r="H25" s="1131">
        <f>_xlfn.DAYS(C25,B25)+1</f>
        <v>10</v>
      </c>
      <c r="I25" s="1356">
        <f t="shared" ref="I25:I44" si="0">ROUND(F25*G25*H25,2)</f>
        <v>203547.95</v>
      </c>
    </row>
    <row r="26" spans="1:9" ht="13.5">
      <c r="A26" s="697">
        <v>2</v>
      </c>
      <c r="B26" s="1629">
        <v>44256</v>
      </c>
      <c r="C26" s="1629">
        <v>44286</v>
      </c>
      <c r="D26" s="1120">
        <v>0.1741</v>
      </c>
      <c r="E26" s="1120">
        <f t="shared" ref="E26:E37" si="1">+D26*1.5</f>
        <v>0.26114999999999999</v>
      </c>
      <c r="F26" s="909">
        <f t="shared" ref="F26:F37" si="2">((1+E26)^(1/365)-1)</f>
        <v>6.3588428907812578E-4</v>
      </c>
      <c r="G26" s="1616">
        <f t="shared" ref="G26:G51" si="3">$E$12</f>
        <v>31798409.999999996</v>
      </c>
      <c r="H26" s="1131">
        <f t="shared" ref="H26:H36" si="4">_xlfn.DAYS(C26,B26)+1</f>
        <v>31</v>
      </c>
      <c r="I26" s="1356">
        <f t="shared" si="0"/>
        <v>626823.39</v>
      </c>
    </row>
    <row r="27" spans="1:9" ht="13.5">
      <c r="A27" s="697">
        <v>3</v>
      </c>
      <c r="B27" s="1629">
        <v>44287</v>
      </c>
      <c r="C27" s="1629">
        <v>44316</v>
      </c>
      <c r="D27" s="1120">
        <v>0.1731</v>
      </c>
      <c r="E27" s="1120">
        <f t="shared" si="1"/>
        <v>0.25964999999999999</v>
      </c>
      <c r="F27" s="909">
        <f t="shared" si="2"/>
        <v>6.326216771728177E-4</v>
      </c>
      <c r="G27" s="1616">
        <f t="shared" si="3"/>
        <v>31798409.999999996</v>
      </c>
      <c r="H27" s="1131">
        <f t="shared" si="4"/>
        <v>30</v>
      </c>
      <c r="I27" s="1356">
        <f t="shared" si="0"/>
        <v>603490.9</v>
      </c>
    </row>
    <row r="28" spans="1:9" ht="13.5">
      <c r="A28" s="697">
        <v>4</v>
      </c>
      <c r="B28" s="1629">
        <v>44317</v>
      </c>
      <c r="C28" s="1629">
        <v>44347</v>
      </c>
      <c r="D28" s="1120">
        <v>0.17219999999999999</v>
      </c>
      <c r="E28" s="1120">
        <f t="shared" si="1"/>
        <v>0.25829999999999997</v>
      </c>
      <c r="F28" s="909">
        <f t="shared" si="2"/>
        <v>6.2968201205726437E-4</v>
      </c>
      <c r="G28" s="1616">
        <f t="shared" si="3"/>
        <v>31798409.999999996</v>
      </c>
      <c r="H28" s="1131">
        <f t="shared" si="4"/>
        <v>31</v>
      </c>
      <c r="I28" s="1356">
        <f t="shared" si="0"/>
        <v>620709.49</v>
      </c>
    </row>
    <row r="29" spans="1:9" ht="13.5">
      <c r="A29" s="697">
        <v>5</v>
      </c>
      <c r="B29" s="1629">
        <v>44348</v>
      </c>
      <c r="C29" s="1629">
        <v>44377</v>
      </c>
      <c r="D29" s="1120">
        <v>0.1721</v>
      </c>
      <c r="E29" s="1120">
        <f t="shared" si="1"/>
        <v>0.25814999999999999</v>
      </c>
      <c r="F29" s="909">
        <f t="shared" si="2"/>
        <v>6.2935518846773952E-4</v>
      </c>
      <c r="G29" s="1616">
        <f t="shared" si="3"/>
        <v>31798409.999999996</v>
      </c>
      <c r="H29" s="1131">
        <f t="shared" si="4"/>
        <v>30</v>
      </c>
      <c r="I29" s="1356">
        <f t="shared" si="0"/>
        <v>600374.82999999996</v>
      </c>
    </row>
    <row r="30" spans="1:9" ht="13.5">
      <c r="A30" s="697">
        <v>6</v>
      </c>
      <c r="B30" s="1629">
        <v>44378</v>
      </c>
      <c r="C30" s="1629">
        <v>44408</v>
      </c>
      <c r="D30" s="1120">
        <v>0.17180000000000001</v>
      </c>
      <c r="E30" s="1120">
        <f t="shared" si="1"/>
        <v>0.25770000000000004</v>
      </c>
      <c r="F30" s="909">
        <f t="shared" si="2"/>
        <v>6.2837448450037137E-4</v>
      </c>
      <c r="G30" s="1616">
        <f t="shared" si="3"/>
        <v>31798409.999999996</v>
      </c>
      <c r="H30" s="1131">
        <f t="shared" si="4"/>
        <v>31</v>
      </c>
      <c r="I30" s="1356">
        <f t="shared" si="0"/>
        <v>619420.59</v>
      </c>
    </row>
    <row r="31" spans="1:9" ht="13.5">
      <c r="A31" s="697">
        <v>7</v>
      </c>
      <c r="B31" s="1629">
        <v>44409</v>
      </c>
      <c r="C31" s="1629">
        <v>44439</v>
      </c>
      <c r="D31" s="1120">
        <v>0.1724</v>
      </c>
      <c r="E31" s="1120">
        <f t="shared" si="1"/>
        <v>0.2586</v>
      </c>
      <c r="F31" s="909">
        <f t="shared" si="2"/>
        <v>6.3033554269220637E-4</v>
      </c>
      <c r="G31" s="1616">
        <f t="shared" si="3"/>
        <v>31798409.999999996</v>
      </c>
      <c r="H31" s="1131">
        <f t="shared" si="4"/>
        <v>31</v>
      </c>
      <c r="I31" s="1356">
        <f t="shared" si="0"/>
        <v>621353.71</v>
      </c>
    </row>
    <row r="32" spans="1:9" ht="13.5">
      <c r="A32" s="697">
        <v>8</v>
      </c>
      <c r="B32" s="1629">
        <v>44440</v>
      </c>
      <c r="C32" s="1629">
        <v>44469</v>
      </c>
      <c r="D32" s="1120">
        <v>0.1719</v>
      </c>
      <c r="E32" s="1120">
        <f t="shared" si="1"/>
        <v>0.25785000000000002</v>
      </c>
      <c r="F32" s="909">
        <f t="shared" si="2"/>
        <v>6.2870142469861889E-4</v>
      </c>
      <c r="G32" s="1616">
        <f t="shared" si="3"/>
        <v>31798409.999999996</v>
      </c>
      <c r="H32" s="1131">
        <f t="shared" si="4"/>
        <v>30</v>
      </c>
      <c r="I32" s="1356">
        <f t="shared" si="0"/>
        <v>599751.17000000004</v>
      </c>
    </row>
    <row r="33" spans="1:9" ht="13.5">
      <c r="A33" s="697">
        <v>9</v>
      </c>
      <c r="B33" s="1629">
        <v>44470</v>
      </c>
      <c r="C33" s="1629">
        <v>44500</v>
      </c>
      <c r="D33" s="1120">
        <v>0.17080000000000001</v>
      </c>
      <c r="E33" s="1120">
        <f t="shared" si="1"/>
        <v>0.25619999999999998</v>
      </c>
      <c r="F33" s="909">
        <f t="shared" si="2"/>
        <v>6.2510294214179751E-4</v>
      </c>
      <c r="G33" s="1616">
        <f t="shared" si="3"/>
        <v>31798409.999999996</v>
      </c>
      <c r="H33" s="1131">
        <f t="shared" si="4"/>
        <v>31</v>
      </c>
      <c r="I33" s="1356">
        <f t="shared" si="0"/>
        <v>616195.67000000004</v>
      </c>
    </row>
    <row r="34" spans="1:9" ht="13.5">
      <c r="A34" s="697">
        <v>10</v>
      </c>
      <c r="B34" s="1629">
        <v>44501</v>
      </c>
      <c r="C34" s="1629">
        <v>44530</v>
      </c>
      <c r="D34" s="1120">
        <v>0.17269999999999999</v>
      </c>
      <c r="E34" s="1120">
        <f t="shared" si="1"/>
        <v>0.25905</v>
      </c>
      <c r="F34" s="909">
        <f t="shared" si="2"/>
        <v>6.3131554742335005E-4</v>
      </c>
      <c r="G34" s="1616">
        <f t="shared" si="3"/>
        <v>31798409.999999996</v>
      </c>
      <c r="H34" s="1131">
        <f t="shared" si="4"/>
        <v>30</v>
      </c>
      <c r="I34" s="1356">
        <f t="shared" si="0"/>
        <v>602244.92000000004</v>
      </c>
    </row>
    <row r="35" spans="1:9" ht="13.5">
      <c r="A35" s="697">
        <v>11</v>
      </c>
      <c r="B35" s="1629">
        <v>44531</v>
      </c>
      <c r="C35" s="1629">
        <v>44561</v>
      </c>
      <c r="D35" s="1120">
        <v>0.17460000000000001</v>
      </c>
      <c r="E35" s="1120">
        <f t="shared" si="1"/>
        <v>0.26190000000000002</v>
      </c>
      <c r="F35" s="909">
        <f t="shared" si="2"/>
        <v>6.3751414410861962E-4</v>
      </c>
      <c r="G35" s="1616">
        <f t="shared" si="3"/>
        <v>31798409.999999996</v>
      </c>
      <c r="H35" s="1131">
        <f t="shared" si="4"/>
        <v>31</v>
      </c>
      <c r="I35" s="1356">
        <f t="shared" si="0"/>
        <v>628430.02</v>
      </c>
    </row>
    <row r="36" spans="1:9" ht="13.5">
      <c r="A36" s="697">
        <v>12</v>
      </c>
      <c r="B36" s="1629">
        <v>44562</v>
      </c>
      <c r="C36" s="1629">
        <v>44592</v>
      </c>
      <c r="D36" s="1120">
        <v>0.17660000000000001</v>
      </c>
      <c r="E36" s="1120">
        <f t="shared" si="1"/>
        <v>0.26490000000000002</v>
      </c>
      <c r="F36" s="909">
        <f t="shared" si="2"/>
        <v>6.4402391816376081E-4</v>
      </c>
      <c r="G36" s="1616">
        <f t="shared" si="3"/>
        <v>31798409.999999996</v>
      </c>
      <c r="H36" s="1131">
        <f t="shared" si="4"/>
        <v>31</v>
      </c>
      <c r="I36" s="1356">
        <f t="shared" si="0"/>
        <v>634847.03</v>
      </c>
    </row>
    <row r="37" spans="1:9" ht="13.5">
      <c r="A37" s="697">
        <v>13</v>
      </c>
      <c r="B37" s="1629">
        <v>44593</v>
      </c>
      <c r="C37" s="1629">
        <v>44620</v>
      </c>
      <c r="D37" s="1120">
        <v>0.183</v>
      </c>
      <c r="E37" s="1120">
        <f t="shared" si="1"/>
        <v>0.27449999999999997</v>
      </c>
      <c r="F37" s="909">
        <f t="shared" si="2"/>
        <v>6.6475220558892545E-4</v>
      </c>
      <c r="G37" s="1616">
        <f t="shared" si="3"/>
        <v>31798409.999999996</v>
      </c>
      <c r="H37" s="1131">
        <f t="shared" ref="H37:H45" si="5">_xlfn.DAYS(C37,B37)+1</f>
        <v>28</v>
      </c>
      <c r="I37" s="1356">
        <f t="shared" si="0"/>
        <v>591865.77</v>
      </c>
    </row>
    <row r="38" spans="1:9" ht="13.5">
      <c r="A38" s="697">
        <v>14</v>
      </c>
      <c r="B38" s="1629">
        <v>44621</v>
      </c>
      <c r="C38" s="1629">
        <v>44651</v>
      </c>
      <c r="D38" s="1120">
        <v>0.1847</v>
      </c>
      <c r="E38" s="1120">
        <f t="shared" ref="E38:E45" si="6">+D38*1.5</f>
        <v>0.27705000000000002</v>
      </c>
      <c r="F38" s="909">
        <f t="shared" ref="F38:F45" si="7">((1+E38)^(1/365)-1)</f>
        <v>6.7023198611315671E-4</v>
      </c>
      <c r="G38" s="1616">
        <f t="shared" si="3"/>
        <v>31798409.999999996</v>
      </c>
      <c r="H38" s="1131">
        <f t="shared" si="5"/>
        <v>31</v>
      </c>
      <c r="I38" s="1356">
        <f t="shared" si="0"/>
        <v>660681.66</v>
      </c>
    </row>
    <row r="39" spans="1:9" ht="13.5">
      <c r="A39" s="697">
        <v>15</v>
      </c>
      <c r="B39" s="1629">
        <v>44652</v>
      </c>
      <c r="C39" s="1629">
        <v>44681</v>
      </c>
      <c r="D39" s="1120">
        <v>0.1905</v>
      </c>
      <c r="E39" s="1120">
        <f t="shared" si="6"/>
        <v>0.28575</v>
      </c>
      <c r="F39" s="909">
        <f t="shared" si="7"/>
        <v>6.8884592812357148E-4</v>
      </c>
      <c r="G39" s="1616">
        <f t="shared" si="3"/>
        <v>31798409.999999996</v>
      </c>
      <c r="H39" s="1131">
        <f t="shared" si="5"/>
        <v>30</v>
      </c>
      <c r="I39" s="1356">
        <f t="shared" si="0"/>
        <v>657126.16</v>
      </c>
    </row>
    <row r="40" spans="1:9" ht="13.5">
      <c r="A40" s="697">
        <v>16</v>
      </c>
      <c r="B40" s="1629">
        <v>44682</v>
      </c>
      <c r="C40" s="1629">
        <v>44712</v>
      </c>
      <c r="D40" s="1120">
        <v>0.1971</v>
      </c>
      <c r="E40" s="1120">
        <f t="shared" si="6"/>
        <v>0.29564999999999997</v>
      </c>
      <c r="F40" s="909">
        <f t="shared" si="7"/>
        <v>7.0987512909947981E-4</v>
      </c>
      <c r="G40" s="1616">
        <f t="shared" si="3"/>
        <v>31798409.999999996</v>
      </c>
      <c r="H40" s="1131">
        <f t="shared" si="5"/>
        <v>31</v>
      </c>
      <c r="I40" s="1356">
        <f t="shared" si="0"/>
        <v>699759.91</v>
      </c>
    </row>
    <row r="41" spans="1:9" ht="13.5">
      <c r="A41" s="697">
        <v>17</v>
      </c>
      <c r="B41" s="1629">
        <v>44713</v>
      </c>
      <c r="C41" s="1629">
        <v>44742</v>
      </c>
      <c r="D41" s="1120">
        <v>0.20399999999999999</v>
      </c>
      <c r="E41" s="1120">
        <f t="shared" si="6"/>
        <v>0.30599999999999999</v>
      </c>
      <c r="F41" s="909">
        <f t="shared" si="7"/>
        <v>7.3168955664093538E-4</v>
      </c>
      <c r="G41" s="1616">
        <f t="shared" si="3"/>
        <v>31798409.999999996</v>
      </c>
      <c r="H41" s="1131">
        <f t="shared" si="5"/>
        <v>30</v>
      </c>
      <c r="I41" s="1356">
        <f t="shared" si="0"/>
        <v>697996.94</v>
      </c>
    </row>
    <row r="42" spans="1:9" ht="13.5">
      <c r="A42" s="697">
        <v>18</v>
      </c>
      <c r="B42" s="1629">
        <v>44743</v>
      </c>
      <c r="C42" s="1629">
        <v>44773</v>
      </c>
      <c r="D42" s="1120">
        <v>0.21279999999999999</v>
      </c>
      <c r="E42" s="1120">
        <f t="shared" si="6"/>
        <v>0.31919999999999998</v>
      </c>
      <c r="F42" s="909">
        <f t="shared" si="7"/>
        <v>7.5926204501630679E-4</v>
      </c>
      <c r="G42" s="1616">
        <f t="shared" si="3"/>
        <v>31798409.999999996</v>
      </c>
      <c r="H42" s="1131">
        <f t="shared" si="5"/>
        <v>31</v>
      </c>
      <c r="I42" s="1356">
        <f t="shared" si="0"/>
        <v>748443.1</v>
      </c>
    </row>
    <row r="43" spans="1:9" ht="13.5">
      <c r="A43" s="697">
        <v>19</v>
      </c>
      <c r="B43" s="1629">
        <v>44774</v>
      </c>
      <c r="C43" s="1629">
        <v>44804</v>
      </c>
      <c r="D43" s="1120">
        <v>0.22209999999999999</v>
      </c>
      <c r="E43" s="1120">
        <f t="shared" si="6"/>
        <v>0.33315</v>
      </c>
      <c r="F43" s="909">
        <f t="shared" si="7"/>
        <v>7.8810371394433254E-4</v>
      </c>
      <c r="G43" s="1616">
        <f t="shared" si="3"/>
        <v>31798409.999999996</v>
      </c>
      <c r="H43" s="1131">
        <f t="shared" si="5"/>
        <v>31</v>
      </c>
      <c r="I43" s="1356">
        <f t="shared" si="0"/>
        <v>776873.8</v>
      </c>
    </row>
    <row r="44" spans="1:9" ht="13.5">
      <c r="A44" s="697">
        <v>20</v>
      </c>
      <c r="B44" s="1629">
        <v>44805</v>
      </c>
      <c r="C44" s="1629">
        <v>44834</v>
      </c>
      <c r="D44" s="1120">
        <v>0.23499999999999999</v>
      </c>
      <c r="E44" s="1120">
        <f t="shared" si="6"/>
        <v>0.35249999999999998</v>
      </c>
      <c r="F44" s="909">
        <f t="shared" si="7"/>
        <v>8.2761552252574866E-4</v>
      </c>
      <c r="G44" s="1616">
        <f t="shared" si="3"/>
        <v>31798409.999999996</v>
      </c>
      <c r="H44" s="1131">
        <f t="shared" si="5"/>
        <v>30</v>
      </c>
      <c r="I44" s="1356">
        <f t="shared" si="0"/>
        <v>789505.73</v>
      </c>
    </row>
    <row r="45" spans="1:9" ht="13.5">
      <c r="A45" s="697">
        <v>21</v>
      </c>
      <c r="B45" s="1629">
        <v>44835</v>
      </c>
      <c r="C45" s="1629">
        <v>44865</v>
      </c>
      <c r="D45" s="1120">
        <v>0.24610000000000001</v>
      </c>
      <c r="E45" s="1120">
        <f t="shared" si="6"/>
        <v>0.36915000000000003</v>
      </c>
      <c r="F45" s="909">
        <f t="shared" si="7"/>
        <v>8.611654102768096E-4</v>
      </c>
      <c r="G45" s="1616">
        <f t="shared" si="3"/>
        <v>31798409.999999996</v>
      </c>
      <c r="H45" s="1131">
        <f t="shared" si="5"/>
        <v>31</v>
      </c>
      <c r="I45" s="1356">
        <f>ROUND(F45*G45*H45,2)</f>
        <v>848894.41</v>
      </c>
    </row>
    <row r="46" spans="1:9" ht="13.5">
      <c r="A46" s="697">
        <v>22</v>
      </c>
      <c r="B46" s="1629">
        <v>44866</v>
      </c>
      <c r="C46" s="1629">
        <v>44895</v>
      </c>
      <c r="D46" s="1120">
        <v>0.25779999999999997</v>
      </c>
      <c r="E46" s="1120">
        <f t="shared" ref="E46:E48" si="8">+D46*1.5</f>
        <v>0.38669999999999993</v>
      </c>
      <c r="F46" s="909">
        <f t="shared" ref="F46:F48" si="9">((1+E46)^(1/365)-1)</f>
        <v>8.9609117817124329E-4</v>
      </c>
      <c r="G46" s="1616">
        <f t="shared" si="3"/>
        <v>31798409.999999996</v>
      </c>
      <c r="H46" s="1131">
        <f t="shared" ref="H46:H48" si="10">_xlfn.DAYS(C46,B46)+1</f>
        <v>30</v>
      </c>
      <c r="I46" s="1356">
        <f t="shared" ref="I46" si="11">ROUND(F46*G46*H46,2)</f>
        <v>854828.24</v>
      </c>
    </row>
    <row r="47" spans="1:9" ht="13.5">
      <c r="A47" s="697">
        <v>23</v>
      </c>
      <c r="B47" s="1629">
        <v>44896</v>
      </c>
      <c r="C47" s="1629">
        <v>44926</v>
      </c>
      <c r="D47" s="1120">
        <v>0.27639999999999998</v>
      </c>
      <c r="E47" s="1120">
        <f t="shared" si="8"/>
        <v>0.41459999999999997</v>
      </c>
      <c r="F47" s="909">
        <f t="shared" si="9"/>
        <v>9.5071686592063109E-4</v>
      </c>
      <c r="G47" s="1616">
        <f t="shared" si="3"/>
        <v>31798409.999999996</v>
      </c>
      <c r="H47" s="1131">
        <f t="shared" si="10"/>
        <v>31</v>
      </c>
      <c r="I47" s="1356">
        <f>ROUND(F47*G47*H47,2)</f>
        <v>937169.83</v>
      </c>
    </row>
    <row r="48" spans="1:9" ht="13.5">
      <c r="A48" s="697">
        <v>24</v>
      </c>
      <c r="B48" s="1629">
        <v>44927</v>
      </c>
      <c r="C48" s="1629">
        <v>44957</v>
      </c>
      <c r="D48" s="1120">
        <v>0.28839999999999999</v>
      </c>
      <c r="E48" s="1120">
        <f t="shared" si="8"/>
        <v>0.43259999999999998</v>
      </c>
      <c r="F48" s="909">
        <f t="shared" si="9"/>
        <v>9.8539196132163553E-4</v>
      </c>
      <c r="G48" s="1616">
        <f t="shared" si="3"/>
        <v>31798409.999999996</v>
      </c>
      <c r="H48" s="1131">
        <f t="shared" si="10"/>
        <v>31</v>
      </c>
      <c r="I48" s="1356">
        <f>ROUND(F48*G48*H48,2)</f>
        <v>971350.83</v>
      </c>
    </row>
    <row r="49" spans="1:9" ht="13.5">
      <c r="A49" s="697">
        <v>25</v>
      </c>
      <c r="B49" s="1629">
        <v>44958</v>
      </c>
      <c r="C49" s="1629">
        <v>44985</v>
      </c>
      <c r="D49" s="1120">
        <v>0.30180000000000001</v>
      </c>
      <c r="E49" s="1120">
        <f t="shared" ref="E49:E51" si="12">+D49*1.5</f>
        <v>0.45269999999999999</v>
      </c>
      <c r="F49" s="909">
        <f t="shared" ref="F49:F51" si="13">((1+E49)^(1/365)-1)</f>
        <v>1.0236026853662761E-3</v>
      </c>
      <c r="G49" s="1616">
        <f t="shared" si="3"/>
        <v>31798409.999999996</v>
      </c>
      <c r="H49" s="1131">
        <f t="shared" ref="H49:H51" si="14">_xlfn.DAYS(C49,B49)+1</f>
        <v>28</v>
      </c>
      <c r="I49" s="1356">
        <f>ROUND(F49*G49*H49,2)</f>
        <v>911370.26</v>
      </c>
    </row>
    <row r="50" spans="1:9" ht="13.5">
      <c r="A50" s="697">
        <v>26</v>
      </c>
      <c r="B50" s="1629">
        <v>44986</v>
      </c>
      <c r="C50" s="1629">
        <v>45016</v>
      </c>
      <c r="D50" s="1120">
        <v>0.30840000000000001</v>
      </c>
      <c r="E50" s="1120">
        <f t="shared" si="12"/>
        <v>0.46260000000000001</v>
      </c>
      <c r="F50" s="909">
        <f t="shared" si="13"/>
        <v>1.0422295217955568E-3</v>
      </c>
      <c r="G50" s="1616">
        <f t="shared" si="3"/>
        <v>31798409.999999996</v>
      </c>
      <c r="H50" s="1131">
        <f t="shared" si="14"/>
        <v>31</v>
      </c>
      <c r="I50" s="1356">
        <f>ROUND(F50*G50*H50,2)</f>
        <v>1027378.49</v>
      </c>
    </row>
    <row r="51" spans="1:9" ht="13.5">
      <c r="A51" s="697">
        <v>27</v>
      </c>
      <c r="B51" s="1629">
        <v>45017</v>
      </c>
      <c r="C51" s="1629">
        <v>45046</v>
      </c>
      <c r="D51" s="1120">
        <v>0.31390000000000001</v>
      </c>
      <c r="E51" s="1120">
        <f t="shared" si="12"/>
        <v>0.47084999999999999</v>
      </c>
      <c r="F51" s="909">
        <f t="shared" si="13"/>
        <v>1.0576560884423269E-3</v>
      </c>
      <c r="G51" s="1616">
        <f t="shared" si="3"/>
        <v>31798409.999999996</v>
      </c>
      <c r="H51" s="1131">
        <f t="shared" si="14"/>
        <v>30</v>
      </c>
      <c r="I51" s="1356">
        <f>ROUND(F51*G51*H51,2)</f>
        <v>1008953.46</v>
      </c>
    </row>
    <row r="52" spans="1:9" ht="13.5">
      <c r="A52" s="697"/>
      <c r="B52" s="697"/>
      <c r="C52" s="697"/>
      <c r="D52" s="697"/>
      <c r="E52" s="697"/>
      <c r="F52" s="697"/>
      <c r="G52" s="2833" t="s">
        <v>61</v>
      </c>
      <c r="H52" s="2834"/>
      <c r="I52" s="1617">
        <f>SUM(I25:I51)</f>
        <v>19159388.260000002</v>
      </c>
    </row>
    <row r="53" spans="1:9">
      <c r="A53" s="697"/>
      <c r="B53" s="697"/>
      <c r="C53" s="697"/>
      <c r="D53" s="697"/>
      <c r="E53" s="697"/>
      <c r="F53" s="697"/>
      <c r="G53" s="697"/>
      <c r="H53" s="697"/>
      <c r="I53" s="697"/>
    </row>
    <row r="54" spans="1:9">
      <c r="A54" s="697"/>
      <c r="B54" s="697"/>
      <c r="C54" s="697"/>
      <c r="D54" s="697"/>
      <c r="E54" s="697"/>
      <c r="F54" s="697"/>
      <c r="G54" s="697"/>
      <c r="H54" s="697"/>
      <c r="I54" s="697"/>
    </row>
    <row r="55" spans="1:9" ht="16.5">
      <c r="A55" s="697"/>
      <c r="B55" s="1632" t="s">
        <v>121</v>
      </c>
      <c r="C55" s="1645" t="s">
        <v>1752</v>
      </c>
      <c r="D55" s="697"/>
      <c r="E55" s="697"/>
      <c r="F55" s="697"/>
      <c r="G55" s="697"/>
      <c r="H55" s="697"/>
      <c r="I55" s="697"/>
    </row>
    <row r="56" spans="1:9">
      <c r="A56" s="702" t="s">
        <v>254</v>
      </c>
      <c r="B56" s="2794" t="s">
        <v>957</v>
      </c>
      <c r="C56" s="2795"/>
      <c r="D56" s="2795"/>
      <c r="E56" s="2795"/>
      <c r="F56" s="2795"/>
      <c r="G56" s="2795"/>
      <c r="H56" s="2795"/>
      <c r="I56" s="2795"/>
    </row>
    <row r="57" spans="1:9" ht="27">
      <c r="A57" s="702"/>
      <c r="B57" s="970" t="s">
        <v>206</v>
      </c>
      <c r="C57" s="970" t="s">
        <v>10</v>
      </c>
      <c r="D57" s="699" t="s">
        <v>148</v>
      </c>
      <c r="E57" s="700" t="s">
        <v>149</v>
      </c>
      <c r="F57" s="699" t="s">
        <v>43</v>
      </c>
      <c r="G57" s="1642" t="s">
        <v>129</v>
      </c>
      <c r="H57" s="1643" t="s">
        <v>47</v>
      </c>
      <c r="I57" s="1642" t="s">
        <v>48</v>
      </c>
    </row>
    <row r="58" spans="1:9" ht="13.5">
      <c r="A58" s="697">
        <v>1</v>
      </c>
      <c r="B58" s="1629">
        <v>44246</v>
      </c>
      <c r="C58" s="1629">
        <v>44255</v>
      </c>
      <c r="D58" s="1120">
        <v>0.1754</v>
      </c>
      <c r="E58" s="1120">
        <f>+D58*1.5</f>
        <v>0.2631</v>
      </c>
      <c r="F58" s="909">
        <f>((1+E58)^(1/365)-1)</f>
        <v>6.4011990387169426E-4</v>
      </c>
      <c r="G58" s="1616">
        <f>$E$13</f>
        <v>31798409.999999996</v>
      </c>
      <c r="H58" s="1131">
        <f>_xlfn.DAYS(C58,B58)+1</f>
        <v>10</v>
      </c>
      <c r="I58" s="1356">
        <f t="shared" ref="I58:I77" si="15">ROUND(F58*G58*H58,2)</f>
        <v>203547.95</v>
      </c>
    </row>
    <row r="59" spans="1:9" ht="13.5">
      <c r="A59" s="697">
        <v>2</v>
      </c>
      <c r="B59" s="1629">
        <v>44256</v>
      </c>
      <c r="C59" s="1629">
        <v>44286</v>
      </c>
      <c r="D59" s="1120">
        <v>0.1741</v>
      </c>
      <c r="E59" s="1120">
        <f t="shared" ref="E59:E70" si="16">+D59*1.5</f>
        <v>0.26114999999999999</v>
      </c>
      <c r="F59" s="909">
        <f t="shared" ref="F59:F70" si="17">((1+E59)^(1/365)-1)</f>
        <v>6.3588428907812578E-4</v>
      </c>
      <c r="G59" s="1616">
        <f t="shared" ref="G59:G84" si="18">$E$13</f>
        <v>31798409.999999996</v>
      </c>
      <c r="H59" s="1131">
        <f t="shared" ref="H59:H70" si="19">_xlfn.DAYS(C59,B59)+1</f>
        <v>31</v>
      </c>
      <c r="I59" s="1356">
        <f t="shared" si="15"/>
        <v>626823.39</v>
      </c>
    </row>
    <row r="60" spans="1:9" ht="13.5">
      <c r="A60" s="697">
        <v>3</v>
      </c>
      <c r="B60" s="1629">
        <v>44287</v>
      </c>
      <c r="C60" s="1629">
        <v>44316</v>
      </c>
      <c r="D60" s="1120">
        <v>0.1731</v>
      </c>
      <c r="E60" s="1120">
        <f t="shared" si="16"/>
        <v>0.25964999999999999</v>
      </c>
      <c r="F60" s="909">
        <f t="shared" si="17"/>
        <v>6.326216771728177E-4</v>
      </c>
      <c r="G60" s="1616">
        <f t="shared" si="18"/>
        <v>31798409.999999996</v>
      </c>
      <c r="H60" s="1131">
        <f t="shared" si="19"/>
        <v>30</v>
      </c>
      <c r="I60" s="1356">
        <f t="shared" si="15"/>
        <v>603490.9</v>
      </c>
    </row>
    <row r="61" spans="1:9" ht="13.5">
      <c r="A61" s="697">
        <v>4</v>
      </c>
      <c r="B61" s="1629">
        <v>44317</v>
      </c>
      <c r="C61" s="1629">
        <v>44347</v>
      </c>
      <c r="D61" s="1120">
        <v>0.17219999999999999</v>
      </c>
      <c r="E61" s="1120">
        <f t="shared" si="16"/>
        <v>0.25829999999999997</v>
      </c>
      <c r="F61" s="909">
        <f t="shared" si="17"/>
        <v>6.2968201205726437E-4</v>
      </c>
      <c r="G61" s="1616">
        <f t="shared" si="18"/>
        <v>31798409.999999996</v>
      </c>
      <c r="H61" s="1131">
        <f t="shared" si="19"/>
        <v>31</v>
      </c>
      <c r="I61" s="1356">
        <f t="shared" si="15"/>
        <v>620709.49</v>
      </c>
    </row>
    <row r="62" spans="1:9" ht="13.5">
      <c r="A62" s="697">
        <v>5</v>
      </c>
      <c r="B62" s="1629">
        <v>44348</v>
      </c>
      <c r="C62" s="1629">
        <v>44377</v>
      </c>
      <c r="D62" s="1120">
        <v>0.1721</v>
      </c>
      <c r="E62" s="1120">
        <f t="shared" si="16"/>
        <v>0.25814999999999999</v>
      </c>
      <c r="F62" s="909">
        <f t="shared" si="17"/>
        <v>6.2935518846773952E-4</v>
      </c>
      <c r="G62" s="1616">
        <f t="shared" si="18"/>
        <v>31798409.999999996</v>
      </c>
      <c r="H62" s="1131">
        <f t="shared" si="19"/>
        <v>30</v>
      </c>
      <c r="I62" s="1356">
        <f t="shared" si="15"/>
        <v>600374.82999999996</v>
      </c>
    </row>
    <row r="63" spans="1:9" ht="13.5">
      <c r="A63" s="697">
        <v>6</v>
      </c>
      <c r="B63" s="1629">
        <v>44378</v>
      </c>
      <c r="C63" s="1629">
        <v>44408</v>
      </c>
      <c r="D63" s="1120">
        <v>0.17180000000000001</v>
      </c>
      <c r="E63" s="1120">
        <f t="shared" si="16"/>
        <v>0.25770000000000004</v>
      </c>
      <c r="F63" s="909">
        <f t="shared" si="17"/>
        <v>6.2837448450037137E-4</v>
      </c>
      <c r="G63" s="1616">
        <f t="shared" si="18"/>
        <v>31798409.999999996</v>
      </c>
      <c r="H63" s="1131">
        <f t="shared" si="19"/>
        <v>31</v>
      </c>
      <c r="I63" s="1356">
        <f t="shared" si="15"/>
        <v>619420.59</v>
      </c>
    </row>
    <row r="64" spans="1:9" ht="13.5">
      <c r="A64" s="697">
        <v>7</v>
      </c>
      <c r="B64" s="1629">
        <v>44409</v>
      </c>
      <c r="C64" s="1629">
        <v>44439</v>
      </c>
      <c r="D64" s="1120">
        <v>0.1724</v>
      </c>
      <c r="E64" s="1120">
        <f t="shared" si="16"/>
        <v>0.2586</v>
      </c>
      <c r="F64" s="909">
        <f t="shared" si="17"/>
        <v>6.3033554269220637E-4</v>
      </c>
      <c r="G64" s="1616">
        <f t="shared" si="18"/>
        <v>31798409.999999996</v>
      </c>
      <c r="H64" s="1131">
        <f t="shared" si="19"/>
        <v>31</v>
      </c>
      <c r="I64" s="1356">
        <f t="shared" si="15"/>
        <v>621353.71</v>
      </c>
    </row>
    <row r="65" spans="1:12" ht="13.5">
      <c r="A65" s="697">
        <v>8</v>
      </c>
      <c r="B65" s="1629">
        <v>44440</v>
      </c>
      <c r="C65" s="1629">
        <v>44469</v>
      </c>
      <c r="D65" s="1120">
        <v>0.1719</v>
      </c>
      <c r="E65" s="1120">
        <f t="shared" si="16"/>
        <v>0.25785000000000002</v>
      </c>
      <c r="F65" s="909">
        <f t="shared" si="17"/>
        <v>6.2870142469861889E-4</v>
      </c>
      <c r="G65" s="1616">
        <f t="shared" si="18"/>
        <v>31798409.999999996</v>
      </c>
      <c r="H65" s="1131">
        <f t="shared" si="19"/>
        <v>30</v>
      </c>
      <c r="I65" s="1356">
        <f t="shared" si="15"/>
        <v>599751.17000000004</v>
      </c>
    </row>
    <row r="66" spans="1:12" ht="13.5">
      <c r="A66" s="697">
        <v>9</v>
      </c>
      <c r="B66" s="1629">
        <v>44470</v>
      </c>
      <c r="C66" s="1629">
        <v>44500</v>
      </c>
      <c r="D66" s="1120">
        <v>0.17080000000000001</v>
      </c>
      <c r="E66" s="1120">
        <f t="shared" si="16"/>
        <v>0.25619999999999998</v>
      </c>
      <c r="F66" s="909">
        <f t="shared" si="17"/>
        <v>6.2510294214179751E-4</v>
      </c>
      <c r="G66" s="1616">
        <f t="shared" si="18"/>
        <v>31798409.999999996</v>
      </c>
      <c r="H66" s="1131">
        <f t="shared" si="19"/>
        <v>31</v>
      </c>
      <c r="I66" s="1356">
        <f t="shared" si="15"/>
        <v>616195.67000000004</v>
      </c>
    </row>
    <row r="67" spans="1:12" ht="13.5">
      <c r="A67" s="697">
        <v>10</v>
      </c>
      <c r="B67" s="1629">
        <v>44501</v>
      </c>
      <c r="C67" s="1629">
        <v>44530</v>
      </c>
      <c r="D67" s="1120">
        <v>0.17269999999999999</v>
      </c>
      <c r="E67" s="1120">
        <f t="shared" si="16"/>
        <v>0.25905</v>
      </c>
      <c r="F67" s="909">
        <f t="shared" si="17"/>
        <v>6.3131554742335005E-4</v>
      </c>
      <c r="G67" s="1616">
        <f t="shared" si="18"/>
        <v>31798409.999999996</v>
      </c>
      <c r="H67" s="1131">
        <f t="shared" si="19"/>
        <v>30</v>
      </c>
      <c r="I67" s="1356">
        <f t="shared" si="15"/>
        <v>602244.92000000004</v>
      </c>
    </row>
    <row r="68" spans="1:12" ht="13.5">
      <c r="A68" s="697">
        <v>11</v>
      </c>
      <c r="B68" s="1629">
        <v>44531</v>
      </c>
      <c r="C68" s="1629">
        <v>44561</v>
      </c>
      <c r="D68" s="1120">
        <v>0.17460000000000001</v>
      </c>
      <c r="E68" s="1120">
        <f t="shared" si="16"/>
        <v>0.26190000000000002</v>
      </c>
      <c r="F68" s="909">
        <f t="shared" si="17"/>
        <v>6.3751414410861962E-4</v>
      </c>
      <c r="G68" s="1616">
        <f t="shared" si="18"/>
        <v>31798409.999999996</v>
      </c>
      <c r="H68" s="1131">
        <f t="shared" si="19"/>
        <v>31</v>
      </c>
      <c r="I68" s="1356">
        <f t="shared" si="15"/>
        <v>628430.02</v>
      </c>
    </row>
    <row r="69" spans="1:12" ht="13.5">
      <c r="A69" s="697">
        <v>12</v>
      </c>
      <c r="B69" s="1629">
        <v>44562</v>
      </c>
      <c r="C69" s="1629">
        <v>44592</v>
      </c>
      <c r="D69" s="1120">
        <v>0.17660000000000001</v>
      </c>
      <c r="E69" s="1120">
        <f t="shared" si="16"/>
        <v>0.26490000000000002</v>
      </c>
      <c r="F69" s="909">
        <f t="shared" si="17"/>
        <v>6.4402391816376081E-4</v>
      </c>
      <c r="G69" s="1616">
        <f t="shared" si="18"/>
        <v>31798409.999999996</v>
      </c>
      <c r="H69" s="1131">
        <f t="shared" si="19"/>
        <v>31</v>
      </c>
      <c r="I69" s="1356">
        <f t="shared" si="15"/>
        <v>634847.03</v>
      </c>
    </row>
    <row r="70" spans="1:12" ht="13.5">
      <c r="A70" s="697">
        <v>13</v>
      </c>
      <c r="B70" s="1629">
        <v>44593</v>
      </c>
      <c r="C70" s="1629">
        <v>44620</v>
      </c>
      <c r="D70" s="1120">
        <v>0.183</v>
      </c>
      <c r="E70" s="1120">
        <f t="shared" si="16"/>
        <v>0.27449999999999997</v>
      </c>
      <c r="F70" s="909">
        <f t="shared" si="17"/>
        <v>6.6475220558892545E-4</v>
      </c>
      <c r="G70" s="1616">
        <f t="shared" si="18"/>
        <v>31798409.999999996</v>
      </c>
      <c r="H70" s="1131">
        <f t="shared" si="19"/>
        <v>28</v>
      </c>
      <c r="I70" s="1356">
        <f t="shared" si="15"/>
        <v>591865.77</v>
      </c>
    </row>
    <row r="71" spans="1:12" ht="13.5">
      <c r="A71" s="697">
        <v>14</v>
      </c>
      <c r="B71" s="1629">
        <v>44621</v>
      </c>
      <c r="C71" s="1629">
        <v>44651</v>
      </c>
      <c r="D71" s="1120">
        <v>0.1847</v>
      </c>
      <c r="E71" s="1120">
        <f t="shared" ref="E71:E78" si="20">+D71*1.5</f>
        <v>0.27705000000000002</v>
      </c>
      <c r="F71" s="909">
        <f t="shared" ref="F71:F78" si="21">((1+E71)^(1/365)-1)</f>
        <v>6.7023198611315671E-4</v>
      </c>
      <c r="G71" s="1616">
        <f t="shared" si="18"/>
        <v>31798409.999999996</v>
      </c>
      <c r="H71" s="1131">
        <f t="shared" ref="H71:H78" si="22">_xlfn.DAYS(C71,B71)+1</f>
        <v>31</v>
      </c>
      <c r="I71" s="1356">
        <f t="shared" si="15"/>
        <v>660681.66</v>
      </c>
    </row>
    <row r="72" spans="1:12" ht="13.5">
      <c r="A72" s="697">
        <v>15</v>
      </c>
      <c r="B72" s="1629">
        <v>44652</v>
      </c>
      <c r="C72" s="1629">
        <v>44681</v>
      </c>
      <c r="D72" s="1120">
        <v>0.1905</v>
      </c>
      <c r="E72" s="1120">
        <f t="shared" si="20"/>
        <v>0.28575</v>
      </c>
      <c r="F72" s="909">
        <f t="shared" si="21"/>
        <v>6.8884592812357148E-4</v>
      </c>
      <c r="G72" s="1616">
        <f t="shared" si="18"/>
        <v>31798409.999999996</v>
      </c>
      <c r="H72" s="1131">
        <f t="shared" si="22"/>
        <v>30</v>
      </c>
      <c r="I72" s="1356">
        <f t="shared" si="15"/>
        <v>657126.16</v>
      </c>
      <c r="L72" s="8">
        <f>6600000*7</f>
        <v>46200000</v>
      </c>
    </row>
    <row r="73" spans="1:12" ht="13.5">
      <c r="A73" s="697">
        <v>16</v>
      </c>
      <c r="B73" s="1629">
        <v>44682</v>
      </c>
      <c r="C73" s="1629">
        <v>44712</v>
      </c>
      <c r="D73" s="1120">
        <v>0.1971</v>
      </c>
      <c r="E73" s="1120">
        <f t="shared" si="20"/>
        <v>0.29564999999999997</v>
      </c>
      <c r="F73" s="909">
        <f t="shared" si="21"/>
        <v>7.0987512909947981E-4</v>
      </c>
      <c r="G73" s="1616">
        <f t="shared" si="18"/>
        <v>31798409.999999996</v>
      </c>
      <c r="H73" s="1131">
        <f t="shared" si="22"/>
        <v>31</v>
      </c>
      <c r="I73" s="1356">
        <f t="shared" si="15"/>
        <v>699759.91</v>
      </c>
    </row>
    <row r="74" spans="1:12" ht="13.5">
      <c r="A74" s="697">
        <v>17</v>
      </c>
      <c r="B74" s="1629">
        <v>44713</v>
      </c>
      <c r="C74" s="1629">
        <v>44742</v>
      </c>
      <c r="D74" s="1120">
        <v>0.20399999999999999</v>
      </c>
      <c r="E74" s="1120">
        <f t="shared" si="20"/>
        <v>0.30599999999999999</v>
      </c>
      <c r="F74" s="909">
        <f t="shared" si="21"/>
        <v>7.3168955664093538E-4</v>
      </c>
      <c r="G74" s="1616">
        <f t="shared" si="18"/>
        <v>31798409.999999996</v>
      </c>
      <c r="H74" s="1131">
        <f t="shared" si="22"/>
        <v>30</v>
      </c>
      <c r="I74" s="1356">
        <f t="shared" si="15"/>
        <v>697996.94</v>
      </c>
      <c r="L74" s="8">
        <f>550000*2</f>
        <v>1100000</v>
      </c>
    </row>
    <row r="75" spans="1:12" ht="13.5">
      <c r="A75" s="697">
        <v>18</v>
      </c>
      <c r="B75" s="1629">
        <v>44743</v>
      </c>
      <c r="C75" s="1629">
        <v>44773</v>
      </c>
      <c r="D75" s="1120">
        <v>0.21279999999999999</v>
      </c>
      <c r="E75" s="1120">
        <f t="shared" si="20"/>
        <v>0.31919999999999998</v>
      </c>
      <c r="F75" s="909">
        <f t="shared" si="21"/>
        <v>7.5926204501630679E-4</v>
      </c>
      <c r="G75" s="1616">
        <f t="shared" si="18"/>
        <v>31798409.999999996</v>
      </c>
      <c r="H75" s="1131">
        <f t="shared" si="22"/>
        <v>31</v>
      </c>
      <c r="I75" s="1356">
        <f t="shared" si="15"/>
        <v>748443.1</v>
      </c>
      <c r="L75" s="8">
        <f>+L74*7</f>
        <v>7700000</v>
      </c>
    </row>
    <row r="76" spans="1:12" ht="13.5">
      <c r="A76" s="697">
        <v>19</v>
      </c>
      <c r="B76" s="1629">
        <v>44774</v>
      </c>
      <c r="C76" s="1629">
        <v>44804</v>
      </c>
      <c r="D76" s="1120">
        <v>0.22209999999999999</v>
      </c>
      <c r="E76" s="1120">
        <f t="shared" si="20"/>
        <v>0.33315</v>
      </c>
      <c r="F76" s="909">
        <f t="shared" si="21"/>
        <v>7.8810371394433254E-4</v>
      </c>
      <c r="G76" s="1616">
        <f t="shared" si="18"/>
        <v>31798409.999999996</v>
      </c>
      <c r="H76" s="1131">
        <f t="shared" si="22"/>
        <v>31</v>
      </c>
      <c r="I76" s="1356">
        <f t="shared" si="15"/>
        <v>776873.8</v>
      </c>
      <c r="L76" s="8"/>
    </row>
    <row r="77" spans="1:12" ht="13.5">
      <c r="A77" s="697">
        <v>20</v>
      </c>
      <c r="B77" s="1629">
        <v>44805</v>
      </c>
      <c r="C77" s="1629">
        <v>44834</v>
      </c>
      <c r="D77" s="1120">
        <v>0.23499999999999999</v>
      </c>
      <c r="E77" s="1120">
        <f t="shared" si="20"/>
        <v>0.35249999999999998</v>
      </c>
      <c r="F77" s="909">
        <f t="shared" si="21"/>
        <v>8.2761552252574866E-4</v>
      </c>
      <c r="G77" s="1616">
        <f t="shared" si="18"/>
        <v>31798409.999999996</v>
      </c>
      <c r="H77" s="1131">
        <f t="shared" si="22"/>
        <v>30</v>
      </c>
      <c r="I77" s="1356">
        <f t="shared" si="15"/>
        <v>789505.73</v>
      </c>
      <c r="L77" s="8"/>
    </row>
    <row r="78" spans="1:12" ht="13.5">
      <c r="A78" s="697">
        <v>21</v>
      </c>
      <c r="B78" s="1629">
        <v>44835</v>
      </c>
      <c r="C78" s="1629">
        <v>44865</v>
      </c>
      <c r="D78" s="1120">
        <v>0.24610000000000001</v>
      </c>
      <c r="E78" s="1120">
        <f t="shared" si="20"/>
        <v>0.36915000000000003</v>
      </c>
      <c r="F78" s="909">
        <f t="shared" si="21"/>
        <v>8.611654102768096E-4</v>
      </c>
      <c r="G78" s="1616">
        <f t="shared" si="18"/>
        <v>31798409.999999996</v>
      </c>
      <c r="H78" s="1131">
        <f t="shared" si="22"/>
        <v>31</v>
      </c>
      <c r="I78" s="1356">
        <f>ROUND(F78*G78*H78,2)</f>
        <v>848894.41</v>
      </c>
    </row>
    <row r="79" spans="1:12" ht="13.5">
      <c r="A79" s="697">
        <v>22</v>
      </c>
      <c r="B79" s="1629">
        <v>44866</v>
      </c>
      <c r="C79" s="1629">
        <v>44895</v>
      </c>
      <c r="D79" s="1120">
        <v>0.25779999999999997</v>
      </c>
      <c r="E79" s="1120">
        <f t="shared" ref="E79:E81" si="23">+D79*1.5</f>
        <v>0.38669999999999993</v>
      </c>
      <c r="F79" s="909">
        <f t="shared" ref="F79:F81" si="24">((1+E79)^(1/365)-1)</f>
        <v>8.9609117817124329E-4</v>
      </c>
      <c r="G79" s="1616">
        <f t="shared" si="18"/>
        <v>31798409.999999996</v>
      </c>
      <c r="H79" s="1131">
        <f t="shared" ref="H79:H81" si="25">_xlfn.DAYS(C79,B79)+1</f>
        <v>30</v>
      </c>
      <c r="I79" s="1356">
        <f t="shared" ref="I79" si="26">ROUND(F79*G79*H79,2)</f>
        <v>854828.24</v>
      </c>
    </row>
    <row r="80" spans="1:12" ht="13.5">
      <c r="A80" s="697">
        <v>23</v>
      </c>
      <c r="B80" s="1629">
        <v>44896</v>
      </c>
      <c r="C80" s="1629">
        <v>44926</v>
      </c>
      <c r="D80" s="1120">
        <v>0.27639999999999998</v>
      </c>
      <c r="E80" s="1120">
        <f t="shared" si="23"/>
        <v>0.41459999999999997</v>
      </c>
      <c r="F80" s="909">
        <f t="shared" si="24"/>
        <v>9.5071686592063109E-4</v>
      </c>
      <c r="G80" s="1616">
        <f t="shared" si="18"/>
        <v>31798409.999999996</v>
      </c>
      <c r="H80" s="1131">
        <f t="shared" si="25"/>
        <v>31</v>
      </c>
      <c r="I80" s="1356">
        <f>ROUND(F80*G80*H80,2)</f>
        <v>937169.83</v>
      </c>
    </row>
    <row r="81" spans="1:9" ht="13.5">
      <c r="A81" s="697">
        <v>24</v>
      </c>
      <c r="B81" s="1629">
        <v>44927</v>
      </c>
      <c r="C81" s="1629">
        <v>44957</v>
      </c>
      <c r="D81" s="1120">
        <v>0.28839999999999999</v>
      </c>
      <c r="E81" s="1120">
        <f t="shared" si="23"/>
        <v>0.43259999999999998</v>
      </c>
      <c r="F81" s="909">
        <f t="shared" si="24"/>
        <v>9.8539196132163553E-4</v>
      </c>
      <c r="G81" s="1616">
        <f t="shared" si="18"/>
        <v>31798409.999999996</v>
      </c>
      <c r="H81" s="1131">
        <f t="shared" si="25"/>
        <v>31</v>
      </c>
      <c r="I81" s="1356">
        <f>ROUND(F81*G81*H81,2)</f>
        <v>971350.83</v>
      </c>
    </row>
    <row r="82" spans="1:9" ht="13.5">
      <c r="A82" s="697">
        <v>25</v>
      </c>
      <c r="B82" s="1629">
        <v>44958</v>
      </c>
      <c r="C82" s="1629">
        <v>44985</v>
      </c>
      <c r="D82" s="1120">
        <v>0.30180000000000001</v>
      </c>
      <c r="E82" s="1120">
        <f t="shared" ref="E82:E84" si="27">+D82*1.5</f>
        <v>0.45269999999999999</v>
      </c>
      <c r="F82" s="909">
        <f t="shared" ref="F82:F84" si="28">((1+E82)^(1/365)-1)</f>
        <v>1.0236026853662761E-3</v>
      </c>
      <c r="G82" s="1616">
        <f t="shared" si="18"/>
        <v>31798409.999999996</v>
      </c>
      <c r="H82" s="1131">
        <f t="shared" ref="H82:H84" si="29">_xlfn.DAYS(C82,B82)+1</f>
        <v>28</v>
      </c>
      <c r="I82" s="1356">
        <f t="shared" ref="I82" si="30">ROUND(F82*G82*H82,2)</f>
        <v>911370.26</v>
      </c>
    </row>
    <row r="83" spans="1:9" ht="13.5">
      <c r="A83" s="697">
        <v>26</v>
      </c>
      <c r="B83" s="1629">
        <v>44986</v>
      </c>
      <c r="C83" s="1629">
        <v>45016</v>
      </c>
      <c r="D83" s="1120">
        <v>0.30840000000000001</v>
      </c>
      <c r="E83" s="1120">
        <f t="shared" si="27"/>
        <v>0.46260000000000001</v>
      </c>
      <c r="F83" s="909">
        <f t="shared" si="28"/>
        <v>1.0422295217955568E-3</v>
      </c>
      <c r="G83" s="1616">
        <f t="shared" si="18"/>
        <v>31798409.999999996</v>
      </c>
      <c r="H83" s="1131">
        <f t="shared" si="29"/>
        <v>31</v>
      </c>
      <c r="I83" s="1356">
        <f>ROUND(F83*G83*H83,2)</f>
        <v>1027378.49</v>
      </c>
    </row>
    <row r="84" spans="1:9" ht="13.5">
      <c r="A84" s="697">
        <v>27</v>
      </c>
      <c r="B84" s="1629">
        <v>45017</v>
      </c>
      <c r="C84" s="1629">
        <v>45046</v>
      </c>
      <c r="D84" s="1120">
        <v>0.31390000000000001</v>
      </c>
      <c r="E84" s="1120">
        <f t="shared" si="27"/>
        <v>0.47084999999999999</v>
      </c>
      <c r="F84" s="909">
        <f t="shared" si="28"/>
        <v>1.0576560884423269E-3</v>
      </c>
      <c r="G84" s="1616">
        <f t="shared" si="18"/>
        <v>31798409.999999996</v>
      </c>
      <c r="H84" s="1131">
        <f t="shared" si="29"/>
        <v>30</v>
      </c>
      <c r="I84" s="1356">
        <f>ROUND(F84*G84*H84,2)</f>
        <v>1008953.46</v>
      </c>
    </row>
    <row r="85" spans="1:9" ht="13.5">
      <c r="A85" s="697"/>
      <c r="B85" s="697"/>
      <c r="C85" s="697"/>
      <c r="D85" s="697"/>
      <c r="E85" s="697"/>
      <c r="F85" s="697"/>
      <c r="G85" s="2833" t="s">
        <v>61</v>
      </c>
      <c r="H85" s="2834"/>
      <c r="I85" s="1356">
        <f>SUM(I58:I84)</f>
        <v>19159388.260000002</v>
      </c>
    </row>
    <row r="87" spans="1:9" ht="16.5">
      <c r="A87" s="697"/>
      <c r="B87" s="1632" t="s">
        <v>121</v>
      </c>
      <c r="C87" s="1645" t="s">
        <v>1754</v>
      </c>
      <c r="D87" s="697"/>
      <c r="E87" s="697"/>
      <c r="F87" s="697"/>
      <c r="G87" s="697"/>
      <c r="H87" s="697"/>
      <c r="I87" s="697"/>
    </row>
    <row r="88" spans="1:9">
      <c r="A88" s="702" t="s">
        <v>254</v>
      </c>
      <c r="B88" s="2794" t="s">
        <v>957</v>
      </c>
      <c r="C88" s="2795"/>
      <c r="D88" s="2795"/>
      <c r="E88" s="2795"/>
      <c r="F88" s="2795"/>
      <c r="G88" s="2795"/>
      <c r="H88" s="2795"/>
      <c r="I88" s="2795"/>
    </row>
    <row r="89" spans="1:9" ht="27">
      <c r="A89" s="702"/>
      <c r="B89" s="970" t="s">
        <v>206</v>
      </c>
      <c r="C89" s="970" t="s">
        <v>10</v>
      </c>
      <c r="D89" s="699" t="s">
        <v>148</v>
      </c>
      <c r="E89" s="700" t="s">
        <v>149</v>
      </c>
      <c r="F89" s="699" t="s">
        <v>43</v>
      </c>
      <c r="G89" s="1642" t="s">
        <v>129</v>
      </c>
      <c r="H89" s="1643" t="s">
        <v>47</v>
      </c>
      <c r="I89" s="1642" t="s">
        <v>48</v>
      </c>
    </row>
    <row r="90" spans="1:9" ht="13.5">
      <c r="A90" s="697">
        <v>1</v>
      </c>
      <c r="B90" s="1629">
        <v>44246</v>
      </c>
      <c r="C90" s="1629">
        <v>44255</v>
      </c>
      <c r="D90" s="1120">
        <v>0.1754</v>
      </c>
      <c r="E90" s="1120">
        <f>+D90*1.5</f>
        <v>0.2631</v>
      </c>
      <c r="F90" s="909">
        <f>((1+E90)^(1/365)-1)</f>
        <v>6.4011990387169426E-4</v>
      </c>
      <c r="G90" s="1121">
        <f>+$E$16</f>
        <v>15899204.999999998</v>
      </c>
      <c r="H90" s="1131">
        <f>_xlfn.DAYS(C90,B90)+1</f>
        <v>10</v>
      </c>
      <c r="I90" s="1356">
        <f t="shared" ref="I90:I109" si="31">ROUND(F90*G90*H90,2)</f>
        <v>101773.98</v>
      </c>
    </row>
    <row r="91" spans="1:9" ht="13.5">
      <c r="A91" s="697">
        <v>2</v>
      </c>
      <c r="B91" s="1629">
        <v>44256</v>
      </c>
      <c r="C91" s="1629">
        <v>44286</v>
      </c>
      <c r="D91" s="1120">
        <v>0.1741</v>
      </c>
      <c r="E91" s="1120">
        <f t="shared" ref="E91:E102" si="32">+D91*1.5</f>
        <v>0.26114999999999999</v>
      </c>
      <c r="F91" s="909">
        <f t="shared" ref="F91:F102" si="33">((1+E91)^(1/365)-1)</f>
        <v>6.3588428907812578E-4</v>
      </c>
      <c r="G91" s="1121">
        <f t="shared" ref="G91:G116" si="34">+$E$16</f>
        <v>15899204.999999998</v>
      </c>
      <c r="H91" s="1131">
        <f t="shared" ref="H91:H102" si="35">_xlfn.DAYS(C91,B91)+1</f>
        <v>31</v>
      </c>
      <c r="I91" s="1356">
        <f t="shared" si="31"/>
        <v>313411.69</v>
      </c>
    </row>
    <row r="92" spans="1:9" ht="13.5">
      <c r="A92" s="697">
        <v>3</v>
      </c>
      <c r="B92" s="1629">
        <v>44287</v>
      </c>
      <c r="C92" s="1629">
        <v>44316</v>
      </c>
      <c r="D92" s="1120">
        <v>0.1731</v>
      </c>
      <c r="E92" s="1120">
        <f t="shared" si="32"/>
        <v>0.25964999999999999</v>
      </c>
      <c r="F92" s="909">
        <f t="shared" si="33"/>
        <v>6.326216771728177E-4</v>
      </c>
      <c r="G92" s="1121">
        <f t="shared" si="34"/>
        <v>15899204.999999998</v>
      </c>
      <c r="H92" s="1131">
        <f t="shared" si="35"/>
        <v>30</v>
      </c>
      <c r="I92" s="1356">
        <f t="shared" si="31"/>
        <v>301745.45</v>
      </c>
    </row>
    <row r="93" spans="1:9" ht="13.5">
      <c r="A93" s="697">
        <v>4</v>
      </c>
      <c r="B93" s="1629">
        <v>44317</v>
      </c>
      <c r="C93" s="1629">
        <v>44347</v>
      </c>
      <c r="D93" s="1120">
        <v>0.17219999999999999</v>
      </c>
      <c r="E93" s="1120">
        <f t="shared" si="32"/>
        <v>0.25829999999999997</v>
      </c>
      <c r="F93" s="909">
        <f t="shared" si="33"/>
        <v>6.2968201205726437E-4</v>
      </c>
      <c r="G93" s="1121">
        <f t="shared" si="34"/>
        <v>15899204.999999998</v>
      </c>
      <c r="H93" s="1131">
        <f t="shared" si="35"/>
        <v>31</v>
      </c>
      <c r="I93" s="1356">
        <f t="shared" si="31"/>
        <v>310354.75</v>
      </c>
    </row>
    <row r="94" spans="1:9" ht="13.5">
      <c r="A94" s="697">
        <v>5</v>
      </c>
      <c r="B94" s="1629">
        <v>44348</v>
      </c>
      <c r="C94" s="1629">
        <v>44377</v>
      </c>
      <c r="D94" s="1120">
        <v>0.1721</v>
      </c>
      <c r="E94" s="1120">
        <f t="shared" si="32"/>
        <v>0.25814999999999999</v>
      </c>
      <c r="F94" s="909">
        <f t="shared" si="33"/>
        <v>6.2935518846773952E-4</v>
      </c>
      <c r="G94" s="1121">
        <f t="shared" si="34"/>
        <v>15899204.999999998</v>
      </c>
      <c r="H94" s="1131">
        <f t="shared" si="35"/>
        <v>30</v>
      </c>
      <c r="I94" s="1356">
        <f t="shared" si="31"/>
        <v>300187.40999999997</v>
      </c>
    </row>
    <row r="95" spans="1:9" ht="13.5">
      <c r="A95" s="697">
        <v>6</v>
      </c>
      <c r="B95" s="1629">
        <v>44378</v>
      </c>
      <c r="C95" s="1629">
        <v>44408</v>
      </c>
      <c r="D95" s="1120">
        <v>0.17180000000000001</v>
      </c>
      <c r="E95" s="1120">
        <f t="shared" si="32"/>
        <v>0.25770000000000004</v>
      </c>
      <c r="F95" s="909">
        <f t="shared" si="33"/>
        <v>6.2837448450037137E-4</v>
      </c>
      <c r="G95" s="1121">
        <f t="shared" si="34"/>
        <v>15899204.999999998</v>
      </c>
      <c r="H95" s="1131">
        <f t="shared" si="35"/>
        <v>31</v>
      </c>
      <c r="I95" s="1356">
        <f t="shared" si="31"/>
        <v>309710.3</v>
      </c>
    </row>
    <row r="96" spans="1:9" ht="13.5">
      <c r="A96" s="697">
        <v>7</v>
      </c>
      <c r="B96" s="1629">
        <v>44409</v>
      </c>
      <c r="C96" s="1629">
        <v>44439</v>
      </c>
      <c r="D96" s="1120">
        <v>0.1724</v>
      </c>
      <c r="E96" s="1120">
        <f t="shared" si="32"/>
        <v>0.2586</v>
      </c>
      <c r="F96" s="909">
        <f t="shared" si="33"/>
        <v>6.3033554269220637E-4</v>
      </c>
      <c r="G96" s="1121">
        <f t="shared" si="34"/>
        <v>15899204.999999998</v>
      </c>
      <c r="H96" s="1131">
        <f t="shared" si="35"/>
        <v>31</v>
      </c>
      <c r="I96" s="1356">
        <f t="shared" si="31"/>
        <v>310676.84999999998</v>
      </c>
    </row>
    <row r="97" spans="1:9" ht="13.5">
      <c r="A97" s="697">
        <v>8</v>
      </c>
      <c r="B97" s="1629">
        <v>44440</v>
      </c>
      <c r="C97" s="1629">
        <v>44469</v>
      </c>
      <c r="D97" s="1120">
        <v>0.1719</v>
      </c>
      <c r="E97" s="1120">
        <f t="shared" si="32"/>
        <v>0.25785000000000002</v>
      </c>
      <c r="F97" s="909">
        <f t="shared" si="33"/>
        <v>6.2870142469861889E-4</v>
      </c>
      <c r="G97" s="1121">
        <f t="shared" si="34"/>
        <v>15899204.999999998</v>
      </c>
      <c r="H97" s="1131">
        <f t="shared" si="35"/>
        <v>30</v>
      </c>
      <c r="I97" s="1356">
        <f t="shared" si="31"/>
        <v>299875.59000000003</v>
      </c>
    </row>
    <row r="98" spans="1:9" ht="13.5">
      <c r="A98" s="697">
        <v>9</v>
      </c>
      <c r="B98" s="1629">
        <v>44470</v>
      </c>
      <c r="C98" s="1629">
        <v>44500</v>
      </c>
      <c r="D98" s="1120">
        <v>0.17080000000000001</v>
      </c>
      <c r="E98" s="1120">
        <f t="shared" si="32"/>
        <v>0.25619999999999998</v>
      </c>
      <c r="F98" s="909">
        <f t="shared" si="33"/>
        <v>6.2510294214179751E-4</v>
      </c>
      <c r="G98" s="1121">
        <f t="shared" si="34"/>
        <v>15899204.999999998</v>
      </c>
      <c r="H98" s="1131">
        <f t="shared" si="35"/>
        <v>31</v>
      </c>
      <c r="I98" s="1356">
        <f t="shared" si="31"/>
        <v>308097.83</v>
      </c>
    </row>
    <row r="99" spans="1:9" ht="13.5">
      <c r="A99" s="697">
        <v>10</v>
      </c>
      <c r="B99" s="1629">
        <v>44501</v>
      </c>
      <c r="C99" s="1629">
        <v>44530</v>
      </c>
      <c r="D99" s="1120">
        <v>0.17269999999999999</v>
      </c>
      <c r="E99" s="1120">
        <f t="shared" si="32"/>
        <v>0.25905</v>
      </c>
      <c r="F99" s="909">
        <f t="shared" si="33"/>
        <v>6.3131554742335005E-4</v>
      </c>
      <c r="G99" s="1121">
        <f t="shared" si="34"/>
        <v>15899204.999999998</v>
      </c>
      <c r="H99" s="1131">
        <f t="shared" si="35"/>
        <v>30</v>
      </c>
      <c r="I99" s="1356">
        <f t="shared" si="31"/>
        <v>301122.46000000002</v>
      </c>
    </row>
    <row r="100" spans="1:9" ht="13.5">
      <c r="A100" s="697">
        <v>11</v>
      </c>
      <c r="B100" s="1629">
        <v>44531</v>
      </c>
      <c r="C100" s="1629">
        <v>44561</v>
      </c>
      <c r="D100" s="1120">
        <v>0.17460000000000001</v>
      </c>
      <c r="E100" s="1120">
        <f t="shared" si="32"/>
        <v>0.26190000000000002</v>
      </c>
      <c r="F100" s="909">
        <f t="shared" si="33"/>
        <v>6.3751414410861962E-4</v>
      </c>
      <c r="G100" s="1121">
        <f t="shared" si="34"/>
        <v>15899204.999999998</v>
      </c>
      <c r="H100" s="1131">
        <f t="shared" si="35"/>
        <v>31</v>
      </c>
      <c r="I100" s="1356">
        <f t="shared" si="31"/>
        <v>314215.01</v>
      </c>
    </row>
    <row r="101" spans="1:9" ht="13.5">
      <c r="A101" s="697">
        <v>12</v>
      </c>
      <c r="B101" s="1629">
        <v>44562</v>
      </c>
      <c r="C101" s="1629">
        <v>44592</v>
      </c>
      <c r="D101" s="1120">
        <v>0.17660000000000001</v>
      </c>
      <c r="E101" s="1120">
        <f t="shared" si="32"/>
        <v>0.26490000000000002</v>
      </c>
      <c r="F101" s="909">
        <f t="shared" si="33"/>
        <v>6.4402391816376081E-4</v>
      </c>
      <c r="G101" s="1121">
        <f t="shared" si="34"/>
        <v>15899204.999999998</v>
      </c>
      <c r="H101" s="1131">
        <f t="shared" si="35"/>
        <v>31</v>
      </c>
      <c r="I101" s="1356">
        <f t="shared" si="31"/>
        <v>317423.52</v>
      </c>
    </row>
    <row r="102" spans="1:9" ht="13.5">
      <c r="A102" s="697">
        <v>13</v>
      </c>
      <c r="B102" s="1629">
        <v>44593</v>
      </c>
      <c r="C102" s="1629">
        <v>44620</v>
      </c>
      <c r="D102" s="1120">
        <v>0.183</v>
      </c>
      <c r="E102" s="1120">
        <f t="shared" si="32"/>
        <v>0.27449999999999997</v>
      </c>
      <c r="F102" s="909">
        <f t="shared" si="33"/>
        <v>6.6475220558892545E-4</v>
      </c>
      <c r="G102" s="1121">
        <f t="shared" si="34"/>
        <v>15899204.999999998</v>
      </c>
      <c r="H102" s="1131">
        <f t="shared" si="35"/>
        <v>28</v>
      </c>
      <c r="I102" s="1356">
        <f t="shared" si="31"/>
        <v>295932.88</v>
      </c>
    </row>
    <row r="103" spans="1:9" ht="13.5">
      <c r="A103" s="697">
        <v>14</v>
      </c>
      <c r="B103" s="1629">
        <v>44621</v>
      </c>
      <c r="C103" s="1629">
        <v>44651</v>
      </c>
      <c r="D103" s="1120">
        <v>0.1847</v>
      </c>
      <c r="E103" s="1120">
        <f t="shared" ref="E103:E110" si="36">+D103*1.5</f>
        <v>0.27705000000000002</v>
      </c>
      <c r="F103" s="909">
        <f t="shared" ref="F103:F110" si="37">((1+E103)^(1/365)-1)</f>
        <v>6.7023198611315671E-4</v>
      </c>
      <c r="G103" s="1121">
        <f t="shared" si="34"/>
        <v>15899204.999999998</v>
      </c>
      <c r="H103" s="1131">
        <f t="shared" ref="H103:H110" si="38">_xlfn.DAYS(C103,B103)+1</f>
        <v>31</v>
      </c>
      <c r="I103" s="1356">
        <f t="shared" si="31"/>
        <v>330340.83</v>
      </c>
    </row>
    <row r="104" spans="1:9" ht="13.5">
      <c r="A104" s="697">
        <v>15</v>
      </c>
      <c r="B104" s="1629">
        <v>44652</v>
      </c>
      <c r="C104" s="1629">
        <v>44681</v>
      </c>
      <c r="D104" s="1120">
        <v>0.1905</v>
      </c>
      <c r="E104" s="1120">
        <f t="shared" si="36"/>
        <v>0.28575</v>
      </c>
      <c r="F104" s="909">
        <f t="shared" si="37"/>
        <v>6.8884592812357148E-4</v>
      </c>
      <c r="G104" s="1121">
        <f t="shared" si="34"/>
        <v>15899204.999999998</v>
      </c>
      <c r="H104" s="1131">
        <f t="shared" si="38"/>
        <v>30</v>
      </c>
      <c r="I104" s="1356">
        <f t="shared" si="31"/>
        <v>328563.08</v>
      </c>
    </row>
    <row r="105" spans="1:9" ht="13.5">
      <c r="A105" s="697">
        <v>16</v>
      </c>
      <c r="B105" s="1629">
        <v>44682</v>
      </c>
      <c r="C105" s="1629">
        <v>44712</v>
      </c>
      <c r="D105" s="1120">
        <v>0.1971</v>
      </c>
      <c r="E105" s="1120">
        <f t="shared" si="36"/>
        <v>0.29564999999999997</v>
      </c>
      <c r="F105" s="909">
        <f t="shared" si="37"/>
        <v>7.0987512909947981E-4</v>
      </c>
      <c r="G105" s="1121">
        <f t="shared" si="34"/>
        <v>15899204.999999998</v>
      </c>
      <c r="H105" s="1131">
        <f t="shared" si="38"/>
        <v>31</v>
      </c>
      <c r="I105" s="1356">
        <f t="shared" si="31"/>
        <v>349879.96</v>
      </c>
    </row>
    <row r="106" spans="1:9" ht="13.5">
      <c r="A106" s="697">
        <v>17</v>
      </c>
      <c r="B106" s="1629">
        <v>44713</v>
      </c>
      <c r="C106" s="1629">
        <v>44742</v>
      </c>
      <c r="D106" s="1120">
        <v>0.20399999999999999</v>
      </c>
      <c r="E106" s="1120">
        <f t="shared" si="36"/>
        <v>0.30599999999999999</v>
      </c>
      <c r="F106" s="909">
        <f t="shared" si="37"/>
        <v>7.3168955664093538E-4</v>
      </c>
      <c r="G106" s="1121">
        <f t="shared" si="34"/>
        <v>15899204.999999998</v>
      </c>
      <c r="H106" s="1131">
        <f t="shared" si="38"/>
        <v>30</v>
      </c>
      <c r="I106" s="1356">
        <f t="shared" si="31"/>
        <v>348998.47</v>
      </c>
    </row>
    <row r="107" spans="1:9" ht="13.5">
      <c r="A107" s="697">
        <v>18</v>
      </c>
      <c r="B107" s="1629">
        <v>44743</v>
      </c>
      <c r="C107" s="1629">
        <v>44773</v>
      </c>
      <c r="D107" s="1120">
        <v>0.21279999999999999</v>
      </c>
      <c r="E107" s="1120">
        <f t="shared" si="36"/>
        <v>0.31919999999999998</v>
      </c>
      <c r="F107" s="909">
        <f t="shared" si="37"/>
        <v>7.5926204501630679E-4</v>
      </c>
      <c r="G107" s="1121">
        <f t="shared" si="34"/>
        <v>15899204.999999998</v>
      </c>
      <c r="H107" s="1131">
        <f t="shared" si="38"/>
        <v>31</v>
      </c>
      <c r="I107" s="1356">
        <f t="shared" si="31"/>
        <v>374221.55</v>
      </c>
    </row>
    <row r="108" spans="1:9" ht="13.5">
      <c r="A108" s="697">
        <v>19</v>
      </c>
      <c r="B108" s="1629">
        <v>44774</v>
      </c>
      <c r="C108" s="1629">
        <v>44804</v>
      </c>
      <c r="D108" s="1120">
        <v>0.22209999999999999</v>
      </c>
      <c r="E108" s="1120">
        <f t="shared" si="36"/>
        <v>0.33315</v>
      </c>
      <c r="F108" s="909">
        <f t="shared" si="37"/>
        <v>7.8810371394433254E-4</v>
      </c>
      <c r="G108" s="1121">
        <f t="shared" si="34"/>
        <v>15899204.999999998</v>
      </c>
      <c r="H108" s="1131">
        <f t="shared" si="38"/>
        <v>31</v>
      </c>
      <c r="I108" s="1356">
        <f t="shared" si="31"/>
        <v>388436.9</v>
      </c>
    </row>
    <row r="109" spans="1:9" ht="13.5">
      <c r="A109" s="697">
        <v>20</v>
      </c>
      <c r="B109" s="1629">
        <v>44805</v>
      </c>
      <c r="C109" s="1629">
        <v>44834</v>
      </c>
      <c r="D109" s="1120">
        <v>0.23499999999999999</v>
      </c>
      <c r="E109" s="1120">
        <f t="shared" si="36"/>
        <v>0.35249999999999998</v>
      </c>
      <c r="F109" s="909">
        <f t="shared" si="37"/>
        <v>8.2761552252574866E-4</v>
      </c>
      <c r="G109" s="1121">
        <f t="shared" si="34"/>
        <v>15899204.999999998</v>
      </c>
      <c r="H109" s="1131">
        <f t="shared" si="38"/>
        <v>30</v>
      </c>
      <c r="I109" s="1356">
        <f t="shared" si="31"/>
        <v>394752.87</v>
      </c>
    </row>
    <row r="110" spans="1:9" ht="13.5">
      <c r="A110" s="697">
        <v>21</v>
      </c>
      <c r="B110" s="1629">
        <v>44835</v>
      </c>
      <c r="C110" s="1629">
        <v>44865</v>
      </c>
      <c r="D110" s="1120">
        <v>0.24610000000000001</v>
      </c>
      <c r="E110" s="1120">
        <f t="shared" si="36"/>
        <v>0.36915000000000003</v>
      </c>
      <c r="F110" s="909">
        <f t="shared" si="37"/>
        <v>8.611654102768096E-4</v>
      </c>
      <c r="G110" s="1121">
        <f t="shared" si="34"/>
        <v>15899204.999999998</v>
      </c>
      <c r="H110" s="1131">
        <f t="shared" si="38"/>
        <v>31</v>
      </c>
      <c r="I110" s="1356">
        <f>ROUND(F110*G110*H110,2)</f>
        <v>424447.21</v>
      </c>
    </row>
    <row r="111" spans="1:9" ht="13.5">
      <c r="A111" s="697">
        <v>22</v>
      </c>
      <c r="B111" s="1629">
        <v>44866</v>
      </c>
      <c r="C111" s="1629">
        <v>44895</v>
      </c>
      <c r="D111" s="1120">
        <v>0.25779999999999997</v>
      </c>
      <c r="E111" s="1120">
        <f t="shared" ref="E111:E112" si="39">+D111*1.5</f>
        <v>0.38669999999999993</v>
      </c>
      <c r="F111" s="909">
        <f t="shared" ref="F111:F112" si="40">((1+E111)^(1/365)-1)</f>
        <v>8.9609117817124329E-4</v>
      </c>
      <c r="G111" s="1121">
        <f t="shared" si="34"/>
        <v>15899204.999999998</v>
      </c>
      <c r="H111" s="1131">
        <f t="shared" ref="H111:H112" si="41">_xlfn.DAYS(C111,B111)+1</f>
        <v>30</v>
      </c>
      <c r="I111" s="1356">
        <f t="shared" ref="I111" si="42">ROUND(F111*G111*H111,2)</f>
        <v>427414.12</v>
      </c>
    </row>
    <row r="112" spans="1:9" ht="13.5">
      <c r="A112" s="697">
        <v>23</v>
      </c>
      <c r="B112" s="1629">
        <v>44896</v>
      </c>
      <c r="C112" s="1629">
        <v>44926</v>
      </c>
      <c r="D112" s="1120">
        <v>0.27639999999999998</v>
      </c>
      <c r="E112" s="1120">
        <f t="shared" si="39"/>
        <v>0.41459999999999997</v>
      </c>
      <c r="F112" s="909">
        <f t="shared" si="40"/>
        <v>9.5071686592063109E-4</v>
      </c>
      <c r="G112" s="1121">
        <f t="shared" si="34"/>
        <v>15899204.999999998</v>
      </c>
      <c r="H112" s="1131">
        <f t="shared" si="41"/>
        <v>31</v>
      </c>
      <c r="I112" s="1356">
        <f>ROUND(F112*G112*H112,2)</f>
        <v>468584.91</v>
      </c>
    </row>
    <row r="113" spans="1:9" ht="13.5">
      <c r="A113" s="697">
        <v>24</v>
      </c>
      <c r="B113" s="1629">
        <v>44927</v>
      </c>
      <c r="C113" s="1629">
        <v>44957</v>
      </c>
      <c r="D113" s="1120">
        <v>0.28839999999999999</v>
      </c>
      <c r="E113" s="1120">
        <f t="shared" ref="E113:E115" si="43">+D113*1.5</f>
        <v>0.43259999999999998</v>
      </c>
      <c r="F113" s="909">
        <f t="shared" ref="F113:F115" si="44">((1+E113)^(1/365)-1)</f>
        <v>9.8539196132163553E-4</v>
      </c>
      <c r="G113" s="1121">
        <f t="shared" si="34"/>
        <v>15899204.999999998</v>
      </c>
      <c r="H113" s="1131">
        <f t="shared" ref="H113:H115" si="45">_xlfn.DAYS(C113,B113)+1</f>
        <v>31</v>
      </c>
      <c r="I113" s="1356">
        <f t="shared" ref="I113:I114" si="46">ROUND(F113*G113*H113,2)</f>
        <v>485675.41</v>
      </c>
    </row>
    <row r="114" spans="1:9" ht="13.5">
      <c r="A114" s="697">
        <v>25</v>
      </c>
      <c r="B114" s="1629">
        <v>44958</v>
      </c>
      <c r="C114" s="1629">
        <v>44985</v>
      </c>
      <c r="D114" s="1120">
        <v>0.30180000000000001</v>
      </c>
      <c r="E114" s="1120">
        <f t="shared" si="43"/>
        <v>0.45269999999999999</v>
      </c>
      <c r="F114" s="909">
        <f t="shared" si="44"/>
        <v>1.0236026853662761E-3</v>
      </c>
      <c r="G114" s="1121">
        <f t="shared" si="34"/>
        <v>15899204.999999998</v>
      </c>
      <c r="H114" s="1131">
        <f t="shared" si="45"/>
        <v>28</v>
      </c>
      <c r="I114" s="1356">
        <f t="shared" si="46"/>
        <v>455685.13</v>
      </c>
    </row>
    <row r="115" spans="1:9" ht="13.5">
      <c r="A115" s="697">
        <v>26</v>
      </c>
      <c r="B115" s="1629">
        <v>44986</v>
      </c>
      <c r="C115" s="1629">
        <v>45016</v>
      </c>
      <c r="D115" s="1120">
        <v>0.30840000000000001</v>
      </c>
      <c r="E115" s="1120">
        <f t="shared" si="43"/>
        <v>0.46260000000000001</v>
      </c>
      <c r="F115" s="909">
        <f t="shared" si="44"/>
        <v>1.0422295217955568E-3</v>
      </c>
      <c r="G115" s="1121">
        <f t="shared" si="34"/>
        <v>15899204.999999998</v>
      </c>
      <c r="H115" s="1131">
        <f t="shared" si="45"/>
        <v>31</v>
      </c>
      <c r="I115" s="1356">
        <f>ROUND(F115*G115*H115,2)</f>
        <v>513689.25</v>
      </c>
    </row>
    <row r="116" spans="1:9" ht="13.5">
      <c r="A116" s="697">
        <v>27</v>
      </c>
      <c r="B116" s="1629">
        <v>45017</v>
      </c>
      <c r="C116" s="1629">
        <v>45046</v>
      </c>
      <c r="D116" s="1120">
        <v>0.31390000000000001</v>
      </c>
      <c r="E116" s="1120">
        <f t="shared" ref="E116" si="47">+D116*1.5</f>
        <v>0.47084999999999999</v>
      </c>
      <c r="F116" s="909">
        <f t="shared" ref="F116" si="48">((1+E116)^(1/365)-1)</f>
        <v>1.0576560884423269E-3</v>
      </c>
      <c r="G116" s="1121">
        <f t="shared" si="34"/>
        <v>15899204.999999998</v>
      </c>
      <c r="H116" s="1131">
        <f t="shared" ref="H116" si="49">_xlfn.DAYS(C116,B116)+1</f>
        <v>30</v>
      </c>
      <c r="I116" s="1356">
        <f t="shared" ref="I116" si="50">ROUND(F116*G116*H116,2)</f>
        <v>504476.73</v>
      </c>
    </row>
    <row r="117" spans="1:9" ht="13.5">
      <c r="A117" s="697"/>
      <c r="B117" s="697"/>
      <c r="C117" s="697"/>
      <c r="D117" s="697"/>
      <c r="E117" s="697"/>
      <c r="F117" s="697"/>
      <c r="G117" s="2833" t="s">
        <v>61</v>
      </c>
      <c r="H117" s="2834"/>
      <c r="I117" s="1356">
        <f>SUM(I90:I116)</f>
        <v>9579694.1400000006</v>
      </c>
    </row>
    <row r="120" spans="1:9" ht="16.5">
      <c r="A120" s="697"/>
      <c r="B120" s="1632" t="s">
        <v>121</v>
      </c>
      <c r="C120" s="1645" t="s">
        <v>1755</v>
      </c>
      <c r="D120" s="697"/>
      <c r="E120" s="697"/>
      <c r="F120" s="697"/>
      <c r="G120" s="697"/>
      <c r="H120" s="697"/>
      <c r="I120" s="697"/>
    </row>
    <row r="121" spans="1:9">
      <c r="A121" s="702" t="s">
        <v>254</v>
      </c>
      <c r="B121" s="2794" t="s">
        <v>957</v>
      </c>
      <c r="C121" s="2795"/>
      <c r="D121" s="2795"/>
      <c r="E121" s="2795"/>
      <c r="F121" s="2795"/>
      <c r="G121" s="2795"/>
      <c r="H121" s="2795"/>
      <c r="I121" s="2795"/>
    </row>
    <row r="122" spans="1:9" ht="27">
      <c r="A122" s="702"/>
      <c r="B122" s="970" t="s">
        <v>206</v>
      </c>
      <c r="C122" s="970" t="s">
        <v>10</v>
      </c>
      <c r="D122" s="699" t="s">
        <v>148</v>
      </c>
      <c r="E122" s="700" t="s">
        <v>149</v>
      </c>
      <c r="F122" s="699" t="s">
        <v>43</v>
      </c>
      <c r="G122" s="1642" t="s">
        <v>129</v>
      </c>
      <c r="H122" s="1643" t="s">
        <v>47</v>
      </c>
      <c r="I122" s="1642" t="s">
        <v>48</v>
      </c>
    </row>
    <row r="123" spans="1:9" ht="13.5">
      <c r="A123" s="697">
        <v>1</v>
      </c>
      <c r="B123" s="1629">
        <v>44246</v>
      </c>
      <c r="C123" s="1629">
        <v>44255</v>
      </c>
      <c r="D123" s="1120">
        <v>0.1754</v>
      </c>
      <c r="E123" s="1120">
        <f>+D123*1.5</f>
        <v>0.2631</v>
      </c>
      <c r="F123" s="909">
        <f>((1+E123)^(1/365)-1)</f>
        <v>6.4011990387169426E-4</v>
      </c>
      <c r="G123" s="1121">
        <f>+$E$17</f>
        <v>15899204.999999998</v>
      </c>
      <c r="H123" s="1131">
        <f>_xlfn.DAYS(C123,B123)+1</f>
        <v>10</v>
      </c>
      <c r="I123" s="1356">
        <f t="shared" ref="I123:I142" si="51">ROUND(F123*G123*H123,2)</f>
        <v>101773.98</v>
      </c>
    </row>
    <row r="124" spans="1:9" ht="13.5">
      <c r="A124" s="697">
        <v>2</v>
      </c>
      <c r="B124" s="1629">
        <v>44256</v>
      </c>
      <c r="C124" s="1629">
        <v>44286</v>
      </c>
      <c r="D124" s="1120">
        <v>0.1741</v>
      </c>
      <c r="E124" s="1120">
        <f t="shared" ref="E124:E135" si="52">+D124*1.5</f>
        <v>0.26114999999999999</v>
      </c>
      <c r="F124" s="909">
        <f t="shared" ref="F124:F135" si="53">((1+E124)^(1/365)-1)</f>
        <v>6.3588428907812578E-4</v>
      </c>
      <c r="G124" s="1121">
        <f t="shared" ref="G124:G149" si="54">+$E$17</f>
        <v>15899204.999999998</v>
      </c>
      <c r="H124" s="1131">
        <f t="shared" ref="H124:H135" si="55">_xlfn.DAYS(C124,B124)+1</f>
        <v>31</v>
      </c>
      <c r="I124" s="1356">
        <f t="shared" si="51"/>
        <v>313411.69</v>
      </c>
    </row>
    <row r="125" spans="1:9" ht="13.5">
      <c r="A125" s="697">
        <v>3</v>
      </c>
      <c r="B125" s="1629">
        <v>44287</v>
      </c>
      <c r="C125" s="1629">
        <v>44316</v>
      </c>
      <c r="D125" s="1120">
        <v>0.1731</v>
      </c>
      <c r="E125" s="1120">
        <f t="shared" si="52"/>
        <v>0.25964999999999999</v>
      </c>
      <c r="F125" s="909">
        <f t="shared" si="53"/>
        <v>6.326216771728177E-4</v>
      </c>
      <c r="G125" s="1121">
        <f t="shared" si="54"/>
        <v>15899204.999999998</v>
      </c>
      <c r="H125" s="1131">
        <f t="shared" si="55"/>
        <v>30</v>
      </c>
      <c r="I125" s="1356">
        <f t="shared" si="51"/>
        <v>301745.45</v>
      </c>
    </row>
    <row r="126" spans="1:9" ht="13.5">
      <c r="A126" s="697">
        <v>4</v>
      </c>
      <c r="B126" s="1629">
        <v>44317</v>
      </c>
      <c r="C126" s="1629">
        <v>44347</v>
      </c>
      <c r="D126" s="1120">
        <v>0.17219999999999999</v>
      </c>
      <c r="E126" s="1120">
        <f t="shared" si="52"/>
        <v>0.25829999999999997</v>
      </c>
      <c r="F126" s="909">
        <f t="shared" si="53"/>
        <v>6.2968201205726437E-4</v>
      </c>
      <c r="G126" s="1121">
        <f t="shared" si="54"/>
        <v>15899204.999999998</v>
      </c>
      <c r="H126" s="1131">
        <f t="shared" si="55"/>
        <v>31</v>
      </c>
      <c r="I126" s="1356">
        <f t="shared" si="51"/>
        <v>310354.75</v>
      </c>
    </row>
    <row r="127" spans="1:9" ht="13.5">
      <c r="A127" s="697">
        <v>5</v>
      </c>
      <c r="B127" s="1629">
        <v>44348</v>
      </c>
      <c r="C127" s="1629">
        <v>44377</v>
      </c>
      <c r="D127" s="1120">
        <v>0.1721</v>
      </c>
      <c r="E127" s="1120">
        <f t="shared" si="52"/>
        <v>0.25814999999999999</v>
      </c>
      <c r="F127" s="909">
        <f t="shared" si="53"/>
        <v>6.2935518846773952E-4</v>
      </c>
      <c r="G127" s="1121">
        <f t="shared" si="54"/>
        <v>15899204.999999998</v>
      </c>
      <c r="H127" s="1131">
        <f t="shared" si="55"/>
        <v>30</v>
      </c>
      <c r="I127" s="1356">
        <f t="shared" si="51"/>
        <v>300187.40999999997</v>
      </c>
    </row>
    <row r="128" spans="1:9" ht="13.5">
      <c r="A128" s="697">
        <v>6</v>
      </c>
      <c r="B128" s="1629">
        <v>44378</v>
      </c>
      <c r="C128" s="1629">
        <v>44408</v>
      </c>
      <c r="D128" s="1120">
        <v>0.17180000000000001</v>
      </c>
      <c r="E128" s="1120">
        <f t="shared" si="52"/>
        <v>0.25770000000000004</v>
      </c>
      <c r="F128" s="909">
        <f t="shared" si="53"/>
        <v>6.2837448450037137E-4</v>
      </c>
      <c r="G128" s="1121">
        <f t="shared" si="54"/>
        <v>15899204.999999998</v>
      </c>
      <c r="H128" s="1131">
        <f t="shared" si="55"/>
        <v>31</v>
      </c>
      <c r="I128" s="1356">
        <f t="shared" si="51"/>
        <v>309710.3</v>
      </c>
    </row>
    <row r="129" spans="1:9" ht="13.5">
      <c r="A129" s="697">
        <v>7</v>
      </c>
      <c r="B129" s="1629">
        <v>44409</v>
      </c>
      <c r="C129" s="1629">
        <v>44439</v>
      </c>
      <c r="D129" s="1120">
        <v>0.1724</v>
      </c>
      <c r="E129" s="1120">
        <f t="shared" si="52"/>
        <v>0.2586</v>
      </c>
      <c r="F129" s="909">
        <f t="shared" si="53"/>
        <v>6.3033554269220637E-4</v>
      </c>
      <c r="G129" s="1121">
        <f t="shared" si="54"/>
        <v>15899204.999999998</v>
      </c>
      <c r="H129" s="1131">
        <f t="shared" si="55"/>
        <v>31</v>
      </c>
      <c r="I129" s="1356">
        <f t="shared" si="51"/>
        <v>310676.84999999998</v>
      </c>
    </row>
    <row r="130" spans="1:9" ht="13.5">
      <c r="A130" s="697">
        <v>8</v>
      </c>
      <c r="B130" s="1629">
        <v>44440</v>
      </c>
      <c r="C130" s="1629">
        <v>44469</v>
      </c>
      <c r="D130" s="1120">
        <v>0.1719</v>
      </c>
      <c r="E130" s="1120">
        <f t="shared" si="52"/>
        <v>0.25785000000000002</v>
      </c>
      <c r="F130" s="909">
        <f t="shared" si="53"/>
        <v>6.2870142469861889E-4</v>
      </c>
      <c r="G130" s="1121">
        <f t="shared" si="54"/>
        <v>15899204.999999998</v>
      </c>
      <c r="H130" s="1131">
        <f t="shared" si="55"/>
        <v>30</v>
      </c>
      <c r="I130" s="1356">
        <f t="shared" si="51"/>
        <v>299875.59000000003</v>
      </c>
    </row>
    <row r="131" spans="1:9" ht="13.5">
      <c r="A131" s="697">
        <v>9</v>
      </c>
      <c r="B131" s="1629">
        <v>44470</v>
      </c>
      <c r="C131" s="1629">
        <v>44500</v>
      </c>
      <c r="D131" s="1120">
        <v>0.17080000000000001</v>
      </c>
      <c r="E131" s="1120">
        <f t="shared" si="52"/>
        <v>0.25619999999999998</v>
      </c>
      <c r="F131" s="909">
        <f t="shared" si="53"/>
        <v>6.2510294214179751E-4</v>
      </c>
      <c r="G131" s="1121">
        <f t="shared" si="54"/>
        <v>15899204.999999998</v>
      </c>
      <c r="H131" s="1131">
        <f t="shared" si="55"/>
        <v>31</v>
      </c>
      <c r="I131" s="1356">
        <f t="shared" si="51"/>
        <v>308097.83</v>
      </c>
    </row>
    <row r="132" spans="1:9" ht="13.5">
      <c r="A132" s="697">
        <v>10</v>
      </c>
      <c r="B132" s="1629">
        <v>44501</v>
      </c>
      <c r="C132" s="1629">
        <v>44530</v>
      </c>
      <c r="D132" s="1120">
        <v>0.17269999999999999</v>
      </c>
      <c r="E132" s="1120">
        <f t="shared" si="52"/>
        <v>0.25905</v>
      </c>
      <c r="F132" s="909">
        <f t="shared" si="53"/>
        <v>6.3131554742335005E-4</v>
      </c>
      <c r="G132" s="1121">
        <f t="shared" si="54"/>
        <v>15899204.999999998</v>
      </c>
      <c r="H132" s="1131">
        <f t="shared" si="55"/>
        <v>30</v>
      </c>
      <c r="I132" s="1356">
        <f t="shared" si="51"/>
        <v>301122.46000000002</v>
      </c>
    </row>
    <row r="133" spans="1:9" ht="13.5">
      <c r="A133" s="697">
        <v>11</v>
      </c>
      <c r="B133" s="1629">
        <v>44531</v>
      </c>
      <c r="C133" s="1629">
        <v>44561</v>
      </c>
      <c r="D133" s="1120">
        <v>0.17460000000000001</v>
      </c>
      <c r="E133" s="1120">
        <f t="shared" si="52"/>
        <v>0.26190000000000002</v>
      </c>
      <c r="F133" s="909">
        <f t="shared" si="53"/>
        <v>6.3751414410861962E-4</v>
      </c>
      <c r="G133" s="1121">
        <f t="shared" si="54"/>
        <v>15899204.999999998</v>
      </c>
      <c r="H133" s="1131">
        <f t="shared" si="55"/>
        <v>31</v>
      </c>
      <c r="I133" s="1356">
        <f t="shared" si="51"/>
        <v>314215.01</v>
      </c>
    </row>
    <row r="134" spans="1:9" ht="13.5">
      <c r="A134" s="697">
        <v>12</v>
      </c>
      <c r="B134" s="1629">
        <v>44562</v>
      </c>
      <c r="C134" s="1629">
        <v>44592</v>
      </c>
      <c r="D134" s="1120">
        <v>0.17660000000000001</v>
      </c>
      <c r="E134" s="1120">
        <f t="shared" si="52"/>
        <v>0.26490000000000002</v>
      </c>
      <c r="F134" s="909">
        <f t="shared" si="53"/>
        <v>6.4402391816376081E-4</v>
      </c>
      <c r="G134" s="1121">
        <f t="shared" si="54"/>
        <v>15899204.999999998</v>
      </c>
      <c r="H134" s="1131">
        <f t="shared" si="55"/>
        <v>31</v>
      </c>
      <c r="I134" s="1356">
        <f t="shared" si="51"/>
        <v>317423.52</v>
      </c>
    </row>
    <row r="135" spans="1:9" ht="13.5">
      <c r="A135" s="697">
        <v>13</v>
      </c>
      <c r="B135" s="1629">
        <v>44593</v>
      </c>
      <c r="C135" s="1629">
        <v>44620</v>
      </c>
      <c r="D135" s="1120">
        <v>0.183</v>
      </c>
      <c r="E135" s="1120">
        <f t="shared" si="52"/>
        <v>0.27449999999999997</v>
      </c>
      <c r="F135" s="909">
        <f t="shared" si="53"/>
        <v>6.6475220558892545E-4</v>
      </c>
      <c r="G135" s="1121">
        <f t="shared" si="54"/>
        <v>15899204.999999998</v>
      </c>
      <c r="H135" s="1131">
        <f t="shared" si="55"/>
        <v>28</v>
      </c>
      <c r="I135" s="1356">
        <f t="shared" si="51"/>
        <v>295932.88</v>
      </c>
    </row>
    <row r="136" spans="1:9" ht="13.5">
      <c r="A136" s="697">
        <v>14</v>
      </c>
      <c r="B136" s="1629">
        <v>44621</v>
      </c>
      <c r="C136" s="1629">
        <v>44651</v>
      </c>
      <c r="D136" s="1120">
        <v>0.1847</v>
      </c>
      <c r="E136" s="1120">
        <f t="shared" ref="E136:E143" si="56">+D136*1.5</f>
        <v>0.27705000000000002</v>
      </c>
      <c r="F136" s="909">
        <f t="shared" ref="F136:F143" si="57">((1+E136)^(1/365)-1)</f>
        <v>6.7023198611315671E-4</v>
      </c>
      <c r="G136" s="1121">
        <f t="shared" si="54"/>
        <v>15899204.999999998</v>
      </c>
      <c r="H136" s="1131">
        <f t="shared" ref="H136:H143" si="58">_xlfn.DAYS(C136,B136)+1</f>
        <v>31</v>
      </c>
      <c r="I136" s="1356">
        <f t="shared" si="51"/>
        <v>330340.83</v>
      </c>
    </row>
    <row r="137" spans="1:9" ht="13.5">
      <c r="A137" s="697">
        <v>15</v>
      </c>
      <c r="B137" s="1629">
        <v>44652</v>
      </c>
      <c r="C137" s="1629">
        <v>44681</v>
      </c>
      <c r="D137" s="1120">
        <v>0.1905</v>
      </c>
      <c r="E137" s="1120">
        <f t="shared" si="56"/>
        <v>0.28575</v>
      </c>
      <c r="F137" s="909">
        <f t="shared" si="57"/>
        <v>6.8884592812357148E-4</v>
      </c>
      <c r="G137" s="1121">
        <f t="shared" si="54"/>
        <v>15899204.999999998</v>
      </c>
      <c r="H137" s="1131">
        <f t="shared" si="58"/>
        <v>30</v>
      </c>
      <c r="I137" s="1356">
        <f t="shared" si="51"/>
        <v>328563.08</v>
      </c>
    </row>
    <row r="138" spans="1:9" ht="13.5">
      <c r="A138" s="697">
        <v>16</v>
      </c>
      <c r="B138" s="1629">
        <v>44682</v>
      </c>
      <c r="C138" s="1629">
        <v>44712</v>
      </c>
      <c r="D138" s="1120">
        <v>0.1971</v>
      </c>
      <c r="E138" s="1120">
        <f t="shared" si="56"/>
        <v>0.29564999999999997</v>
      </c>
      <c r="F138" s="909">
        <f t="shared" si="57"/>
        <v>7.0987512909947981E-4</v>
      </c>
      <c r="G138" s="1121">
        <f t="shared" si="54"/>
        <v>15899204.999999998</v>
      </c>
      <c r="H138" s="1131">
        <f t="shared" si="58"/>
        <v>31</v>
      </c>
      <c r="I138" s="1356">
        <f t="shared" si="51"/>
        <v>349879.96</v>
      </c>
    </row>
    <row r="139" spans="1:9" ht="13.5">
      <c r="A139" s="697">
        <v>17</v>
      </c>
      <c r="B139" s="1629">
        <v>44713</v>
      </c>
      <c r="C139" s="1629">
        <v>44742</v>
      </c>
      <c r="D139" s="1120">
        <v>0.20399999999999999</v>
      </c>
      <c r="E139" s="1120">
        <f t="shared" si="56"/>
        <v>0.30599999999999999</v>
      </c>
      <c r="F139" s="909">
        <f t="shared" si="57"/>
        <v>7.3168955664093538E-4</v>
      </c>
      <c r="G139" s="1121">
        <f t="shared" si="54"/>
        <v>15899204.999999998</v>
      </c>
      <c r="H139" s="1131">
        <f t="shared" si="58"/>
        <v>30</v>
      </c>
      <c r="I139" s="1356">
        <f t="shared" si="51"/>
        <v>348998.47</v>
      </c>
    </row>
    <row r="140" spans="1:9" ht="13.5">
      <c r="A140" s="697">
        <v>18</v>
      </c>
      <c r="B140" s="1629">
        <v>44743</v>
      </c>
      <c r="C140" s="1629">
        <v>44773</v>
      </c>
      <c r="D140" s="1120">
        <v>0.21279999999999999</v>
      </c>
      <c r="E140" s="1120">
        <f t="shared" si="56"/>
        <v>0.31919999999999998</v>
      </c>
      <c r="F140" s="909">
        <f t="shared" si="57"/>
        <v>7.5926204501630679E-4</v>
      </c>
      <c r="G140" s="1121">
        <f t="shared" si="54"/>
        <v>15899204.999999998</v>
      </c>
      <c r="H140" s="1131">
        <f t="shared" si="58"/>
        <v>31</v>
      </c>
      <c r="I140" s="1356">
        <f t="shared" si="51"/>
        <v>374221.55</v>
      </c>
    </row>
    <row r="141" spans="1:9" ht="13.5">
      <c r="A141" s="697">
        <v>19</v>
      </c>
      <c r="B141" s="1629">
        <v>44774</v>
      </c>
      <c r="C141" s="1629">
        <v>44804</v>
      </c>
      <c r="D141" s="1120">
        <v>0.22209999999999999</v>
      </c>
      <c r="E141" s="1120">
        <f t="shared" si="56"/>
        <v>0.33315</v>
      </c>
      <c r="F141" s="909">
        <f t="shared" si="57"/>
        <v>7.8810371394433254E-4</v>
      </c>
      <c r="G141" s="1121">
        <f t="shared" si="54"/>
        <v>15899204.999999998</v>
      </c>
      <c r="H141" s="1131">
        <f t="shared" si="58"/>
        <v>31</v>
      </c>
      <c r="I141" s="1356">
        <f t="shared" si="51"/>
        <v>388436.9</v>
      </c>
    </row>
    <row r="142" spans="1:9" ht="13.5">
      <c r="A142" s="697">
        <v>20</v>
      </c>
      <c r="B142" s="1629">
        <v>44805</v>
      </c>
      <c r="C142" s="1629">
        <v>44834</v>
      </c>
      <c r="D142" s="1120">
        <v>0.23499999999999999</v>
      </c>
      <c r="E142" s="1120">
        <f t="shared" si="56"/>
        <v>0.35249999999999998</v>
      </c>
      <c r="F142" s="909">
        <f t="shared" si="57"/>
        <v>8.2761552252574866E-4</v>
      </c>
      <c r="G142" s="1121">
        <f t="shared" si="54"/>
        <v>15899204.999999998</v>
      </c>
      <c r="H142" s="1131">
        <f t="shared" si="58"/>
        <v>30</v>
      </c>
      <c r="I142" s="1356">
        <f t="shared" si="51"/>
        <v>394752.87</v>
      </c>
    </row>
    <row r="143" spans="1:9" ht="13.5">
      <c r="A143" s="697">
        <v>21</v>
      </c>
      <c r="B143" s="1629">
        <v>44835</v>
      </c>
      <c r="C143" s="1629">
        <v>44865</v>
      </c>
      <c r="D143" s="1120">
        <v>0.24610000000000001</v>
      </c>
      <c r="E143" s="1120">
        <f t="shared" si="56"/>
        <v>0.36915000000000003</v>
      </c>
      <c r="F143" s="909">
        <f t="shared" si="57"/>
        <v>8.611654102768096E-4</v>
      </c>
      <c r="G143" s="1121">
        <f t="shared" si="54"/>
        <v>15899204.999999998</v>
      </c>
      <c r="H143" s="1131">
        <f t="shared" si="58"/>
        <v>31</v>
      </c>
      <c r="I143" s="1356">
        <f>ROUND(F143*G143*H143,2)</f>
        <v>424447.21</v>
      </c>
    </row>
    <row r="144" spans="1:9" ht="13.5">
      <c r="A144" s="697">
        <v>22</v>
      </c>
      <c r="B144" s="1629">
        <v>44866</v>
      </c>
      <c r="C144" s="1629">
        <v>44895</v>
      </c>
      <c r="D144" s="1120">
        <v>0.25779999999999997</v>
      </c>
      <c r="E144" s="1120">
        <f t="shared" ref="E144:E146" si="59">+D144*1.5</f>
        <v>0.38669999999999993</v>
      </c>
      <c r="F144" s="909">
        <f t="shared" ref="F144:F146" si="60">((1+E144)^(1/365)-1)</f>
        <v>8.9609117817124329E-4</v>
      </c>
      <c r="G144" s="1121">
        <f t="shared" si="54"/>
        <v>15899204.999999998</v>
      </c>
      <c r="H144" s="1131">
        <f t="shared" ref="H144:H146" si="61">_xlfn.DAYS(C144,B144)+1</f>
        <v>30</v>
      </c>
      <c r="I144" s="1356">
        <f t="shared" ref="I144:I146" si="62">ROUND(F144*G144*H144,2)</f>
        <v>427414.12</v>
      </c>
    </row>
    <row r="145" spans="1:9" ht="13.5">
      <c r="A145" s="697">
        <v>23</v>
      </c>
      <c r="B145" s="1629">
        <v>44896</v>
      </c>
      <c r="C145" s="1629">
        <v>44926</v>
      </c>
      <c r="D145" s="1120">
        <v>0.27639999999999998</v>
      </c>
      <c r="E145" s="1120">
        <f t="shared" si="59"/>
        <v>0.41459999999999997</v>
      </c>
      <c r="F145" s="909">
        <f t="shared" si="60"/>
        <v>9.5071686592063109E-4</v>
      </c>
      <c r="G145" s="1121">
        <f t="shared" si="54"/>
        <v>15899204.999999998</v>
      </c>
      <c r="H145" s="1131">
        <f t="shared" si="61"/>
        <v>31</v>
      </c>
      <c r="I145" s="1356">
        <f t="shared" si="62"/>
        <v>468584.91</v>
      </c>
    </row>
    <row r="146" spans="1:9" ht="13.5">
      <c r="A146" s="697">
        <v>24</v>
      </c>
      <c r="B146" s="1629">
        <v>44927</v>
      </c>
      <c r="C146" s="1629">
        <v>44957</v>
      </c>
      <c r="D146" s="1120">
        <v>0.28839999999999999</v>
      </c>
      <c r="E146" s="1120">
        <f t="shared" si="59"/>
        <v>0.43259999999999998</v>
      </c>
      <c r="F146" s="909">
        <f t="shared" si="60"/>
        <v>9.8539196132163553E-4</v>
      </c>
      <c r="G146" s="1121">
        <f t="shared" si="54"/>
        <v>15899204.999999998</v>
      </c>
      <c r="H146" s="1131">
        <f t="shared" si="61"/>
        <v>31</v>
      </c>
      <c r="I146" s="1356">
        <f t="shared" si="62"/>
        <v>485675.41</v>
      </c>
    </row>
    <row r="147" spans="1:9" ht="13.5">
      <c r="A147" s="697">
        <v>25</v>
      </c>
      <c r="B147" s="1629">
        <v>44958</v>
      </c>
      <c r="C147" s="1629">
        <v>44985</v>
      </c>
      <c r="D147" s="1120">
        <v>0.30180000000000001</v>
      </c>
      <c r="E147" s="1120">
        <f t="shared" ref="E147:E149" si="63">+D147*1.5</f>
        <v>0.45269999999999999</v>
      </c>
      <c r="F147" s="909">
        <f t="shared" ref="F147:F149" si="64">((1+E147)^(1/365)-1)</f>
        <v>1.0236026853662761E-3</v>
      </c>
      <c r="G147" s="1121">
        <f t="shared" si="54"/>
        <v>15899204.999999998</v>
      </c>
      <c r="H147" s="1131">
        <f t="shared" ref="H147:H149" si="65">_xlfn.DAYS(C147,B147)+1</f>
        <v>28</v>
      </c>
      <c r="I147" s="1356">
        <f t="shared" ref="I147:I149" si="66">ROUND(F147*G147*H147,2)</f>
        <v>455685.13</v>
      </c>
    </row>
    <row r="148" spans="1:9" ht="13.5">
      <c r="A148" s="697">
        <v>26</v>
      </c>
      <c r="B148" s="1629">
        <v>44986</v>
      </c>
      <c r="C148" s="1629">
        <v>45016</v>
      </c>
      <c r="D148" s="1120">
        <v>0.30840000000000001</v>
      </c>
      <c r="E148" s="1120">
        <f t="shared" si="63"/>
        <v>0.46260000000000001</v>
      </c>
      <c r="F148" s="909">
        <f t="shared" si="64"/>
        <v>1.0422295217955568E-3</v>
      </c>
      <c r="G148" s="1121">
        <f t="shared" si="54"/>
        <v>15899204.999999998</v>
      </c>
      <c r="H148" s="1131">
        <f t="shared" si="65"/>
        <v>31</v>
      </c>
      <c r="I148" s="1356">
        <f t="shared" si="66"/>
        <v>513689.25</v>
      </c>
    </row>
    <row r="149" spans="1:9" ht="13.5">
      <c r="A149" s="697">
        <v>27</v>
      </c>
      <c r="B149" s="1629">
        <v>45017</v>
      </c>
      <c r="C149" s="1629">
        <v>45046</v>
      </c>
      <c r="D149" s="1120">
        <v>0.31390000000000001</v>
      </c>
      <c r="E149" s="1120">
        <f t="shared" si="63"/>
        <v>0.47084999999999999</v>
      </c>
      <c r="F149" s="909">
        <f t="shared" si="64"/>
        <v>1.0576560884423269E-3</v>
      </c>
      <c r="G149" s="1121">
        <f t="shared" si="54"/>
        <v>15899204.999999998</v>
      </c>
      <c r="H149" s="1131">
        <f t="shared" si="65"/>
        <v>30</v>
      </c>
      <c r="I149" s="1356">
        <f t="shared" si="66"/>
        <v>504476.73</v>
      </c>
    </row>
    <row r="150" spans="1:9" ht="13.5">
      <c r="A150" s="697"/>
      <c r="B150" s="697"/>
      <c r="C150" s="697"/>
      <c r="D150" s="697"/>
      <c r="E150" s="697"/>
      <c r="F150" s="697"/>
      <c r="G150" s="2833" t="s">
        <v>61</v>
      </c>
      <c r="H150" s="2834"/>
      <c r="I150" s="1356">
        <f>SUM(I123:I149)</f>
        <v>9579694.1400000006</v>
      </c>
    </row>
    <row r="152" spans="1:9" ht="16.5">
      <c r="A152" s="697"/>
      <c r="B152" s="1632" t="s">
        <v>121</v>
      </c>
      <c r="C152" s="1645" t="s">
        <v>1756</v>
      </c>
      <c r="D152" s="697"/>
      <c r="E152" s="697"/>
      <c r="F152" s="697"/>
      <c r="G152" s="697"/>
      <c r="H152" s="697"/>
      <c r="I152" s="697"/>
    </row>
    <row r="153" spans="1:9">
      <c r="A153" s="702" t="s">
        <v>254</v>
      </c>
      <c r="B153" s="2794" t="s">
        <v>957</v>
      </c>
      <c r="C153" s="2795"/>
      <c r="D153" s="2795"/>
      <c r="E153" s="2795"/>
      <c r="F153" s="2795"/>
      <c r="G153" s="2795"/>
      <c r="H153" s="2795"/>
      <c r="I153" s="2795"/>
    </row>
    <row r="154" spans="1:9" ht="27">
      <c r="A154" s="702"/>
      <c r="B154" s="970" t="s">
        <v>206</v>
      </c>
      <c r="C154" s="970" t="s">
        <v>10</v>
      </c>
      <c r="D154" s="699" t="s">
        <v>148</v>
      </c>
      <c r="E154" s="700" t="s">
        <v>149</v>
      </c>
      <c r="F154" s="699" t="s">
        <v>43</v>
      </c>
      <c r="G154" s="1642" t="s">
        <v>129</v>
      </c>
      <c r="H154" s="1643" t="s">
        <v>47</v>
      </c>
      <c r="I154" s="1642" t="s">
        <v>48</v>
      </c>
    </row>
    <row r="155" spans="1:9" ht="13.5">
      <c r="A155" s="697">
        <v>1</v>
      </c>
      <c r="B155" s="1629">
        <v>44246</v>
      </c>
      <c r="C155" s="1629">
        <v>44255</v>
      </c>
      <c r="D155" s="1120">
        <v>0.1754</v>
      </c>
      <c r="E155" s="1120">
        <f>+D155*1.5</f>
        <v>0.2631</v>
      </c>
      <c r="F155" s="909">
        <f>((1+E155)^(1/365)-1)</f>
        <v>6.4011990387169426E-4</v>
      </c>
      <c r="G155" s="1121">
        <f>+$E$18</f>
        <v>15899204.999999998</v>
      </c>
      <c r="H155" s="1131">
        <f>_xlfn.DAYS(C155,B155)+1</f>
        <v>10</v>
      </c>
      <c r="I155" s="1356">
        <f t="shared" ref="I155:I174" si="67">ROUND(F155*G155*H155,2)</f>
        <v>101773.98</v>
      </c>
    </row>
    <row r="156" spans="1:9" ht="13.5">
      <c r="A156" s="697">
        <v>2</v>
      </c>
      <c r="B156" s="1629">
        <v>44256</v>
      </c>
      <c r="C156" s="1629">
        <v>44286</v>
      </c>
      <c r="D156" s="1120">
        <v>0.1741</v>
      </c>
      <c r="E156" s="1120">
        <f t="shared" ref="E156:E167" si="68">+D156*1.5</f>
        <v>0.26114999999999999</v>
      </c>
      <c r="F156" s="909">
        <f t="shared" ref="F156:F167" si="69">((1+E156)^(1/365)-1)</f>
        <v>6.3588428907812578E-4</v>
      </c>
      <c r="G156" s="1121">
        <f t="shared" ref="G156:G181" si="70">+$E$18</f>
        <v>15899204.999999998</v>
      </c>
      <c r="H156" s="1131">
        <f t="shared" ref="H156:H167" si="71">_xlfn.DAYS(C156,B156)+1</f>
        <v>31</v>
      </c>
      <c r="I156" s="1356">
        <f t="shared" si="67"/>
        <v>313411.69</v>
      </c>
    </row>
    <row r="157" spans="1:9" ht="13.5">
      <c r="A157" s="697">
        <v>3</v>
      </c>
      <c r="B157" s="1629">
        <v>44287</v>
      </c>
      <c r="C157" s="1629">
        <v>44316</v>
      </c>
      <c r="D157" s="1120">
        <v>0.1731</v>
      </c>
      <c r="E157" s="1120">
        <f t="shared" si="68"/>
        <v>0.25964999999999999</v>
      </c>
      <c r="F157" s="909">
        <f t="shared" si="69"/>
        <v>6.326216771728177E-4</v>
      </c>
      <c r="G157" s="1121">
        <f t="shared" si="70"/>
        <v>15899204.999999998</v>
      </c>
      <c r="H157" s="1131">
        <f t="shared" si="71"/>
        <v>30</v>
      </c>
      <c r="I157" s="1356">
        <f t="shared" si="67"/>
        <v>301745.45</v>
      </c>
    </row>
    <row r="158" spans="1:9" ht="13.5">
      <c r="A158" s="697">
        <v>4</v>
      </c>
      <c r="B158" s="1629">
        <v>44317</v>
      </c>
      <c r="C158" s="1629">
        <v>44347</v>
      </c>
      <c r="D158" s="1120">
        <v>0.17219999999999999</v>
      </c>
      <c r="E158" s="1120">
        <f t="shared" si="68"/>
        <v>0.25829999999999997</v>
      </c>
      <c r="F158" s="909">
        <f t="shared" si="69"/>
        <v>6.2968201205726437E-4</v>
      </c>
      <c r="G158" s="1121">
        <f t="shared" si="70"/>
        <v>15899204.999999998</v>
      </c>
      <c r="H158" s="1131">
        <f t="shared" si="71"/>
        <v>31</v>
      </c>
      <c r="I158" s="1356">
        <f t="shared" si="67"/>
        <v>310354.75</v>
      </c>
    </row>
    <row r="159" spans="1:9" ht="13.5">
      <c r="A159" s="697">
        <v>5</v>
      </c>
      <c r="B159" s="1629">
        <v>44348</v>
      </c>
      <c r="C159" s="1629">
        <v>44377</v>
      </c>
      <c r="D159" s="1120">
        <v>0.1721</v>
      </c>
      <c r="E159" s="1120">
        <f t="shared" si="68"/>
        <v>0.25814999999999999</v>
      </c>
      <c r="F159" s="909">
        <f t="shared" si="69"/>
        <v>6.2935518846773952E-4</v>
      </c>
      <c r="G159" s="1121">
        <f t="shared" si="70"/>
        <v>15899204.999999998</v>
      </c>
      <c r="H159" s="1131">
        <f t="shared" si="71"/>
        <v>30</v>
      </c>
      <c r="I159" s="1356">
        <f t="shared" si="67"/>
        <v>300187.40999999997</v>
      </c>
    </row>
    <row r="160" spans="1:9" ht="13.5">
      <c r="A160" s="697">
        <v>6</v>
      </c>
      <c r="B160" s="1629">
        <v>44378</v>
      </c>
      <c r="C160" s="1629">
        <v>44408</v>
      </c>
      <c r="D160" s="1120">
        <v>0.17180000000000001</v>
      </c>
      <c r="E160" s="1120">
        <f t="shared" si="68"/>
        <v>0.25770000000000004</v>
      </c>
      <c r="F160" s="909">
        <f t="shared" si="69"/>
        <v>6.2837448450037137E-4</v>
      </c>
      <c r="G160" s="1121">
        <f t="shared" si="70"/>
        <v>15899204.999999998</v>
      </c>
      <c r="H160" s="1131">
        <f t="shared" si="71"/>
        <v>31</v>
      </c>
      <c r="I160" s="1356">
        <f t="shared" si="67"/>
        <v>309710.3</v>
      </c>
    </row>
    <row r="161" spans="1:9" ht="13.5">
      <c r="A161" s="697">
        <v>7</v>
      </c>
      <c r="B161" s="1629">
        <v>44409</v>
      </c>
      <c r="C161" s="1629">
        <v>44439</v>
      </c>
      <c r="D161" s="1120">
        <v>0.1724</v>
      </c>
      <c r="E161" s="1120">
        <f t="shared" si="68"/>
        <v>0.2586</v>
      </c>
      <c r="F161" s="909">
        <f t="shared" si="69"/>
        <v>6.3033554269220637E-4</v>
      </c>
      <c r="G161" s="1121">
        <f t="shared" si="70"/>
        <v>15899204.999999998</v>
      </c>
      <c r="H161" s="1131">
        <f t="shared" si="71"/>
        <v>31</v>
      </c>
      <c r="I161" s="1356">
        <f t="shared" si="67"/>
        <v>310676.84999999998</v>
      </c>
    </row>
    <row r="162" spans="1:9" ht="13.5">
      <c r="A162" s="697">
        <v>8</v>
      </c>
      <c r="B162" s="1629">
        <v>44440</v>
      </c>
      <c r="C162" s="1629">
        <v>44469</v>
      </c>
      <c r="D162" s="1120">
        <v>0.1719</v>
      </c>
      <c r="E162" s="1120">
        <f t="shared" si="68"/>
        <v>0.25785000000000002</v>
      </c>
      <c r="F162" s="909">
        <f t="shared" si="69"/>
        <v>6.2870142469861889E-4</v>
      </c>
      <c r="G162" s="1121">
        <f t="shared" si="70"/>
        <v>15899204.999999998</v>
      </c>
      <c r="H162" s="1131">
        <f t="shared" si="71"/>
        <v>30</v>
      </c>
      <c r="I162" s="1356">
        <f t="shared" si="67"/>
        <v>299875.59000000003</v>
      </c>
    </row>
    <row r="163" spans="1:9" ht="13.5">
      <c r="A163" s="697">
        <v>9</v>
      </c>
      <c r="B163" s="1629">
        <v>44470</v>
      </c>
      <c r="C163" s="1629">
        <v>44500</v>
      </c>
      <c r="D163" s="1120">
        <v>0.17080000000000001</v>
      </c>
      <c r="E163" s="1120">
        <f t="shared" si="68"/>
        <v>0.25619999999999998</v>
      </c>
      <c r="F163" s="909">
        <f t="shared" si="69"/>
        <v>6.2510294214179751E-4</v>
      </c>
      <c r="G163" s="1121">
        <f t="shared" si="70"/>
        <v>15899204.999999998</v>
      </c>
      <c r="H163" s="1131">
        <f t="shared" si="71"/>
        <v>31</v>
      </c>
      <c r="I163" s="1356">
        <f t="shared" si="67"/>
        <v>308097.83</v>
      </c>
    </row>
    <row r="164" spans="1:9" ht="13.5">
      <c r="A164" s="697">
        <v>10</v>
      </c>
      <c r="B164" s="1629">
        <v>44501</v>
      </c>
      <c r="C164" s="1629">
        <v>44530</v>
      </c>
      <c r="D164" s="1120">
        <v>0.17269999999999999</v>
      </c>
      <c r="E164" s="1120">
        <f t="shared" si="68"/>
        <v>0.25905</v>
      </c>
      <c r="F164" s="909">
        <f t="shared" si="69"/>
        <v>6.3131554742335005E-4</v>
      </c>
      <c r="G164" s="1121">
        <f t="shared" si="70"/>
        <v>15899204.999999998</v>
      </c>
      <c r="H164" s="1131">
        <f t="shared" si="71"/>
        <v>30</v>
      </c>
      <c r="I164" s="1356">
        <f t="shared" si="67"/>
        <v>301122.46000000002</v>
      </c>
    </row>
    <row r="165" spans="1:9" ht="13.5">
      <c r="A165" s="697">
        <v>11</v>
      </c>
      <c r="B165" s="1629">
        <v>44531</v>
      </c>
      <c r="C165" s="1629">
        <v>44561</v>
      </c>
      <c r="D165" s="1120">
        <v>0.17460000000000001</v>
      </c>
      <c r="E165" s="1120">
        <f t="shared" si="68"/>
        <v>0.26190000000000002</v>
      </c>
      <c r="F165" s="909">
        <f t="shared" si="69"/>
        <v>6.3751414410861962E-4</v>
      </c>
      <c r="G165" s="1121">
        <f t="shared" si="70"/>
        <v>15899204.999999998</v>
      </c>
      <c r="H165" s="1131">
        <f t="shared" si="71"/>
        <v>31</v>
      </c>
      <c r="I165" s="1356">
        <f t="shared" si="67"/>
        <v>314215.01</v>
      </c>
    </row>
    <row r="166" spans="1:9" ht="13.5">
      <c r="A166" s="697">
        <v>12</v>
      </c>
      <c r="B166" s="1629">
        <v>44562</v>
      </c>
      <c r="C166" s="1629">
        <v>44592</v>
      </c>
      <c r="D166" s="1120">
        <v>0.17660000000000001</v>
      </c>
      <c r="E166" s="1120">
        <f t="shared" si="68"/>
        <v>0.26490000000000002</v>
      </c>
      <c r="F166" s="909">
        <f t="shared" si="69"/>
        <v>6.4402391816376081E-4</v>
      </c>
      <c r="G166" s="1121">
        <f t="shared" si="70"/>
        <v>15899204.999999998</v>
      </c>
      <c r="H166" s="1131">
        <f t="shared" si="71"/>
        <v>31</v>
      </c>
      <c r="I166" s="1356">
        <f t="shared" si="67"/>
        <v>317423.52</v>
      </c>
    </row>
    <row r="167" spans="1:9" ht="13.5">
      <c r="A167" s="697">
        <v>13</v>
      </c>
      <c r="B167" s="1629">
        <v>44593</v>
      </c>
      <c r="C167" s="1629">
        <v>44620</v>
      </c>
      <c r="D167" s="1120">
        <v>0.183</v>
      </c>
      <c r="E167" s="1120">
        <f t="shared" si="68"/>
        <v>0.27449999999999997</v>
      </c>
      <c r="F167" s="909">
        <f t="shared" si="69"/>
        <v>6.6475220558892545E-4</v>
      </c>
      <c r="G167" s="1121">
        <f t="shared" si="70"/>
        <v>15899204.999999998</v>
      </c>
      <c r="H167" s="1131">
        <f t="shared" si="71"/>
        <v>28</v>
      </c>
      <c r="I167" s="1356">
        <f t="shared" si="67"/>
        <v>295932.88</v>
      </c>
    </row>
    <row r="168" spans="1:9" ht="13.5">
      <c r="A168" s="697">
        <v>14</v>
      </c>
      <c r="B168" s="1629">
        <v>44621</v>
      </c>
      <c r="C168" s="1629">
        <v>44651</v>
      </c>
      <c r="D168" s="1120">
        <v>0.1847</v>
      </c>
      <c r="E168" s="1120">
        <f t="shared" ref="E168:E175" si="72">+D168*1.5</f>
        <v>0.27705000000000002</v>
      </c>
      <c r="F168" s="909">
        <f t="shared" ref="F168:F175" si="73">((1+E168)^(1/365)-1)</f>
        <v>6.7023198611315671E-4</v>
      </c>
      <c r="G168" s="1121">
        <f t="shared" si="70"/>
        <v>15899204.999999998</v>
      </c>
      <c r="H168" s="1131">
        <f t="shared" ref="H168:H175" si="74">_xlfn.DAYS(C168,B168)+1</f>
        <v>31</v>
      </c>
      <c r="I168" s="1356">
        <f t="shared" si="67"/>
        <v>330340.83</v>
      </c>
    </row>
    <row r="169" spans="1:9" ht="13.5">
      <c r="A169" s="697">
        <v>15</v>
      </c>
      <c r="B169" s="1629">
        <v>44652</v>
      </c>
      <c r="C169" s="1629">
        <v>44681</v>
      </c>
      <c r="D169" s="1120">
        <v>0.1905</v>
      </c>
      <c r="E169" s="1120">
        <f t="shared" si="72"/>
        <v>0.28575</v>
      </c>
      <c r="F169" s="909">
        <f t="shared" si="73"/>
        <v>6.8884592812357148E-4</v>
      </c>
      <c r="G169" s="1121">
        <f t="shared" si="70"/>
        <v>15899204.999999998</v>
      </c>
      <c r="H169" s="1131">
        <f t="shared" si="74"/>
        <v>30</v>
      </c>
      <c r="I169" s="1356">
        <f t="shared" si="67"/>
        <v>328563.08</v>
      </c>
    </row>
    <row r="170" spans="1:9" ht="13.5">
      <c r="A170" s="697">
        <v>16</v>
      </c>
      <c r="B170" s="1629">
        <v>44682</v>
      </c>
      <c r="C170" s="1629">
        <v>44712</v>
      </c>
      <c r="D170" s="1120">
        <v>0.1971</v>
      </c>
      <c r="E170" s="1120">
        <f t="shared" si="72"/>
        <v>0.29564999999999997</v>
      </c>
      <c r="F170" s="909">
        <f t="shared" si="73"/>
        <v>7.0987512909947981E-4</v>
      </c>
      <c r="G170" s="1121">
        <f t="shared" si="70"/>
        <v>15899204.999999998</v>
      </c>
      <c r="H170" s="1131">
        <f t="shared" si="74"/>
        <v>31</v>
      </c>
      <c r="I170" s="1356">
        <f t="shared" si="67"/>
        <v>349879.96</v>
      </c>
    </row>
    <row r="171" spans="1:9" ht="13.5">
      <c r="A171" s="697">
        <v>17</v>
      </c>
      <c r="B171" s="1629">
        <v>44713</v>
      </c>
      <c r="C171" s="1629">
        <v>44742</v>
      </c>
      <c r="D171" s="1120">
        <v>0.20399999999999999</v>
      </c>
      <c r="E171" s="1120">
        <f t="shared" si="72"/>
        <v>0.30599999999999999</v>
      </c>
      <c r="F171" s="909">
        <f t="shared" si="73"/>
        <v>7.3168955664093538E-4</v>
      </c>
      <c r="G171" s="1121">
        <f t="shared" si="70"/>
        <v>15899204.999999998</v>
      </c>
      <c r="H171" s="1131">
        <f t="shared" si="74"/>
        <v>30</v>
      </c>
      <c r="I171" s="1356">
        <f t="shared" si="67"/>
        <v>348998.47</v>
      </c>
    </row>
    <row r="172" spans="1:9" ht="13.5">
      <c r="A172" s="697">
        <v>18</v>
      </c>
      <c r="B172" s="1629">
        <v>44743</v>
      </c>
      <c r="C172" s="1629">
        <v>44773</v>
      </c>
      <c r="D172" s="1120">
        <v>0.21279999999999999</v>
      </c>
      <c r="E172" s="1120">
        <f t="shared" si="72"/>
        <v>0.31919999999999998</v>
      </c>
      <c r="F172" s="909">
        <f t="shared" si="73"/>
        <v>7.5926204501630679E-4</v>
      </c>
      <c r="G172" s="1121">
        <f t="shared" si="70"/>
        <v>15899204.999999998</v>
      </c>
      <c r="H172" s="1131">
        <f t="shared" si="74"/>
        <v>31</v>
      </c>
      <c r="I172" s="1356">
        <f t="shared" si="67"/>
        <v>374221.55</v>
      </c>
    </row>
    <row r="173" spans="1:9" ht="13.5">
      <c r="A173" s="697">
        <v>19</v>
      </c>
      <c r="B173" s="1629">
        <v>44774</v>
      </c>
      <c r="C173" s="1629">
        <v>44804</v>
      </c>
      <c r="D173" s="1120">
        <v>0.22209999999999999</v>
      </c>
      <c r="E173" s="1120">
        <f t="shared" si="72"/>
        <v>0.33315</v>
      </c>
      <c r="F173" s="909">
        <f t="shared" si="73"/>
        <v>7.8810371394433254E-4</v>
      </c>
      <c r="G173" s="1121">
        <f t="shared" si="70"/>
        <v>15899204.999999998</v>
      </c>
      <c r="H173" s="1131">
        <f t="shared" si="74"/>
        <v>31</v>
      </c>
      <c r="I173" s="1356">
        <f t="shared" si="67"/>
        <v>388436.9</v>
      </c>
    </row>
    <row r="174" spans="1:9" ht="13.5">
      <c r="A174" s="697">
        <v>20</v>
      </c>
      <c r="B174" s="1629">
        <v>44805</v>
      </c>
      <c r="C174" s="1629">
        <v>44834</v>
      </c>
      <c r="D174" s="1120">
        <v>0.23499999999999999</v>
      </c>
      <c r="E174" s="1120">
        <f t="shared" si="72"/>
        <v>0.35249999999999998</v>
      </c>
      <c r="F174" s="909">
        <f t="shared" si="73"/>
        <v>8.2761552252574866E-4</v>
      </c>
      <c r="G174" s="1121">
        <f t="shared" si="70"/>
        <v>15899204.999999998</v>
      </c>
      <c r="H174" s="1131">
        <f t="shared" si="74"/>
        <v>30</v>
      </c>
      <c r="I174" s="1356">
        <f t="shared" si="67"/>
        <v>394752.87</v>
      </c>
    </row>
    <row r="175" spans="1:9" ht="13.5">
      <c r="A175" s="697">
        <v>21</v>
      </c>
      <c r="B175" s="1629">
        <v>44835</v>
      </c>
      <c r="C175" s="1629">
        <v>44865</v>
      </c>
      <c r="D175" s="1120">
        <v>0.24610000000000001</v>
      </c>
      <c r="E175" s="1120">
        <f t="shared" si="72"/>
        <v>0.36915000000000003</v>
      </c>
      <c r="F175" s="909">
        <f t="shared" si="73"/>
        <v>8.611654102768096E-4</v>
      </c>
      <c r="G175" s="1121">
        <f t="shared" si="70"/>
        <v>15899204.999999998</v>
      </c>
      <c r="H175" s="1131">
        <f t="shared" si="74"/>
        <v>31</v>
      </c>
      <c r="I175" s="1356">
        <f>ROUND(F175*G175*H175,2)</f>
        <v>424447.21</v>
      </c>
    </row>
    <row r="176" spans="1:9" ht="13.5">
      <c r="A176" s="697">
        <v>22</v>
      </c>
      <c r="B176" s="1629">
        <v>44866</v>
      </c>
      <c r="C176" s="1629">
        <v>44895</v>
      </c>
      <c r="D176" s="1120">
        <v>0.25779999999999997</v>
      </c>
      <c r="E176" s="1120">
        <f t="shared" ref="E176:E178" si="75">+D176*1.5</f>
        <v>0.38669999999999993</v>
      </c>
      <c r="F176" s="909">
        <f t="shared" ref="F176:F178" si="76">((1+E176)^(1/365)-1)</f>
        <v>8.9609117817124329E-4</v>
      </c>
      <c r="G176" s="1121">
        <f t="shared" si="70"/>
        <v>15899204.999999998</v>
      </c>
      <c r="H176" s="1131">
        <f t="shared" ref="H176:H178" si="77">_xlfn.DAYS(C176,B176)+1</f>
        <v>30</v>
      </c>
      <c r="I176" s="1356">
        <f t="shared" ref="I176:I177" si="78">ROUND(F176*G176*H176,2)</f>
        <v>427414.12</v>
      </c>
    </row>
    <row r="177" spans="1:9" ht="13.5">
      <c r="A177" s="697">
        <v>23</v>
      </c>
      <c r="B177" s="1629">
        <v>44896</v>
      </c>
      <c r="C177" s="1629">
        <v>44926</v>
      </c>
      <c r="D177" s="1120">
        <v>0.27639999999999998</v>
      </c>
      <c r="E177" s="1120">
        <f t="shared" si="75"/>
        <v>0.41459999999999997</v>
      </c>
      <c r="F177" s="909">
        <f t="shared" si="76"/>
        <v>9.5071686592063109E-4</v>
      </c>
      <c r="G177" s="1121">
        <f t="shared" si="70"/>
        <v>15899204.999999998</v>
      </c>
      <c r="H177" s="1131">
        <f t="shared" si="77"/>
        <v>31</v>
      </c>
      <c r="I177" s="1356">
        <f t="shared" si="78"/>
        <v>468584.91</v>
      </c>
    </row>
    <row r="178" spans="1:9" ht="13.5">
      <c r="A178" s="697">
        <v>24</v>
      </c>
      <c r="B178" s="1629">
        <v>44927</v>
      </c>
      <c r="C178" s="1629">
        <v>44957</v>
      </c>
      <c r="D178" s="1120">
        <v>0.28839999999999999</v>
      </c>
      <c r="E178" s="1120">
        <f t="shared" si="75"/>
        <v>0.43259999999999998</v>
      </c>
      <c r="F178" s="909">
        <f t="shared" si="76"/>
        <v>9.8539196132163553E-4</v>
      </c>
      <c r="G178" s="1121">
        <f t="shared" si="70"/>
        <v>15899204.999999998</v>
      </c>
      <c r="H178" s="1131">
        <f t="shared" si="77"/>
        <v>31</v>
      </c>
      <c r="I178" s="1356">
        <f>ROUND(F178*G178*H178,2)</f>
        <v>485675.41</v>
      </c>
    </row>
    <row r="179" spans="1:9" ht="13.5">
      <c r="A179" s="697">
        <v>25</v>
      </c>
      <c r="B179" s="1629">
        <v>44958</v>
      </c>
      <c r="C179" s="1629">
        <v>44985</v>
      </c>
      <c r="D179" s="1120">
        <v>0.30180000000000001</v>
      </c>
      <c r="E179" s="1120">
        <f t="shared" ref="E179:E181" si="79">+D179*1.5</f>
        <v>0.45269999999999999</v>
      </c>
      <c r="F179" s="909">
        <f t="shared" ref="F179:F181" si="80">((1+E179)^(1/365)-1)</f>
        <v>1.0236026853662761E-3</v>
      </c>
      <c r="G179" s="1121">
        <f t="shared" si="70"/>
        <v>15899204.999999998</v>
      </c>
      <c r="H179" s="1131">
        <f t="shared" ref="H179:H181" si="81">_xlfn.DAYS(C179,B179)+1</f>
        <v>28</v>
      </c>
      <c r="I179" s="1356">
        <f t="shared" ref="I179:I180" si="82">ROUND(F179*G179*H179,2)</f>
        <v>455685.13</v>
      </c>
    </row>
    <row r="180" spans="1:9" ht="13.5">
      <c r="A180" s="697">
        <v>26</v>
      </c>
      <c r="B180" s="1629">
        <v>44986</v>
      </c>
      <c r="C180" s="1629">
        <v>45016</v>
      </c>
      <c r="D180" s="1120">
        <v>0.30840000000000001</v>
      </c>
      <c r="E180" s="1120">
        <f t="shared" si="79"/>
        <v>0.46260000000000001</v>
      </c>
      <c r="F180" s="909">
        <f t="shared" si="80"/>
        <v>1.0422295217955568E-3</v>
      </c>
      <c r="G180" s="1121">
        <f t="shared" si="70"/>
        <v>15899204.999999998</v>
      </c>
      <c r="H180" s="1131">
        <f t="shared" si="81"/>
        <v>31</v>
      </c>
      <c r="I180" s="1356">
        <f t="shared" si="82"/>
        <v>513689.25</v>
      </c>
    </row>
    <row r="181" spans="1:9" ht="13.5">
      <c r="A181" s="697">
        <v>27</v>
      </c>
      <c r="B181" s="1629">
        <v>45017</v>
      </c>
      <c r="C181" s="1629">
        <v>45046</v>
      </c>
      <c r="D181" s="1120">
        <v>0.31390000000000001</v>
      </c>
      <c r="E181" s="1120">
        <f t="shared" si="79"/>
        <v>0.47084999999999999</v>
      </c>
      <c r="F181" s="909">
        <f t="shared" si="80"/>
        <v>1.0576560884423269E-3</v>
      </c>
      <c r="G181" s="1121">
        <f t="shared" si="70"/>
        <v>15899204.999999998</v>
      </c>
      <c r="H181" s="1131">
        <f t="shared" si="81"/>
        <v>30</v>
      </c>
      <c r="I181" s="1356">
        <f>ROUND(F181*G181*H181,2)</f>
        <v>504476.73</v>
      </c>
    </row>
    <row r="182" spans="1:9" ht="13.5">
      <c r="A182" s="697"/>
      <c r="B182" s="697"/>
      <c r="C182" s="697"/>
      <c r="D182" s="697"/>
      <c r="E182" s="697"/>
      <c r="F182" s="697"/>
      <c r="G182" s="2833" t="s">
        <v>61</v>
      </c>
      <c r="H182" s="2834"/>
      <c r="I182" s="1644">
        <f>SUM(I155:I181)</f>
        <v>9579694.1400000006</v>
      </c>
    </row>
    <row r="184" spans="1:9" ht="13.5">
      <c r="A184" s="791"/>
      <c r="B184" s="728" t="s">
        <v>121</v>
      </c>
      <c r="C184" s="791" t="str">
        <f>+B19</f>
        <v>Ronald Saenz</v>
      </c>
      <c r="D184" s="791"/>
      <c r="E184" s="791"/>
      <c r="F184" s="791"/>
      <c r="G184" s="791"/>
      <c r="H184" s="791"/>
      <c r="I184" s="791"/>
    </row>
    <row r="185" spans="1:9" ht="13.5">
      <c r="A185" s="741" t="s">
        <v>254</v>
      </c>
      <c r="B185" s="2692" t="s">
        <v>957</v>
      </c>
      <c r="C185" s="2683"/>
      <c r="D185" s="2683"/>
      <c r="E185" s="2683"/>
      <c r="F185" s="2683"/>
      <c r="G185" s="2683"/>
      <c r="H185" s="2683"/>
      <c r="I185" s="2683"/>
    </row>
    <row r="186" spans="1:9" ht="25.5">
      <c r="A186" s="741"/>
      <c r="B186" s="970" t="s">
        <v>206</v>
      </c>
      <c r="C186" s="970" t="s">
        <v>10</v>
      </c>
      <c r="D186" s="923" t="s">
        <v>148</v>
      </c>
      <c r="E186" s="970" t="s">
        <v>149</v>
      </c>
      <c r="F186" s="923" t="s">
        <v>43</v>
      </c>
      <c r="G186" s="970" t="s">
        <v>129</v>
      </c>
      <c r="H186" s="1119" t="s">
        <v>47</v>
      </c>
      <c r="I186" s="970" t="s">
        <v>48</v>
      </c>
    </row>
    <row r="187" spans="1:9" ht="13.5">
      <c r="A187" s="791">
        <v>1</v>
      </c>
      <c r="B187" s="1073">
        <v>44246</v>
      </c>
      <c r="C187" s="1073">
        <v>44255</v>
      </c>
      <c r="D187" s="1120">
        <v>0.1754</v>
      </c>
      <c r="E187" s="1120">
        <f>+D187*1.5</f>
        <v>0.2631</v>
      </c>
      <c r="F187" s="909">
        <f>((1+E187)^(1/365)-1)</f>
        <v>6.4011990387169426E-4</v>
      </c>
      <c r="G187" s="1121">
        <f>+$E$19</f>
        <v>15899204.999999998</v>
      </c>
      <c r="H187" s="1131">
        <f>_xlfn.DAYS(C187,B187)+1</f>
        <v>10</v>
      </c>
      <c r="I187" s="1356">
        <f t="shared" ref="I187:I206" si="83">ROUND(F187*G187*H187,2)</f>
        <v>101773.98</v>
      </c>
    </row>
    <row r="188" spans="1:9" ht="13.5">
      <c r="A188" s="791">
        <v>2</v>
      </c>
      <c r="B188" s="1073">
        <v>44256</v>
      </c>
      <c r="C188" s="1073">
        <v>44286</v>
      </c>
      <c r="D188" s="1120">
        <v>0.1741</v>
      </c>
      <c r="E188" s="1120">
        <f t="shared" ref="E188:E199" si="84">+D188*1.5</f>
        <v>0.26114999999999999</v>
      </c>
      <c r="F188" s="909">
        <f t="shared" ref="F188:F199" si="85">((1+E188)^(1/365)-1)</f>
        <v>6.3588428907812578E-4</v>
      </c>
      <c r="G188" s="1121">
        <f t="shared" ref="G188:G213" si="86">+$E$17</f>
        <v>15899204.999999998</v>
      </c>
      <c r="H188" s="1131">
        <f t="shared" ref="H188:H199" si="87">_xlfn.DAYS(C188,B188)+1</f>
        <v>31</v>
      </c>
      <c r="I188" s="1356">
        <f t="shared" si="83"/>
        <v>313411.69</v>
      </c>
    </row>
    <row r="189" spans="1:9" ht="13.5">
      <c r="A189" s="791">
        <v>3</v>
      </c>
      <c r="B189" s="1073">
        <v>44287</v>
      </c>
      <c r="C189" s="1073">
        <v>44316</v>
      </c>
      <c r="D189" s="1120">
        <v>0.1731</v>
      </c>
      <c r="E189" s="1120">
        <f t="shared" si="84"/>
        <v>0.25964999999999999</v>
      </c>
      <c r="F189" s="909">
        <f t="shared" si="85"/>
        <v>6.326216771728177E-4</v>
      </c>
      <c r="G189" s="1121">
        <f t="shared" si="86"/>
        <v>15899204.999999998</v>
      </c>
      <c r="H189" s="1131">
        <f t="shared" si="87"/>
        <v>30</v>
      </c>
      <c r="I189" s="1356">
        <f t="shared" si="83"/>
        <v>301745.45</v>
      </c>
    </row>
    <row r="190" spans="1:9" ht="13.5">
      <c r="A190" s="791">
        <v>4</v>
      </c>
      <c r="B190" s="1073">
        <v>44317</v>
      </c>
      <c r="C190" s="1073">
        <v>44347</v>
      </c>
      <c r="D190" s="1120">
        <v>0.17219999999999999</v>
      </c>
      <c r="E190" s="1120">
        <f t="shared" si="84"/>
        <v>0.25829999999999997</v>
      </c>
      <c r="F190" s="909">
        <f t="shared" si="85"/>
        <v>6.2968201205726437E-4</v>
      </c>
      <c r="G190" s="1121">
        <f t="shared" si="86"/>
        <v>15899204.999999998</v>
      </c>
      <c r="H190" s="1131">
        <f t="shared" si="87"/>
        <v>31</v>
      </c>
      <c r="I190" s="1356">
        <f t="shared" si="83"/>
        <v>310354.75</v>
      </c>
    </row>
    <row r="191" spans="1:9" ht="13.5">
      <c r="A191" s="791">
        <v>5</v>
      </c>
      <c r="B191" s="1073">
        <v>44348</v>
      </c>
      <c r="C191" s="1073">
        <v>44377</v>
      </c>
      <c r="D191" s="1120">
        <v>0.1721</v>
      </c>
      <c r="E191" s="1120">
        <f t="shared" si="84"/>
        <v>0.25814999999999999</v>
      </c>
      <c r="F191" s="909">
        <f t="shared" si="85"/>
        <v>6.2935518846773952E-4</v>
      </c>
      <c r="G191" s="1121">
        <f t="shared" si="86"/>
        <v>15899204.999999998</v>
      </c>
      <c r="H191" s="1131">
        <f t="shared" si="87"/>
        <v>30</v>
      </c>
      <c r="I191" s="1356">
        <f t="shared" si="83"/>
        <v>300187.40999999997</v>
      </c>
    </row>
    <row r="192" spans="1:9" ht="13.5">
      <c r="A192" s="791">
        <v>6</v>
      </c>
      <c r="B192" s="1073">
        <v>44378</v>
      </c>
      <c r="C192" s="1073">
        <v>44408</v>
      </c>
      <c r="D192" s="1120">
        <v>0.17180000000000001</v>
      </c>
      <c r="E192" s="1120">
        <f t="shared" si="84"/>
        <v>0.25770000000000004</v>
      </c>
      <c r="F192" s="909">
        <f t="shared" si="85"/>
        <v>6.2837448450037137E-4</v>
      </c>
      <c r="G192" s="1121">
        <f t="shared" si="86"/>
        <v>15899204.999999998</v>
      </c>
      <c r="H192" s="1131">
        <f t="shared" si="87"/>
        <v>31</v>
      </c>
      <c r="I192" s="1356">
        <f t="shared" si="83"/>
        <v>309710.3</v>
      </c>
    </row>
    <row r="193" spans="1:9" ht="13.5">
      <c r="A193" s="791">
        <v>7</v>
      </c>
      <c r="B193" s="1073">
        <v>44409</v>
      </c>
      <c r="C193" s="1073">
        <v>44439</v>
      </c>
      <c r="D193" s="1120">
        <v>0.1724</v>
      </c>
      <c r="E193" s="1120">
        <f t="shared" si="84"/>
        <v>0.2586</v>
      </c>
      <c r="F193" s="909">
        <f t="shared" si="85"/>
        <v>6.3033554269220637E-4</v>
      </c>
      <c r="G193" s="1121">
        <f t="shared" si="86"/>
        <v>15899204.999999998</v>
      </c>
      <c r="H193" s="1131">
        <f t="shared" si="87"/>
        <v>31</v>
      </c>
      <c r="I193" s="1356">
        <f t="shared" si="83"/>
        <v>310676.84999999998</v>
      </c>
    </row>
    <row r="194" spans="1:9" ht="13.5">
      <c r="A194" s="791">
        <v>8</v>
      </c>
      <c r="B194" s="1073">
        <v>44440</v>
      </c>
      <c r="C194" s="1073">
        <v>44469</v>
      </c>
      <c r="D194" s="1120">
        <v>0.1719</v>
      </c>
      <c r="E194" s="1120">
        <f t="shared" si="84"/>
        <v>0.25785000000000002</v>
      </c>
      <c r="F194" s="909">
        <f t="shared" si="85"/>
        <v>6.2870142469861889E-4</v>
      </c>
      <c r="G194" s="1121">
        <f t="shared" si="86"/>
        <v>15899204.999999998</v>
      </c>
      <c r="H194" s="1131">
        <f t="shared" si="87"/>
        <v>30</v>
      </c>
      <c r="I194" s="1356">
        <f t="shared" si="83"/>
        <v>299875.59000000003</v>
      </c>
    </row>
    <row r="195" spans="1:9" ht="13.5">
      <c r="A195" s="791">
        <v>9</v>
      </c>
      <c r="B195" s="1073">
        <v>44470</v>
      </c>
      <c r="C195" s="1073">
        <v>44500</v>
      </c>
      <c r="D195" s="1120">
        <v>0.17080000000000001</v>
      </c>
      <c r="E195" s="1120">
        <f t="shared" si="84"/>
        <v>0.25619999999999998</v>
      </c>
      <c r="F195" s="909">
        <f t="shared" si="85"/>
        <v>6.2510294214179751E-4</v>
      </c>
      <c r="G195" s="1121">
        <f t="shared" si="86"/>
        <v>15899204.999999998</v>
      </c>
      <c r="H195" s="1131">
        <f t="shared" si="87"/>
        <v>31</v>
      </c>
      <c r="I195" s="1356">
        <f t="shared" si="83"/>
        <v>308097.83</v>
      </c>
    </row>
    <row r="196" spans="1:9" ht="13.5">
      <c r="A196" s="791">
        <v>10</v>
      </c>
      <c r="B196" s="1073">
        <v>44501</v>
      </c>
      <c r="C196" s="1073">
        <v>44530</v>
      </c>
      <c r="D196" s="1120">
        <v>0.17269999999999999</v>
      </c>
      <c r="E196" s="1120">
        <f t="shared" si="84"/>
        <v>0.25905</v>
      </c>
      <c r="F196" s="909">
        <f t="shared" si="85"/>
        <v>6.3131554742335005E-4</v>
      </c>
      <c r="G196" s="1121">
        <f t="shared" si="86"/>
        <v>15899204.999999998</v>
      </c>
      <c r="H196" s="1131">
        <f t="shared" si="87"/>
        <v>30</v>
      </c>
      <c r="I196" s="1356">
        <f t="shared" si="83"/>
        <v>301122.46000000002</v>
      </c>
    </row>
    <row r="197" spans="1:9" ht="13.5">
      <c r="A197" s="791">
        <v>11</v>
      </c>
      <c r="B197" s="1073">
        <v>44531</v>
      </c>
      <c r="C197" s="1073">
        <v>44561</v>
      </c>
      <c r="D197" s="1120">
        <v>0.17460000000000001</v>
      </c>
      <c r="E197" s="1120">
        <f t="shared" si="84"/>
        <v>0.26190000000000002</v>
      </c>
      <c r="F197" s="909">
        <f t="shared" si="85"/>
        <v>6.3751414410861962E-4</v>
      </c>
      <c r="G197" s="1121">
        <f t="shared" si="86"/>
        <v>15899204.999999998</v>
      </c>
      <c r="H197" s="1131">
        <f t="shared" si="87"/>
        <v>31</v>
      </c>
      <c r="I197" s="1356">
        <f t="shared" si="83"/>
        <v>314215.01</v>
      </c>
    </row>
    <row r="198" spans="1:9" ht="13.5">
      <c r="A198" s="791">
        <v>12</v>
      </c>
      <c r="B198" s="1073">
        <v>44562</v>
      </c>
      <c r="C198" s="1073">
        <v>44592</v>
      </c>
      <c r="D198" s="1120">
        <v>0.17660000000000001</v>
      </c>
      <c r="E198" s="1120">
        <f t="shared" si="84"/>
        <v>0.26490000000000002</v>
      </c>
      <c r="F198" s="909">
        <f t="shared" si="85"/>
        <v>6.4402391816376081E-4</v>
      </c>
      <c r="G198" s="1121">
        <f t="shared" si="86"/>
        <v>15899204.999999998</v>
      </c>
      <c r="H198" s="1131">
        <f t="shared" si="87"/>
        <v>31</v>
      </c>
      <c r="I198" s="1356">
        <f t="shared" si="83"/>
        <v>317423.52</v>
      </c>
    </row>
    <row r="199" spans="1:9" ht="13.5">
      <c r="A199" s="791">
        <v>13</v>
      </c>
      <c r="B199" s="1073">
        <v>44593</v>
      </c>
      <c r="C199" s="1073">
        <v>44620</v>
      </c>
      <c r="D199" s="1120">
        <v>0.183</v>
      </c>
      <c r="E199" s="1120">
        <f t="shared" si="84"/>
        <v>0.27449999999999997</v>
      </c>
      <c r="F199" s="909">
        <f t="shared" si="85"/>
        <v>6.6475220558892545E-4</v>
      </c>
      <c r="G199" s="1121">
        <f t="shared" si="86"/>
        <v>15899204.999999998</v>
      </c>
      <c r="H199" s="1131">
        <f t="shared" si="87"/>
        <v>28</v>
      </c>
      <c r="I199" s="1356">
        <f t="shared" si="83"/>
        <v>295932.88</v>
      </c>
    </row>
    <row r="200" spans="1:9" ht="13.5">
      <c r="A200" s="791">
        <v>14</v>
      </c>
      <c r="B200" s="1073">
        <v>44621</v>
      </c>
      <c r="C200" s="1073">
        <v>44651</v>
      </c>
      <c r="D200" s="1120">
        <v>0.1847</v>
      </c>
      <c r="E200" s="1120">
        <f t="shared" ref="E200:E207" si="88">+D200*1.5</f>
        <v>0.27705000000000002</v>
      </c>
      <c r="F200" s="909">
        <f t="shared" ref="F200:F207" si="89">((1+E200)^(1/365)-1)</f>
        <v>6.7023198611315671E-4</v>
      </c>
      <c r="G200" s="1121">
        <f t="shared" si="86"/>
        <v>15899204.999999998</v>
      </c>
      <c r="H200" s="1131">
        <f t="shared" ref="H200:H207" si="90">_xlfn.DAYS(C200,B200)+1</f>
        <v>31</v>
      </c>
      <c r="I200" s="1356">
        <f t="shared" si="83"/>
        <v>330340.83</v>
      </c>
    </row>
    <row r="201" spans="1:9" ht="13.5">
      <c r="A201" s="791">
        <v>15</v>
      </c>
      <c r="B201" s="1073">
        <v>44652</v>
      </c>
      <c r="C201" s="1073">
        <v>44681</v>
      </c>
      <c r="D201" s="1120">
        <v>0.1905</v>
      </c>
      <c r="E201" s="1120">
        <f t="shared" si="88"/>
        <v>0.28575</v>
      </c>
      <c r="F201" s="909">
        <f t="shared" si="89"/>
        <v>6.8884592812357148E-4</v>
      </c>
      <c r="G201" s="1121">
        <f t="shared" si="86"/>
        <v>15899204.999999998</v>
      </c>
      <c r="H201" s="1131">
        <f t="shared" si="90"/>
        <v>30</v>
      </c>
      <c r="I201" s="1356">
        <f t="shared" si="83"/>
        <v>328563.08</v>
      </c>
    </row>
    <row r="202" spans="1:9" ht="13.5">
      <c r="A202" s="791">
        <v>16</v>
      </c>
      <c r="B202" s="1073">
        <v>44682</v>
      </c>
      <c r="C202" s="1073">
        <v>44712</v>
      </c>
      <c r="D202" s="1120">
        <v>0.1971</v>
      </c>
      <c r="E202" s="1120">
        <f t="shared" si="88"/>
        <v>0.29564999999999997</v>
      </c>
      <c r="F202" s="909">
        <f t="shared" si="89"/>
        <v>7.0987512909947981E-4</v>
      </c>
      <c r="G202" s="1121">
        <f t="shared" si="86"/>
        <v>15899204.999999998</v>
      </c>
      <c r="H202" s="1131">
        <f t="shared" si="90"/>
        <v>31</v>
      </c>
      <c r="I202" s="1356">
        <f t="shared" si="83"/>
        <v>349879.96</v>
      </c>
    </row>
    <row r="203" spans="1:9" ht="13.5">
      <c r="A203" s="791">
        <v>17</v>
      </c>
      <c r="B203" s="1073">
        <v>44713</v>
      </c>
      <c r="C203" s="1073">
        <v>44742</v>
      </c>
      <c r="D203" s="1120">
        <v>0.20399999999999999</v>
      </c>
      <c r="E203" s="1120">
        <f t="shared" si="88"/>
        <v>0.30599999999999999</v>
      </c>
      <c r="F203" s="909">
        <f t="shared" si="89"/>
        <v>7.3168955664093538E-4</v>
      </c>
      <c r="G203" s="1121">
        <f t="shared" si="86"/>
        <v>15899204.999999998</v>
      </c>
      <c r="H203" s="1131">
        <f t="shared" si="90"/>
        <v>30</v>
      </c>
      <c r="I203" s="1356">
        <f t="shared" si="83"/>
        <v>348998.47</v>
      </c>
    </row>
    <row r="204" spans="1:9" ht="13.5">
      <c r="A204" s="791">
        <v>18</v>
      </c>
      <c r="B204" s="1073">
        <v>44743</v>
      </c>
      <c r="C204" s="1073">
        <v>44773</v>
      </c>
      <c r="D204" s="1120">
        <v>0.21279999999999999</v>
      </c>
      <c r="E204" s="1120">
        <f t="shared" si="88"/>
        <v>0.31919999999999998</v>
      </c>
      <c r="F204" s="909">
        <f t="shared" si="89"/>
        <v>7.5926204501630679E-4</v>
      </c>
      <c r="G204" s="1121">
        <f t="shared" si="86"/>
        <v>15899204.999999998</v>
      </c>
      <c r="H204" s="1131">
        <f t="shared" si="90"/>
        <v>31</v>
      </c>
      <c r="I204" s="1356">
        <f t="shared" si="83"/>
        <v>374221.55</v>
      </c>
    </row>
    <row r="205" spans="1:9" ht="13.5">
      <c r="A205" s="791">
        <v>19</v>
      </c>
      <c r="B205" s="1073">
        <v>44774</v>
      </c>
      <c r="C205" s="1073">
        <v>44804</v>
      </c>
      <c r="D205" s="1120">
        <v>0.22209999999999999</v>
      </c>
      <c r="E205" s="1120">
        <f t="shared" si="88"/>
        <v>0.33315</v>
      </c>
      <c r="F205" s="909">
        <f t="shared" si="89"/>
        <v>7.8810371394433254E-4</v>
      </c>
      <c r="G205" s="1121">
        <f t="shared" si="86"/>
        <v>15899204.999999998</v>
      </c>
      <c r="H205" s="1131">
        <f t="shared" si="90"/>
        <v>31</v>
      </c>
      <c r="I205" s="1356">
        <f t="shared" si="83"/>
        <v>388436.9</v>
      </c>
    </row>
    <row r="206" spans="1:9" ht="13.5">
      <c r="A206" s="791">
        <v>20</v>
      </c>
      <c r="B206" s="1073">
        <v>44805</v>
      </c>
      <c r="C206" s="1073">
        <v>44834</v>
      </c>
      <c r="D206" s="1120">
        <v>0.23499999999999999</v>
      </c>
      <c r="E206" s="1120">
        <f t="shared" si="88"/>
        <v>0.35249999999999998</v>
      </c>
      <c r="F206" s="909">
        <f t="shared" si="89"/>
        <v>8.2761552252574866E-4</v>
      </c>
      <c r="G206" s="1121">
        <f t="shared" si="86"/>
        <v>15899204.999999998</v>
      </c>
      <c r="H206" s="1131">
        <f t="shared" si="90"/>
        <v>30</v>
      </c>
      <c r="I206" s="1356">
        <f t="shared" si="83"/>
        <v>394752.87</v>
      </c>
    </row>
    <row r="207" spans="1:9" ht="13.5">
      <c r="A207" s="791">
        <v>21</v>
      </c>
      <c r="B207" s="1073">
        <v>44835</v>
      </c>
      <c r="C207" s="1073">
        <v>44865</v>
      </c>
      <c r="D207" s="1120">
        <v>0.24610000000000001</v>
      </c>
      <c r="E207" s="1120">
        <f t="shared" si="88"/>
        <v>0.36915000000000003</v>
      </c>
      <c r="F207" s="909">
        <f t="shared" si="89"/>
        <v>8.611654102768096E-4</v>
      </c>
      <c r="G207" s="1121">
        <f t="shared" si="86"/>
        <v>15899204.999999998</v>
      </c>
      <c r="H207" s="1131">
        <f t="shared" si="90"/>
        <v>31</v>
      </c>
      <c r="I207" s="1356">
        <f>ROUND(F207*G207*H207,2)</f>
        <v>424447.21</v>
      </c>
    </row>
    <row r="208" spans="1:9" ht="13.5">
      <c r="A208" s="791">
        <v>22</v>
      </c>
      <c r="B208" s="1073">
        <v>44866</v>
      </c>
      <c r="C208" s="1073">
        <v>44895</v>
      </c>
      <c r="D208" s="1120">
        <v>0.25779999999999997</v>
      </c>
      <c r="E208" s="1120">
        <f t="shared" ref="E208:E209" si="91">+D208*1.5</f>
        <v>0.38669999999999993</v>
      </c>
      <c r="F208" s="909">
        <f t="shared" ref="F208:F209" si="92">((1+E208)^(1/365)-1)</f>
        <v>8.9609117817124329E-4</v>
      </c>
      <c r="G208" s="1121">
        <f t="shared" si="86"/>
        <v>15899204.999999998</v>
      </c>
      <c r="H208" s="1131">
        <f t="shared" ref="H208:H209" si="93">_xlfn.DAYS(C208,B208)+1</f>
        <v>30</v>
      </c>
      <c r="I208" s="1356">
        <f t="shared" ref="I208:I209" si="94">ROUND(F208*G208*H208,2)</f>
        <v>427414.12</v>
      </c>
    </row>
    <row r="209" spans="1:9" ht="13.5">
      <c r="A209" s="791">
        <v>23</v>
      </c>
      <c r="B209" s="1073">
        <v>44896</v>
      </c>
      <c r="C209" s="1073">
        <v>44926</v>
      </c>
      <c r="D209" s="1120">
        <v>0.27639999999999998</v>
      </c>
      <c r="E209" s="1120">
        <f t="shared" si="91"/>
        <v>0.41459999999999997</v>
      </c>
      <c r="F209" s="909">
        <f t="shared" si="92"/>
        <v>9.5071686592063109E-4</v>
      </c>
      <c r="G209" s="1121">
        <f t="shared" si="86"/>
        <v>15899204.999999998</v>
      </c>
      <c r="H209" s="1131">
        <f t="shared" si="93"/>
        <v>31</v>
      </c>
      <c r="I209" s="1356">
        <f t="shared" si="94"/>
        <v>468584.91</v>
      </c>
    </row>
    <row r="210" spans="1:9" ht="13.5">
      <c r="A210" s="791">
        <v>24</v>
      </c>
      <c r="B210" s="1073">
        <v>44927</v>
      </c>
      <c r="C210" s="1073">
        <v>44957</v>
      </c>
      <c r="D210" s="1120">
        <v>0.28839999999999999</v>
      </c>
      <c r="E210" s="1120">
        <f t="shared" ref="E210:E211" si="95">+D210*1.5</f>
        <v>0.43259999999999998</v>
      </c>
      <c r="F210" s="909">
        <f t="shared" ref="F210:F211" si="96">((1+E210)^(1/365)-1)</f>
        <v>9.8539196132163553E-4</v>
      </c>
      <c r="G210" s="1121">
        <f t="shared" si="86"/>
        <v>15899204.999999998</v>
      </c>
      <c r="H210" s="1131">
        <f t="shared" ref="H210:H211" si="97">_xlfn.DAYS(C210,B210)+1</f>
        <v>31</v>
      </c>
      <c r="I210" s="1356">
        <f t="shared" ref="I210:I211" si="98">ROUND(F210*G210*H210,2)</f>
        <v>485675.41</v>
      </c>
    </row>
    <row r="211" spans="1:9" ht="13.5">
      <c r="A211" s="791">
        <v>25</v>
      </c>
      <c r="B211" s="1073">
        <v>44958</v>
      </c>
      <c r="C211" s="1073">
        <v>44985</v>
      </c>
      <c r="D211" s="1120">
        <v>0.30180000000000001</v>
      </c>
      <c r="E211" s="1120">
        <f t="shared" si="95"/>
        <v>0.45269999999999999</v>
      </c>
      <c r="F211" s="909">
        <f t="shared" si="96"/>
        <v>1.0236026853662761E-3</v>
      </c>
      <c r="G211" s="1121">
        <f t="shared" si="86"/>
        <v>15899204.999999998</v>
      </c>
      <c r="H211" s="1131">
        <f t="shared" si="97"/>
        <v>28</v>
      </c>
      <c r="I211" s="1356">
        <f t="shared" si="98"/>
        <v>455685.13</v>
      </c>
    </row>
    <row r="212" spans="1:9" ht="13.5">
      <c r="A212" s="791">
        <v>26</v>
      </c>
      <c r="B212" s="1073">
        <v>44986</v>
      </c>
      <c r="C212" s="1073">
        <v>45016</v>
      </c>
      <c r="D212" s="1120">
        <v>0.30840000000000001</v>
      </c>
      <c r="E212" s="1120">
        <f t="shared" ref="E212:E213" si="99">+D212*1.5</f>
        <v>0.46260000000000001</v>
      </c>
      <c r="F212" s="909">
        <f t="shared" ref="F212:F213" si="100">((1+E212)^(1/365)-1)</f>
        <v>1.0422295217955568E-3</v>
      </c>
      <c r="G212" s="1121">
        <f t="shared" si="86"/>
        <v>15899204.999999998</v>
      </c>
      <c r="H212" s="1131">
        <f t="shared" ref="H212:H213" si="101">_xlfn.DAYS(C212,B212)+1</f>
        <v>31</v>
      </c>
      <c r="I212" s="1356">
        <f t="shared" ref="I212:I213" si="102">ROUND(F212*G212*H212,2)</f>
        <v>513689.25</v>
      </c>
    </row>
    <row r="213" spans="1:9" ht="13.5">
      <c r="A213" s="791">
        <v>27</v>
      </c>
      <c r="B213" s="1073">
        <v>45017</v>
      </c>
      <c r="C213" s="1073">
        <v>45046</v>
      </c>
      <c r="D213" s="1120">
        <v>0.31390000000000001</v>
      </c>
      <c r="E213" s="1120">
        <f t="shared" si="99"/>
        <v>0.47084999999999999</v>
      </c>
      <c r="F213" s="909">
        <f t="shared" si="100"/>
        <v>1.0576560884423269E-3</v>
      </c>
      <c r="G213" s="1121">
        <f t="shared" si="86"/>
        <v>15899204.999999998</v>
      </c>
      <c r="H213" s="1131">
        <f t="shared" si="101"/>
        <v>30</v>
      </c>
      <c r="I213" s="1356">
        <f t="shared" si="102"/>
        <v>504476.73</v>
      </c>
    </row>
    <row r="214" spans="1:9" ht="13.5">
      <c r="A214" s="791"/>
      <c r="B214" s="791"/>
      <c r="C214" s="791"/>
      <c r="D214" s="791"/>
      <c r="E214" s="791"/>
      <c r="F214" s="791"/>
      <c r="G214" s="2644" t="s">
        <v>61</v>
      </c>
      <c r="H214" s="2646"/>
      <c r="I214" s="1356">
        <f>SUM(I187:I213)</f>
        <v>9579694.1400000006</v>
      </c>
    </row>
    <row r="217" spans="1:9" ht="13.5">
      <c r="B217" s="2686" t="s">
        <v>346</v>
      </c>
      <c r="C217" s="2686"/>
    </row>
    <row r="218" spans="1:9" ht="13.5">
      <c r="B218" s="741" t="s">
        <v>959</v>
      </c>
      <c r="C218" s="1616">
        <f>+E20</f>
        <v>127193639.99999999</v>
      </c>
    </row>
    <row r="219" spans="1:9" ht="13.5">
      <c r="B219" s="741" t="s">
        <v>951</v>
      </c>
      <c r="C219" s="1616">
        <f>+I52+I85+I117+I150+I182+I214</f>
        <v>76637553.080000013</v>
      </c>
      <c r="D219" s="8">
        <f>+I48+I81+I113+I146+I178+I210</f>
        <v>3885403.3000000003</v>
      </c>
    </row>
    <row r="220" spans="1:9" ht="13.5">
      <c r="B220" s="726" t="s">
        <v>61</v>
      </c>
      <c r="C220" s="2331">
        <f>SUM(C218:C219)</f>
        <v>203831193.07999998</v>
      </c>
    </row>
    <row r="221" spans="1:9" ht="13.5">
      <c r="B221" s="1618" t="s">
        <v>62</v>
      </c>
      <c r="C221" s="814"/>
    </row>
    <row r="222" spans="1:9" ht="13.5">
      <c r="B222" s="911"/>
      <c r="C222" s="814"/>
    </row>
    <row r="223" spans="1:9" ht="13.5">
      <c r="B223" s="911"/>
      <c r="C223" s="814"/>
    </row>
    <row r="224" spans="1:9" ht="13.5">
      <c r="B224" s="1618" t="s">
        <v>63</v>
      </c>
      <c r="C224" s="814"/>
    </row>
    <row r="225" spans="2:3" ht="13.5">
      <c r="B225" s="1618" t="s">
        <v>64</v>
      </c>
      <c r="C225" s="814"/>
    </row>
    <row r="226" spans="2:3" ht="13.5">
      <c r="B226" s="1618" t="s">
        <v>65</v>
      </c>
      <c r="C226" s="814"/>
    </row>
  </sheetData>
  <mergeCells count="13">
    <mergeCell ref="B23:I23"/>
    <mergeCell ref="B217:C217"/>
    <mergeCell ref="G52:H52"/>
    <mergeCell ref="B56:I56"/>
    <mergeCell ref="G85:H85"/>
    <mergeCell ref="B185:I185"/>
    <mergeCell ref="G214:H214"/>
    <mergeCell ref="B88:I88"/>
    <mergeCell ref="G117:H117"/>
    <mergeCell ref="B121:I121"/>
    <mergeCell ref="G150:H150"/>
    <mergeCell ref="B153:I153"/>
    <mergeCell ref="G182:H182"/>
  </mergeCells>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94F89-9EDE-4C92-8A74-801EB04F776E}">
  <sheetPr codeName="Hoja104"/>
  <dimension ref="A3:I36"/>
  <sheetViews>
    <sheetView zoomScale="110" zoomScaleNormal="110" workbookViewId="0">
      <selection activeCell="G12" sqref="G12"/>
    </sheetView>
  </sheetViews>
  <sheetFormatPr defaultColWidth="11.42578125" defaultRowHeight="12.75"/>
  <cols>
    <col min="1" max="1" width="2.5703125" style="697" customWidth="1"/>
    <col min="2" max="2" width="17.140625" style="697" customWidth="1"/>
    <col min="3" max="8" width="11.42578125" style="697"/>
    <col min="9" max="9" width="15.7109375" style="697" bestFit="1" customWidth="1"/>
    <col min="10" max="16384" width="11.42578125" style="697"/>
  </cols>
  <sheetData>
    <row r="3" spans="1:9" ht="13.5">
      <c r="B3" s="1627" t="s">
        <v>508</v>
      </c>
      <c r="C3" s="702" t="s">
        <v>1758</v>
      </c>
      <c r="D3" s="702"/>
    </row>
    <row r="4" spans="1:9" ht="13.5">
      <c r="B4" s="1627" t="s">
        <v>814</v>
      </c>
      <c r="C4" s="702" t="s">
        <v>1759</v>
      </c>
      <c r="D4" s="702"/>
    </row>
    <row r="5" spans="1:9" ht="13.5">
      <c r="B5" s="1627" t="s">
        <v>220</v>
      </c>
      <c r="C5" s="1722" t="s">
        <v>1760</v>
      </c>
      <c r="D5" s="702"/>
    </row>
    <row r="6" spans="1:9" ht="13.5">
      <c r="B6" s="1627" t="s">
        <v>1338</v>
      </c>
      <c r="C6" s="724">
        <v>44403</v>
      </c>
    </row>
    <row r="7" spans="1:9" ht="13.5">
      <c r="B7" s="1627" t="s">
        <v>700</v>
      </c>
      <c r="C7" s="723" t="s">
        <v>820</v>
      </c>
    </row>
    <row r="8" spans="1:9" ht="27">
      <c r="B8" s="683" t="s">
        <v>1002</v>
      </c>
      <c r="C8" s="1724">
        <v>44409</v>
      </c>
    </row>
    <row r="10" spans="1:9" ht="13.5">
      <c r="B10" s="728" t="s">
        <v>143</v>
      </c>
      <c r="C10" s="790">
        <v>864619708.61000001</v>
      </c>
      <c r="D10" s="2644" t="s">
        <v>172</v>
      </c>
      <c r="E10" s="2645"/>
      <c r="F10" s="2645"/>
      <c r="G10" s="2645"/>
      <c r="H10" s="2645"/>
      <c r="I10" s="2646"/>
    </row>
    <row r="11" spans="1:9" ht="25.5">
      <c r="B11" s="793" t="s">
        <v>337</v>
      </c>
      <c r="C11" s="793" t="s">
        <v>40</v>
      </c>
      <c r="D11" s="2739" t="s">
        <v>822</v>
      </c>
      <c r="E11" s="2740"/>
      <c r="F11" s="794" t="s">
        <v>43</v>
      </c>
      <c r="G11" s="794" t="s">
        <v>129</v>
      </c>
      <c r="H11" s="794" t="s">
        <v>706</v>
      </c>
      <c r="I11" s="921" t="s">
        <v>48</v>
      </c>
    </row>
    <row r="12" spans="1:9" ht="13.5">
      <c r="A12" s="723">
        <v>1</v>
      </c>
      <c r="B12" s="1723">
        <v>44404</v>
      </c>
      <c r="C12" s="953">
        <v>44407</v>
      </c>
      <c r="D12" s="796">
        <v>0</v>
      </c>
      <c r="E12" s="796">
        <v>1.9E-2</v>
      </c>
      <c r="F12" s="897">
        <f>((1+E12)^(1/365)-1)</f>
        <v>5.1567779546513037E-5</v>
      </c>
      <c r="G12" s="882">
        <f>+$C$10</f>
        <v>864619708.61000001</v>
      </c>
      <c r="H12" s="931">
        <f t="shared" ref="H12:H27" si="0">+_xlfn.DAYS(C12,B12)+1</f>
        <v>4</v>
      </c>
      <c r="I12" s="1356">
        <f t="shared" ref="I12:I26" si="1">ROUND(F12*G12*H12,2)</f>
        <v>178346.07</v>
      </c>
    </row>
    <row r="13" spans="1:9" ht="13.5">
      <c r="A13" s="723">
        <v>2</v>
      </c>
      <c r="B13" s="1723">
        <v>44409</v>
      </c>
      <c r="C13" s="724">
        <v>44439</v>
      </c>
      <c r="D13" s="796">
        <v>0</v>
      </c>
      <c r="E13" s="796">
        <v>1.9900000000000001E-2</v>
      </c>
      <c r="F13" s="897">
        <f t="shared" ref="F13:F21" si="2">((1+E13)^(1/365)-1)</f>
        <v>5.3986616880719041E-5</v>
      </c>
      <c r="G13" s="882">
        <f t="shared" ref="G13:G33" si="3">+$C$10</f>
        <v>864619708.61000001</v>
      </c>
      <c r="H13" s="931">
        <f t="shared" si="0"/>
        <v>31</v>
      </c>
      <c r="I13" s="1356">
        <f t="shared" si="1"/>
        <v>1447014.68</v>
      </c>
    </row>
    <row r="14" spans="1:9" ht="13.5">
      <c r="A14" s="723">
        <v>3</v>
      </c>
      <c r="B14" s="1723">
        <v>44440</v>
      </c>
      <c r="C14" s="724">
        <v>44469</v>
      </c>
      <c r="D14" s="796">
        <v>0</v>
      </c>
      <c r="E14" s="796">
        <v>2.0500000000000001E-2</v>
      </c>
      <c r="F14" s="897">
        <f t="shared" si="2"/>
        <v>5.5597992820066722E-5</v>
      </c>
      <c r="G14" s="882">
        <f t="shared" si="3"/>
        <v>864619708.61000001</v>
      </c>
      <c r="H14" s="931">
        <f t="shared" si="0"/>
        <v>30</v>
      </c>
      <c r="I14" s="1356">
        <f t="shared" si="1"/>
        <v>1442133.61</v>
      </c>
    </row>
    <row r="15" spans="1:9" ht="13.5">
      <c r="A15" s="723">
        <v>4</v>
      </c>
      <c r="B15" s="1723">
        <v>44470</v>
      </c>
      <c r="C15" s="724">
        <v>44500</v>
      </c>
      <c r="D15" s="796">
        <v>0</v>
      </c>
      <c r="E15" s="796">
        <v>2.2200000000000001E-2</v>
      </c>
      <c r="F15" s="897">
        <f t="shared" si="2"/>
        <v>6.0158432328316636E-5</v>
      </c>
      <c r="G15" s="882">
        <f t="shared" si="3"/>
        <v>864619708.61000001</v>
      </c>
      <c r="H15" s="931">
        <f t="shared" si="0"/>
        <v>31</v>
      </c>
      <c r="I15" s="1356">
        <f t="shared" si="1"/>
        <v>1612439.15</v>
      </c>
    </row>
    <row r="16" spans="1:9" ht="13.5">
      <c r="A16" s="723">
        <v>5</v>
      </c>
      <c r="B16" s="1723">
        <v>44501</v>
      </c>
      <c r="C16" s="724">
        <v>44530</v>
      </c>
      <c r="D16" s="796">
        <v>0</v>
      </c>
      <c r="E16" s="796">
        <v>2.6499999999999999E-2</v>
      </c>
      <c r="F16" s="897">
        <f t="shared" si="2"/>
        <v>7.1659985198868625E-5</v>
      </c>
      <c r="G16" s="882">
        <f t="shared" si="3"/>
        <v>864619708.61000001</v>
      </c>
      <c r="H16" s="931">
        <f t="shared" si="0"/>
        <v>30</v>
      </c>
      <c r="I16" s="1356">
        <f t="shared" si="1"/>
        <v>1858759.07</v>
      </c>
    </row>
    <row r="17" spans="1:9" ht="13.5">
      <c r="A17" s="723">
        <v>6</v>
      </c>
      <c r="B17" s="1723">
        <v>44531</v>
      </c>
      <c r="C17" s="724">
        <v>44561</v>
      </c>
      <c r="D17" s="796">
        <v>0</v>
      </c>
      <c r="E17" s="796">
        <v>3.0800000000000001E-2</v>
      </c>
      <c r="F17" s="897">
        <f t="shared" si="2"/>
        <v>8.3113590170658114E-5</v>
      </c>
      <c r="G17" s="882">
        <f t="shared" si="3"/>
        <v>864619708.61000001</v>
      </c>
      <c r="H17" s="931">
        <f t="shared" si="0"/>
        <v>31</v>
      </c>
      <c r="I17" s="1356">
        <f t="shared" si="1"/>
        <v>2227711.09</v>
      </c>
    </row>
    <row r="18" spans="1:9" ht="13.5">
      <c r="A18" s="723">
        <v>7</v>
      </c>
      <c r="B18" s="1723">
        <v>44562</v>
      </c>
      <c r="C18" s="724">
        <v>44592</v>
      </c>
      <c r="D18" s="796">
        <v>0</v>
      </c>
      <c r="E18" s="796">
        <v>3.4700000000000002E-2</v>
      </c>
      <c r="F18" s="897">
        <f t="shared" si="2"/>
        <v>9.3460612729190373E-5</v>
      </c>
      <c r="G18" s="882">
        <f t="shared" si="3"/>
        <v>864619708.61000001</v>
      </c>
      <c r="H18" s="931">
        <f t="shared" si="0"/>
        <v>31</v>
      </c>
      <c r="I18" s="1356">
        <f t="shared" si="1"/>
        <v>2505044.52</v>
      </c>
    </row>
    <row r="19" spans="1:9" ht="13.5">
      <c r="A19" s="723">
        <v>8</v>
      </c>
      <c r="B19" s="1723">
        <v>44593</v>
      </c>
      <c r="C19" s="724">
        <v>44620</v>
      </c>
      <c r="D19" s="796">
        <v>0</v>
      </c>
      <c r="E19" s="796">
        <v>4.3099999999999999E-2</v>
      </c>
      <c r="F19" s="897">
        <f t="shared" si="2"/>
        <v>1.1561503550527874E-4</v>
      </c>
      <c r="G19" s="882">
        <f t="shared" si="3"/>
        <v>864619708.61000001</v>
      </c>
      <c r="H19" s="931">
        <f t="shared" si="0"/>
        <v>28</v>
      </c>
      <c r="I19" s="1356">
        <f t="shared" si="1"/>
        <v>2798965.07</v>
      </c>
    </row>
    <row r="20" spans="1:9" ht="13.5">
      <c r="A20" s="723">
        <v>9</v>
      </c>
      <c r="B20" s="1723">
        <v>44621</v>
      </c>
      <c r="C20" s="724">
        <v>44651</v>
      </c>
      <c r="D20" s="796">
        <v>0</v>
      </c>
      <c r="E20" s="796">
        <v>4.9700000000000001E-2</v>
      </c>
      <c r="F20" s="897">
        <f t="shared" si="2"/>
        <v>1.3289762205070943E-4</v>
      </c>
      <c r="G20" s="882">
        <f t="shared" si="3"/>
        <v>864619708.61000001</v>
      </c>
      <c r="H20" s="931">
        <f t="shared" si="0"/>
        <v>31</v>
      </c>
      <c r="I20" s="1356">
        <f t="shared" si="1"/>
        <v>3562083</v>
      </c>
    </row>
    <row r="21" spans="1:9" ht="13.5">
      <c r="A21" s="723">
        <v>10</v>
      </c>
      <c r="B21" s="1723">
        <v>44652</v>
      </c>
      <c r="C21" s="724">
        <v>44681</v>
      </c>
      <c r="D21" s="796">
        <v>0</v>
      </c>
      <c r="E21" s="796">
        <v>5.9700000000000003E-2</v>
      </c>
      <c r="F21" s="897">
        <f t="shared" si="2"/>
        <v>1.5887796003677401E-4</v>
      </c>
      <c r="G21" s="882">
        <f t="shared" si="3"/>
        <v>864619708.61000001</v>
      </c>
      <c r="H21" s="931">
        <f t="shared" si="0"/>
        <v>30</v>
      </c>
      <c r="I21" s="1356">
        <f t="shared" si="1"/>
        <v>4121070.47</v>
      </c>
    </row>
    <row r="22" spans="1:9" ht="13.5">
      <c r="A22" s="723">
        <v>11</v>
      </c>
      <c r="B22" s="1723">
        <v>44682</v>
      </c>
      <c r="C22" s="724">
        <v>44712</v>
      </c>
      <c r="D22" s="1923">
        <v>0.1971</v>
      </c>
      <c r="E22" s="796">
        <f t="shared" ref="E22:E27" si="4">+D22*1.5</f>
        <v>0.29564999999999997</v>
      </c>
      <c r="F22" s="897">
        <f t="shared" ref="F22:F27" si="5">((1+E22)^(1/365)-1)</f>
        <v>7.0987512909947981E-4</v>
      </c>
      <c r="G22" s="882">
        <f t="shared" si="3"/>
        <v>864619708.61000001</v>
      </c>
      <c r="H22" s="931">
        <f t="shared" si="0"/>
        <v>31</v>
      </c>
      <c r="I22" s="1356">
        <f t="shared" si="1"/>
        <v>19026932.850000001</v>
      </c>
    </row>
    <row r="23" spans="1:9" ht="13.5">
      <c r="A23" s="723">
        <v>12</v>
      </c>
      <c r="B23" s="1723">
        <v>44713</v>
      </c>
      <c r="C23" s="724">
        <v>44742</v>
      </c>
      <c r="D23" s="1923">
        <v>0.20399999999999999</v>
      </c>
      <c r="E23" s="796">
        <f t="shared" si="4"/>
        <v>0.30599999999999999</v>
      </c>
      <c r="F23" s="897">
        <f t="shared" si="5"/>
        <v>7.3168955664093538E-4</v>
      </c>
      <c r="G23" s="882">
        <f t="shared" si="3"/>
        <v>864619708.61000001</v>
      </c>
      <c r="H23" s="931">
        <f t="shared" si="0"/>
        <v>30</v>
      </c>
      <c r="I23" s="1356">
        <f t="shared" si="1"/>
        <v>18978996.34</v>
      </c>
    </row>
    <row r="24" spans="1:9" ht="13.5">
      <c r="A24" s="723">
        <v>13</v>
      </c>
      <c r="B24" s="1723">
        <v>44743</v>
      </c>
      <c r="C24" s="724">
        <v>44773</v>
      </c>
      <c r="D24" s="1923">
        <v>0.21279999999999999</v>
      </c>
      <c r="E24" s="796">
        <f t="shared" si="4"/>
        <v>0.31919999999999998</v>
      </c>
      <c r="F24" s="897">
        <f t="shared" si="5"/>
        <v>7.5926204501630679E-4</v>
      </c>
      <c r="G24" s="882">
        <f t="shared" si="3"/>
        <v>864619708.61000001</v>
      </c>
      <c r="H24" s="931">
        <f t="shared" si="0"/>
        <v>31</v>
      </c>
      <c r="I24" s="1356">
        <f t="shared" si="1"/>
        <v>20350660.77</v>
      </c>
    </row>
    <row r="25" spans="1:9" ht="13.5">
      <c r="A25" s="723">
        <v>14</v>
      </c>
      <c r="B25" s="1723">
        <v>44774</v>
      </c>
      <c r="C25" s="724">
        <v>44804</v>
      </c>
      <c r="D25" s="1923">
        <v>0.22209999999999999</v>
      </c>
      <c r="E25" s="796">
        <f t="shared" si="4"/>
        <v>0.33315</v>
      </c>
      <c r="F25" s="897">
        <f t="shared" si="5"/>
        <v>7.8810371394433254E-4</v>
      </c>
      <c r="G25" s="882">
        <f t="shared" si="3"/>
        <v>864619708.61000001</v>
      </c>
      <c r="H25" s="931">
        <f t="shared" si="0"/>
        <v>31</v>
      </c>
      <c r="I25" s="1356">
        <f t="shared" si="1"/>
        <v>21123710.109999999</v>
      </c>
    </row>
    <row r="26" spans="1:9" ht="13.5">
      <c r="A26" s="723">
        <v>15</v>
      </c>
      <c r="B26" s="1723">
        <v>44805</v>
      </c>
      <c r="C26" s="724">
        <v>44834</v>
      </c>
      <c r="D26" s="1923">
        <v>0.23499999999999999</v>
      </c>
      <c r="E26" s="796">
        <f t="shared" si="4"/>
        <v>0.35249999999999998</v>
      </c>
      <c r="F26" s="897">
        <f t="shared" si="5"/>
        <v>8.2761552252574866E-4</v>
      </c>
      <c r="G26" s="882">
        <f t="shared" si="3"/>
        <v>864619708.61000001</v>
      </c>
      <c r="H26" s="931">
        <f t="shared" si="0"/>
        <v>30</v>
      </c>
      <c r="I26" s="1356">
        <f t="shared" si="1"/>
        <v>21467180.760000002</v>
      </c>
    </row>
    <row r="27" spans="1:9" ht="13.5">
      <c r="A27" s="723">
        <v>16</v>
      </c>
      <c r="B27" s="1723">
        <v>44835</v>
      </c>
      <c r="C27" s="724">
        <v>44865</v>
      </c>
      <c r="D27" s="1923">
        <v>0.24610000000000001</v>
      </c>
      <c r="E27" s="796">
        <f t="shared" si="4"/>
        <v>0.36915000000000003</v>
      </c>
      <c r="F27" s="897">
        <f t="shared" si="5"/>
        <v>8.611654102768096E-4</v>
      </c>
      <c r="G27" s="882">
        <f t="shared" si="3"/>
        <v>864619708.61000001</v>
      </c>
      <c r="H27" s="931">
        <f t="shared" si="0"/>
        <v>31</v>
      </c>
      <c r="I27" s="1356">
        <f>ROUND(F27*G27*H27,2)</f>
        <v>23081998.170000002</v>
      </c>
    </row>
    <row r="28" spans="1:9" ht="13.5">
      <c r="A28" s="723">
        <v>17</v>
      </c>
      <c r="B28" s="1723">
        <v>44866</v>
      </c>
      <c r="C28" s="724">
        <v>44895</v>
      </c>
      <c r="D28" s="1923">
        <v>0.25779999999999997</v>
      </c>
      <c r="E28" s="796">
        <f t="shared" ref="E28:E29" si="6">+D28*1.5</f>
        <v>0.38669999999999993</v>
      </c>
      <c r="F28" s="897">
        <f t="shared" ref="F28:F29" si="7">((1+E28)^(1/365)-1)</f>
        <v>8.9609117817124329E-4</v>
      </c>
      <c r="G28" s="882">
        <f t="shared" si="3"/>
        <v>864619708.61000001</v>
      </c>
      <c r="H28" s="931">
        <f t="shared" ref="H28:H29" si="8">+_xlfn.DAYS(C28,B28)+1</f>
        <v>30</v>
      </c>
      <c r="I28" s="1356">
        <f t="shared" ref="I28" si="9">ROUND(F28*G28*H28,2)</f>
        <v>23243342.800000001</v>
      </c>
    </row>
    <row r="29" spans="1:9" ht="13.5">
      <c r="A29" s="723">
        <v>18</v>
      </c>
      <c r="B29" s="1723">
        <v>44896</v>
      </c>
      <c r="C29" s="724">
        <v>44926</v>
      </c>
      <c r="D29" s="1923">
        <v>0.27639999999999998</v>
      </c>
      <c r="E29" s="796">
        <f t="shared" si="6"/>
        <v>0.41459999999999997</v>
      </c>
      <c r="F29" s="897">
        <f t="shared" si="7"/>
        <v>9.5071686592063109E-4</v>
      </c>
      <c r="G29" s="882">
        <f t="shared" si="3"/>
        <v>864619708.61000001</v>
      </c>
      <c r="H29" s="931">
        <f t="shared" si="8"/>
        <v>31</v>
      </c>
      <c r="I29" s="1356">
        <f>ROUND(F29*G29*H29,2)</f>
        <v>25482264.73</v>
      </c>
    </row>
    <row r="30" spans="1:9" ht="13.5">
      <c r="A30" s="723">
        <v>19</v>
      </c>
      <c r="B30" s="1723">
        <v>44927</v>
      </c>
      <c r="C30" s="724">
        <v>44957</v>
      </c>
      <c r="D30" s="1923">
        <v>0.28839999999999999</v>
      </c>
      <c r="E30" s="796">
        <f t="shared" ref="E30:E31" si="10">+D30*1.5</f>
        <v>0.43259999999999998</v>
      </c>
      <c r="F30" s="897">
        <f t="shared" ref="F30:F31" si="11">((1+E30)^(1/365)-1)</f>
        <v>9.8539196132163553E-4</v>
      </c>
      <c r="G30" s="882">
        <f t="shared" si="3"/>
        <v>864619708.61000001</v>
      </c>
      <c r="H30" s="931">
        <f t="shared" ref="H30:H31" si="12">+_xlfn.DAYS(C30,B30)+1</f>
        <v>31</v>
      </c>
      <c r="I30" s="1356">
        <f t="shared" ref="I30" si="13">ROUND(F30*G30*H30,2)</f>
        <v>26411668.620000001</v>
      </c>
    </row>
    <row r="31" spans="1:9" ht="13.5">
      <c r="A31" s="723">
        <v>20</v>
      </c>
      <c r="B31" s="1723">
        <v>44958</v>
      </c>
      <c r="C31" s="724">
        <v>44985</v>
      </c>
      <c r="D31" s="1923">
        <v>0.30180000000000001</v>
      </c>
      <c r="E31" s="796">
        <f t="shared" si="10"/>
        <v>0.45269999999999999</v>
      </c>
      <c r="F31" s="897">
        <f t="shared" si="11"/>
        <v>1.0236026853662761E-3</v>
      </c>
      <c r="G31" s="882">
        <f t="shared" si="3"/>
        <v>864619708.61000001</v>
      </c>
      <c r="H31" s="931">
        <f t="shared" si="12"/>
        <v>28</v>
      </c>
      <c r="I31" s="1356">
        <f>ROUND(F31*G31*H31,2)</f>
        <v>24780757.559999999</v>
      </c>
    </row>
    <row r="32" spans="1:9" ht="13.5">
      <c r="A32" s="723">
        <v>21</v>
      </c>
      <c r="B32" s="1723">
        <v>44986</v>
      </c>
      <c r="C32" s="724">
        <v>45016</v>
      </c>
      <c r="D32" s="1923">
        <v>0.30840000000000001</v>
      </c>
      <c r="E32" s="796">
        <f t="shared" ref="E32:E33" si="14">+D32*1.5</f>
        <v>0.46260000000000001</v>
      </c>
      <c r="F32" s="897">
        <f t="shared" ref="F32:F33" si="15">((1+E32)^(1/365)-1)</f>
        <v>1.0422295217955568E-3</v>
      </c>
      <c r="G32" s="882">
        <f t="shared" si="3"/>
        <v>864619708.61000001</v>
      </c>
      <c r="H32" s="931">
        <f t="shared" ref="H32:H33" si="16">+_xlfn.DAYS(C32,B32)+1</f>
        <v>31</v>
      </c>
      <c r="I32" s="1356">
        <f t="shared" ref="I32" si="17">ROUND(F32*G32*H32,2)</f>
        <v>27935097.75</v>
      </c>
    </row>
    <row r="33" spans="1:9" ht="13.5">
      <c r="A33" s="723">
        <v>22</v>
      </c>
      <c r="B33" s="1723">
        <v>45017</v>
      </c>
      <c r="C33" s="724">
        <v>45046</v>
      </c>
      <c r="D33" s="1923">
        <v>0.31390000000000001</v>
      </c>
      <c r="E33" s="796">
        <f t="shared" si="14"/>
        <v>0.47084999999999999</v>
      </c>
      <c r="F33" s="897">
        <f t="shared" si="15"/>
        <v>1.0576560884423269E-3</v>
      </c>
      <c r="G33" s="882">
        <f t="shared" si="3"/>
        <v>864619708.61000001</v>
      </c>
      <c r="H33" s="931">
        <f t="shared" si="16"/>
        <v>30</v>
      </c>
      <c r="I33" s="1356">
        <f>ROUND(F33*G33*H33,2)</f>
        <v>27434108.969999999</v>
      </c>
    </row>
    <row r="34" spans="1:9" ht="17.25" customHeight="1">
      <c r="G34" s="2835" t="s">
        <v>93</v>
      </c>
      <c r="H34" s="2835"/>
      <c r="I34" s="1356">
        <f>SUM(I12:I33)</f>
        <v>301070286.16000009</v>
      </c>
    </row>
    <row r="36" spans="1:9">
      <c r="I36" s="2378"/>
    </row>
  </sheetData>
  <mergeCells count="3">
    <mergeCell ref="D10:I10"/>
    <mergeCell ref="D11:E11"/>
    <mergeCell ref="G34:H34"/>
  </mergeCells>
  <conditionalFormatting sqref="B11:C11">
    <cfRule type="duplicateValues" dxfId="16" priority="1"/>
  </conditionalFormatting>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9800F-7636-42D7-89DE-534F876D6B36}">
  <sheetPr codeName="Hoja105"/>
  <dimension ref="A4:K37"/>
  <sheetViews>
    <sheetView topLeftCell="A21" workbookViewId="0">
      <selection activeCell="G35" sqref="G35"/>
    </sheetView>
  </sheetViews>
  <sheetFormatPr defaultColWidth="11.42578125" defaultRowHeight="12.75"/>
  <cols>
    <col min="1" max="1" width="2.7109375" customWidth="1"/>
    <col min="2" max="2" width="17.28515625" customWidth="1"/>
    <col min="3" max="3" width="13.140625" customWidth="1"/>
    <col min="4" max="4" width="12.140625" bestFit="1" customWidth="1"/>
    <col min="7" max="7" width="14" bestFit="1" customWidth="1"/>
    <col min="8" max="8" width="14.85546875" bestFit="1" customWidth="1"/>
    <col min="9" max="9" width="11.85546875" bestFit="1" customWidth="1"/>
    <col min="10" max="11" width="13.85546875" bestFit="1" customWidth="1"/>
  </cols>
  <sheetData>
    <row r="4" spans="1:9" ht="13.5">
      <c r="B4" s="1627" t="s">
        <v>508</v>
      </c>
      <c r="C4" s="702" t="s">
        <v>1761</v>
      </c>
    </row>
    <row r="5" spans="1:9" ht="13.5">
      <c r="B5" s="1627" t="s">
        <v>814</v>
      </c>
      <c r="C5" s="702" t="s">
        <v>1759</v>
      </c>
    </row>
    <row r="6" spans="1:9" ht="13.5">
      <c r="B6" s="1627" t="s">
        <v>220</v>
      </c>
      <c r="C6" s="1722" t="s">
        <v>1762</v>
      </c>
    </row>
    <row r="7" spans="1:9" ht="13.5">
      <c r="B7" s="1627" t="s">
        <v>1338</v>
      </c>
      <c r="C7" s="724">
        <v>44460</v>
      </c>
    </row>
    <row r="8" spans="1:9" ht="13.5">
      <c r="B8" s="1627" t="s">
        <v>700</v>
      </c>
      <c r="C8" s="1767" t="s">
        <v>820</v>
      </c>
    </row>
    <row r="9" spans="1:9" ht="27">
      <c r="B9" s="683" t="s">
        <v>1002</v>
      </c>
      <c r="C9" s="1724">
        <v>44409</v>
      </c>
      <c r="G9" s="8">
        <v>55791603</v>
      </c>
      <c r="H9" s="8">
        <f>+G9*3</f>
        <v>167374809</v>
      </c>
    </row>
    <row r="11" spans="1:9" ht="13.5">
      <c r="B11" s="728" t="s">
        <v>1763</v>
      </c>
      <c r="C11" s="850">
        <v>111583205</v>
      </c>
      <c r="D11" s="2644" t="s">
        <v>172</v>
      </c>
      <c r="E11" s="2645"/>
      <c r="F11" s="2645"/>
      <c r="G11" s="2645"/>
      <c r="H11" s="2645"/>
      <c r="I11" s="2646"/>
    </row>
    <row r="12" spans="1:9" ht="25.5">
      <c r="B12" s="793" t="s">
        <v>337</v>
      </c>
      <c r="C12" s="793" t="s">
        <v>40</v>
      </c>
      <c r="D12" s="2739" t="s">
        <v>822</v>
      </c>
      <c r="E12" s="2740"/>
      <c r="F12" s="794" t="s">
        <v>43</v>
      </c>
      <c r="G12" s="794" t="s">
        <v>129</v>
      </c>
      <c r="H12" s="794" t="s">
        <v>706</v>
      </c>
      <c r="I12" s="893" t="s">
        <v>48</v>
      </c>
    </row>
    <row r="13" spans="1:9" ht="13.5">
      <c r="A13" s="2">
        <v>1</v>
      </c>
      <c r="B13" s="724">
        <v>44461</v>
      </c>
      <c r="C13" s="724">
        <v>44469</v>
      </c>
      <c r="D13" s="796">
        <v>0</v>
      </c>
      <c r="E13" s="796">
        <v>2.0500000000000001E-2</v>
      </c>
      <c r="F13" s="897">
        <f>((1+E13)^(1/365)-1)</f>
        <v>5.5597992820066722E-5</v>
      </c>
      <c r="G13" s="895">
        <f>+$C$11</f>
        <v>111583205</v>
      </c>
      <c r="H13" s="931">
        <f t="shared" ref="H13:H26" si="0">+_xlfn.DAYS(C13,B13)+1</f>
        <v>9</v>
      </c>
      <c r="I13" s="941">
        <f>ROUND($C$11*H13*F13,2)</f>
        <v>55834.22</v>
      </c>
    </row>
    <row r="14" spans="1:9" ht="13.5">
      <c r="A14" s="2">
        <v>2</v>
      </c>
      <c r="B14" s="724">
        <v>44470</v>
      </c>
      <c r="C14" s="724">
        <v>44500</v>
      </c>
      <c r="D14" s="796">
        <v>0</v>
      </c>
      <c r="E14" s="796">
        <v>2.2200000000000001E-2</v>
      </c>
      <c r="F14" s="897">
        <f t="shared" ref="F14:F21" si="1">((1+E14)^(1/365)-1)</f>
        <v>6.0158432328316636E-5</v>
      </c>
      <c r="G14" s="895">
        <f t="shared" ref="G14:G32" si="2">+$C$11</f>
        <v>111583205</v>
      </c>
      <c r="H14" s="931">
        <f t="shared" si="0"/>
        <v>31</v>
      </c>
      <c r="I14" s="941">
        <f>ROUND($C$11*H14*F14,2)</f>
        <v>208092.79</v>
      </c>
    </row>
    <row r="15" spans="1:9" ht="13.5">
      <c r="A15" s="2">
        <v>3</v>
      </c>
      <c r="B15" s="724">
        <v>44501</v>
      </c>
      <c r="C15" s="724">
        <v>44530</v>
      </c>
      <c r="D15" s="796">
        <v>0</v>
      </c>
      <c r="E15" s="796">
        <v>2.6499999999999999E-2</v>
      </c>
      <c r="F15" s="897">
        <f t="shared" si="1"/>
        <v>7.1659985198868625E-5</v>
      </c>
      <c r="G15" s="895">
        <f t="shared" si="2"/>
        <v>111583205</v>
      </c>
      <c r="H15" s="931">
        <f t="shared" si="0"/>
        <v>30</v>
      </c>
      <c r="I15" s="941">
        <f t="shared" ref="I15:I32" si="3">ROUND($C$11*H15*F15,2)</f>
        <v>239881.52</v>
      </c>
    </row>
    <row r="16" spans="1:9" ht="13.5">
      <c r="A16" s="2">
        <v>4</v>
      </c>
      <c r="B16" s="724">
        <v>44531</v>
      </c>
      <c r="C16" s="724">
        <v>44561</v>
      </c>
      <c r="D16" s="796">
        <v>0</v>
      </c>
      <c r="E16" s="796">
        <v>3.0800000000000001E-2</v>
      </c>
      <c r="F16" s="897">
        <f t="shared" si="1"/>
        <v>8.3113590170658114E-5</v>
      </c>
      <c r="G16" s="895">
        <f t="shared" si="2"/>
        <v>111583205</v>
      </c>
      <c r="H16" s="931">
        <f t="shared" si="0"/>
        <v>31</v>
      </c>
      <c r="I16" s="941">
        <f t="shared" si="3"/>
        <v>287496.5</v>
      </c>
    </row>
    <row r="17" spans="1:11" ht="13.5">
      <c r="A17" s="2">
        <v>5</v>
      </c>
      <c r="B17" s="724">
        <v>44562</v>
      </c>
      <c r="C17" s="724">
        <v>44592</v>
      </c>
      <c r="D17" s="796">
        <v>0</v>
      </c>
      <c r="E17" s="796">
        <v>3.4700000000000002E-2</v>
      </c>
      <c r="F17" s="897">
        <f t="shared" si="1"/>
        <v>9.3460612729190373E-5</v>
      </c>
      <c r="G17" s="895">
        <f t="shared" si="2"/>
        <v>111583205</v>
      </c>
      <c r="H17" s="931">
        <f t="shared" si="0"/>
        <v>31</v>
      </c>
      <c r="I17" s="941">
        <f t="shared" si="3"/>
        <v>323287.67999999999</v>
      </c>
    </row>
    <row r="18" spans="1:11" ht="13.5">
      <c r="A18" s="2">
        <v>6</v>
      </c>
      <c r="B18" s="724">
        <v>44593</v>
      </c>
      <c r="C18" s="724">
        <v>44620</v>
      </c>
      <c r="D18" s="796">
        <v>0</v>
      </c>
      <c r="E18" s="796">
        <v>4.3099999999999999E-2</v>
      </c>
      <c r="F18" s="897">
        <f t="shared" si="1"/>
        <v>1.1561503550527874E-4</v>
      </c>
      <c r="G18" s="895">
        <f t="shared" si="2"/>
        <v>111583205</v>
      </c>
      <c r="H18" s="931">
        <f t="shared" si="0"/>
        <v>28</v>
      </c>
      <c r="I18" s="941">
        <f t="shared" si="3"/>
        <v>361219.49</v>
      </c>
    </row>
    <row r="19" spans="1:11" ht="13.5">
      <c r="A19" s="2">
        <v>7</v>
      </c>
      <c r="B19" s="724">
        <v>44621</v>
      </c>
      <c r="C19" s="724">
        <v>44651</v>
      </c>
      <c r="D19" s="796">
        <v>0</v>
      </c>
      <c r="E19" s="796">
        <v>4.9700000000000001E-2</v>
      </c>
      <c r="F19" s="897">
        <f t="shared" si="1"/>
        <v>1.3289762205070943E-4</v>
      </c>
      <c r="G19" s="895">
        <f t="shared" si="2"/>
        <v>111583205</v>
      </c>
      <c r="H19" s="931">
        <f t="shared" si="0"/>
        <v>31</v>
      </c>
      <c r="I19" s="941">
        <f t="shared" si="3"/>
        <v>459703.42</v>
      </c>
    </row>
    <row r="20" spans="1:11" ht="13.5">
      <c r="A20" s="2">
        <v>8</v>
      </c>
      <c r="B20" s="724">
        <v>44652</v>
      </c>
      <c r="C20" s="724">
        <v>44681</v>
      </c>
      <c r="D20" s="796">
        <v>0</v>
      </c>
      <c r="E20" s="796">
        <v>5.9700000000000003E-2</v>
      </c>
      <c r="F20" s="897">
        <f t="shared" si="1"/>
        <v>1.5887796003677401E-4</v>
      </c>
      <c r="G20" s="895">
        <f t="shared" si="2"/>
        <v>111583205</v>
      </c>
      <c r="H20" s="931">
        <f t="shared" si="0"/>
        <v>30</v>
      </c>
      <c r="I20" s="941">
        <f t="shared" si="3"/>
        <v>531843.36</v>
      </c>
    </row>
    <row r="21" spans="1:11" ht="13.5">
      <c r="A21" s="2">
        <v>9</v>
      </c>
      <c r="B21" s="724">
        <v>44682</v>
      </c>
      <c r="C21" s="724">
        <v>44712</v>
      </c>
      <c r="D21" s="796">
        <v>0</v>
      </c>
      <c r="E21" s="796">
        <v>7.0400000000000004E-2</v>
      </c>
      <c r="F21" s="796">
        <f t="shared" si="1"/>
        <v>1.8640753718313086E-4</v>
      </c>
      <c r="G21" s="895">
        <f t="shared" si="2"/>
        <v>111583205</v>
      </c>
      <c r="H21" s="931">
        <f t="shared" si="0"/>
        <v>31</v>
      </c>
      <c r="I21" s="941">
        <f t="shared" si="3"/>
        <v>644798.46</v>
      </c>
    </row>
    <row r="22" spans="1:11" ht="13.5">
      <c r="A22" s="2">
        <v>10</v>
      </c>
      <c r="B22" s="724">
        <v>44713</v>
      </c>
      <c r="C22" s="724">
        <v>44742</v>
      </c>
      <c r="D22" s="796">
        <v>0</v>
      </c>
      <c r="E22" s="796">
        <v>7.7200000000000005E-2</v>
      </c>
      <c r="F22" s="796">
        <f t="shared" ref="F22:F27" si="4">((1+E22)^(1/365)-1)</f>
        <v>2.0376070695582449E-4</v>
      </c>
      <c r="G22" s="895">
        <f t="shared" si="2"/>
        <v>111583205</v>
      </c>
      <c r="H22" s="931">
        <f t="shared" si="0"/>
        <v>30</v>
      </c>
      <c r="I22" s="941">
        <f t="shared" si="3"/>
        <v>682088.18</v>
      </c>
      <c r="K22" s="8"/>
    </row>
    <row r="23" spans="1:11" ht="13.5">
      <c r="A23" s="2">
        <v>11</v>
      </c>
      <c r="B23" s="724">
        <v>44743</v>
      </c>
      <c r="C23" s="724">
        <v>44773</v>
      </c>
      <c r="D23" s="796">
        <v>0.21279999999999999</v>
      </c>
      <c r="E23" s="796">
        <f>+D23*1.5</f>
        <v>0.31919999999999998</v>
      </c>
      <c r="F23" s="796">
        <f t="shared" si="4"/>
        <v>7.5926204501630679E-4</v>
      </c>
      <c r="G23" s="895">
        <f t="shared" si="2"/>
        <v>111583205</v>
      </c>
      <c r="H23" s="931">
        <f t="shared" si="0"/>
        <v>31</v>
      </c>
      <c r="I23" s="941">
        <f t="shared" si="3"/>
        <v>2626347.66</v>
      </c>
    </row>
    <row r="24" spans="1:11" ht="13.5">
      <c r="A24" s="2">
        <v>12</v>
      </c>
      <c r="B24" s="724">
        <v>44774</v>
      </c>
      <c r="C24" s="724">
        <v>44804</v>
      </c>
      <c r="D24" s="796">
        <v>0.22209999999999999</v>
      </c>
      <c r="E24" s="796">
        <f>+D24*1.5</f>
        <v>0.33315</v>
      </c>
      <c r="F24" s="796">
        <f t="shared" si="4"/>
        <v>7.8810371394433254E-4</v>
      </c>
      <c r="G24" s="895">
        <f t="shared" si="2"/>
        <v>111583205</v>
      </c>
      <c r="H24" s="931">
        <f t="shared" si="0"/>
        <v>31</v>
      </c>
      <c r="I24" s="941">
        <f t="shared" si="3"/>
        <v>2726113.29</v>
      </c>
    </row>
    <row r="25" spans="1:11" ht="13.5">
      <c r="A25" s="2">
        <v>13</v>
      </c>
      <c r="B25" s="724">
        <v>44805</v>
      </c>
      <c r="C25" s="724">
        <v>44834</v>
      </c>
      <c r="D25" s="796">
        <v>0.23499999999999999</v>
      </c>
      <c r="E25" s="796">
        <f>+D25*1.5</f>
        <v>0.35249999999999998</v>
      </c>
      <c r="F25" s="796">
        <f t="shared" si="4"/>
        <v>8.2761552252574866E-4</v>
      </c>
      <c r="G25" s="895">
        <f t="shared" si="2"/>
        <v>111583205</v>
      </c>
      <c r="H25" s="931">
        <f t="shared" si="0"/>
        <v>30</v>
      </c>
      <c r="I25" s="941">
        <f t="shared" si="3"/>
        <v>2770439.78</v>
      </c>
    </row>
    <row r="26" spans="1:11" ht="13.5">
      <c r="A26" s="2">
        <v>14</v>
      </c>
      <c r="B26" s="724">
        <v>44835</v>
      </c>
      <c r="C26" s="724">
        <v>44865</v>
      </c>
      <c r="D26" s="796">
        <v>0.24610000000000001</v>
      </c>
      <c r="E26" s="796">
        <f>+D26*1.5</f>
        <v>0.36915000000000003</v>
      </c>
      <c r="F26" s="796">
        <f t="shared" si="4"/>
        <v>8.611654102768096E-4</v>
      </c>
      <c r="G26" s="895">
        <f t="shared" si="2"/>
        <v>111583205</v>
      </c>
      <c r="H26" s="931">
        <f t="shared" si="0"/>
        <v>31</v>
      </c>
      <c r="I26" s="941">
        <f t="shared" si="3"/>
        <v>2978839.49</v>
      </c>
    </row>
    <row r="27" spans="1:11" ht="13.5">
      <c r="A27" s="2">
        <v>15</v>
      </c>
      <c r="B27" s="724">
        <v>44866</v>
      </c>
      <c r="C27" s="724">
        <v>44895</v>
      </c>
      <c r="D27" s="796">
        <v>0.25779999999999997</v>
      </c>
      <c r="E27" s="796">
        <f>+D27*1.5</f>
        <v>0.38669999999999993</v>
      </c>
      <c r="F27" s="796">
        <f t="shared" si="4"/>
        <v>8.9609117817124329E-4</v>
      </c>
      <c r="G27" s="895">
        <f t="shared" si="2"/>
        <v>111583205</v>
      </c>
      <c r="H27" s="931">
        <f t="shared" ref="H27:H28" si="5">+_xlfn.DAYS(C27,B27)+1</f>
        <v>30</v>
      </c>
      <c r="I27" s="941">
        <f t="shared" si="3"/>
        <v>2999661.77</v>
      </c>
    </row>
    <row r="28" spans="1:11" ht="13.5">
      <c r="A28" s="2">
        <v>16</v>
      </c>
      <c r="B28" s="724">
        <v>44896</v>
      </c>
      <c r="C28" s="724">
        <v>44926</v>
      </c>
      <c r="D28" s="796">
        <v>0.27639999999999998</v>
      </c>
      <c r="E28" s="796">
        <f t="shared" ref="E28:E29" si="6">+D28*1.5</f>
        <v>0.41459999999999997</v>
      </c>
      <c r="F28" s="796">
        <f t="shared" ref="F28" si="7">((1+E28)^(1/365)-1)</f>
        <v>9.5071686592063109E-4</v>
      </c>
      <c r="G28" s="895">
        <f t="shared" si="2"/>
        <v>111583205</v>
      </c>
      <c r="H28" s="931">
        <f t="shared" si="5"/>
        <v>31</v>
      </c>
      <c r="I28" s="941">
        <f t="shared" si="3"/>
        <v>3288605.08</v>
      </c>
    </row>
    <row r="29" spans="1:11" ht="13.5">
      <c r="A29" s="2">
        <v>17</v>
      </c>
      <c r="B29" s="724">
        <v>44927</v>
      </c>
      <c r="C29" s="724">
        <v>44957</v>
      </c>
      <c r="D29" s="796">
        <v>0.28839999999999999</v>
      </c>
      <c r="E29" s="796">
        <f t="shared" si="6"/>
        <v>0.43259999999999998</v>
      </c>
      <c r="F29" s="796">
        <f>((1+E29)^(1/365)-1)</f>
        <v>9.8539196132163553E-4</v>
      </c>
      <c r="G29" s="895">
        <f t="shared" si="2"/>
        <v>111583205</v>
      </c>
      <c r="H29" s="931">
        <f t="shared" ref="H29:H30" si="8">+_xlfn.DAYS(C29,B29)+1</f>
        <v>31</v>
      </c>
      <c r="I29" s="941">
        <f t="shared" si="3"/>
        <v>3408548.99</v>
      </c>
    </row>
    <row r="30" spans="1:11" ht="13.5">
      <c r="A30" s="2">
        <v>18</v>
      </c>
      <c r="B30" s="724">
        <v>44958</v>
      </c>
      <c r="C30" s="724">
        <v>44985</v>
      </c>
      <c r="D30" s="796">
        <v>0.30180000000000001</v>
      </c>
      <c r="E30" s="796">
        <f>+D30*1.5</f>
        <v>0.45269999999999999</v>
      </c>
      <c r="F30" s="796">
        <f t="shared" ref="F30" si="9">((1+E30)^(1/365)-1)</f>
        <v>1.0236026853662761E-3</v>
      </c>
      <c r="G30" s="895">
        <f t="shared" si="2"/>
        <v>111583205</v>
      </c>
      <c r="H30" s="931">
        <f t="shared" si="8"/>
        <v>28</v>
      </c>
      <c r="I30" s="941">
        <f t="shared" si="3"/>
        <v>3198072.31</v>
      </c>
    </row>
    <row r="31" spans="1:11" ht="13.5">
      <c r="A31" s="2">
        <v>19</v>
      </c>
      <c r="B31" s="724">
        <v>44986</v>
      </c>
      <c r="C31" s="724">
        <v>45016</v>
      </c>
      <c r="D31" s="796">
        <v>0.30840000000000001</v>
      </c>
      <c r="E31" s="796">
        <f t="shared" ref="E31:E32" si="10">+D31*1.5</f>
        <v>0.46260000000000001</v>
      </c>
      <c r="F31" s="796">
        <f>((1+E31)^(1/365)-1)</f>
        <v>1.0422295217955568E-3</v>
      </c>
      <c r="G31" s="895">
        <f t="shared" si="2"/>
        <v>111583205</v>
      </c>
      <c r="H31" s="931">
        <f t="shared" ref="H31:H32" si="11">+_xlfn.DAYS(C31,B31)+1</f>
        <v>31</v>
      </c>
      <c r="I31" s="941">
        <f t="shared" si="3"/>
        <v>3605154.62</v>
      </c>
    </row>
    <row r="32" spans="1:11" ht="13.5">
      <c r="A32" s="2">
        <v>20</v>
      </c>
      <c r="B32" s="724">
        <v>45017</v>
      </c>
      <c r="C32" s="724">
        <v>45046</v>
      </c>
      <c r="D32" s="796">
        <v>0.31390000000000001</v>
      </c>
      <c r="E32" s="796">
        <f t="shared" si="10"/>
        <v>0.47084999999999999</v>
      </c>
      <c r="F32" s="796">
        <f>((1+E32)^(1/365)-1)</f>
        <v>1.0576560884423269E-3</v>
      </c>
      <c r="G32" s="895">
        <f t="shared" si="2"/>
        <v>111583205</v>
      </c>
      <c r="H32" s="931">
        <f t="shared" si="11"/>
        <v>30</v>
      </c>
      <c r="I32" s="941">
        <f t="shared" si="3"/>
        <v>3540499.68</v>
      </c>
    </row>
    <row r="33" spans="2:9" ht="12.75" customHeight="1">
      <c r="G33" s="2794" t="s">
        <v>93</v>
      </c>
      <c r="H33" s="2836"/>
      <c r="I33" s="941">
        <f>SUM(I13:I32)</f>
        <v>34936528.289999999</v>
      </c>
    </row>
    <row r="34" spans="2:9" ht="13.5">
      <c r="B34" s="2591" t="s">
        <v>55</v>
      </c>
      <c r="C34" s="2591"/>
      <c r="D34" s="2591"/>
    </row>
    <row r="35" spans="2:9" ht="13.5">
      <c r="B35" s="2583" t="s">
        <v>1041</v>
      </c>
      <c r="C35" s="2584"/>
      <c r="D35" s="2091">
        <f>+C11</f>
        <v>111583205</v>
      </c>
    </row>
    <row r="36" spans="2:9" ht="13.5">
      <c r="B36" s="2583" t="s">
        <v>1042</v>
      </c>
      <c r="C36" s="2584"/>
      <c r="D36" s="1616">
        <f>+I33</f>
        <v>34936528.289999999</v>
      </c>
    </row>
    <row r="37" spans="2:9" ht="13.5">
      <c r="B37" s="741" t="s">
        <v>1043</v>
      </c>
      <c r="C37" s="741"/>
      <c r="D37" s="1616">
        <f>SUM(D35:D36)</f>
        <v>146519733.28999999</v>
      </c>
    </row>
  </sheetData>
  <mergeCells count="6">
    <mergeCell ref="B36:C36"/>
    <mergeCell ref="D11:I11"/>
    <mergeCell ref="D12:E12"/>
    <mergeCell ref="G33:H33"/>
    <mergeCell ref="B34:D34"/>
    <mergeCell ref="B35:C35"/>
  </mergeCells>
  <conditionalFormatting sqref="B12:C12">
    <cfRule type="duplicateValues" dxfId="15" priority="1"/>
  </conditionalFormatting>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D4EEB-065D-48E6-AB54-71564CDB9EBC}">
  <sheetPr codeName="Hoja97"/>
  <dimension ref="A2:M416"/>
  <sheetViews>
    <sheetView topLeftCell="A394" zoomScale="96" zoomScaleNormal="96" zoomScaleSheetLayoutView="130" workbookViewId="0">
      <selection activeCell="E417" sqref="E417"/>
    </sheetView>
  </sheetViews>
  <sheetFormatPr defaultColWidth="11.42578125" defaultRowHeight="12.75"/>
  <cols>
    <col min="1" max="1" width="2.5703125" style="686" customWidth="1"/>
    <col min="2" max="2" width="25.42578125" style="686" customWidth="1"/>
    <col min="3" max="3" width="18.5703125" style="686" customWidth="1"/>
    <col min="4" max="4" width="15.42578125" style="686" bestFit="1" customWidth="1"/>
    <col min="5" max="5" width="16.42578125" style="686" customWidth="1"/>
    <col min="6" max="6" width="14.7109375" style="686" bestFit="1" customWidth="1"/>
    <col min="7" max="7" width="14.7109375" style="686" customWidth="1"/>
    <col min="8" max="8" width="11.42578125" style="686"/>
    <col min="9" max="9" width="13.5703125" style="686" customWidth="1"/>
    <col min="10" max="10" width="12.140625" style="686" bestFit="1" customWidth="1"/>
    <col min="11" max="16384" width="11.42578125" style="686"/>
  </cols>
  <sheetData>
    <row r="2" spans="1:9">
      <c r="B2" s="2266" t="s">
        <v>121</v>
      </c>
      <c r="C2" s="2336" t="s">
        <v>1764</v>
      </c>
      <c r="D2" s="702"/>
    </row>
    <row r="3" spans="1:9" ht="25.5">
      <c r="B3" s="2230" t="s">
        <v>124</v>
      </c>
      <c r="C3" s="2337" t="s">
        <v>1765</v>
      </c>
      <c r="D3" s="2200"/>
    </row>
    <row r="4" spans="1:9">
      <c r="B4" s="1628" t="s">
        <v>287</v>
      </c>
      <c r="C4" s="2233">
        <v>44546</v>
      </c>
      <c r="D4" s="702"/>
    </row>
    <row r="5" spans="1:9">
      <c r="B5" s="2229" t="s">
        <v>351</v>
      </c>
      <c r="C5" s="2338" t="s">
        <v>820</v>
      </c>
      <c r="D5" s="702"/>
    </row>
    <row r="6" spans="1:9" ht="25.5">
      <c r="B6" s="2229" t="s">
        <v>124</v>
      </c>
      <c r="C6" s="2339" t="s">
        <v>1765</v>
      </c>
      <c r="D6" s="702"/>
    </row>
    <row r="7" spans="1:9">
      <c r="B7" s="2229" t="s">
        <v>1766</v>
      </c>
      <c r="C7" s="2233">
        <v>44888</v>
      </c>
      <c r="D7" s="702"/>
    </row>
    <row r="8" spans="1:9">
      <c r="C8" s="2337"/>
      <c r="D8" s="702"/>
    </row>
    <row r="9" spans="1:9">
      <c r="B9" s="2340" t="s">
        <v>1767</v>
      </c>
      <c r="C9" s="702"/>
      <c r="D9" s="2171" t="s">
        <v>1768</v>
      </c>
    </row>
    <row r="10" spans="1:9">
      <c r="B10" s="1628" t="s">
        <v>682</v>
      </c>
      <c r="C10" s="2171" t="s">
        <v>259</v>
      </c>
      <c r="D10" s="2341">
        <v>908526</v>
      </c>
    </row>
    <row r="11" spans="1:9">
      <c r="A11" s="702">
        <v>1</v>
      </c>
      <c r="B11" s="2342" t="s">
        <v>1769</v>
      </c>
      <c r="C11" s="2200">
        <v>100</v>
      </c>
      <c r="D11" s="2341">
        <f>+$D$10*C11</f>
        <v>90852600</v>
      </c>
    </row>
    <row r="12" spans="1:9">
      <c r="B12" s="2667" t="s">
        <v>1406</v>
      </c>
      <c r="C12" s="2668"/>
      <c r="D12" s="2668"/>
      <c r="E12" s="2668"/>
      <c r="F12" s="2668"/>
      <c r="G12" s="2668"/>
      <c r="H12" s="2668"/>
      <c r="I12" s="2669"/>
    </row>
    <row r="13" spans="1:9" ht="24.75" customHeight="1">
      <c r="B13" s="700" t="s">
        <v>206</v>
      </c>
      <c r="C13" s="700" t="s">
        <v>10</v>
      </c>
      <c r="D13" s="2837" t="s">
        <v>1040</v>
      </c>
      <c r="E13" s="2838"/>
      <c r="F13" s="699" t="s">
        <v>43</v>
      </c>
      <c r="G13" s="700" t="s">
        <v>129</v>
      </c>
      <c r="H13" s="2343" t="s">
        <v>706</v>
      </c>
      <c r="I13" s="700" t="s">
        <v>48</v>
      </c>
    </row>
    <row r="14" spans="1:9">
      <c r="A14" s="686">
        <v>1</v>
      </c>
      <c r="B14" s="2233">
        <v>44547</v>
      </c>
      <c r="C14" s="2233">
        <v>44561</v>
      </c>
      <c r="D14" s="705">
        <v>0</v>
      </c>
      <c r="E14" s="2180">
        <v>3.0800000000000001E-2</v>
      </c>
      <c r="F14" s="2094">
        <f>+((1+E14)^(1/360)-1)</f>
        <v>8.4267994225895038E-5</v>
      </c>
      <c r="G14" s="2095">
        <f>+$D$11</f>
        <v>90852600</v>
      </c>
      <c r="H14" s="702">
        <f>(C14-B14)+1</f>
        <v>15</v>
      </c>
      <c r="I14" s="2149">
        <f>ROUND(G14*H14*F14,2)</f>
        <v>114839.5</v>
      </c>
    </row>
    <row r="15" spans="1:9">
      <c r="A15" s="686">
        <v>2</v>
      </c>
      <c r="B15" s="2233">
        <v>44562</v>
      </c>
      <c r="C15" s="2233">
        <v>44592</v>
      </c>
      <c r="D15" s="705">
        <v>0</v>
      </c>
      <c r="E15" s="2180">
        <v>3.4700000000000002E-2</v>
      </c>
      <c r="F15" s="2094">
        <f t="shared" ref="F15:F28" si="0">+((1+E15)^(1/360)-1)</f>
        <v>9.4758738294453693E-5</v>
      </c>
      <c r="G15" s="2095">
        <f t="shared" ref="G15:G32" si="1">+$D$11</f>
        <v>90852600</v>
      </c>
      <c r="H15" s="702">
        <f t="shared" ref="H15:H17" si="2">(C15-B15)+1</f>
        <v>31</v>
      </c>
      <c r="I15" s="2149">
        <f>ROUND(G15*H15*F15,2)</f>
        <v>266881.40999999997</v>
      </c>
    </row>
    <row r="16" spans="1:9">
      <c r="A16" s="686">
        <v>3</v>
      </c>
      <c r="B16" s="2233">
        <v>44593</v>
      </c>
      <c r="C16" s="2233">
        <v>44620</v>
      </c>
      <c r="D16" s="705">
        <v>0</v>
      </c>
      <c r="E16" s="2180">
        <v>4.3099999999999999E-2</v>
      </c>
      <c r="F16" s="2094">
        <f t="shared" si="0"/>
        <v>1.1722089399812674E-4</v>
      </c>
      <c r="G16" s="2095">
        <f t="shared" si="1"/>
        <v>90852600</v>
      </c>
      <c r="H16" s="702">
        <f t="shared" si="2"/>
        <v>28</v>
      </c>
      <c r="I16" s="2149">
        <f t="shared" ref="I16:I17" si="3">ROUND(G16*H16*F16,2)</f>
        <v>298195.03999999998</v>
      </c>
    </row>
    <row r="17" spans="1:10">
      <c r="A17" s="686">
        <v>4</v>
      </c>
      <c r="B17" s="2233">
        <v>44621</v>
      </c>
      <c r="C17" s="2233">
        <v>44637</v>
      </c>
      <c r="D17" s="705">
        <v>0</v>
      </c>
      <c r="E17" s="2180">
        <v>4.9700000000000001E-2</v>
      </c>
      <c r="F17" s="2094">
        <f t="shared" si="0"/>
        <v>1.3474354670628408E-4</v>
      </c>
      <c r="G17" s="2095">
        <f t="shared" si="1"/>
        <v>90852600</v>
      </c>
      <c r="H17" s="702">
        <f t="shared" si="2"/>
        <v>17</v>
      </c>
      <c r="I17" s="2149">
        <f t="shared" si="3"/>
        <v>208110.63</v>
      </c>
    </row>
    <row r="18" spans="1:10">
      <c r="A18" s="686">
        <v>5</v>
      </c>
      <c r="B18" s="2233">
        <v>44638</v>
      </c>
      <c r="C18" s="2233">
        <v>44651</v>
      </c>
      <c r="D18" s="705">
        <v>0</v>
      </c>
      <c r="E18" s="2180">
        <v>4.9700000000000001E-2</v>
      </c>
      <c r="F18" s="2094">
        <f t="shared" si="0"/>
        <v>1.3474354670628408E-4</v>
      </c>
      <c r="G18" s="2095">
        <f t="shared" si="1"/>
        <v>90852600</v>
      </c>
      <c r="H18" s="702">
        <v>0</v>
      </c>
      <c r="I18" s="2178">
        <f t="shared" ref="I18" si="4">ROUND(G18*H18*F18,0)</f>
        <v>0</v>
      </c>
    </row>
    <row r="19" spans="1:10">
      <c r="A19" s="686">
        <v>6</v>
      </c>
      <c r="B19" s="2233">
        <v>44652</v>
      </c>
      <c r="C19" s="2233">
        <v>44681</v>
      </c>
      <c r="D19" s="705">
        <v>0</v>
      </c>
      <c r="E19" s="2180">
        <v>5.9700000000000003E-2</v>
      </c>
      <c r="F19" s="2094">
        <f t="shared" si="0"/>
        <v>1.6108477608911542E-4</v>
      </c>
      <c r="G19" s="2095">
        <f t="shared" si="1"/>
        <v>90852600</v>
      </c>
      <c r="H19" s="702">
        <v>0</v>
      </c>
      <c r="I19" s="2178">
        <f t="shared" ref="I19:I23" si="5">ROUND(G19*H19*F19,0)</f>
        <v>0</v>
      </c>
    </row>
    <row r="20" spans="1:10">
      <c r="A20" s="686">
        <v>7</v>
      </c>
      <c r="B20" s="2233">
        <v>44682</v>
      </c>
      <c r="C20" s="2233">
        <v>44712</v>
      </c>
      <c r="D20" s="705">
        <v>0</v>
      </c>
      <c r="E20" s="2180">
        <v>7.0400000000000004E-2</v>
      </c>
      <c r="F20" s="2094">
        <f t="shared" si="0"/>
        <v>1.8899677539563342E-4</v>
      </c>
      <c r="G20" s="2095">
        <f t="shared" si="1"/>
        <v>90852600</v>
      </c>
      <c r="H20" s="702">
        <v>0</v>
      </c>
      <c r="I20" s="2178">
        <f t="shared" si="5"/>
        <v>0</v>
      </c>
    </row>
    <row r="21" spans="1:10">
      <c r="A21" s="686">
        <v>8</v>
      </c>
      <c r="B21" s="2233">
        <v>44713</v>
      </c>
      <c r="C21" s="2233">
        <v>44742</v>
      </c>
      <c r="D21" s="705">
        <v>0</v>
      </c>
      <c r="E21" s="2180">
        <v>7.7200000000000005E-2</v>
      </c>
      <c r="F21" s="2094">
        <f t="shared" si="0"/>
        <v>2.0659100908204664E-4</v>
      </c>
      <c r="G21" s="2095">
        <f t="shared" si="1"/>
        <v>90852600</v>
      </c>
      <c r="H21" s="702">
        <v>0</v>
      </c>
      <c r="I21" s="2178">
        <f t="shared" si="5"/>
        <v>0</v>
      </c>
    </row>
    <row r="22" spans="1:10">
      <c r="A22" s="686">
        <v>9</v>
      </c>
      <c r="B22" s="2233">
        <v>44743</v>
      </c>
      <c r="C22" s="2233">
        <v>44773</v>
      </c>
      <c r="D22" s="705">
        <v>0</v>
      </c>
      <c r="E22" s="2180">
        <v>9.2999999999999999E-2</v>
      </c>
      <c r="F22" s="2094">
        <f t="shared" si="0"/>
        <v>2.4704775903483522E-4</v>
      </c>
      <c r="G22" s="2095">
        <f t="shared" si="1"/>
        <v>90852600</v>
      </c>
      <c r="H22" s="702">
        <v>0</v>
      </c>
      <c r="I22" s="2178">
        <f t="shared" si="5"/>
        <v>0</v>
      </c>
    </row>
    <row r="23" spans="1:10">
      <c r="A23" s="686">
        <v>10</v>
      </c>
      <c r="B23" s="2233">
        <v>44774</v>
      </c>
      <c r="C23" s="2233">
        <v>44804</v>
      </c>
      <c r="D23" s="705">
        <v>0</v>
      </c>
      <c r="E23" s="2180">
        <v>0.1057</v>
      </c>
      <c r="F23" s="2094">
        <f t="shared" si="0"/>
        <v>2.7914622785418786E-4</v>
      </c>
      <c r="G23" s="2095">
        <f t="shared" si="1"/>
        <v>90852600</v>
      </c>
      <c r="H23" s="702">
        <v>0</v>
      </c>
      <c r="I23" s="2178">
        <f t="shared" si="5"/>
        <v>0</v>
      </c>
    </row>
    <row r="24" spans="1:10">
      <c r="A24" s="686">
        <v>11</v>
      </c>
      <c r="B24" s="2233">
        <v>44805</v>
      </c>
      <c r="C24" s="2233">
        <v>44834</v>
      </c>
      <c r="D24" s="705">
        <v>0</v>
      </c>
      <c r="E24" s="2180">
        <v>0.1099</v>
      </c>
      <c r="F24" s="2094">
        <f t="shared" si="0"/>
        <v>2.8968061926226696E-4</v>
      </c>
      <c r="G24" s="2095">
        <f t="shared" si="1"/>
        <v>90852600</v>
      </c>
      <c r="H24" s="702">
        <v>0</v>
      </c>
      <c r="I24" s="2178">
        <f>ROUND(G24*H24*F24,0)</f>
        <v>0</v>
      </c>
    </row>
    <row r="25" spans="1:10">
      <c r="A25" s="686">
        <v>12</v>
      </c>
      <c r="B25" s="2233">
        <v>44835</v>
      </c>
      <c r="C25" s="2233">
        <v>44865</v>
      </c>
      <c r="D25" s="705">
        <v>0</v>
      </c>
      <c r="E25" s="2180">
        <v>0.11600000000000001</v>
      </c>
      <c r="F25" s="2094">
        <f t="shared" si="0"/>
        <v>3.0490998660059887E-4</v>
      </c>
      <c r="G25" s="2095">
        <f t="shared" si="1"/>
        <v>90852600</v>
      </c>
      <c r="H25" s="702">
        <v>0</v>
      </c>
      <c r="I25" s="2178">
        <f>ROUND(G25*H25*F25,0)</f>
        <v>0</v>
      </c>
    </row>
    <row r="26" spans="1:10">
      <c r="A26" s="686">
        <v>13</v>
      </c>
      <c r="B26" s="2233">
        <v>44866</v>
      </c>
      <c r="C26" s="2233">
        <v>44888</v>
      </c>
      <c r="D26" s="705">
        <v>0</v>
      </c>
      <c r="E26" s="2180">
        <v>0.1263</v>
      </c>
      <c r="F26" s="2094">
        <f t="shared" si="0"/>
        <v>3.3043770493557112E-4</v>
      </c>
      <c r="G26" s="2095">
        <f t="shared" si="1"/>
        <v>90852600</v>
      </c>
      <c r="H26" s="702">
        <v>0</v>
      </c>
      <c r="I26" s="2178">
        <f>ROUND(G26*H26*F26,0)</f>
        <v>0</v>
      </c>
    </row>
    <row r="27" spans="1:10">
      <c r="A27" s="686">
        <v>14</v>
      </c>
      <c r="B27" s="2233">
        <v>44888</v>
      </c>
      <c r="C27" s="2233">
        <v>44895</v>
      </c>
      <c r="D27" s="705">
        <v>0</v>
      </c>
      <c r="E27" s="2180">
        <v>0.1263</v>
      </c>
      <c r="F27" s="2094">
        <f t="shared" si="0"/>
        <v>3.3043770493557112E-4</v>
      </c>
      <c r="G27" s="2095">
        <f t="shared" si="1"/>
        <v>90852600</v>
      </c>
      <c r="H27" s="702">
        <f t="shared" ref="H27:H28" si="6">(C27-B27)+1</f>
        <v>8</v>
      </c>
      <c r="I27" s="2149">
        <f t="shared" ref="I27:I32" si="7">ROUND(G27*H27*F27,2)</f>
        <v>240169</v>
      </c>
    </row>
    <row r="28" spans="1:10">
      <c r="A28" s="686">
        <v>15</v>
      </c>
      <c r="B28" s="2233">
        <v>44896</v>
      </c>
      <c r="C28" s="2233">
        <v>44926</v>
      </c>
      <c r="D28" s="705">
        <v>0</v>
      </c>
      <c r="E28" s="2180">
        <v>0.13420000000000001</v>
      </c>
      <c r="F28" s="2094">
        <f t="shared" si="0"/>
        <v>3.4985995505043554E-4</v>
      </c>
      <c r="G28" s="2095">
        <f t="shared" si="1"/>
        <v>90852600</v>
      </c>
      <c r="H28" s="702">
        <f t="shared" si="6"/>
        <v>31</v>
      </c>
      <c r="I28" s="2149">
        <f t="shared" si="7"/>
        <v>985356.28</v>
      </c>
    </row>
    <row r="29" spans="1:10">
      <c r="A29" s="686">
        <v>16</v>
      </c>
      <c r="B29" s="2233">
        <v>44927</v>
      </c>
      <c r="C29" s="2233">
        <v>44957</v>
      </c>
      <c r="D29" s="705">
        <v>0</v>
      </c>
      <c r="E29" s="2180">
        <v>0.1391</v>
      </c>
      <c r="F29" s="2094">
        <f t="shared" ref="F29:F32" si="8">+((1+E29)^(1/360)-1)</f>
        <v>3.6183899495223493E-4</v>
      </c>
      <c r="G29" s="2095">
        <f t="shared" si="1"/>
        <v>90852600</v>
      </c>
      <c r="H29" s="702">
        <f t="shared" ref="H29:H32" si="9">(C29-B29)+1</f>
        <v>31</v>
      </c>
      <c r="I29" s="2149">
        <f t="shared" si="7"/>
        <v>1019094.42</v>
      </c>
      <c r="J29" s="2335">
        <f>+I29</f>
        <v>1019094.42</v>
      </c>
    </row>
    <row r="30" spans="1:10">
      <c r="A30" s="686">
        <v>17</v>
      </c>
      <c r="B30" s="2233">
        <v>44958</v>
      </c>
      <c r="C30" s="2233">
        <v>44985</v>
      </c>
      <c r="D30" s="705">
        <v>0</v>
      </c>
      <c r="E30" s="2529">
        <v>0.1439</v>
      </c>
      <c r="F30" s="2094">
        <f t="shared" si="8"/>
        <v>3.7352384419087059E-4</v>
      </c>
      <c r="G30" s="2095">
        <f t="shared" si="1"/>
        <v>90852600</v>
      </c>
      <c r="H30" s="702">
        <f t="shared" si="9"/>
        <v>28</v>
      </c>
      <c r="I30" s="2149">
        <f t="shared" si="7"/>
        <v>950197.15</v>
      </c>
      <c r="J30" s="2335"/>
    </row>
    <row r="31" spans="1:10">
      <c r="A31" s="686">
        <v>18</v>
      </c>
      <c r="B31" s="2233">
        <v>44986</v>
      </c>
      <c r="C31" s="2233">
        <v>45016</v>
      </c>
      <c r="D31" s="705">
        <v>0</v>
      </c>
      <c r="E31" s="2180">
        <v>0.1331</v>
      </c>
      <c r="F31" s="2094">
        <f t="shared" si="8"/>
        <v>3.4716369016041249E-4</v>
      </c>
      <c r="G31" s="2095">
        <f t="shared" si="1"/>
        <v>90852600</v>
      </c>
      <c r="H31" s="702">
        <f t="shared" si="9"/>
        <v>31</v>
      </c>
      <c r="I31" s="2149">
        <f t="shared" si="7"/>
        <v>977762.44</v>
      </c>
      <c r="J31" s="2335"/>
    </row>
    <row r="32" spans="1:10">
      <c r="A32" s="686">
        <v>19</v>
      </c>
      <c r="B32" s="2233">
        <v>45017</v>
      </c>
      <c r="C32" s="2233">
        <v>45046</v>
      </c>
      <c r="D32" s="705"/>
      <c r="E32" s="2180"/>
      <c r="F32" s="2094">
        <f t="shared" si="8"/>
        <v>0</v>
      </c>
      <c r="G32" s="2095">
        <f t="shared" si="1"/>
        <v>90852600</v>
      </c>
      <c r="H32" s="702">
        <f t="shared" si="9"/>
        <v>30</v>
      </c>
      <c r="I32" s="2149">
        <f t="shared" si="7"/>
        <v>0</v>
      </c>
      <c r="J32" s="2335"/>
    </row>
    <row r="33" spans="1:9">
      <c r="G33" s="2663" t="s">
        <v>951</v>
      </c>
      <c r="H33" s="2663"/>
      <c r="I33" s="2330">
        <f>SUM(I14:I32)</f>
        <v>5060605.87</v>
      </c>
    </row>
    <row r="35" spans="1:9">
      <c r="A35" s="702">
        <v>2</v>
      </c>
      <c r="B35" s="2344" t="s">
        <v>1770</v>
      </c>
      <c r="C35" s="2200">
        <v>100</v>
      </c>
      <c r="D35" s="2341">
        <f>+$D$10*C35</f>
        <v>90852600</v>
      </c>
    </row>
    <row r="36" spans="1:9">
      <c r="B36" s="2667" t="s">
        <v>1406</v>
      </c>
      <c r="C36" s="2668"/>
      <c r="D36" s="2668"/>
      <c r="E36" s="2668"/>
      <c r="F36" s="2668"/>
      <c r="G36" s="2668"/>
      <c r="H36" s="2668"/>
      <c r="I36" s="2669"/>
    </row>
    <row r="37" spans="1:9" ht="25.5">
      <c r="B37" s="700" t="s">
        <v>206</v>
      </c>
      <c r="C37" s="700" t="s">
        <v>10</v>
      </c>
      <c r="D37" s="2837" t="s">
        <v>1040</v>
      </c>
      <c r="E37" s="2838"/>
      <c r="F37" s="699" t="s">
        <v>43</v>
      </c>
      <c r="G37" s="700" t="s">
        <v>129</v>
      </c>
      <c r="H37" s="2343" t="s">
        <v>706</v>
      </c>
      <c r="I37" s="700" t="s">
        <v>48</v>
      </c>
    </row>
    <row r="38" spans="1:9">
      <c r="A38" s="686">
        <v>1</v>
      </c>
      <c r="B38" s="2233">
        <v>44547</v>
      </c>
      <c r="C38" s="2233">
        <v>44561</v>
      </c>
      <c r="D38" s="705">
        <v>0</v>
      </c>
      <c r="E38" s="2180">
        <v>3.0800000000000001E-2</v>
      </c>
      <c r="F38" s="2094">
        <f>+((1+E38)^(1/360)-1)</f>
        <v>8.4267994225895038E-5</v>
      </c>
      <c r="G38" s="2095">
        <f>+$D$35</f>
        <v>90852600</v>
      </c>
      <c r="H38" s="702">
        <f>(C38-B38)+1</f>
        <v>15</v>
      </c>
      <c r="I38" s="2149">
        <f>ROUND(G38*H38*F38,2)</f>
        <v>114839.5</v>
      </c>
    </row>
    <row r="39" spans="1:9">
      <c r="A39" s="686">
        <v>2</v>
      </c>
      <c r="B39" s="2233">
        <v>44562</v>
      </c>
      <c r="C39" s="2233">
        <v>44592</v>
      </c>
      <c r="D39" s="705">
        <v>0</v>
      </c>
      <c r="E39" s="2180">
        <v>3.4700000000000002E-2</v>
      </c>
      <c r="F39" s="2094">
        <f t="shared" ref="F39:F52" si="10">+((1+E39)^(1/360)-1)</f>
        <v>9.4758738294453693E-5</v>
      </c>
      <c r="G39" s="2095">
        <f t="shared" ref="G39:G49" si="11">+$D$35</f>
        <v>90852600</v>
      </c>
      <c r="H39" s="702">
        <f t="shared" ref="H39:H41" si="12">(C39-B39)+1</f>
        <v>31</v>
      </c>
      <c r="I39" s="2149">
        <f t="shared" ref="I39:I41" si="13">ROUND(G39*H39*F39,2)</f>
        <v>266881.40999999997</v>
      </c>
    </row>
    <row r="40" spans="1:9">
      <c r="A40" s="686">
        <v>3</v>
      </c>
      <c r="B40" s="2233">
        <v>44593</v>
      </c>
      <c r="C40" s="2233">
        <v>44620</v>
      </c>
      <c r="D40" s="705">
        <v>0</v>
      </c>
      <c r="E40" s="2180">
        <v>4.3099999999999999E-2</v>
      </c>
      <c r="F40" s="2094">
        <f t="shared" si="10"/>
        <v>1.1722089399812674E-4</v>
      </c>
      <c r="G40" s="2095">
        <f t="shared" si="11"/>
        <v>90852600</v>
      </c>
      <c r="H40" s="702">
        <f t="shared" si="12"/>
        <v>28</v>
      </c>
      <c r="I40" s="2149">
        <f t="shared" si="13"/>
        <v>298195.03999999998</v>
      </c>
    </row>
    <row r="41" spans="1:9">
      <c r="A41" s="686">
        <v>4</v>
      </c>
      <c r="B41" s="2233">
        <v>44621</v>
      </c>
      <c r="C41" s="2233">
        <v>44637</v>
      </c>
      <c r="D41" s="705">
        <v>0</v>
      </c>
      <c r="E41" s="2180">
        <v>4.9700000000000001E-2</v>
      </c>
      <c r="F41" s="2094">
        <f t="shared" si="10"/>
        <v>1.3474354670628408E-4</v>
      </c>
      <c r="G41" s="2095">
        <f t="shared" si="11"/>
        <v>90852600</v>
      </c>
      <c r="H41" s="702">
        <f t="shared" si="12"/>
        <v>17</v>
      </c>
      <c r="I41" s="2149">
        <f t="shared" si="13"/>
        <v>208110.63</v>
      </c>
    </row>
    <row r="42" spans="1:9">
      <c r="A42" s="686">
        <v>5</v>
      </c>
      <c r="B42" s="2233">
        <v>44638</v>
      </c>
      <c r="C42" s="2233">
        <v>44651</v>
      </c>
      <c r="D42" s="705">
        <v>0</v>
      </c>
      <c r="E42" s="2180">
        <v>4.9700000000000001E-2</v>
      </c>
      <c r="F42" s="2094">
        <f t="shared" si="10"/>
        <v>1.3474354670628408E-4</v>
      </c>
      <c r="G42" s="2095">
        <f t="shared" ref="G42" si="14">+$D$11</f>
        <v>90852600</v>
      </c>
      <c r="H42" s="702">
        <v>0</v>
      </c>
      <c r="I42" s="2178">
        <f t="shared" ref="I42:I47" si="15">ROUND(G42*H42*F42,0)</f>
        <v>0</v>
      </c>
    </row>
    <row r="43" spans="1:9">
      <c r="A43" s="686">
        <v>6</v>
      </c>
      <c r="B43" s="2233">
        <v>44652</v>
      </c>
      <c r="C43" s="2233">
        <v>44681</v>
      </c>
      <c r="D43" s="705">
        <v>0</v>
      </c>
      <c r="E43" s="2180">
        <v>5.9700000000000003E-2</v>
      </c>
      <c r="F43" s="2094">
        <f t="shared" si="10"/>
        <v>1.6108477608911542E-4</v>
      </c>
      <c r="G43" s="2095">
        <f t="shared" si="11"/>
        <v>90852600</v>
      </c>
      <c r="H43" s="702"/>
      <c r="I43" s="2178">
        <f t="shared" si="15"/>
        <v>0</v>
      </c>
    </row>
    <row r="44" spans="1:9">
      <c r="A44" s="686">
        <v>7</v>
      </c>
      <c r="B44" s="2233">
        <v>44682</v>
      </c>
      <c r="C44" s="2233">
        <v>44712</v>
      </c>
      <c r="D44" s="705">
        <v>0</v>
      </c>
      <c r="E44" s="2180">
        <v>7.0400000000000004E-2</v>
      </c>
      <c r="F44" s="2094">
        <f t="shared" si="10"/>
        <v>1.8899677539563342E-4</v>
      </c>
      <c r="G44" s="2095">
        <f>+$D$35</f>
        <v>90852600</v>
      </c>
      <c r="H44" s="702"/>
      <c r="I44" s="2178">
        <f t="shared" si="15"/>
        <v>0</v>
      </c>
    </row>
    <row r="45" spans="1:9">
      <c r="A45" s="686">
        <v>8</v>
      </c>
      <c r="B45" s="2233">
        <v>44713</v>
      </c>
      <c r="C45" s="2233">
        <v>44742</v>
      </c>
      <c r="D45" s="705">
        <v>0</v>
      </c>
      <c r="E45" s="2180">
        <v>7.7200000000000005E-2</v>
      </c>
      <c r="F45" s="2094">
        <f t="shared" si="10"/>
        <v>2.0659100908204664E-4</v>
      </c>
      <c r="G45" s="2095">
        <f t="shared" si="11"/>
        <v>90852600</v>
      </c>
      <c r="H45" s="702"/>
      <c r="I45" s="2178">
        <f t="shared" si="15"/>
        <v>0</v>
      </c>
    </row>
    <row r="46" spans="1:9">
      <c r="A46" s="686">
        <v>9</v>
      </c>
      <c r="B46" s="2233">
        <v>44743</v>
      </c>
      <c r="C46" s="2233">
        <v>44773</v>
      </c>
      <c r="D46" s="705">
        <v>0</v>
      </c>
      <c r="E46" s="2180">
        <v>9.2999999999999999E-2</v>
      </c>
      <c r="F46" s="2094">
        <f t="shared" si="10"/>
        <v>2.4704775903483522E-4</v>
      </c>
      <c r="G46" s="2095">
        <f t="shared" si="11"/>
        <v>90852600</v>
      </c>
      <c r="H46" s="702"/>
      <c r="I46" s="2178">
        <f t="shared" si="15"/>
        <v>0</v>
      </c>
    </row>
    <row r="47" spans="1:9">
      <c r="A47" s="686">
        <v>10</v>
      </c>
      <c r="B47" s="2233">
        <v>44774</v>
      </c>
      <c r="C47" s="2233">
        <v>44804</v>
      </c>
      <c r="D47" s="705">
        <v>0</v>
      </c>
      <c r="E47" s="2180">
        <v>0.1057</v>
      </c>
      <c r="F47" s="2094">
        <f t="shared" si="10"/>
        <v>2.7914622785418786E-4</v>
      </c>
      <c r="G47" s="2095">
        <f t="shared" si="11"/>
        <v>90852600</v>
      </c>
      <c r="H47" s="702"/>
      <c r="I47" s="2178">
        <f t="shared" si="15"/>
        <v>0</v>
      </c>
    </row>
    <row r="48" spans="1:9">
      <c r="A48" s="686">
        <v>11</v>
      </c>
      <c r="B48" s="2233">
        <v>44805</v>
      </c>
      <c r="C48" s="2233">
        <v>44834</v>
      </c>
      <c r="D48" s="705">
        <v>0</v>
      </c>
      <c r="E48" s="2180">
        <v>0.1099</v>
      </c>
      <c r="F48" s="2094">
        <f t="shared" si="10"/>
        <v>2.8968061926226696E-4</v>
      </c>
      <c r="G48" s="2095">
        <f t="shared" si="11"/>
        <v>90852600</v>
      </c>
      <c r="H48" s="702"/>
      <c r="I48" s="2178">
        <f>ROUND(G48*H48*F48,0)</f>
        <v>0</v>
      </c>
    </row>
    <row r="49" spans="1:10">
      <c r="A49" s="686">
        <v>12</v>
      </c>
      <c r="B49" s="2233">
        <v>44835</v>
      </c>
      <c r="C49" s="2233">
        <v>44865</v>
      </c>
      <c r="D49" s="705">
        <v>0</v>
      </c>
      <c r="E49" s="2180">
        <v>0.11600000000000001</v>
      </c>
      <c r="F49" s="2094">
        <f t="shared" si="10"/>
        <v>3.0490998660059887E-4</v>
      </c>
      <c r="G49" s="2095">
        <f t="shared" si="11"/>
        <v>90852600</v>
      </c>
      <c r="H49" s="702"/>
      <c r="I49" s="2178">
        <f>ROUND(G49*H49*F49,0)</f>
        <v>0</v>
      </c>
    </row>
    <row r="50" spans="1:10">
      <c r="A50" s="686">
        <v>13</v>
      </c>
      <c r="B50" s="2233">
        <v>44866</v>
      </c>
      <c r="C50" s="2233">
        <v>44888</v>
      </c>
      <c r="D50" s="705">
        <v>0</v>
      </c>
      <c r="E50" s="2180">
        <v>0.1263</v>
      </c>
      <c r="F50" s="2094">
        <f t="shared" si="10"/>
        <v>3.3043770493557112E-4</v>
      </c>
      <c r="G50" s="2095">
        <f t="shared" ref="G50:G56" si="16">+$D$11</f>
        <v>90852600</v>
      </c>
      <c r="H50" s="702">
        <v>0</v>
      </c>
      <c r="I50" s="2178">
        <f>ROUND(G50*H50*F50,0)</f>
        <v>0</v>
      </c>
    </row>
    <row r="51" spans="1:10">
      <c r="A51" s="686">
        <v>14</v>
      </c>
      <c r="B51" s="2233">
        <v>44888</v>
      </c>
      <c r="C51" s="2233">
        <v>44895</v>
      </c>
      <c r="D51" s="705">
        <v>0</v>
      </c>
      <c r="E51" s="2180">
        <v>0.1263</v>
      </c>
      <c r="F51" s="2094">
        <f t="shared" si="10"/>
        <v>3.3043770493557112E-4</v>
      </c>
      <c r="G51" s="2095">
        <f t="shared" si="16"/>
        <v>90852600</v>
      </c>
      <c r="H51" s="702">
        <f>(C51-B51)+1</f>
        <v>8</v>
      </c>
      <c r="I51" s="2149">
        <f t="shared" ref="I51:I56" si="17">ROUND(G51*H51*F51,2)</f>
        <v>240169</v>
      </c>
    </row>
    <row r="52" spans="1:10">
      <c r="A52" s="686">
        <v>15</v>
      </c>
      <c r="B52" s="2233">
        <v>44896</v>
      </c>
      <c r="C52" s="2233">
        <v>44926</v>
      </c>
      <c r="D52" s="705">
        <v>0</v>
      </c>
      <c r="E52" s="2180">
        <v>0.13420000000000001</v>
      </c>
      <c r="F52" s="2094">
        <f t="shared" si="10"/>
        <v>3.4985995505043554E-4</v>
      </c>
      <c r="G52" s="2095">
        <f t="shared" si="16"/>
        <v>90852600</v>
      </c>
      <c r="H52" s="702">
        <f t="shared" ref="H52" si="18">(C52-B52)+1</f>
        <v>31</v>
      </c>
      <c r="I52" s="2149">
        <f t="shared" si="17"/>
        <v>985356.28</v>
      </c>
    </row>
    <row r="53" spans="1:10">
      <c r="A53" s="686">
        <v>16</v>
      </c>
      <c r="B53" s="2233">
        <v>44927</v>
      </c>
      <c r="C53" s="2233">
        <v>44957</v>
      </c>
      <c r="D53" s="705">
        <v>0</v>
      </c>
      <c r="E53" s="2180">
        <v>0.1391</v>
      </c>
      <c r="F53" s="2094">
        <f t="shared" ref="F53:F54" si="19">+((1+E53)^(1/360)-1)</f>
        <v>3.6183899495223493E-4</v>
      </c>
      <c r="G53" s="2095">
        <f t="shared" si="16"/>
        <v>90852600</v>
      </c>
      <c r="H53" s="702">
        <f>(C53-B53)+1</f>
        <v>31</v>
      </c>
      <c r="I53" s="2149">
        <f t="shared" si="17"/>
        <v>1019094.42</v>
      </c>
      <c r="J53" s="2335">
        <f>+I53</f>
        <v>1019094.42</v>
      </c>
    </row>
    <row r="54" spans="1:10">
      <c r="A54" s="686">
        <v>17</v>
      </c>
      <c r="B54" s="2233">
        <v>44958</v>
      </c>
      <c r="C54" s="2233">
        <v>44985</v>
      </c>
      <c r="D54" s="705">
        <v>0</v>
      </c>
      <c r="E54" s="2180">
        <v>0.1439</v>
      </c>
      <c r="F54" s="2094">
        <f t="shared" si="19"/>
        <v>3.7352384419087059E-4</v>
      </c>
      <c r="G54" s="2095">
        <f t="shared" si="16"/>
        <v>90852600</v>
      </c>
      <c r="H54" s="702">
        <f t="shared" ref="H54" si="20">(C54-B54)+1</f>
        <v>28</v>
      </c>
      <c r="I54" s="2149">
        <f t="shared" si="17"/>
        <v>950197.15</v>
      </c>
      <c r="J54" s="2335"/>
    </row>
    <row r="55" spans="1:10">
      <c r="A55" s="686">
        <v>18</v>
      </c>
      <c r="B55" s="2233">
        <v>44986</v>
      </c>
      <c r="C55" s="2233">
        <v>45016</v>
      </c>
      <c r="D55" s="705">
        <v>0</v>
      </c>
      <c r="E55" s="2180">
        <v>0.1331</v>
      </c>
      <c r="F55" s="2094">
        <f t="shared" ref="F55" si="21">+((1+E55)^(1/360)-1)</f>
        <v>3.4716369016041249E-4</v>
      </c>
      <c r="G55" s="2095">
        <f t="shared" si="16"/>
        <v>90852600</v>
      </c>
      <c r="H55" s="702">
        <f>(C55-B55)+1</f>
        <v>31</v>
      </c>
      <c r="I55" s="2149">
        <f t="shared" si="17"/>
        <v>977762.44</v>
      </c>
      <c r="J55" s="2335"/>
    </row>
    <row r="56" spans="1:10">
      <c r="A56" s="686">
        <v>19</v>
      </c>
      <c r="B56" s="2233">
        <v>45017</v>
      </c>
      <c r="C56" s="2233">
        <v>45046</v>
      </c>
      <c r="D56" s="705">
        <v>0</v>
      </c>
      <c r="E56" s="2180"/>
      <c r="F56" s="2094">
        <f t="shared" ref="F56" si="22">+((1+E56)^(1/360)-1)</f>
        <v>0</v>
      </c>
      <c r="G56" s="2095">
        <f t="shared" si="16"/>
        <v>90852600</v>
      </c>
      <c r="H56" s="702">
        <f t="shared" ref="H56" si="23">(C56-B56)+1</f>
        <v>30</v>
      </c>
      <c r="I56" s="2149">
        <f t="shared" si="17"/>
        <v>0</v>
      </c>
      <c r="J56" s="2335"/>
    </row>
    <row r="57" spans="1:10">
      <c r="G57" s="2663" t="s">
        <v>951</v>
      </c>
      <c r="H57" s="2663"/>
      <c r="I57" s="2330">
        <f>SUM(I38:I56)</f>
        <v>5060605.87</v>
      </c>
    </row>
    <row r="58" spans="1:10">
      <c r="G58" s="2333"/>
      <c r="H58" s="2333"/>
      <c r="I58" s="2334"/>
    </row>
    <row r="59" spans="1:10">
      <c r="A59" s="702">
        <v>3</v>
      </c>
      <c r="B59" s="2344" t="s">
        <v>1771</v>
      </c>
      <c r="C59" s="2200">
        <v>100</v>
      </c>
      <c r="D59" s="2341">
        <f>+$D$10*C59</f>
        <v>90852600</v>
      </c>
    </row>
    <row r="60" spans="1:10">
      <c r="B60" s="2667" t="s">
        <v>1406</v>
      </c>
      <c r="C60" s="2668"/>
      <c r="D60" s="2668"/>
      <c r="E60" s="2668"/>
      <c r="F60" s="2668"/>
      <c r="G60" s="2668"/>
      <c r="H60" s="2668"/>
      <c r="I60" s="2669"/>
    </row>
    <row r="61" spans="1:10" ht="20.25" customHeight="1">
      <c r="B61" s="700" t="s">
        <v>206</v>
      </c>
      <c r="C61" s="700" t="s">
        <v>10</v>
      </c>
      <c r="D61" s="2837" t="s">
        <v>1040</v>
      </c>
      <c r="E61" s="2838"/>
      <c r="F61" s="699" t="s">
        <v>43</v>
      </c>
      <c r="G61" s="700" t="s">
        <v>129</v>
      </c>
      <c r="H61" s="2343" t="s">
        <v>706</v>
      </c>
      <c r="I61" s="700" t="s">
        <v>48</v>
      </c>
    </row>
    <row r="62" spans="1:10">
      <c r="A62" s="686">
        <v>1</v>
      </c>
      <c r="B62" s="2233">
        <v>44547</v>
      </c>
      <c r="C62" s="2233">
        <v>44561</v>
      </c>
      <c r="D62" s="705">
        <v>0</v>
      </c>
      <c r="E62" s="2180">
        <v>3.0800000000000001E-2</v>
      </c>
      <c r="F62" s="2094">
        <f>+((1+E62)^(1/360)-1)</f>
        <v>8.4267994225895038E-5</v>
      </c>
      <c r="G62" s="2095">
        <f>+$D$35</f>
        <v>90852600</v>
      </c>
      <c r="H62" s="702">
        <f>(C62-B62)+1</f>
        <v>15</v>
      </c>
      <c r="I62" s="2149">
        <f>ROUND(G62*H62*F62,2)</f>
        <v>114839.5</v>
      </c>
    </row>
    <row r="63" spans="1:10">
      <c r="A63" s="686">
        <v>2</v>
      </c>
      <c r="B63" s="2233">
        <v>44562</v>
      </c>
      <c r="C63" s="2233">
        <v>44592</v>
      </c>
      <c r="D63" s="705">
        <v>0</v>
      </c>
      <c r="E63" s="2180">
        <v>3.4700000000000002E-2</v>
      </c>
      <c r="F63" s="2094">
        <f t="shared" ref="F63:F76" si="24">+((1+E63)^(1/360)-1)</f>
        <v>9.4758738294453693E-5</v>
      </c>
      <c r="G63" s="2095">
        <f t="shared" ref="G63:G73" si="25">+$D$35</f>
        <v>90852600</v>
      </c>
      <c r="H63" s="702">
        <f t="shared" ref="H63:H65" si="26">(C63-B63)+1</f>
        <v>31</v>
      </c>
      <c r="I63" s="2149">
        <f t="shared" ref="I63:I65" si="27">ROUND(G63*H63*F63,2)</f>
        <v>266881.40999999997</v>
      </c>
    </row>
    <row r="64" spans="1:10">
      <c r="A64" s="686">
        <v>3</v>
      </c>
      <c r="B64" s="2233">
        <v>44593</v>
      </c>
      <c r="C64" s="2233">
        <v>44620</v>
      </c>
      <c r="D64" s="705">
        <v>0</v>
      </c>
      <c r="E64" s="2180">
        <v>4.3099999999999999E-2</v>
      </c>
      <c r="F64" s="2094">
        <f t="shared" si="24"/>
        <v>1.1722089399812674E-4</v>
      </c>
      <c r="G64" s="2095">
        <f t="shared" si="25"/>
        <v>90852600</v>
      </c>
      <c r="H64" s="702">
        <f t="shared" si="26"/>
        <v>28</v>
      </c>
      <c r="I64" s="2149">
        <f t="shared" si="27"/>
        <v>298195.03999999998</v>
      </c>
    </row>
    <row r="65" spans="1:13">
      <c r="A65" s="686">
        <v>4</v>
      </c>
      <c r="B65" s="2233">
        <v>44621</v>
      </c>
      <c r="C65" s="2233">
        <v>44637</v>
      </c>
      <c r="D65" s="705">
        <v>0</v>
      </c>
      <c r="E65" s="2180">
        <v>4.9700000000000001E-2</v>
      </c>
      <c r="F65" s="2094">
        <f t="shared" si="24"/>
        <v>1.3474354670628408E-4</v>
      </c>
      <c r="G65" s="2095">
        <f t="shared" si="25"/>
        <v>90852600</v>
      </c>
      <c r="H65" s="702">
        <f t="shared" si="26"/>
        <v>17</v>
      </c>
      <c r="I65" s="2149">
        <f t="shared" si="27"/>
        <v>208110.63</v>
      </c>
    </row>
    <row r="66" spans="1:13">
      <c r="A66" s="686">
        <v>5</v>
      </c>
      <c r="B66" s="2233">
        <v>44638</v>
      </c>
      <c r="C66" s="2233">
        <v>44651</v>
      </c>
      <c r="D66" s="705">
        <v>0</v>
      </c>
      <c r="E66" s="2180">
        <v>4.9700000000000001E-2</v>
      </c>
      <c r="F66" s="2094">
        <f t="shared" si="24"/>
        <v>1.3474354670628408E-4</v>
      </c>
      <c r="G66" s="2095">
        <f t="shared" ref="G66" si="28">+$D$11</f>
        <v>90852600</v>
      </c>
      <c r="H66" s="702">
        <v>0</v>
      </c>
      <c r="I66" s="2178">
        <f t="shared" ref="I66:I71" si="29">ROUND(G66*H66*F66,0)</f>
        <v>0</v>
      </c>
    </row>
    <row r="67" spans="1:13">
      <c r="A67" s="686">
        <v>6</v>
      </c>
      <c r="B67" s="2233">
        <v>44652</v>
      </c>
      <c r="C67" s="2233">
        <v>44681</v>
      </c>
      <c r="D67" s="705">
        <v>0</v>
      </c>
      <c r="E67" s="2180">
        <v>5.9700000000000003E-2</v>
      </c>
      <c r="F67" s="2094">
        <f t="shared" si="24"/>
        <v>1.6108477608911542E-4</v>
      </c>
      <c r="G67" s="2095">
        <f t="shared" si="25"/>
        <v>90852600</v>
      </c>
      <c r="H67" s="702"/>
      <c r="I67" s="2178">
        <f t="shared" si="29"/>
        <v>0</v>
      </c>
    </row>
    <row r="68" spans="1:13">
      <c r="A68" s="686">
        <v>7</v>
      </c>
      <c r="B68" s="2233">
        <v>44682</v>
      </c>
      <c r="C68" s="2233">
        <v>44712</v>
      </c>
      <c r="D68" s="705">
        <v>0</v>
      </c>
      <c r="E68" s="2180">
        <v>7.0400000000000004E-2</v>
      </c>
      <c r="F68" s="2094">
        <f t="shared" si="24"/>
        <v>1.8899677539563342E-4</v>
      </c>
      <c r="G68" s="2095">
        <f>+$D$35</f>
        <v>90852600</v>
      </c>
      <c r="H68" s="702"/>
      <c r="I68" s="2178">
        <f t="shared" si="29"/>
        <v>0</v>
      </c>
    </row>
    <row r="69" spans="1:13">
      <c r="A69" s="686">
        <v>8</v>
      </c>
      <c r="B69" s="2233">
        <v>44713</v>
      </c>
      <c r="C69" s="2233">
        <v>44742</v>
      </c>
      <c r="D69" s="705">
        <v>0</v>
      </c>
      <c r="E69" s="2180">
        <v>7.7200000000000005E-2</v>
      </c>
      <c r="F69" s="2094">
        <f t="shared" si="24"/>
        <v>2.0659100908204664E-4</v>
      </c>
      <c r="G69" s="2095">
        <f t="shared" si="25"/>
        <v>90852600</v>
      </c>
      <c r="H69" s="702"/>
      <c r="I69" s="2178">
        <f t="shared" si="29"/>
        <v>0</v>
      </c>
    </row>
    <row r="70" spans="1:13">
      <c r="A70" s="686">
        <v>9</v>
      </c>
      <c r="B70" s="2233">
        <v>44743</v>
      </c>
      <c r="C70" s="2233">
        <v>44773</v>
      </c>
      <c r="D70" s="705">
        <v>0</v>
      </c>
      <c r="E70" s="2180">
        <v>9.2999999999999999E-2</v>
      </c>
      <c r="F70" s="2094">
        <f t="shared" si="24"/>
        <v>2.4704775903483522E-4</v>
      </c>
      <c r="G70" s="2095">
        <f t="shared" si="25"/>
        <v>90852600</v>
      </c>
      <c r="H70" s="702"/>
      <c r="I70" s="2178">
        <f t="shared" si="29"/>
        <v>0</v>
      </c>
    </row>
    <row r="71" spans="1:13">
      <c r="A71" s="686">
        <v>10</v>
      </c>
      <c r="B71" s="2233">
        <v>44774</v>
      </c>
      <c r="C71" s="2233">
        <v>44804</v>
      </c>
      <c r="D71" s="705">
        <v>0</v>
      </c>
      <c r="E71" s="2180">
        <v>0.1057</v>
      </c>
      <c r="F71" s="2094">
        <f t="shared" si="24"/>
        <v>2.7914622785418786E-4</v>
      </c>
      <c r="G71" s="2095">
        <f t="shared" si="25"/>
        <v>90852600</v>
      </c>
      <c r="H71" s="702"/>
      <c r="I71" s="2178">
        <f t="shared" si="29"/>
        <v>0</v>
      </c>
    </row>
    <row r="72" spans="1:13">
      <c r="A72" s="686">
        <v>11</v>
      </c>
      <c r="B72" s="2233">
        <v>44805</v>
      </c>
      <c r="C72" s="2233">
        <v>44834</v>
      </c>
      <c r="D72" s="705">
        <v>0</v>
      </c>
      <c r="E72" s="2180">
        <v>0.1099</v>
      </c>
      <c r="F72" s="2094">
        <f t="shared" si="24"/>
        <v>2.8968061926226696E-4</v>
      </c>
      <c r="G72" s="2095">
        <f t="shared" si="25"/>
        <v>90852600</v>
      </c>
      <c r="H72" s="702"/>
      <c r="I72" s="2178">
        <f>ROUND(G72*H72*F72,0)</f>
        <v>0</v>
      </c>
    </row>
    <row r="73" spans="1:13">
      <c r="A73" s="686">
        <v>12</v>
      </c>
      <c r="B73" s="2233">
        <v>44835</v>
      </c>
      <c r="C73" s="2233">
        <v>44865</v>
      </c>
      <c r="D73" s="705">
        <v>0</v>
      </c>
      <c r="E73" s="2180">
        <v>0.11600000000000001</v>
      </c>
      <c r="F73" s="2094">
        <f t="shared" si="24"/>
        <v>3.0490998660059887E-4</v>
      </c>
      <c r="G73" s="2095">
        <f t="shared" si="25"/>
        <v>90852600</v>
      </c>
      <c r="H73" s="702"/>
      <c r="I73" s="2178">
        <f>ROUND(G73*H73*F73,0)</f>
        <v>0</v>
      </c>
    </row>
    <row r="74" spans="1:13">
      <c r="A74" s="686">
        <v>13</v>
      </c>
      <c r="B74" s="2233">
        <v>44866</v>
      </c>
      <c r="C74" s="2233">
        <v>44888</v>
      </c>
      <c r="D74" s="705">
        <v>0</v>
      </c>
      <c r="E74" s="2180">
        <v>0.1263</v>
      </c>
      <c r="F74" s="2094">
        <f t="shared" si="24"/>
        <v>3.3043770493557112E-4</v>
      </c>
      <c r="G74" s="2095">
        <f t="shared" ref="G74:G80" si="30">+$D$11</f>
        <v>90852600</v>
      </c>
      <c r="H74" s="702">
        <v>0</v>
      </c>
      <c r="I74" s="2178">
        <f>ROUND(G74*H74*F74,0)</f>
        <v>0</v>
      </c>
    </row>
    <row r="75" spans="1:13">
      <c r="A75" s="686">
        <v>14</v>
      </c>
      <c r="B75" s="2233">
        <v>44888</v>
      </c>
      <c r="C75" s="2233">
        <v>44895</v>
      </c>
      <c r="D75" s="705">
        <v>0</v>
      </c>
      <c r="E75" s="2180">
        <v>0.1263</v>
      </c>
      <c r="F75" s="2094">
        <f t="shared" si="24"/>
        <v>3.3043770493557112E-4</v>
      </c>
      <c r="G75" s="2095">
        <f t="shared" si="30"/>
        <v>90852600</v>
      </c>
      <c r="H75" s="702">
        <f>(C75-B75)+1</f>
        <v>8</v>
      </c>
      <c r="I75" s="2149">
        <f t="shared" ref="I75:I80" si="31">ROUND(G75*H75*F75,2)</f>
        <v>240169</v>
      </c>
      <c r="M75" s="715"/>
    </row>
    <row r="76" spans="1:13">
      <c r="A76" s="686">
        <v>15</v>
      </c>
      <c r="B76" s="2233">
        <v>44896</v>
      </c>
      <c r="C76" s="2233">
        <v>44926</v>
      </c>
      <c r="D76" s="705">
        <v>0</v>
      </c>
      <c r="E76" s="2180">
        <v>0.13420000000000001</v>
      </c>
      <c r="F76" s="2094">
        <f t="shared" si="24"/>
        <v>3.4985995505043554E-4</v>
      </c>
      <c r="G76" s="2095">
        <f t="shared" si="30"/>
        <v>90852600</v>
      </c>
      <c r="H76" s="702">
        <f t="shared" ref="H76" si="32">(C76-B76)+1</f>
        <v>31</v>
      </c>
      <c r="I76" s="2149">
        <f t="shared" si="31"/>
        <v>985356.28</v>
      </c>
      <c r="M76" s="715">
        <v>2000000</v>
      </c>
    </row>
    <row r="77" spans="1:13">
      <c r="A77" s="686">
        <v>16</v>
      </c>
      <c r="B77" s="2233">
        <v>44927</v>
      </c>
      <c r="C77" s="2233">
        <v>44957</v>
      </c>
      <c r="D77" s="705">
        <v>0</v>
      </c>
      <c r="E77" s="2180">
        <v>0.1391</v>
      </c>
      <c r="F77" s="2094">
        <f t="shared" ref="F77:F79" si="33">+((1+E77)^(1/360)-1)</f>
        <v>3.6183899495223493E-4</v>
      </c>
      <c r="G77" s="2095">
        <f t="shared" si="30"/>
        <v>90852600</v>
      </c>
      <c r="H77" s="702">
        <f>(C77-B77)+1</f>
        <v>31</v>
      </c>
      <c r="I77" s="2149">
        <f t="shared" si="31"/>
        <v>1019094.42</v>
      </c>
      <c r="J77" s="2335">
        <f>+I77</f>
        <v>1019094.42</v>
      </c>
      <c r="M77" s="715">
        <f>+M76*40%</f>
        <v>800000</v>
      </c>
    </row>
    <row r="78" spans="1:13" ht="13.5" customHeight="1">
      <c r="A78" s="686">
        <v>17</v>
      </c>
      <c r="B78" s="2233">
        <v>44958</v>
      </c>
      <c r="C78" s="2233">
        <v>44985</v>
      </c>
      <c r="D78" s="705">
        <v>0</v>
      </c>
      <c r="E78" s="2180">
        <v>0.1439</v>
      </c>
      <c r="F78" s="2094">
        <f t="shared" si="33"/>
        <v>3.7352384419087059E-4</v>
      </c>
      <c r="G78" s="2095">
        <f t="shared" si="30"/>
        <v>90852600</v>
      </c>
      <c r="H78" s="702">
        <f t="shared" ref="H78:H79" si="34">(C78-B78)+1</f>
        <v>28</v>
      </c>
      <c r="I78" s="2149">
        <f t="shared" si="31"/>
        <v>950197.15</v>
      </c>
      <c r="J78" s="2335"/>
      <c r="M78" s="715"/>
    </row>
    <row r="79" spans="1:13" ht="13.5" customHeight="1">
      <c r="A79" s="686">
        <v>18</v>
      </c>
      <c r="B79" s="2233">
        <v>44986</v>
      </c>
      <c r="C79" s="2233">
        <v>45016</v>
      </c>
      <c r="D79" s="705">
        <v>0</v>
      </c>
      <c r="E79" s="2180">
        <v>0.1331</v>
      </c>
      <c r="F79" s="2094">
        <f t="shared" si="33"/>
        <v>3.4716369016041249E-4</v>
      </c>
      <c r="G79" s="2095">
        <f t="shared" si="30"/>
        <v>90852600</v>
      </c>
      <c r="H79" s="702">
        <f t="shared" si="34"/>
        <v>31</v>
      </c>
      <c r="I79" s="2149">
        <f t="shared" si="31"/>
        <v>977762.44</v>
      </c>
      <c r="J79" s="2335"/>
      <c r="M79" s="715"/>
    </row>
    <row r="80" spans="1:13" ht="13.5" customHeight="1">
      <c r="A80" s="686">
        <v>19</v>
      </c>
      <c r="B80" s="2233">
        <v>45017</v>
      </c>
      <c r="C80" s="2233">
        <v>45046</v>
      </c>
      <c r="D80" s="705">
        <v>0</v>
      </c>
      <c r="E80" s="2180"/>
      <c r="F80" s="2094">
        <f t="shared" ref="F80" si="35">+((1+E80)^(1/360)-1)</f>
        <v>0</v>
      </c>
      <c r="G80" s="2095">
        <f t="shared" si="30"/>
        <v>90852600</v>
      </c>
      <c r="H80" s="702">
        <f>(C80-B80)+1</f>
        <v>30</v>
      </c>
      <c r="I80" s="2149">
        <f t="shared" si="31"/>
        <v>0</v>
      </c>
      <c r="J80" s="2335"/>
      <c r="M80" s="715"/>
    </row>
    <row r="81" spans="1:13">
      <c r="G81" s="2663" t="s">
        <v>951</v>
      </c>
      <c r="H81" s="2663"/>
      <c r="I81" s="2330">
        <f>SUM(I62:I80)</f>
        <v>5060605.87</v>
      </c>
      <c r="M81" s="715"/>
    </row>
    <row r="82" spans="1:13">
      <c r="A82" s="702">
        <v>4</v>
      </c>
      <c r="B82" s="2344" t="s">
        <v>1772</v>
      </c>
      <c r="C82" s="2200">
        <v>100</v>
      </c>
      <c r="D82" s="2341">
        <f>+$D$10*C82</f>
        <v>90852600</v>
      </c>
    </row>
    <row r="83" spans="1:13">
      <c r="B83" s="2667" t="s">
        <v>1406</v>
      </c>
      <c r="C83" s="2668"/>
      <c r="D83" s="2668"/>
      <c r="E83" s="2668"/>
      <c r="F83" s="2668"/>
      <c r="G83" s="2668"/>
      <c r="H83" s="2668"/>
      <c r="I83" s="2669"/>
    </row>
    <row r="84" spans="1:13" ht="25.5">
      <c r="B84" s="700" t="s">
        <v>206</v>
      </c>
      <c r="C84" s="700" t="s">
        <v>10</v>
      </c>
      <c r="D84" s="2837" t="s">
        <v>1040</v>
      </c>
      <c r="E84" s="2838"/>
      <c r="F84" s="699" t="s">
        <v>43</v>
      </c>
      <c r="G84" s="700" t="s">
        <v>129</v>
      </c>
      <c r="H84" s="2343" t="s">
        <v>706</v>
      </c>
      <c r="I84" s="700" t="s">
        <v>48</v>
      </c>
    </row>
    <row r="85" spans="1:13">
      <c r="A85" s="686">
        <v>1</v>
      </c>
      <c r="B85" s="2233">
        <v>44547</v>
      </c>
      <c r="C85" s="2233">
        <v>44561</v>
      </c>
      <c r="D85" s="705">
        <v>0</v>
      </c>
      <c r="E85" s="2180">
        <v>3.0800000000000001E-2</v>
      </c>
      <c r="F85" s="2094">
        <f>+((1+E85)^(1/360)-1)</f>
        <v>8.4267994225895038E-5</v>
      </c>
      <c r="G85" s="2095">
        <f>+$D$35</f>
        <v>90852600</v>
      </c>
      <c r="H85" s="702">
        <f>(C85-B85)+1</f>
        <v>15</v>
      </c>
      <c r="I85" s="2149">
        <f>ROUND(G85*H85*F85,2)</f>
        <v>114839.5</v>
      </c>
      <c r="K85" s="2335"/>
    </row>
    <row r="86" spans="1:13">
      <c r="A86" s="686">
        <v>2</v>
      </c>
      <c r="B86" s="2233">
        <v>44562</v>
      </c>
      <c r="C86" s="2233">
        <v>44592</v>
      </c>
      <c r="D86" s="705">
        <v>0</v>
      </c>
      <c r="E86" s="2180">
        <v>3.4700000000000002E-2</v>
      </c>
      <c r="F86" s="2094">
        <f t="shared" ref="F86:F99" si="36">+((1+E86)^(1/360)-1)</f>
        <v>9.4758738294453693E-5</v>
      </c>
      <c r="G86" s="2095">
        <f t="shared" ref="G86:G96" si="37">+$D$35</f>
        <v>90852600</v>
      </c>
      <c r="H86" s="702">
        <f t="shared" ref="H86:H88" si="38">(C86-B86)+1</f>
        <v>31</v>
      </c>
      <c r="I86" s="2149">
        <f t="shared" ref="I86:I88" si="39">ROUND(G86*H86*F86,2)</f>
        <v>266881.40999999997</v>
      </c>
      <c r="K86" s="2335"/>
    </row>
    <row r="87" spans="1:13">
      <c r="A87" s="686">
        <v>3</v>
      </c>
      <c r="B87" s="2233">
        <v>44593</v>
      </c>
      <c r="C87" s="2233">
        <v>44620</v>
      </c>
      <c r="D87" s="705">
        <v>0</v>
      </c>
      <c r="E87" s="2180">
        <v>4.3099999999999999E-2</v>
      </c>
      <c r="F87" s="2094">
        <f t="shared" si="36"/>
        <v>1.1722089399812674E-4</v>
      </c>
      <c r="G87" s="2095">
        <f t="shared" si="37"/>
        <v>90852600</v>
      </c>
      <c r="H87" s="702">
        <f t="shared" si="38"/>
        <v>28</v>
      </c>
      <c r="I87" s="2149">
        <f t="shared" si="39"/>
        <v>298195.03999999998</v>
      </c>
      <c r="K87" s="2335"/>
    </row>
    <row r="88" spans="1:13">
      <c r="A88" s="686">
        <v>4</v>
      </c>
      <c r="B88" s="2233">
        <v>44621</v>
      </c>
      <c r="C88" s="2233">
        <v>44637</v>
      </c>
      <c r="D88" s="705">
        <v>0</v>
      </c>
      <c r="E88" s="2180">
        <v>4.9700000000000001E-2</v>
      </c>
      <c r="F88" s="2094">
        <f t="shared" si="36"/>
        <v>1.3474354670628408E-4</v>
      </c>
      <c r="G88" s="2095">
        <f t="shared" si="37"/>
        <v>90852600</v>
      </c>
      <c r="H88" s="702">
        <f t="shared" si="38"/>
        <v>17</v>
      </c>
      <c r="I88" s="2149">
        <f t="shared" si="39"/>
        <v>208110.63</v>
      </c>
      <c r="K88" s="2335"/>
    </row>
    <row r="89" spans="1:13">
      <c r="A89" s="686">
        <v>5</v>
      </c>
      <c r="B89" s="2233">
        <v>44638</v>
      </c>
      <c r="C89" s="2233">
        <v>44651</v>
      </c>
      <c r="D89" s="705">
        <v>0</v>
      </c>
      <c r="E89" s="2180">
        <v>4.9700000000000001E-2</v>
      </c>
      <c r="F89" s="2094">
        <f t="shared" si="36"/>
        <v>1.3474354670628408E-4</v>
      </c>
      <c r="G89" s="2095">
        <f t="shared" ref="G89" si="40">+$D$11</f>
        <v>90852600</v>
      </c>
      <c r="H89" s="702">
        <v>0</v>
      </c>
      <c r="I89" s="2178">
        <f t="shared" ref="I89:I94" si="41">ROUND(G89*H89*F89,0)</f>
        <v>0</v>
      </c>
      <c r="K89" s="2335"/>
    </row>
    <row r="90" spans="1:13">
      <c r="A90" s="686">
        <v>6</v>
      </c>
      <c r="B90" s="2233">
        <v>44652</v>
      </c>
      <c r="C90" s="2233">
        <v>44681</v>
      </c>
      <c r="D90" s="705">
        <v>0</v>
      </c>
      <c r="E90" s="2180">
        <v>5.9700000000000003E-2</v>
      </c>
      <c r="F90" s="2094">
        <f t="shared" si="36"/>
        <v>1.6108477608911542E-4</v>
      </c>
      <c r="G90" s="2095">
        <f t="shared" si="37"/>
        <v>90852600</v>
      </c>
      <c r="H90" s="702"/>
      <c r="I90" s="2178">
        <f t="shared" si="41"/>
        <v>0</v>
      </c>
      <c r="K90" s="2335"/>
    </row>
    <row r="91" spans="1:13">
      <c r="A91" s="686">
        <v>7</v>
      </c>
      <c r="B91" s="2233">
        <v>44682</v>
      </c>
      <c r="C91" s="2233">
        <v>44712</v>
      </c>
      <c r="D91" s="705">
        <v>0</v>
      </c>
      <c r="E91" s="2180">
        <v>7.0400000000000004E-2</v>
      </c>
      <c r="F91" s="2094">
        <f t="shared" si="36"/>
        <v>1.8899677539563342E-4</v>
      </c>
      <c r="G91" s="2095">
        <f>+$D$35</f>
        <v>90852600</v>
      </c>
      <c r="H91" s="702"/>
      <c r="I91" s="2178">
        <f t="shared" si="41"/>
        <v>0</v>
      </c>
      <c r="K91" s="2335"/>
    </row>
    <row r="92" spans="1:13">
      <c r="A92" s="686">
        <v>8</v>
      </c>
      <c r="B92" s="2233">
        <v>44713</v>
      </c>
      <c r="C92" s="2233">
        <v>44742</v>
      </c>
      <c r="D92" s="705">
        <v>0</v>
      </c>
      <c r="E92" s="2180">
        <v>7.7200000000000005E-2</v>
      </c>
      <c r="F92" s="2094">
        <f t="shared" si="36"/>
        <v>2.0659100908204664E-4</v>
      </c>
      <c r="G92" s="2095">
        <f t="shared" si="37"/>
        <v>90852600</v>
      </c>
      <c r="H92" s="702"/>
      <c r="I92" s="2178">
        <f t="shared" si="41"/>
        <v>0</v>
      </c>
      <c r="K92" s="2335"/>
    </row>
    <row r="93" spans="1:13">
      <c r="A93" s="686">
        <v>9</v>
      </c>
      <c r="B93" s="2233">
        <v>44743</v>
      </c>
      <c r="C93" s="2233">
        <v>44773</v>
      </c>
      <c r="D93" s="705">
        <v>0</v>
      </c>
      <c r="E93" s="2180">
        <v>9.2999999999999999E-2</v>
      </c>
      <c r="F93" s="2094">
        <f t="shared" si="36"/>
        <v>2.4704775903483522E-4</v>
      </c>
      <c r="G93" s="2095">
        <f t="shared" si="37"/>
        <v>90852600</v>
      </c>
      <c r="H93" s="702"/>
      <c r="I93" s="2178">
        <f t="shared" si="41"/>
        <v>0</v>
      </c>
      <c r="K93" s="2335"/>
    </row>
    <row r="94" spans="1:13">
      <c r="A94" s="686">
        <v>10</v>
      </c>
      <c r="B94" s="2233">
        <v>44774</v>
      </c>
      <c r="C94" s="2233">
        <v>44804</v>
      </c>
      <c r="D94" s="705">
        <v>0</v>
      </c>
      <c r="E94" s="2180">
        <v>0.1057</v>
      </c>
      <c r="F94" s="2094">
        <f t="shared" si="36"/>
        <v>2.7914622785418786E-4</v>
      </c>
      <c r="G94" s="2095">
        <f t="shared" si="37"/>
        <v>90852600</v>
      </c>
      <c r="H94" s="702"/>
      <c r="I94" s="2178">
        <f t="shared" si="41"/>
        <v>0</v>
      </c>
      <c r="K94" s="2335"/>
    </row>
    <row r="95" spans="1:13">
      <c r="A95" s="686">
        <v>11</v>
      </c>
      <c r="B95" s="2233">
        <v>44805</v>
      </c>
      <c r="C95" s="2233">
        <v>44834</v>
      </c>
      <c r="D95" s="705">
        <v>0</v>
      </c>
      <c r="E95" s="2180">
        <v>0.1099</v>
      </c>
      <c r="F95" s="2094">
        <f t="shared" si="36"/>
        <v>2.8968061926226696E-4</v>
      </c>
      <c r="G95" s="2095">
        <f t="shared" si="37"/>
        <v>90852600</v>
      </c>
      <c r="H95" s="702"/>
      <c r="I95" s="2178">
        <f>ROUND(G95*H95*F95,0)</f>
        <v>0</v>
      </c>
      <c r="K95" s="2335"/>
    </row>
    <row r="96" spans="1:13">
      <c r="A96" s="686">
        <v>12</v>
      </c>
      <c r="B96" s="2233">
        <v>44835</v>
      </c>
      <c r="C96" s="2233">
        <v>44865</v>
      </c>
      <c r="D96" s="705">
        <v>0</v>
      </c>
      <c r="E96" s="2180">
        <v>0.11600000000000001</v>
      </c>
      <c r="F96" s="2094">
        <f t="shared" si="36"/>
        <v>3.0490998660059887E-4</v>
      </c>
      <c r="G96" s="2095">
        <f t="shared" si="37"/>
        <v>90852600</v>
      </c>
      <c r="H96" s="702"/>
      <c r="I96" s="2178">
        <f>ROUND(G96*H96*F96,0)</f>
        <v>0</v>
      </c>
      <c r="K96" s="2335"/>
    </row>
    <row r="97" spans="1:11">
      <c r="A97" s="686">
        <v>13</v>
      </c>
      <c r="B97" s="2233">
        <v>44866</v>
      </c>
      <c r="C97" s="2233">
        <v>44888</v>
      </c>
      <c r="D97" s="705">
        <v>0</v>
      </c>
      <c r="E97" s="2180">
        <v>0.1263</v>
      </c>
      <c r="F97" s="2094">
        <f t="shared" si="36"/>
        <v>3.3043770493557112E-4</v>
      </c>
      <c r="G97" s="2095">
        <f t="shared" ref="G97:G103" si="42">+$D$11</f>
        <v>90852600</v>
      </c>
      <c r="H97" s="702">
        <v>0</v>
      </c>
      <c r="I97" s="2178">
        <f>ROUND(G97*H97*F97,0)</f>
        <v>0</v>
      </c>
      <c r="K97" s="2335"/>
    </row>
    <row r="98" spans="1:11">
      <c r="A98" s="686">
        <v>14</v>
      </c>
      <c r="B98" s="2233">
        <v>44888</v>
      </c>
      <c r="C98" s="2233">
        <v>44895</v>
      </c>
      <c r="D98" s="705">
        <v>0</v>
      </c>
      <c r="E98" s="2180">
        <v>0.1263</v>
      </c>
      <c r="F98" s="2094">
        <f t="shared" si="36"/>
        <v>3.3043770493557112E-4</v>
      </c>
      <c r="G98" s="2095">
        <f t="shared" si="42"/>
        <v>90852600</v>
      </c>
      <c r="H98" s="702">
        <f>(C98-B98)+1</f>
        <v>8</v>
      </c>
      <c r="I98" s="2149">
        <f t="shared" ref="I98:I103" si="43">ROUND(G98*H98*F98,2)</f>
        <v>240169</v>
      </c>
      <c r="K98" s="2335"/>
    </row>
    <row r="99" spans="1:11">
      <c r="A99" s="686">
        <v>15</v>
      </c>
      <c r="B99" s="2233">
        <v>44896</v>
      </c>
      <c r="C99" s="2233">
        <v>44926</v>
      </c>
      <c r="D99" s="705">
        <v>0</v>
      </c>
      <c r="E99" s="2180">
        <v>0.13420000000000001</v>
      </c>
      <c r="F99" s="2094">
        <f t="shared" si="36"/>
        <v>3.4985995505043554E-4</v>
      </c>
      <c r="G99" s="2095">
        <f t="shared" si="42"/>
        <v>90852600</v>
      </c>
      <c r="H99" s="702">
        <f t="shared" ref="H99" si="44">(C99-B99)+1</f>
        <v>31</v>
      </c>
      <c r="I99" s="2149">
        <f t="shared" si="43"/>
        <v>985356.28</v>
      </c>
      <c r="K99" s="2335"/>
    </row>
    <row r="100" spans="1:11">
      <c r="A100" s="686">
        <v>16</v>
      </c>
      <c r="B100" s="2233">
        <v>44927</v>
      </c>
      <c r="C100" s="2233">
        <v>44957</v>
      </c>
      <c r="D100" s="705">
        <v>0</v>
      </c>
      <c r="E100" s="2180">
        <v>0.1391</v>
      </c>
      <c r="F100" s="2094">
        <f t="shared" ref="F100:F102" si="45">+((1+E100)^(1/360)-1)</f>
        <v>3.6183899495223493E-4</v>
      </c>
      <c r="G100" s="2095">
        <f t="shared" si="42"/>
        <v>90852600</v>
      </c>
      <c r="H100" s="702">
        <f>(C100-B100)+1</f>
        <v>31</v>
      </c>
      <c r="I100" s="2149">
        <f t="shared" si="43"/>
        <v>1019094.42</v>
      </c>
      <c r="J100" s="2335">
        <f>+I100</f>
        <v>1019094.42</v>
      </c>
      <c r="K100" s="2335"/>
    </row>
    <row r="101" spans="1:11">
      <c r="A101" s="686">
        <v>17</v>
      </c>
      <c r="B101" s="2233">
        <v>44958</v>
      </c>
      <c r="C101" s="2233">
        <v>44985</v>
      </c>
      <c r="D101" s="705">
        <v>0</v>
      </c>
      <c r="E101" s="2180">
        <v>0.1439</v>
      </c>
      <c r="F101" s="2094">
        <f t="shared" si="45"/>
        <v>3.7352384419087059E-4</v>
      </c>
      <c r="G101" s="2095">
        <f t="shared" si="42"/>
        <v>90852600</v>
      </c>
      <c r="H101" s="702">
        <f t="shared" ref="H101:H102" si="46">(C101-B101)+1</f>
        <v>28</v>
      </c>
      <c r="I101" s="2149">
        <f t="shared" si="43"/>
        <v>950197.15</v>
      </c>
      <c r="J101" s="2335"/>
      <c r="K101" s="2335"/>
    </row>
    <row r="102" spans="1:11">
      <c r="A102" s="686">
        <v>18</v>
      </c>
      <c r="B102" s="2233">
        <v>44986</v>
      </c>
      <c r="C102" s="2233">
        <v>45016</v>
      </c>
      <c r="D102" s="705">
        <v>0</v>
      </c>
      <c r="E102" s="2180">
        <v>0.1331</v>
      </c>
      <c r="F102" s="2094">
        <f t="shared" si="45"/>
        <v>3.4716369016041249E-4</v>
      </c>
      <c r="G102" s="2095">
        <f t="shared" si="42"/>
        <v>90852600</v>
      </c>
      <c r="H102" s="702">
        <f t="shared" si="46"/>
        <v>31</v>
      </c>
      <c r="I102" s="2149">
        <f t="shared" si="43"/>
        <v>977762.44</v>
      </c>
      <c r="J102" s="2335"/>
      <c r="K102" s="2335"/>
    </row>
    <row r="103" spans="1:11">
      <c r="A103" s="686">
        <v>19</v>
      </c>
      <c r="B103" s="2233">
        <v>45017</v>
      </c>
      <c r="C103" s="2233">
        <v>45046</v>
      </c>
      <c r="D103" s="705">
        <v>0</v>
      </c>
      <c r="E103" s="2180"/>
      <c r="F103" s="2094">
        <f t="shared" ref="F103" si="47">+((1+E103)^(1/360)-1)</f>
        <v>0</v>
      </c>
      <c r="G103" s="2095">
        <f t="shared" si="42"/>
        <v>90852600</v>
      </c>
      <c r="H103" s="702">
        <f>(C103-B103)+1</f>
        <v>30</v>
      </c>
      <c r="I103" s="2149">
        <f t="shared" si="43"/>
        <v>0</v>
      </c>
      <c r="J103" s="2335"/>
      <c r="K103" s="2335"/>
    </row>
    <row r="104" spans="1:11">
      <c r="G104" s="2663" t="s">
        <v>951</v>
      </c>
      <c r="H104" s="2663"/>
      <c r="I104" s="2330">
        <f>SUM(I85:I103)</f>
        <v>5060605.87</v>
      </c>
      <c r="K104" s="2335"/>
    </row>
    <row r="105" spans="1:11">
      <c r="A105" s="702">
        <v>5</v>
      </c>
      <c r="B105" s="1667" t="s">
        <v>1773</v>
      </c>
      <c r="C105" s="2200">
        <v>100</v>
      </c>
      <c r="D105" s="2341">
        <f>+$D$10*C105</f>
        <v>90852600</v>
      </c>
      <c r="K105" s="2335"/>
    </row>
    <row r="106" spans="1:11">
      <c r="B106" s="2667" t="s">
        <v>1406</v>
      </c>
      <c r="C106" s="2668"/>
      <c r="D106" s="2668"/>
      <c r="E106" s="2668"/>
      <c r="F106" s="2668"/>
      <c r="G106" s="2668"/>
      <c r="H106" s="2668"/>
      <c r="I106" s="2669"/>
      <c r="K106" s="2335"/>
    </row>
    <row r="107" spans="1:11" ht="25.5">
      <c r="B107" s="700" t="s">
        <v>206</v>
      </c>
      <c r="C107" s="700" t="s">
        <v>10</v>
      </c>
      <c r="D107" s="2837" t="s">
        <v>1040</v>
      </c>
      <c r="E107" s="2838"/>
      <c r="F107" s="699" t="s">
        <v>43</v>
      </c>
      <c r="G107" s="700" t="s">
        <v>129</v>
      </c>
      <c r="H107" s="2343" t="s">
        <v>706</v>
      </c>
      <c r="I107" s="700" t="s">
        <v>48</v>
      </c>
      <c r="K107" s="2335"/>
    </row>
    <row r="108" spans="1:11">
      <c r="A108" s="686">
        <v>1</v>
      </c>
      <c r="B108" s="2233">
        <v>44547</v>
      </c>
      <c r="C108" s="2233">
        <v>44561</v>
      </c>
      <c r="D108" s="705">
        <v>0</v>
      </c>
      <c r="E108" s="2180">
        <v>3.0800000000000001E-2</v>
      </c>
      <c r="F108" s="2094">
        <f>+((1+E108)^(1/360)-1)</f>
        <v>8.4267994225895038E-5</v>
      </c>
      <c r="G108" s="2095">
        <f>+$D$105</f>
        <v>90852600</v>
      </c>
      <c r="H108" s="702">
        <f>(C108-B108)+1</f>
        <v>15</v>
      </c>
      <c r="I108" s="2149">
        <f>ROUND(G108*H108*F108,2)</f>
        <v>114839.5</v>
      </c>
      <c r="K108" s="2335"/>
    </row>
    <row r="109" spans="1:11">
      <c r="A109" s="686">
        <v>2</v>
      </c>
      <c r="B109" s="2233">
        <v>44562</v>
      </c>
      <c r="C109" s="2233">
        <v>44592</v>
      </c>
      <c r="D109" s="705">
        <v>0</v>
      </c>
      <c r="E109" s="2180">
        <v>3.4700000000000002E-2</v>
      </c>
      <c r="F109" s="2094">
        <f t="shared" ref="F109:F122" si="48">+((1+E109)^(1/360)-1)</f>
        <v>9.4758738294453693E-5</v>
      </c>
      <c r="G109" s="2095">
        <f t="shared" ref="G109:G126" si="49">+$D$105</f>
        <v>90852600</v>
      </c>
      <c r="H109" s="702">
        <f t="shared" ref="H109:H111" si="50">(C109-B109)+1</f>
        <v>31</v>
      </c>
      <c r="I109" s="2149">
        <f t="shared" ref="I109:I111" si="51">ROUND(G109*H109*F109,2)</f>
        <v>266881.40999999997</v>
      </c>
      <c r="K109" s="2335"/>
    </row>
    <row r="110" spans="1:11">
      <c r="A110" s="686">
        <v>3</v>
      </c>
      <c r="B110" s="2233">
        <v>44593</v>
      </c>
      <c r="C110" s="2233">
        <v>44620</v>
      </c>
      <c r="D110" s="705">
        <v>0</v>
      </c>
      <c r="E110" s="2180">
        <v>4.3099999999999999E-2</v>
      </c>
      <c r="F110" s="2094">
        <f t="shared" si="48"/>
        <v>1.1722089399812674E-4</v>
      </c>
      <c r="G110" s="2095">
        <f t="shared" si="49"/>
        <v>90852600</v>
      </c>
      <c r="H110" s="702">
        <f t="shared" si="50"/>
        <v>28</v>
      </c>
      <c r="I110" s="2149">
        <f t="shared" si="51"/>
        <v>298195.03999999998</v>
      </c>
      <c r="K110" s="2335"/>
    </row>
    <row r="111" spans="1:11">
      <c r="A111" s="686">
        <v>4</v>
      </c>
      <c r="B111" s="2233">
        <v>44621</v>
      </c>
      <c r="C111" s="2233">
        <v>44637</v>
      </c>
      <c r="D111" s="705">
        <v>0</v>
      </c>
      <c r="E111" s="2180">
        <v>4.9700000000000001E-2</v>
      </c>
      <c r="F111" s="2094">
        <f t="shared" si="48"/>
        <v>1.3474354670628408E-4</v>
      </c>
      <c r="G111" s="2095">
        <f t="shared" si="49"/>
        <v>90852600</v>
      </c>
      <c r="H111" s="702">
        <f t="shared" si="50"/>
        <v>17</v>
      </c>
      <c r="I111" s="2149">
        <f t="shared" si="51"/>
        <v>208110.63</v>
      </c>
      <c r="K111" s="2335"/>
    </row>
    <row r="112" spans="1:11">
      <c r="A112" s="686">
        <v>5</v>
      </c>
      <c r="B112" s="2233">
        <v>44638</v>
      </c>
      <c r="C112" s="2233">
        <v>44651</v>
      </c>
      <c r="D112" s="705">
        <v>0</v>
      </c>
      <c r="E112" s="2180">
        <v>4.9700000000000001E-2</v>
      </c>
      <c r="F112" s="2094">
        <f t="shared" si="48"/>
        <v>1.3474354670628408E-4</v>
      </c>
      <c r="G112" s="2095">
        <f t="shared" si="49"/>
        <v>90852600</v>
      </c>
      <c r="H112" s="702">
        <v>0</v>
      </c>
      <c r="I112" s="2178"/>
      <c r="K112" s="2335"/>
    </row>
    <row r="113" spans="1:11">
      <c r="A113" s="686">
        <v>6</v>
      </c>
      <c r="B113" s="2233">
        <v>44652</v>
      </c>
      <c r="C113" s="2233">
        <v>44681</v>
      </c>
      <c r="D113" s="705">
        <v>0</v>
      </c>
      <c r="E113" s="2180">
        <v>5.9700000000000003E-2</v>
      </c>
      <c r="F113" s="2094">
        <f t="shared" si="48"/>
        <v>1.6108477608911542E-4</v>
      </c>
      <c r="G113" s="2095">
        <f t="shared" si="49"/>
        <v>90852600</v>
      </c>
      <c r="H113" s="702">
        <v>0</v>
      </c>
      <c r="I113" s="2178">
        <f t="shared" ref="I113:I117" si="52">ROUND(G113*H113*F113,0)</f>
        <v>0</v>
      </c>
      <c r="K113" s="2335"/>
    </row>
    <row r="114" spans="1:11">
      <c r="A114" s="686">
        <v>7</v>
      </c>
      <c r="B114" s="2233">
        <v>44682</v>
      </c>
      <c r="C114" s="2233">
        <v>44712</v>
      </c>
      <c r="D114" s="705">
        <v>0</v>
      </c>
      <c r="E114" s="2180">
        <v>7.0400000000000004E-2</v>
      </c>
      <c r="F114" s="2094">
        <f t="shared" si="48"/>
        <v>1.8899677539563342E-4</v>
      </c>
      <c r="G114" s="2095">
        <f t="shared" si="49"/>
        <v>90852600</v>
      </c>
      <c r="H114" s="702">
        <v>0</v>
      </c>
      <c r="I114" s="2178">
        <f t="shared" si="52"/>
        <v>0</v>
      </c>
      <c r="K114" s="2335"/>
    </row>
    <row r="115" spans="1:11">
      <c r="A115" s="686">
        <v>8</v>
      </c>
      <c r="B115" s="2233">
        <v>44713</v>
      </c>
      <c r="C115" s="2233">
        <v>44742</v>
      </c>
      <c r="D115" s="705">
        <v>0</v>
      </c>
      <c r="E115" s="2180">
        <v>7.7200000000000005E-2</v>
      </c>
      <c r="F115" s="2094">
        <f t="shared" si="48"/>
        <v>2.0659100908204664E-4</v>
      </c>
      <c r="G115" s="2095">
        <f t="shared" si="49"/>
        <v>90852600</v>
      </c>
      <c r="H115" s="702">
        <v>0</v>
      </c>
      <c r="I115" s="2178">
        <f t="shared" si="52"/>
        <v>0</v>
      </c>
      <c r="K115" s="2335"/>
    </row>
    <row r="116" spans="1:11">
      <c r="A116" s="686">
        <v>9</v>
      </c>
      <c r="B116" s="2233">
        <v>44743</v>
      </c>
      <c r="C116" s="2233">
        <v>44773</v>
      </c>
      <c r="D116" s="705">
        <v>0</v>
      </c>
      <c r="E116" s="2180">
        <v>9.2999999999999999E-2</v>
      </c>
      <c r="F116" s="2094">
        <f t="shared" si="48"/>
        <v>2.4704775903483522E-4</v>
      </c>
      <c r="G116" s="2095">
        <f t="shared" si="49"/>
        <v>90852600</v>
      </c>
      <c r="H116" s="702">
        <v>0</v>
      </c>
      <c r="I116" s="2178">
        <f t="shared" si="52"/>
        <v>0</v>
      </c>
      <c r="K116" s="2335"/>
    </row>
    <row r="117" spans="1:11">
      <c r="A117" s="686">
        <v>10</v>
      </c>
      <c r="B117" s="2233">
        <v>44774</v>
      </c>
      <c r="C117" s="2233">
        <v>44804</v>
      </c>
      <c r="D117" s="705">
        <v>0</v>
      </c>
      <c r="E117" s="2180">
        <v>0.1057</v>
      </c>
      <c r="F117" s="2094">
        <f t="shared" si="48"/>
        <v>2.7914622785418786E-4</v>
      </c>
      <c r="G117" s="2095">
        <f t="shared" si="49"/>
        <v>90852600</v>
      </c>
      <c r="H117" s="702">
        <v>0</v>
      </c>
      <c r="I117" s="2178">
        <f t="shared" si="52"/>
        <v>0</v>
      </c>
      <c r="K117" s="2335"/>
    </row>
    <row r="118" spans="1:11">
      <c r="A118" s="686">
        <v>11</v>
      </c>
      <c r="B118" s="2233">
        <v>44805</v>
      </c>
      <c r="C118" s="2233">
        <v>44834</v>
      </c>
      <c r="D118" s="705">
        <v>0</v>
      </c>
      <c r="E118" s="2180">
        <v>0.1099</v>
      </c>
      <c r="F118" s="2094">
        <f t="shared" si="48"/>
        <v>2.8968061926226696E-4</v>
      </c>
      <c r="G118" s="2095">
        <f t="shared" si="49"/>
        <v>90852600</v>
      </c>
      <c r="H118" s="702">
        <v>0</v>
      </c>
      <c r="I118" s="2178">
        <f>ROUND(G118*H118*F118,0)</f>
        <v>0</v>
      </c>
      <c r="K118" s="2335"/>
    </row>
    <row r="119" spans="1:11">
      <c r="A119" s="686">
        <v>12</v>
      </c>
      <c r="B119" s="2233">
        <v>44835</v>
      </c>
      <c r="C119" s="2233">
        <v>44865</v>
      </c>
      <c r="D119" s="705">
        <v>0</v>
      </c>
      <c r="E119" s="2180">
        <v>0.11600000000000001</v>
      </c>
      <c r="F119" s="2094">
        <f t="shared" si="48"/>
        <v>3.0490998660059887E-4</v>
      </c>
      <c r="G119" s="2095">
        <f t="shared" si="49"/>
        <v>90852600</v>
      </c>
      <c r="H119" s="702">
        <v>0</v>
      </c>
      <c r="I119" s="2178">
        <f>ROUND(G119*H119*F119,0)</f>
        <v>0</v>
      </c>
      <c r="K119" s="2335"/>
    </row>
    <row r="120" spans="1:11">
      <c r="A120" s="686">
        <v>13</v>
      </c>
      <c r="B120" s="2233">
        <v>44866</v>
      </c>
      <c r="C120" s="2233">
        <v>44888</v>
      </c>
      <c r="D120" s="705">
        <v>0</v>
      </c>
      <c r="E120" s="2180">
        <v>0.1263</v>
      </c>
      <c r="F120" s="2094">
        <f t="shared" si="48"/>
        <v>3.3043770493557112E-4</v>
      </c>
      <c r="G120" s="2095">
        <f t="shared" si="49"/>
        <v>90852600</v>
      </c>
      <c r="H120" s="702">
        <v>0</v>
      </c>
      <c r="I120" s="2178">
        <f>ROUND(G120*H120*F120,0)</f>
        <v>0</v>
      </c>
      <c r="K120" s="2335"/>
    </row>
    <row r="121" spans="1:11">
      <c r="A121" s="686">
        <v>14</v>
      </c>
      <c r="B121" s="2233">
        <v>44888</v>
      </c>
      <c r="C121" s="2233">
        <v>44895</v>
      </c>
      <c r="D121" s="705">
        <v>0</v>
      </c>
      <c r="E121" s="2180">
        <v>0.1263</v>
      </c>
      <c r="F121" s="2094">
        <f t="shared" si="48"/>
        <v>3.3043770493557112E-4</v>
      </c>
      <c r="G121" s="2095">
        <f t="shared" si="49"/>
        <v>90852600</v>
      </c>
      <c r="H121" s="702">
        <f>(C121-B121)+1</f>
        <v>8</v>
      </c>
      <c r="I121" s="2149">
        <f>ROUND(G121*H121*F121,2)</f>
        <v>240169</v>
      </c>
      <c r="K121" s="2335"/>
    </row>
    <row r="122" spans="1:11">
      <c r="A122" s="686">
        <v>15</v>
      </c>
      <c r="B122" s="2233">
        <v>44896</v>
      </c>
      <c r="C122" s="2233">
        <v>44926</v>
      </c>
      <c r="D122" s="705">
        <v>0</v>
      </c>
      <c r="E122" s="2180">
        <v>0.13420000000000001</v>
      </c>
      <c r="F122" s="2094">
        <f t="shared" si="48"/>
        <v>3.4985995505043554E-4</v>
      </c>
      <c r="G122" s="2095">
        <f t="shared" si="49"/>
        <v>90852600</v>
      </c>
      <c r="H122" s="702">
        <f t="shared" ref="H122:H123" si="53">(C122-B122)+1</f>
        <v>31</v>
      </c>
      <c r="I122" s="2149">
        <f>ROUND(G122*H122*F122,2)</f>
        <v>985356.28</v>
      </c>
      <c r="K122" s="2335"/>
    </row>
    <row r="123" spans="1:11">
      <c r="A123" s="686">
        <v>16</v>
      </c>
      <c r="B123" s="2233">
        <v>44927</v>
      </c>
      <c r="C123" s="2233">
        <v>44957</v>
      </c>
      <c r="D123" s="705">
        <v>0</v>
      </c>
      <c r="E123" s="2180">
        <v>0.1391</v>
      </c>
      <c r="F123" s="2094">
        <f t="shared" ref="F123:F124" si="54">+((1+E123)^(1/360)-1)</f>
        <v>3.6183899495223493E-4</v>
      </c>
      <c r="G123" s="2095">
        <f t="shared" si="49"/>
        <v>90852600</v>
      </c>
      <c r="H123" s="702">
        <f t="shared" si="53"/>
        <v>31</v>
      </c>
      <c r="I123" s="2149">
        <f>ROUND(G123*H123*F123,0)</f>
        <v>1019094</v>
      </c>
      <c r="J123" s="2099"/>
      <c r="K123" s="2335"/>
    </row>
    <row r="124" spans="1:11">
      <c r="A124" s="686">
        <v>17</v>
      </c>
      <c r="B124" s="2233">
        <v>44958</v>
      </c>
      <c r="C124" s="2233">
        <v>44985</v>
      </c>
      <c r="D124" s="705">
        <v>0</v>
      </c>
      <c r="E124" s="2180">
        <v>0.1439</v>
      </c>
      <c r="F124" s="2094">
        <f t="shared" si="54"/>
        <v>3.7352384419087059E-4</v>
      </c>
      <c r="G124" s="2095">
        <f t="shared" si="49"/>
        <v>90852600</v>
      </c>
      <c r="H124" s="702">
        <f t="shared" ref="H124:H125" si="55">(C124-B124)+1</f>
        <v>28</v>
      </c>
      <c r="I124" s="2149">
        <f>ROUND(G124*H124*F124,2)</f>
        <v>950197.15</v>
      </c>
      <c r="J124" s="2099"/>
      <c r="K124" s="2335"/>
    </row>
    <row r="125" spans="1:11">
      <c r="A125" s="686">
        <v>18</v>
      </c>
      <c r="B125" s="2233">
        <v>44986</v>
      </c>
      <c r="C125" s="2233">
        <v>45016</v>
      </c>
      <c r="D125" s="705">
        <v>0</v>
      </c>
      <c r="E125" s="2180">
        <v>0.1331</v>
      </c>
      <c r="F125" s="2094">
        <f t="shared" ref="F125:F126" si="56">+((1+E125)^(1/360)-1)</f>
        <v>3.4716369016041249E-4</v>
      </c>
      <c r="G125" s="2095">
        <f t="shared" si="49"/>
        <v>90852600</v>
      </c>
      <c r="H125" s="702">
        <f t="shared" si="55"/>
        <v>31</v>
      </c>
      <c r="I125" s="2149">
        <f>ROUND(G125*H125*F125,0)</f>
        <v>977762</v>
      </c>
      <c r="J125" s="2099"/>
      <c r="K125" s="2335"/>
    </row>
    <row r="126" spans="1:11">
      <c r="A126" s="686">
        <v>19</v>
      </c>
      <c r="B126" s="2233">
        <v>45017</v>
      </c>
      <c r="C126" s="2233">
        <v>45046</v>
      </c>
      <c r="D126" s="705">
        <v>0</v>
      </c>
      <c r="E126" s="2180"/>
      <c r="F126" s="2094">
        <f t="shared" si="56"/>
        <v>0</v>
      </c>
      <c r="G126" s="2095">
        <f t="shared" si="49"/>
        <v>90852600</v>
      </c>
      <c r="H126" s="702">
        <f t="shared" ref="H126" si="57">(C126-B126)+1</f>
        <v>30</v>
      </c>
      <c r="I126" s="2149">
        <f>ROUND(G126*H126*F126,2)</f>
        <v>0</v>
      </c>
      <c r="J126" s="2099"/>
      <c r="K126" s="2335"/>
    </row>
    <row r="127" spans="1:11">
      <c r="G127" s="2663" t="s">
        <v>951</v>
      </c>
      <c r="H127" s="2663"/>
      <c r="I127" s="2330">
        <f>SUM(I108:I126)</f>
        <v>5060605.01</v>
      </c>
      <c r="K127" s="2335"/>
    </row>
    <row r="129" spans="1:9">
      <c r="A129" s="702">
        <v>6</v>
      </c>
      <c r="B129" s="1667" t="s">
        <v>1774</v>
      </c>
      <c r="C129" s="2200">
        <v>100</v>
      </c>
      <c r="D129" s="2341">
        <f>+$D$10*C129</f>
        <v>90852600</v>
      </c>
    </row>
    <row r="130" spans="1:9">
      <c r="B130" s="2667" t="s">
        <v>1406</v>
      </c>
      <c r="C130" s="2668"/>
      <c r="D130" s="2668"/>
      <c r="E130" s="2668"/>
      <c r="F130" s="2668"/>
      <c r="G130" s="2668"/>
      <c r="H130" s="2668"/>
      <c r="I130" s="2669"/>
    </row>
    <row r="131" spans="1:9" ht="25.5">
      <c r="B131" s="700" t="s">
        <v>206</v>
      </c>
      <c r="C131" s="700" t="s">
        <v>10</v>
      </c>
      <c r="D131" s="2837" t="s">
        <v>1040</v>
      </c>
      <c r="E131" s="2838"/>
      <c r="F131" s="699" t="s">
        <v>43</v>
      </c>
      <c r="G131" s="700" t="s">
        <v>129</v>
      </c>
      <c r="H131" s="2343" t="s">
        <v>706</v>
      </c>
      <c r="I131" s="700" t="s">
        <v>48</v>
      </c>
    </row>
    <row r="132" spans="1:9">
      <c r="A132" s="686">
        <v>1</v>
      </c>
      <c r="B132" s="2233">
        <v>44547</v>
      </c>
      <c r="C132" s="2233">
        <v>44561</v>
      </c>
      <c r="D132" s="705">
        <v>0</v>
      </c>
      <c r="E132" s="2180">
        <v>3.0800000000000001E-2</v>
      </c>
      <c r="F132" s="2094">
        <f t="shared" ref="F132:F146" si="58">+((1+E132)^(1/360)-1)</f>
        <v>8.4267994225895038E-5</v>
      </c>
      <c r="G132" s="2095">
        <f>+$D$11</f>
        <v>90852600</v>
      </c>
      <c r="H132" s="702">
        <f>(C132-B132)+1</f>
        <v>15</v>
      </c>
      <c r="I132" s="2149">
        <f>ROUND(G132*H132*F132,2)</f>
        <v>114839.5</v>
      </c>
    </row>
    <row r="133" spans="1:9">
      <c r="A133" s="686">
        <v>2</v>
      </c>
      <c r="B133" s="2233">
        <v>44562</v>
      </c>
      <c r="C133" s="2233">
        <v>44592</v>
      </c>
      <c r="D133" s="705">
        <v>0</v>
      </c>
      <c r="E133" s="2180">
        <v>3.4700000000000002E-2</v>
      </c>
      <c r="F133" s="2094">
        <f t="shared" si="58"/>
        <v>9.4758738294453693E-5</v>
      </c>
      <c r="G133" s="2095">
        <f t="shared" ref="G133:G150" si="59">+$D$11</f>
        <v>90852600</v>
      </c>
      <c r="H133" s="702">
        <f t="shared" ref="H133:H135" si="60">(C133-B133)+1</f>
        <v>31</v>
      </c>
      <c r="I133" s="2149">
        <f t="shared" ref="I133:I135" si="61">ROUND(G133*H133*F133,2)</f>
        <v>266881.40999999997</v>
      </c>
    </row>
    <row r="134" spans="1:9">
      <c r="A134" s="686">
        <v>3</v>
      </c>
      <c r="B134" s="2233">
        <v>44593</v>
      </c>
      <c r="C134" s="2233">
        <v>44620</v>
      </c>
      <c r="D134" s="705">
        <v>0</v>
      </c>
      <c r="E134" s="2180">
        <v>4.3099999999999999E-2</v>
      </c>
      <c r="F134" s="2094">
        <f t="shared" si="58"/>
        <v>1.1722089399812674E-4</v>
      </c>
      <c r="G134" s="2095">
        <f t="shared" si="59"/>
        <v>90852600</v>
      </c>
      <c r="H134" s="702">
        <f t="shared" si="60"/>
        <v>28</v>
      </c>
      <c r="I134" s="2149">
        <f t="shared" si="61"/>
        <v>298195.03999999998</v>
      </c>
    </row>
    <row r="135" spans="1:9">
      <c r="A135" s="686">
        <v>4</v>
      </c>
      <c r="B135" s="2233">
        <v>44621</v>
      </c>
      <c r="C135" s="2233">
        <v>44637</v>
      </c>
      <c r="D135" s="705">
        <v>0</v>
      </c>
      <c r="E135" s="2180">
        <v>4.9700000000000001E-2</v>
      </c>
      <c r="F135" s="2094">
        <f t="shared" si="58"/>
        <v>1.3474354670628408E-4</v>
      </c>
      <c r="G135" s="2095">
        <f t="shared" si="59"/>
        <v>90852600</v>
      </c>
      <c r="H135" s="702">
        <f t="shared" si="60"/>
        <v>17</v>
      </c>
      <c r="I135" s="2149">
        <f t="shared" si="61"/>
        <v>208110.63</v>
      </c>
    </row>
    <row r="136" spans="1:9">
      <c r="A136" s="686">
        <v>5</v>
      </c>
      <c r="B136" s="2233">
        <v>44638</v>
      </c>
      <c r="C136" s="2233">
        <v>44651</v>
      </c>
      <c r="D136" s="705">
        <v>0</v>
      </c>
      <c r="E136" s="2180">
        <v>4.9700000000000001E-2</v>
      </c>
      <c r="F136" s="2094">
        <f t="shared" si="58"/>
        <v>1.3474354670628408E-4</v>
      </c>
      <c r="G136" s="2095">
        <f t="shared" si="59"/>
        <v>90852600</v>
      </c>
      <c r="H136" s="702">
        <v>0</v>
      </c>
      <c r="I136" s="2178"/>
    </row>
    <row r="137" spans="1:9">
      <c r="A137" s="686">
        <v>6</v>
      </c>
      <c r="B137" s="2233">
        <v>44652</v>
      </c>
      <c r="C137" s="2233">
        <v>44681</v>
      </c>
      <c r="D137" s="705">
        <v>0</v>
      </c>
      <c r="E137" s="2180">
        <v>5.9700000000000003E-2</v>
      </c>
      <c r="F137" s="2094">
        <f t="shared" si="58"/>
        <v>1.6108477608911542E-4</v>
      </c>
      <c r="G137" s="2095">
        <f t="shared" si="59"/>
        <v>90852600</v>
      </c>
      <c r="H137" s="702">
        <v>0</v>
      </c>
      <c r="I137" s="2178">
        <f t="shared" ref="I137:I141" si="62">ROUND(G137*H137*F137,0)</f>
        <v>0</v>
      </c>
    </row>
    <row r="138" spans="1:9">
      <c r="A138" s="686">
        <v>7</v>
      </c>
      <c r="B138" s="2233">
        <v>44682</v>
      </c>
      <c r="C138" s="2233">
        <v>44712</v>
      </c>
      <c r="D138" s="705">
        <v>0</v>
      </c>
      <c r="E138" s="2180">
        <v>7.0400000000000004E-2</v>
      </c>
      <c r="F138" s="2094">
        <f t="shared" si="58"/>
        <v>1.8899677539563342E-4</v>
      </c>
      <c r="G138" s="2095">
        <f t="shared" si="59"/>
        <v>90852600</v>
      </c>
      <c r="H138" s="702">
        <v>0</v>
      </c>
      <c r="I138" s="2178">
        <f t="shared" si="62"/>
        <v>0</v>
      </c>
    </row>
    <row r="139" spans="1:9">
      <c r="A139" s="686">
        <v>8</v>
      </c>
      <c r="B139" s="2233">
        <v>44713</v>
      </c>
      <c r="C139" s="2233">
        <v>44742</v>
      </c>
      <c r="D139" s="705">
        <v>0</v>
      </c>
      <c r="E139" s="2180">
        <v>7.7200000000000005E-2</v>
      </c>
      <c r="F139" s="2094">
        <f t="shared" si="58"/>
        <v>2.0659100908204664E-4</v>
      </c>
      <c r="G139" s="2095">
        <f t="shared" si="59"/>
        <v>90852600</v>
      </c>
      <c r="H139" s="702">
        <v>0</v>
      </c>
      <c r="I139" s="2178">
        <f t="shared" si="62"/>
        <v>0</v>
      </c>
    </row>
    <row r="140" spans="1:9">
      <c r="A140" s="686">
        <v>9</v>
      </c>
      <c r="B140" s="2233">
        <v>44743</v>
      </c>
      <c r="C140" s="2233">
        <v>44773</v>
      </c>
      <c r="D140" s="705">
        <v>0</v>
      </c>
      <c r="E140" s="2180">
        <v>9.2999999999999999E-2</v>
      </c>
      <c r="F140" s="2094">
        <f t="shared" si="58"/>
        <v>2.4704775903483522E-4</v>
      </c>
      <c r="G140" s="2095">
        <f t="shared" si="59"/>
        <v>90852600</v>
      </c>
      <c r="H140" s="702">
        <v>0</v>
      </c>
      <c r="I140" s="2178">
        <f t="shared" si="62"/>
        <v>0</v>
      </c>
    </row>
    <row r="141" spans="1:9">
      <c r="A141" s="686">
        <v>10</v>
      </c>
      <c r="B141" s="2233">
        <v>44774</v>
      </c>
      <c r="C141" s="2233">
        <v>44804</v>
      </c>
      <c r="D141" s="705">
        <v>0</v>
      </c>
      <c r="E141" s="2180">
        <v>0.1057</v>
      </c>
      <c r="F141" s="2094">
        <f t="shared" si="58"/>
        <v>2.7914622785418786E-4</v>
      </c>
      <c r="G141" s="2095">
        <f t="shared" si="59"/>
        <v>90852600</v>
      </c>
      <c r="H141" s="702">
        <v>0</v>
      </c>
      <c r="I141" s="2178">
        <f t="shared" si="62"/>
        <v>0</v>
      </c>
    </row>
    <row r="142" spans="1:9">
      <c r="A142" s="686">
        <v>11</v>
      </c>
      <c r="B142" s="2233">
        <v>44805</v>
      </c>
      <c r="C142" s="2233">
        <v>44834</v>
      </c>
      <c r="D142" s="705">
        <v>0</v>
      </c>
      <c r="E142" s="2180">
        <v>0.1099</v>
      </c>
      <c r="F142" s="2094">
        <f t="shared" si="58"/>
        <v>2.8968061926226696E-4</v>
      </c>
      <c r="G142" s="2095">
        <f t="shared" si="59"/>
        <v>90852600</v>
      </c>
      <c r="H142" s="702">
        <v>0</v>
      </c>
      <c r="I142" s="2178">
        <f>ROUND(G142*H142*F142,0)</f>
        <v>0</v>
      </c>
    </row>
    <row r="143" spans="1:9">
      <c r="A143" s="686">
        <v>12</v>
      </c>
      <c r="B143" s="2233">
        <v>44835</v>
      </c>
      <c r="C143" s="2233">
        <v>44865</v>
      </c>
      <c r="D143" s="705">
        <v>0</v>
      </c>
      <c r="E143" s="2180">
        <v>0.11600000000000001</v>
      </c>
      <c r="F143" s="2094">
        <f t="shared" si="58"/>
        <v>3.0490998660059887E-4</v>
      </c>
      <c r="G143" s="2095">
        <f t="shared" si="59"/>
        <v>90852600</v>
      </c>
      <c r="H143" s="702">
        <v>0</v>
      </c>
      <c r="I143" s="2178">
        <f>ROUND(G143*H143*F143,0)</f>
        <v>0</v>
      </c>
    </row>
    <row r="144" spans="1:9">
      <c r="A144" s="686">
        <v>13</v>
      </c>
      <c r="B144" s="2233">
        <v>44866</v>
      </c>
      <c r="C144" s="2233">
        <v>44888</v>
      </c>
      <c r="D144" s="705">
        <v>0</v>
      </c>
      <c r="E144" s="2180">
        <v>0.1263</v>
      </c>
      <c r="F144" s="2094">
        <f t="shared" si="58"/>
        <v>3.3043770493557112E-4</v>
      </c>
      <c r="G144" s="2095">
        <f t="shared" si="59"/>
        <v>90852600</v>
      </c>
      <c r="H144" s="702">
        <v>0</v>
      </c>
      <c r="I144" s="2178">
        <f>ROUND(G144*H144*F144,0)</f>
        <v>0</v>
      </c>
    </row>
    <row r="145" spans="1:10">
      <c r="A145" s="686">
        <v>14</v>
      </c>
      <c r="B145" s="2233">
        <v>44888</v>
      </c>
      <c r="C145" s="2233">
        <v>44895</v>
      </c>
      <c r="D145" s="705">
        <v>0</v>
      </c>
      <c r="E145" s="2180">
        <v>0.1263</v>
      </c>
      <c r="F145" s="2094">
        <f t="shared" si="58"/>
        <v>3.3043770493557112E-4</v>
      </c>
      <c r="G145" s="2095">
        <f t="shared" si="59"/>
        <v>90852600</v>
      </c>
      <c r="H145" s="702">
        <f>(C145-B145)+1</f>
        <v>8</v>
      </c>
      <c r="I145" s="2149">
        <f t="shared" ref="I145:I150" si="63">ROUND(G145*H145*F145,2)</f>
        <v>240169</v>
      </c>
    </row>
    <row r="146" spans="1:10">
      <c r="A146" s="686">
        <v>15</v>
      </c>
      <c r="B146" s="2233">
        <v>44896</v>
      </c>
      <c r="C146" s="2233">
        <v>44926</v>
      </c>
      <c r="D146" s="705">
        <v>0</v>
      </c>
      <c r="E146" s="2180">
        <v>0.13420000000000001</v>
      </c>
      <c r="F146" s="2094">
        <f t="shared" si="58"/>
        <v>3.4985995505043554E-4</v>
      </c>
      <c r="G146" s="2095">
        <f t="shared" si="59"/>
        <v>90852600</v>
      </c>
      <c r="H146" s="702">
        <f t="shared" ref="H146" si="64">(C146-B146)+1</f>
        <v>31</v>
      </c>
      <c r="I146" s="2149">
        <f t="shared" si="63"/>
        <v>985356.28</v>
      </c>
    </row>
    <row r="147" spans="1:10">
      <c r="A147" s="686">
        <v>16</v>
      </c>
      <c r="B147" s="2233">
        <v>44927</v>
      </c>
      <c r="C147" s="2233">
        <v>44957</v>
      </c>
      <c r="D147" s="705">
        <v>0</v>
      </c>
      <c r="E147" s="2180">
        <v>0.1391</v>
      </c>
      <c r="F147" s="2094">
        <f t="shared" ref="F147:F149" si="65">+((1+E147)^(1/360)-1)</f>
        <v>3.6183899495223493E-4</v>
      </c>
      <c r="G147" s="2095">
        <f t="shared" si="59"/>
        <v>90852600</v>
      </c>
      <c r="H147" s="702">
        <f>(C147-B147)+1</f>
        <v>31</v>
      </c>
      <c r="I147" s="2149">
        <f t="shared" si="63"/>
        <v>1019094.42</v>
      </c>
      <c r="J147" s="2335"/>
    </row>
    <row r="148" spans="1:10">
      <c r="A148" s="686">
        <v>17</v>
      </c>
      <c r="B148" s="2233">
        <v>44958</v>
      </c>
      <c r="C148" s="2233">
        <v>44985</v>
      </c>
      <c r="D148" s="705">
        <v>0</v>
      </c>
      <c r="E148" s="2180">
        <v>0.1439</v>
      </c>
      <c r="F148" s="2094">
        <f t="shared" si="65"/>
        <v>3.7352384419087059E-4</v>
      </c>
      <c r="G148" s="2095">
        <f t="shared" si="59"/>
        <v>90852600</v>
      </c>
      <c r="H148" s="702">
        <f t="shared" ref="H148:H149" si="66">(C148-B148)+1</f>
        <v>28</v>
      </c>
      <c r="I148" s="2149">
        <f t="shared" si="63"/>
        <v>950197.15</v>
      </c>
      <c r="J148" s="2335"/>
    </row>
    <row r="149" spans="1:10">
      <c r="A149" s="686">
        <v>18</v>
      </c>
      <c r="B149" s="2233">
        <v>44986</v>
      </c>
      <c r="C149" s="2233">
        <v>45016</v>
      </c>
      <c r="D149" s="705">
        <v>0</v>
      </c>
      <c r="E149" s="2180">
        <v>0.1331</v>
      </c>
      <c r="F149" s="2094">
        <f t="shared" si="65"/>
        <v>3.4716369016041249E-4</v>
      </c>
      <c r="G149" s="2095">
        <f t="shared" si="59"/>
        <v>90852600</v>
      </c>
      <c r="H149" s="702">
        <f t="shared" si="66"/>
        <v>31</v>
      </c>
      <c r="I149" s="2149">
        <f t="shared" si="63"/>
        <v>977762.44</v>
      </c>
      <c r="J149" s="2335"/>
    </row>
    <row r="150" spans="1:10">
      <c r="A150" s="686">
        <v>19</v>
      </c>
      <c r="B150" s="2233">
        <v>45017</v>
      </c>
      <c r="C150" s="2233">
        <v>45046</v>
      </c>
      <c r="D150" s="705">
        <v>0</v>
      </c>
      <c r="E150" s="2180"/>
      <c r="F150" s="2094">
        <f t="shared" ref="F150" si="67">+((1+E150)^(1/360)-1)</f>
        <v>0</v>
      </c>
      <c r="G150" s="2095">
        <f t="shared" si="59"/>
        <v>90852600</v>
      </c>
      <c r="H150" s="702">
        <f>(C150-B150)+1</f>
        <v>30</v>
      </c>
      <c r="I150" s="2149">
        <f t="shared" si="63"/>
        <v>0</v>
      </c>
      <c r="J150" s="2335"/>
    </row>
    <row r="151" spans="1:10">
      <c r="G151" s="2663" t="s">
        <v>951</v>
      </c>
      <c r="H151" s="2663"/>
      <c r="I151" s="2330">
        <f>SUM(I132:I150)</f>
        <v>5060605.87</v>
      </c>
    </row>
    <row r="152" spans="1:10">
      <c r="B152" s="698" t="s">
        <v>1775</v>
      </c>
      <c r="G152" s="2333"/>
      <c r="H152" s="2333"/>
      <c r="I152" s="2334"/>
    </row>
    <row r="153" spans="1:10">
      <c r="A153" s="702"/>
      <c r="B153" s="1667" t="s">
        <v>1776</v>
      </c>
      <c r="C153" s="2200">
        <v>50</v>
      </c>
      <c r="D153" s="2341">
        <f>+$D$10*C153</f>
        <v>45426300</v>
      </c>
    </row>
    <row r="154" spans="1:10">
      <c r="B154" s="2667" t="s">
        <v>1406</v>
      </c>
      <c r="C154" s="2668"/>
      <c r="D154" s="2668"/>
      <c r="E154" s="2668"/>
      <c r="F154" s="2668"/>
      <c r="G154" s="2668"/>
      <c r="H154" s="2668"/>
      <c r="I154" s="2669"/>
    </row>
    <row r="155" spans="1:10" ht="25.5">
      <c r="B155" s="700" t="s">
        <v>206</v>
      </c>
      <c r="C155" s="700" t="s">
        <v>10</v>
      </c>
      <c r="D155" s="2837" t="s">
        <v>1040</v>
      </c>
      <c r="E155" s="2838"/>
      <c r="F155" s="699" t="s">
        <v>43</v>
      </c>
      <c r="G155" s="700" t="s">
        <v>129</v>
      </c>
      <c r="H155" s="2343" t="s">
        <v>706</v>
      </c>
      <c r="I155" s="700" t="s">
        <v>48</v>
      </c>
    </row>
    <row r="156" spans="1:10">
      <c r="A156" s="686">
        <v>1</v>
      </c>
      <c r="B156" s="2233">
        <v>44547</v>
      </c>
      <c r="C156" s="2233">
        <v>44561</v>
      </c>
      <c r="D156" s="705">
        <v>0</v>
      </c>
      <c r="E156" s="2180">
        <v>3.0800000000000001E-2</v>
      </c>
      <c r="F156" s="2094">
        <f t="shared" ref="F156:F170" si="68">+((1+E156)^(1/360)-1)</f>
        <v>8.4267994225895038E-5</v>
      </c>
      <c r="G156" s="2095">
        <f>+$D$153</f>
        <v>45426300</v>
      </c>
      <c r="H156" s="702">
        <f>(C156-B156)+1</f>
        <v>15</v>
      </c>
      <c r="I156" s="2149">
        <f>ROUND(G156*H156*F156,2)</f>
        <v>57419.75</v>
      </c>
    </row>
    <row r="157" spans="1:10">
      <c r="A157" s="686">
        <v>2</v>
      </c>
      <c r="B157" s="2233">
        <v>44562</v>
      </c>
      <c r="C157" s="2233">
        <v>44592</v>
      </c>
      <c r="D157" s="705">
        <v>0</v>
      </c>
      <c r="E157" s="2180">
        <v>3.4700000000000002E-2</v>
      </c>
      <c r="F157" s="2094">
        <f t="shared" si="68"/>
        <v>9.4758738294453693E-5</v>
      </c>
      <c r="G157" s="2095">
        <f t="shared" ref="G157:G174" si="69">+$D$153</f>
        <v>45426300</v>
      </c>
      <c r="H157" s="702">
        <f t="shared" ref="H157:H159" si="70">(C157-B157)+1</f>
        <v>31</v>
      </c>
      <c r="I157" s="2149">
        <f t="shared" ref="I157:I159" si="71">ROUND(G157*H157*F157,2)</f>
        <v>133440.71</v>
      </c>
    </row>
    <row r="158" spans="1:10">
      <c r="A158" s="686">
        <v>3</v>
      </c>
      <c r="B158" s="2233">
        <v>44593</v>
      </c>
      <c r="C158" s="2233">
        <v>44620</v>
      </c>
      <c r="D158" s="705">
        <v>0</v>
      </c>
      <c r="E158" s="2180">
        <v>4.3099999999999999E-2</v>
      </c>
      <c r="F158" s="2094">
        <f t="shared" si="68"/>
        <v>1.1722089399812674E-4</v>
      </c>
      <c r="G158" s="2095">
        <f t="shared" si="69"/>
        <v>45426300</v>
      </c>
      <c r="H158" s="702">
        <f t="shared" si="70"/>
        <v>28</v>
      </c>
      <c r="I158" s="2149">
        <f t="shared" si="71"/>
        <v>149097.51999999999</v>
      </c>
    </row>
    <row r="159" spans="1:10">
      <c r="A159" s="686">
        <v>4</v>
      </c>
      <c r="B159" s="2233">
        <v>44621</v>
      </c>
      <c r="C159" s="2233">
        <v>44637</v>
      </c>
      <c r="D159" s="705">
        <v>0</v>
      </c>
      <c r="E159" s="2180">
        <v>4.9700000000000001E-2</v>
      </c>
      <c r="F159" s="2094">
        <f t="shared" si="68"/>
        <v>1.3474354670628408E-4</v>
      </c>
      <c r="G159" s="2095">
        <f t="shared" si="69"/>
        <v>45426300</v>
      </c>
      <c r="H159" s="702">
        <f t="shared" si="70"/>
        <v>17</v>
      </c>
      <c r="I159" s="2149">
        <f t="shared" si="71"/>
        <v>104055.31</v>
      </c>
    </row>
    <row r="160" spans="1:10">
      <c r="A160" s="686">
        <v>5</v>
      </c>
      <c r="B160" s="2233">
        <v>44638</v>
      </c>
      <c r="C160" s="2233">
        <v>44651</v>
      </c>
      <c r="D160" s="705">
        <v>0</v>
      </c>
      <c r="E160" s="2180">
        <v>4.9700000000000001E-2</v>
      </c>
      <c r="F160" s="2094">
        <f t="shared" si="68"/>
        <v>1.3474354670628408E-4</v>
      </c>
      <c r="G160" s="2095">
        <f t="shared" si="69"/>
        <v>45426300</v>
      </c>
      <c r="H160" s="702">
        <v>0</v>
      </c>
      <c r="I160" s="2178"/>
    </row>
    <row r="161" spans="1:10">
      <c r="A161" s="686">
        <v>6</v>
      </c>
      <c r="B161" s="2233">
        <v>44652</v>
      </c>
      <c r="C161" s="2233">
        <v>44681</v>
      </c>
      <c r="D161" s="705">
        <v>0</v>
      </c>
      <c r="E161" s="2180">
        <v>5.9700000000000003E-2</v>
      </c>
      <c r="F161" s="2094">
        <f t="shared" si="68"/>
        <v>1.6108477608911542E-4</v>
      </c>
      <c r="G161" s="2095">
        <f t="shared" si="69"/>
        <v>45426300</v>
      </c>
      <c r="H161" s="702">
        <v>0</v>
      </c>
      <c r="I161" s="2178">
        <f t="shared" ref="I161:I165" si="72">ROUND(G161*H161*F161,0)</f>
        <v>0</v>
      </c>
    </row>
    <row r="162" spans="1:10">
      <c r="A162" s="686">
        <v>7</v>
      </c>
      <c r="B162" s="2233">
        <v>44682</v>
      </c>
      <c r="C162" s="2233">
        <v>44712</v>
      </c>
      <c r="D162" s="705">
        <v>0</v>
      </c>
      <c r="E162" s="2180">
        <v>7.0400000000000004E-2</v>
      </c>
      <c r="F162" s="2094">
        <f t="shared" si="68"/>
        <v>1.8899677539563342E-4</v>
      </c>
      <c r="G162" s="2095">
        <f t="shared" si="69"/>
        <v>45426300</v>
      </c>
      <c r="H162" s="702">
        <v>0</v>
      </c>
      <c r="I162" s="2178">
        <f t="shared" si="72"/>
        <v>0</v>
      </c>
    </row>
    <row r="163" spans="1:10">
      <c r="A163" s="686">
        <v>8</v>
      </c>
      <c r="B163" s="2233">
        <v>44713</v>
      </c>
      <c r="C163" s="2233">
        <v>44742</v>
      </c>
      <c r="D163" s="705">
        <v>0</v>
      </c>
      <c r="E163" s="2180">
        <v>7.7200000000000005E-2</v>
      </c>
      <c r="F163" s="2094">
        <f t="shared" si="68"/>
        <v>2.0659100908204664E-4</v>
      </c>
      <c r="G163" s="2095">
        <f t="shared" si="69"/>
        <v>45426300</v>
      </c>
      <c r="H163" s="702">
        <v>0</v>
      </c>
      <c r="I163" s="2178">
        <f t="shared" si="72"/>
        <v>0</v>
      </c>
    </row>
    <row r="164" spans="1:10">
      <c r="A164" s="686">
        <v>9</v>
      </c>
      <c r="B164" s="2233">
        <v>44743</v>
      </c>
      <c r="C164" s="2233">
        <v>44773</v>
      </c>
      <c r="D164" s="705">
        <v>0</v>
      </c>
      <c r="E164" s="2180">
        <v>9.2999999999999999E-2</v>
      </c>
      <c r="F164" s="2094">
        <f t="shared" si="68"/>
        <v>2.4704775903483522E-4</v>
      </c>
      <c r="G164" s="2095">
        <f t="shared" si="69"/>
        <v>45426300</v>
      </c>
      <c r="H164" s="702">
        <v>0</v>
      </c>
      <c r="I164" s="2178">
        <f t="shared" si="72"/>
        <v>0</v>
      </c>
    </row>
    <row r="165" spans="1:10">
      <c r="A165" s="686">
        <v>10</v>
      </c>
      <c r="B165" s="2233">
        <v>44774</v>
      </c>
      <c r="C165" s="2233">
        <v>44804</v>
      </c>
      <c r="D165" s="705">
        <v>0</v>
      </c>
      <c r="E165" s="2180">
        <v>0.1057</v>
      </c>
      <c r="F165" s="2094">
        <f t="shared" si="68"/>
        <v>2.7914622785418786E-4</v>
      </c>
      <c r="G165" s="2095">
        <f t="shared" si="69"/>
        <v>45426300</v>
      </c>
      <c r="H165" s="702">
        <v>0</v>
      </c>
      <c r="I165" s="2178">
        <f t="shared" si="72"/>
        <v>0</v>
      </c>
    </row>
    <row r="166" spans="1:10">
      <c r="A166" s="686">
        <v>11</v>
      </c>
      <c r="B166" s="2233">
        <v>44805</v>
      </c>
      <c r="C166" s="2233">
        <v>44834</v>
      </c>
      <c r="D166" s="705">
        <v>0</v>
      </c>
      <c r="E166" s="2180">
        <v>0.1099</v>
      </c>
      <c r="F166" s="2094">
        <f t="shared" si="68"/>
        <v>2.8968061926226696E-4</v>
      </c>
      <c r="G166" s="2095">
        <f t="shared" si="69"/>
        <v>45426300</v>
      </c>
      <c r="H166" s="702">
        <v>0</v>
      </c>
      <c r="I166" s="2178">
        <f>ROUND(G166*H166*F166,0)</f>
        <v>0</v>
      </c>
    </row>
    <row r="167" spans="1:10">
      <c r="A167" s="686">
        <v>12</v>
      </c>
      <c r="B167" s="2233">
        <v>44835</v>
      </c>
      <c r="C167" s="2233">
        <v>44865</v>
      </c>
      <c r="D167" s="705">
        <v>0</v>
      </c>
      <c r="E167" s="2180">
        <v>0.11600000000000001</v>
      </c>
      <c r="F167" s="2094">
        <f t="shared" si="68"/>
        <v>3.0490998660059887E-4</v>
      </c>
      <c r="G167" s="2095">
        <f t="shared" si="69"/>
        <v>45426300</v>
      </c>
      <c r="H167" s="702">
        <v>0</v>
      </c>
      <c r="I167" s="2178">
        <f>ROUND(G167*H167*F167,0)</f>
        <v>0</v>
      </c>
    </row>
    <row r="168" spans="1:10">
      <c r="A168" s="686">
        <v>13</v>
      </c>
      <c r="B168" s="2233">
        <v>44866</v>
      </c>
      <c r="C168" s="2233">
        <v>44888</v>
      </c>
      <c r="D168" s="705">
        <v>0</v>
      </c>
      <c r="E168" s="2180">
        <v>0.1263</v>
      </c>
      <c r="F168" s="2094">
        <f t="shared" si="68"/>
        <v>3.3043770493557112E-4</v>
      </c>
      <c r="G168" s="2095">
        <f t="shared" si="69"/>
        <v>45426300</v>
      </c>
      <c r="H168" s="702">
        <v>0</v>
      </c>
      <c r="I168" s="2178">
        <f>ROUND(G168*H168*F168,0)</f>
        <v>0</v>
      </c>
    </row>
    <row r="169" spans="1:10">
      <c r="A169" s="686">
        <v>14</v>
      </c>
      <c r="B169" s="2233">
        <v>44888</v>
      </c>
      <c r="C169" s="2233">
        <v>44895</v>
      </c>
      <c r="D169" s="705">
        <v>0</v>
      </c>
      <c r="E169" s="2180">
        <v>0.1263</v>
      </c>
      <c r="F169" s="2094">
        <f t="shared" si="68"/>
        <v>3.3043770493557112E-4</v>
      </c>
      <c r="G169" s="2095">
        <f t="shared" si="69"/>
        <v>45426300</v>
      </c>
      <c r="H169" s="702">
        <f>(C169-B169)+1</f>
        <v>8</v>
      </c>
      <c r="I169" s="2149">
        <f t="shared" ref="I169:I174" si="73">ROUND(G169*H169*F169,2)</f>
        <v>120084.5</v>
      </c>
    </row>
    <row r="170" spans="1:10">
      <c r="A170" s="686">
        <v>15</v>
      </c>
      <c r="B170" s="2233">
        <v>44896</v>
      </c>
      <c r="C170" s="2233">
        <v>44926</v>
      </c>
      <c r="D170" s="705">
        <v>0</v>
      </c>
      <c r="E170" s="2180">
        <v>0.13420000000000001</v>
      </c>
      <c r="F170" s="2094">
        <f t="shared" si="68"/>
        <v>3.4985995505043554E-4</v>
      </c>
      <c r="G170" s="2095">
        <f t="shared" si="69"/>
        <v>45426300</v>
      </c>
      <c r="H170" s="702">
        <f t="shared" ref="H170" si="74">(C170-B170)+1</f>
        <v>31</v>
      </c>
      <c r="I170" s="2149">
        <f t="shared" si="73"/>
        <v>492678.14</v>
      </c>
    </row>
    <row r="171" spans="1:10">
      <c r="A171" s="686">
        <v>16</v>
      </c>
      <c r="B171" s="2233">
        <v>44927</v>
      </c>
      <c r="C171" s="2233">
        <v>44957</v>
      </c>
      <c r="D171" s="705">
        <v>0</v>
      </c>
      <c r="E171" s="2180">
        <v>0.1391</v>
      </c>
      <c r="F171" s="2094">
        <f t="shared" ref="F171:F172" si="75">+((1+E171)^(1/360)-1)</f>
        <v>3.6183899495223493E-4</v>
      </c>
      <c r="G171" s="2095">
        <f t="shared" si="69"/>
        <v>45426300</v>
      </c>
      <c r="H171" s="702">
        <f t="shared" ref="H171:H172" si="76">(C171-B171)+1</f>
        <v>31</v>
      </c>
      <c r="I171" s="2149">
        <f t="shared" si="73"/>
        <v>509547.21</v>
      </c>
      <c r="J171" s="2335">
        <f>+I171</f>
        <v>509547.21</v>
      </c>
    </row>
    <row r="172" spans="1:10">
      <c r="A172" s="686">
        <v>17</v>
      </c>
      <c r="B172" s="2233">
        <v>44958</v>
      </c>
      <c r="C172" s="2233">
        <v>44985</v>
      </c>
      <c r="D172" s="705">
        <v>0</v>
      </c>
      <c r="E172" s="2180">
        <v>0.1439</v>
      </c>
      <c r="F172" s="2094">
        <f t="shared" si="75"/>
        <v>3.7352384419087059E-4</v>
      </c>
      <c r="G172" s="2095">
        <f t="shared" si="69"/>
        <v>45426300</v>
      </c>
      <c r="H172" s="702">
        <f t="shared" si="76"/>
        <v>28</v>
      </c>
      <c r="I172" s="2149">
        <f t="shared" si="73"/>
        <v>475098.57</v>
      </c>
      <c r="J172" s="2335"/>
    </row>
    <row r="173" spans="1:10">
      <c r="A173" s="686">
        <v>18</v>
      </c>
      <c r="B173" s="2233">
        <v>44986</v>
      </c>
      <c r="C173" s="2233">
        <v>45016</v>
      </c>
      <c r="D173" s="705">
        <v>0</v>
      </c>
      <c r="E173" s="2180">
        <v>0.1331</v>
      </c>
      <c r="F173" s="2094">
        <f t="shared" ref="F173:F174" si="77">+((1+E173)^(1/360)-1)</f>
        <v>3.4716369016041249E-4</v>
      </c>
      <c r="G173" s="2095">
        <f t="shared" si="69"/>
        <v>45426300</v>
      </c>
      <c r="H173" s="702">
        <f t="shared" ref="H173:H174" si="78">(C173-B173)+1</f>
        <v>31</v>
      </c>
      <c r="I173" s="2149">
        <f t="shared" si="73"/>
        <v>488881.22</v>
      </c>
      <c r="J173" s="2335"/>
    </row>
    <row r="174" spans="1:10">
      <c r="A174" s="686">
        <v>19</v>
      </c>
      <c r="B174" s="2233">
        <v>45017</v>
      </c>
      <c r="C174" s="2233">
        <v>45046</v>
      </c>
      <c r="D174" s="705">
        <v>0</v>
      </c>
      <c r="E174" s="2180"/>
      <c r="F174" s="2094">
        <f t="shared" si="77"/>
        <v>0</v>
      </c>
      <c r="G174" s="2095">
        <f t="shared" si="69"/>
        <v>45426300</v>
      </c>
      <c r="H174" s="702">
        <f t="shared" si="78"/>
        <v>30</v>
      </c>
      <c r="I174" s="2149">
        <f t="shared" si="73"/>
        <v>0</v>
      </c>
      <c r="J174" s="2335"/>
    </row>
    <row r="175" spans="1:10">
      <c r="G175" s="2663" t="s">
        <v>951</v>
      </c>
      <c r="H175" s="2663"/>
      <c r="I175" s="2330">
        <f>SUM(I156:I174)</f>
        <v>2530302.9300000002</v>
      </c>
    </row>
    <row r="176" spans="1:10">
      <c r="G176" s="2333"/>
      <c r="H176" s="2333"/>
      <c r="I176" s="2334"/>
    </row>
    <row r="177" spans="1:9">
      <c r="A177" s="702"/>
      <c r="B177" s="1667" t="s">
        <v>1777</v>
      </c>
      <c r="C177" s="2200">
        <v>50</v>
      </c>
      <c r="D177" s="2341">
        <f>+$D$10*C177</f>
        <v>45426300</v>
      </c>
    </row>
    <row r="178" spans="1:9">
      <c r="B178" s="2667" t="s">
        <v>1406</v>
      </c>
      <c r="C178" s="2668"/>
      <c r="D178" s="2668"/>
      <c r="E178" s="2668"/>
      <c r="F178" s="2668"/>
      <c r="G178" s="2668"/>
      <c r="H178" s="2668"/>
      <c r="I178" s="2669"/>
    </row>
    <row r="179" spans="1:9" ht="25.5">
      <c r="B179" s="700" t="s">
        <v>206</v>
      </c>
      <c r="C179" s="700" t="s">
        <v>10</v>
      </c>
      <c r="D179" s="2837" t="s">
        <v>1040</v>
      </c>
      <c r="E179" s="2838"/>
      <c r="F179" s="699" t="s">
        <v>43</v>
      </c>
      <c r="G179" s="700" t="s">
        <v>129</v>
      </c>
      <c r="H179" s="2343" t="s">
        <v>706</v>
      </c>
      <c r="I179" s="700" t="s">
        <v>48</v>
      </c>
    </row>
    <row r="180" spans="1:9">
      <c r="A180" s="686">
        <v>1</v>
      </c>
      <c r="B180" s="2233">
        <v>44547</v>
      </c>
      <c r="C180" s="2233">
        <v>44561</v>
      </c>
      <c r="D180" s="705">
        <v>0</v>
      </c>
      <c r="E180" s="2180">
        <v>3.0800000000000001E-2</v>
      </c>
      <c r="F180" s="2094">
        <f t="shared" ref="F180:F194" si="79">+((1+E180)^(1/360)-1)</f>
        <v>8.4267994225895038E-5</v>
      </c>
      <c r="G180" s="2095">
        <f>+$D$153</f>
        <v>45426300</v>
      </c>
      <c r="H180" s="702">
        <f>(C180-B180)+1</f>
        <v>15</v>
      </c>
      <c r="I180" s="2149">
        <f>ROUND(G180*H180*F180,2)</f>
        <v>57419.75</v>
      </c>
    </row>
    <row r="181" spans="1:9">
      <c r="A181" s="686">
        <v>2</v>
      </c>
      <c r="B181" s="2233">
        <v>44562</v>
      </c>
      <c r="C181" s="2233">
        <v>44592</v>
      </c>
      <c r="D181" s="705">
        <v>0</v>
      </c>
      <c r="E181" s="2180">
        <v>3.4700000000000002E-2</v>
      </c>
      <c r="F181" s="2094">
        <f t="shared" si="79"/>
        <v>9.4758738294453693E-5</v>
      </c>
      <c r="G181" s="2095">
        <f t="shared" ref="G181:G198" si="80">+$D$153</f>
        <v>45426300</v>
      </c>
      <c r="H181" s="702">
        <f t="shared" ref="H181:H183" si="81">(C181-B181)+1</f>
        <v>31</v>
      </c>
      <c r="I181" s="2149">
        <f t="shared" ref="I181:I183" si="82">ROUND(G181*H181*F181,2)</f>
        <v>133440.71</v>
      </c>
    </row>
    <row r="182" spans="1:9">
      <c r="A182" s="686">
        <v>3</v>
      </c>
      <c r="B182" s="2233">
        <v>44593</v>
      </c>
      <c r="C182" s="2233">
        <v>44620</v>
      </c>
      <c r="D182" s="705">
        <v>0</v>
      </c>
      <c r="E182" s="2180">
        <v>4.3099999999999999E-2</v>
      </c>
      <c r="F182" s="2094">
        <f t="shared" si="79"/>
        <v>1.1722089399812674E-4</v>
      </c>
      <c r="G182" s="2095">
        <f t="shared" si="80"/>
        <v>45426300</v>
      </c>
      <c r="H182" s="702">
        <f t="shared" si="81"/>
        <v>28</v>
      </c>
      <c r="I182" s="2149">
        <f t="shared" si="82"/>
        <v>149097.51999999999</v>
      </c>
    </row>
    <row r="183" spans="1:9">
      <c r="A183" s="686">
        <v>4</v>
      </c>
      <c r="B183" s="2233">
        <v>44621</v>
      </c>
      <c r="C183" s="2233">
        <v>44637</v>
      </c>
      <c r="D183" s="705">
        <v>0</v>
      </c>
      <c r="E183" s="2180">
        <v>4.9700000000000001E-2</v>
      </c>
      <c r="F183" s="2094">
        <f t="shared" si="79"/>
        <v>1.3474354670628408E-4</v>
      </c>
      <c r="G183" s="2095">
        <f t="shared" si="80"/>
        <v>45426300</v>
      </c>
      <c r="H183" s="702">
        <f t="shared" si="81"/>
        <v>17</v>
      </c>
      <c r="I183" s="2149">
        <f t="shared" si="82"/>
        <v>104055.31</v>
      </c>
    </row>
    <row r="184" spans="1:9">
      <c r="A184" s="686">
        <v>5</v>
      </c>
      <c r="B184" s="2233">
        <v>44638</v>
      </c>
      <c r="C184" s="2233">
        <v>44651</v>
      </c>
      <c r="D184" s="705">
        <v>0</v>
      </c>
      <c r="E184" s="2180">
        <v>4.9700000000000001E-2</v>
      </c>
      <c r="F184" s="2094">
        <f t="shared" si="79"/>
        <v>1.3474354670628408E-4</v>
      </c>
      <c r="G184" s="2095">
        <f t="shared" si="80"/>
        <v>45426300</v>
      </c>
      <c r="H184" s="702">
        <v>0</v>
      </c>
      <c r="I184" s="2178"/>
    </row>
    <row r="185" spans="1:9">
      <c r="A185" s="686">
        <v>6</v>
      </c>
      <c r="B185" s="2233">
        <v>44652</v>
      </c>
      <c r="C185" s="2233">
        <v>44681</v>
      </c>
      <c r="D185" s="705">
        <v>0</v>
      </c>
      <c r="E185" s="2180">
        <v>5.9700000000000003E-2</v>
      </c>
      <c r="F185" s="2094">
        <f t="shared" si="79"/>
        <v>1.6108477608911542E-4</v>
      </c>
      <c r="G185" s="2095">
        <f t="shared" si="80"/>
        <v>45426300</v>
      </c>
      <c r="H185" s="702">
        <v>0</v>
      </c>
      <c r="I185" s="2178">
        <f t="shared" ref="I185:I189" si="83">ROUND(G185*H185*F185,0)</f>
        <v>0</v>
      </c>
    </row>
    <row r="186" spans="1:9">
      <c r="A186" s="686">
        <v>7</v>
      </c>
      <c r="B186" s="2233">
        <v>44682</v>
      </c>
      <c r="C186" s="2233">
        <v>44712</v>
      </c>
      <c r="D186" s="705">
        <v>0</v>
      </c>
      <c r="E186" s="2180">
        <v>7.0400000000000004E-2</v>
      </c>
      <c r="F186" s="2094">
        <f t="shared" si="79"/>
        <v>1.8899677539563342E-4</v>
      </c>
      <c r="G186" s="2095">
        <f t="shared" si="80"/>
        <v>45426300</v>
      </c>
      <c r="H186" s="702">
        <v>0</v>
      </c>
      <c r="I186" s="2178">
        <f t="shared" si="83"/>
        <v>0</v>
      </c>
    </row>
    <row r="187" spans="1:9">
      <c r="A187" s="686">
        <v>8</v>
      </c>
      <c r="B187" s="2233">
        <v>44713</v>
      </c>
      <c r="C187" s="2233">
        <v>44742</v>
      </c>
      <c r="D187" s="705">
        <v>0</v>
      </c>
      <c r="E187" s="2180">
        <v>7.7200000000000005E-2</v>
      </c>
      <c r="F187" s="2094">
        <f t="shared" si="79"/>
        <v>2.0659100908204664E-4</v>
      </c>
      <c r="G187" s="2095">
        <f t="shared" si="80"/>
        <v>45426300</v>
      </c>
      <c r="H187" s="702">
        <v>0</v>
      </c>
      <c r="I187" s="2178">
        <f t="shared" si="83"/>
        <v>0</v>
      </c>
    </row>
    <row r="188" spans="1:9">
      <c r="A188" s="686">
        <v>9</v>
      </c>
      <c r="B188" s="2233">
        <v>44743</v>
      </c>
      <c r="C188" s="2233">
        <v>44773</v>
      </c>
      <c r="D188" s="705">
        <v>0</v>
      </c>
      <c r="E188" s="2180">
        <v>9.2999999999999999E-2</v>
      </c>
      <c r="F188" s="2094">
        <f t="shared" si="79"/>
        <v>2.4704775903483522E-4</v>
      </c>
      <c r="G188" s="2095">
        <f t="shared" si="80"/>
        <v>45426300</v>
      </c>
      <c r="H188" s="702">
        <v>0</v>
      </c>
      <c r="I188" s="2178">
        <f t="shared" si="83"/>
        <v>0</v>
      </c>
    </row>
    <row r="189" spans="1:9">
      <c r="A189" s="686">
        <v>10</v>
      </c>
      <c r="B189" s="2233">
        <v>44774</v>
      </c>
      <c r="C189" s="2233">
        <v>44804</v>
      </c>
      <c r="D189" s="705">
        <v>0</v>
      </c>
      <c r="E189" s="2180">
        <v>0.1057</v>
      </c>
      <c r="F189" s="2094">
        <f t="shared" si="79"/>
        <v>2.7914622785418786E-4</v>
      </c>
      <c r="G189" s="2095">
        <f t="shared" si="80"/>
        <v>45426300</v>
      </c>
      <c r="H189" s="702">
        <v>0</v>
      </c>
      <c r="I189" s="2178">
        <f t="shared" si="83"/>
        <v>0</v>
      </c>
    </row>
    <row r="190" spans="1:9">
      <c r="A190" s="686">
        <v>11</v>
      </c>
      <c r="B190" s="2233">
        <v>44805</v>
      </c>
      <c r="C190" s="2233">
        <v>44834</v>
      </c>
      <c r="D190" s="705">
        <v>0</v>
      </c>
      <c r="E190" s="2180">
        <v>0.1099</v>
      </c>
      <c r="F190" s="2094">
        <f t="shared" si="79"/>
        <v>2.8968061926226696E-4</v>
      </c>
      <c r="G190" s="2095">
        <f t="shared" si="80"/>
        <v>45426300</v>
      </c>
      <c r="H190" s="702">
        <v>0</v>
      </c>
      <c r="I190" s="2178">
        <f>ROUND(G190*H190*F190,0)</f>
        <v>0</v>
      </c>
    </row>
    <row r="191" spans="1:9">
      <c r="A191" s="686">
        <v>12</v>
      </c>
      <c r="B191" s="2233">
        <v>44835</v>
      </c>
      <c r="C191" s="2233">
        <v>44865</v>
      </c>
      <c r="D191" s="705">
        <v>0</v>
      </c>
      <c r="E191" s="2180">
        <v>0.11600000000000001</v>
      </c>
      <c r="F191" s="2094">
        <f t="shared" si="79"/>
        <v>3.0490998660059887E-4</v>
      </c>
      <c r="G191" s="2095">
        <f t="shared" si="80"/>
        <v>45426300</v>
      </c>
      <c r="H191" s="702">
        <v>0</v>
      </c>
      <c r="I191" s="2178">
        <f>ROUND(G191*H191*F191,0)</f>
        <v>0</v>
      </c>
    </row>
    <row r="192" spans="1:9">
      <c r="A192" s="686">
        <v>13</v>
      </c>
      <c r="B192" s="2233">
        <v>44866</v>
      </c>
      <c r="C192" s="2233">
        <v>44888</v>
      </c>
      <c r="D192" s="705">
        <v>0</v>
      </c>
      <c r="E192" s="2180">
        <v>0.1263</v>
      </c>
      <c r="F192" s="2094">
        <f t="shared" si="79"/>
        <v>3.3043770493557112E-4</v>
      </c>
      <c r="G192" s="2095">
        <f t="shared" si="80"/>
        <v>45426300</v>
      </c>
      <c r="H192" s="702">
        <v>0</v>
      </c>
      <c r="I192" s="2178">
        <f>ROUND(G192*H192*F192,0)</f>
        <v>0</v>
      </c>
    </row>
    <row r="193" spans="1:10">
      <c r="A193" s="686">
        <v>14</v>
      </c>
      <c r="B193" s="2233">
        <v>44888</v>
      </c>
      <c r="C193" s="2233">
        <v>44895</v>
      </c>
      <c r="D193" s="705">
        <v>0</v>
      </c>
      <c r="E193" s="2180">
        <v>0.1263</v>
      </c>
      <c r="F193" s="2094">
        <f t="shared" si="79"/>
        <v>3.3043770493557112E-4</v>
      </c>
      <c r="G193" s="2095">
        <f t="shared" si="80"/>
        <v>45426300</v>
      </c>
      <c r="H193" s="702">
        <f>(C193-B193)+1</f>
        <v>8</v>
      </c>
      <c r="I193" s="2149">
        <f t="shared" ref="I193:I198" si="84">ROUND(G193*H193*F193,2)</f>
        <v>120084.5</v>
      </c>
    </row>
    <row r="194" spans="1:10">
      <c r="A194" s="686">
        <v>15</v>
      </c>
      <c r="B194" s="2233">
        <v>44896</v>
      </c>
      <c r="C194" s="2233">
        <v>44926</v>
      </c>
      <c r="D194" s="705">
        <v>0</v>
      </c>
      <c r="E194" s="2180">
        <v>0.13420000000000001</v>
      </c>
      <c r="F194" s="2094">
        <f t="shared" si="79"/>
        <v>3.4985995505043554E-4</v>
      </c>
      <c r="G194" s="2095">
        <f t="shared" si="80"/>
        <v>45426300</v>
      </c>
      <c r="H194" s="702">
        <f t="shared" ref="H194" si="85">(C194-B194)+1</f>
        <v>31</v>
      </c>
      <c r="I194" s="2149">
        <f t="shared" si="84"/>
        <v>492678.14</v>
      </c>
    </row>
    <row r="195" spans="1:10">
      <c r="A195" s="686">
        <v>16</v>
      </c>
      <c r="B195" s="2233">
        <v>44927</v>
      </c>
      <c r="C195" s="2233">
        <v>44957</v>
      </c>
      <c r="D195" s="705">
        <v>0</v>
      </c>
      <c r="E195" s="2180">
        <v>0.1391</v>
      </c>
      <c r="F195" s="2094">
        <f t="shared" ref="F195:F196" si="86">+((1+E195)^(1/360)-1)</f>
        <v>3.6183899495223493E-4</v>
      </c>
      <c r="G195" s="2095">
        <f t="shared" si="80"/>
        <v>45426300</v>
      </c>
      <c r="H195" s="702">
        <f t="shared" ref="H195" si="87">(C195-B195)+1</f>
        <v>31</v>
      </c>
      <c r="I195" s="2149">
        <f t="shared" si="84"/>
        <v>509547.21</v>
      </c>
      <c r="J195" s="2335"/>
    </row>
    <row r="196" spans="1:10">
      <c r="A196" s="686">
        <v>17</v>
      </c>
      <c r="B196" s="2233">
        <v>44958</v>
      </c>
      <c r="C196" s="2233">
        <v>44985</v>
      </c>
      <c r="D196" s="705">
        <v>0</v>
      </c>
      <c r="E196" s="2180">
        <v>0.1439</v>
      </c>
      <c r="F196" s="2094">
        <f t="shared" si="86"/>
        <v>3.7352384419087059E-4</v>
      </c>
      <c r="G196" s="2095">
        <f t="shared" si="80"/>
        <v>45426300</v>
      </c>
      <c r="H196" s="702">
        <f>(C196-B196)+1</f>
        <v>28</v>
      </c>
      <c r="I196" s="2149">
        <f t="shared" si="84"/>
        <v>475098.57</v>
      </c>
      <c r="J196" s="2335"/>
    </row>
    <row r="197" spans="1:10">
      <c r="A197" s="686">
        <v>18</v>
      </c>
      <c r="B197" s="2233">
        <v>44986</v>
      </c>
      <c r="C197" s="2233">
        <v>45016</v>
      </c>
      <c r="D197" s="705">
        <v>0</v>
      </c>
      <c r="E197" s="2180">
        <v>0.1331</v>
      </c>
      <c r="F197" s="2094">
        <f t="shared" ref="F197:F198" si="88">+((1+E197)^(1/360)-1)</f>
        <v>3.4716369016041249E-4</v>
      </c>
      <c r="G197" s="2095">
        <f t="shared" si="80"/>
        <v>45426300</v>
      </c>
      <c r="H197" s="702">
        <f t="shared" ref="H197" si="89">(C197-B197)+1</f>
        <v>31</v>
      </c>
      <c r="I197" s="2149">
        <f t="shared" si="84"/>
        <v>488881.22</v>
      </c>
      <c r="J197" s="2335"/>
    </row>
    <row r="198" spans="1:10">
      <c r="A198" s="686">
        <v>19</v>
      </c>
      <c r="B198" s="2233">
        <v>45017</v>
      </c>
      <c r="C198" s="2233">
        <v>45046</v>
      </c>
      <c r="D198" s="705">
        <v>0</v>
      </c>
      <c r="E198" s="2180"/>
      <c r="F198" s="2094">
        <f t="shared" si="88"/>
        <v>0</v>
      </c>
      <c r="G198" s="2095">
        <f t="shared" si="80"/>
        <v>45426300</v>
      </c>
      <c r="H198" s="702">
        <f>(C198-B198)+1</f>
        <v>30</v>
      </c>
      <c r="I198" s="2149">
        <f t="shared" si="84"/>
        <v>0</v>
      </c>
      <c r="J198" s="2335"/>
    </row>
    <row r="199" spans="1:10">
      <c r="G199" s="2663" t="s">
        <v>951</v>
      </c>
      <c r="H199" s="2663"/>
      <c r="I199" s="2330">
        <f>SUM(I180:I198)</f>
        <v>2530302.9300000002</v>
      </c>
    </row>
    <row r="200" spans="1:10">
      <c r="G200" s="2333"/>
      <c r="H200" s="2333"/>
      <c r="I200" s="2334"/>
    </row>
    <row r="201" spans="1:10">
      <c r="A201" s="702"/>
      <c r="B201" s="1667" t="s">
        <v>1778</v>
      </c>
      <c r="C201" s="2200">
        <v>50</v>
      </c>
      <c r="D201" s="2341">
        <f>+$D$10*C201</f>
        <v>45426300</v>
      </c>
    </row>
    <row r="202" spans="1:10">
      <c r="B202" s="2667" t="s">
        <v>1406</v>
      </c>
      <c r="C202" s="2668"/>
      <c r="D202" s="2668"/>
      <c r="E202" s="2668"/>
      <c r="F202" s="2668"/>
      <c r="G202" s="2668"/>
      <c r="H202" s="2668"/>
      <c r="I202" s="2669"/>
    </row>
    <row r="203" spans="1:10" ht="25.5">
      <c r="B203" s="700" t="s">
        <v>206</v>
      </c>
      <c r="C203" s="700" t="s">
        <v>10</v>
      </c>
      <c r="D203" s="2837" t="s">
        <v>1040</v>
      </c>
      <c r="E203" s="2838"/>
      <c r="F203" s="699" t="s">
        <v>43</v>
      </c>
      <c r="G203" s="700" t="s">
        <v>129</v>
      </c>
      <c r="H203" s="2343" t="s">
        <v>706</v>
      </c>
      <c r="I203" s="700" t="s">
        <v>48</v>
      </c>
    </row>
    <row r="204" spans="1:10">
      <c r="A204" s="686">
        <v>1</v>
      </c>
      <c r="B204" s="2233">
        <v>44547</v>
      </c>
      <c r="C204" s="2233">
        <v>44561</v>
      </c>
      <c r="D204" s="705">
        <v>0</v>
      </c>
      <c r="E204" s="2180">
        <v>3.0800000000000001E-2</v>
      </c>
      <c r="F204" s="2094">
        <f t="shared" ref="F204:F218" si="90">+((1+E204)^(1/360)-1)</f>
        <v>8.4267994225895038E-5</v>
      </c>
      <c r="G204" s="2095">
        <f>+$D$201</f>
        <v>45426300</v>
      </c>
      <c r="H204" s="702">
        <f>(C204-B204)+1</f>
        <v>15</v>
      </c>
      <c r="I204" s="2149">
        <f>ROUND(G204*H204*F204,2)</f>
        <v>57419.75</v>
      </c>
    </row>
    <row r="205" spans="1:10">
      <c r="A205" s="686">
        <v>2</v>
      </c>
      <c r="B205" s="2233">
        <v>44562</v>
      </c>
      <c r="C205" s="2233">
        <v>44592</v>
      </c>
      <c r="D205" s="705">
        <v>0</v>
      </c>
      <c r="E205" s="2180">
        <v>3.4700000000000002E-2</v>
      </c>
      <c r="F205" s="2094">
        <f t="shared" si="90"/>
        <v>9.4758738294453693E-5</v>
      </c>
      <c r="G205" s="2095">
        <f t="shared" ref="G205:G222" si="91">+$D$201</f>
        <v>45426300</v>
      </c>
      <c r="H205" s="702">
        <f t="shared" ref="H205:H207" si="92">(C205-B205)+1</f>
        <v>31</v>
      </c>
      <c r="I205" s="2149">
        <f t="shared" ref="I205:I207" si="93">ROUND(G205*H205*F205,2)</f>
        <v>133440.71</v>
      </c>
    </row>
    <row r="206" spans="1:10">
      <c r="A206" s="686">
        <v>3</v>
      </c>
      <c r="B206" s="2233">
        <v>44593</v>
      </c>
      <c r="C206" s="2233">
        <v>44620</v>
      </c>
      <c r="D206" s="705">
        <v>0</v>
      </c>
      <c r="E206" s="2180">
        <v>4.3099999999999999E-2</v>
      </c>
      <c r="F206" s="2094">
        <f t="shared" si="90"/>
        <v>1.1722089399812674E-4</v>
      </c>
      <c r="G206" s="2095">
        <f t="shared" si="91"/>
        <v>45426300</v>
      </c>
      <c r="H206" s="702">
        <f t="shared" si="92"/>
        <v>28</v>
      </c>
      <c r="I206" s="2149">
        <f t="shared" si="93"/>
        <v>149097.51999999999</v>
      </c>
    </row>
    <row r="207" spans="1:10">
      <c r="A207" s="686">
        <v>4</v>
      </c>
      <c r="B207" s="2233">
        <v>44621</v>
      </c>
      <c r="C207" s="2233">
        <v>44637</v>
      </c>
      <c r="D207" s="705">
        <v>0</v>
      </c>
      <c r="E207" s="2180">
        <v>4.9700000000000001E-2</v>
      </c>
      <c r="F207" s="2094">
        <f t="shared" si="90"/>
        <v>1.3474354670628408E-4</v>
      </c>
      <c r="G207" s="2095">
        <f t="shared" si="91"/>
        <v>45426300</v>
      </c>
      <c r="H207" s="702">
        <f t="shared" si="92"/>
        <v>17</v>
      </c>
      <c r="I207" s="2149">
        <f t="shared" si="93"/>
        <v>104055.31</v>
      </c>
    </row>
    <row r="208" spans="1:10">
      <c r="A208" s="686">
        <v>5</v>
      </c>
      <c r="B208" s="2233">
        <v>44638</v>
      </c>
      <c r="C208" s="2233">
        <v>44651</v>
      </c>
      <c r="D208" s="705">
        <v>0</v>
      </c>
      <c r="E208" s="2180">
        <v>4.9700000000000001E-2</v>
      </c>
      <c r="F208" s="2094">
        <f t="shared" si="90"/>
        <v>1.3474354670628408E-4</v>
      </c>
      <c r="G208" s="2095">
        <f t="shared" si="91"/>
        <v>45426300</v>
      </c>
      <c r="H208" s="702">
        <v>0</v>
      </c>
      <c r="I208" s="2178"/>
    </row>
    <row r="209" spans="1:10">
      <c r="A209" s="686">
        <v>6</v>
      </c>
      <c r="B209" s="2233">
        <v>44652</v>
      </c>
      <c r="C209" s="2233">
        <v>44681</v>
      </c>
      <c r="D209" s="705">
        <v>0</v>
      </c>
      <c r="E209" s="2180">
        <v>5.9700000000000003E-2</v>
      </c>
      <c r="F209" s="2094">
        <f t="shared" si="90"/>
        <v>1.6108477608911542E-4</v>
      </c>
      <c r="G209" s="2095">
        <f t="shared" si="91"/>
        <v>45426300</v>
      </c>
      <c r="H209" s="702">
        <v>0</v>
      </c>
      <c r="I209" s="2178">
        <f t="shared" ref="I209:I213" si="94">ROUND(G209*H209*F209,0)</f>
        <v>0</v>
      </c>
    </row>
    <row r="210" spans="1:10">
      <c r="A210" s="686">
        <v>7</v>
      </c>
      <c r="B210" s="2233">
        <v>44682</v>
      </c>
      <c r="C210" s="2233">
        <v>44712</v>
      </c>
      <c r="D210" s="705">
        <v>0</v>
      </c>
      <c r="E210" s="2180">
        <v>7.0400000000000004E-2</v>
      </c>
      <c r="F210" s="2094">
        <f t="shared" si="90"/>
        <v>1.8899677539563342E-4</v>
      </c>
      <c r="G210" s="2095">
        <f t="shared" si="91"/>
        <v>45426300</v>
      </c>
      <c r="H210" s="702">
        <v>0</v>
      </c>
      <c r="I210" s="2178">
        <f t="shared" si="94"/>
        <v>0</v>
      </c>
    </row>
    <row r="211" spans="1:10">
      <c r="A211" s="686">
        <v>8</v>
      </c>
      <c r="B211" s="2233">
        <v>44713</v>
      </c>
      <c r="C211" s="2233">
        <v>44742</v>
      </c>
      <c r="D211" s="705">
        <v>0</v>
      </c>
      <c r="E211" s="2180">
        <v>7.7200000000000005E-2</v>
      </c>
      <c r="F211" s="2094">
        <f t="shared" si="90"/>
        <v>2.0659100908204664E-4</v>
      </c>
      <c r="G211" s="2095">
        <f t="shared" si="91"/>
        <v>45426300</v>
      </c>
      <c r="H211" s="702">
        <v>0</v>
      </c>
      <c r="I211" s="2178">
        <f t="shared" si="94"/>
        <v>0</v>
      </c>
    </row>
    <row r="212" spans="1:10">
      <c r="A212" s="686">
        <v>9</v>
      </c>
      <c r="B212" s="2233">
        <v>44743</v>
      </c>
      <c r="C212" s="2233">
        <v>44773</v>
      </c>
      <c r="D212" s="705">
        <v>0</v>
      </c>
      <c r="E212" s="2180">
        <v>9.2999999999999999E-2</v>
      </c>
      <c r="F212" s="2094">
        <f t="shared" si="90"/>
        <v>2.4704775903483522E-4</v>
      </c>
      <c r="G212" s="2095">
        <f t="shared" si="91"/>
        <v>45426300</v>
      </c>
      <c r="H212" s="702">
        <v>0</v>
      </c>
      <c r="I212" s="2178">
        <f t="shared" si="94"/>
        <v>0</v>
      </c>
    </row>
    <row r="213" spans="1:10">
      <c r="A213" s="686">
        <v>10</v>
      </c>
      <c r="B213" s="2233">
        <v>44774</v>
      </c>
      <c r="C213" s="2233">
        <v>44804</v>
      </c>
      <c r="D213" s="705">
        <v>0</v>
      </c>
      <c r="E213" s="2180">
        <v>0.1057</v>
      </c>
      <c r="F213" s="2094">
        <f t="shared" si="90"/>
        <v>2.7914622785418786E-4</v>
      </c>
      <c r="G213" s="2095">
        <f t="shared" si="91"/>
        <v>45426300</v>
      </c>
      <c r="H213" s="702">
        <v>0</v>
      </c>
      <c r="I213" s="2178">
        <f t="shared" si="94"/>
        <v>0</v>
      </c>
    </row>
    <row r="214" spans="1:10">
      <c r="A214" s="686">
        <v>11</v>
      </c>
      <c r="B214" s="2233">
        <v>44805</v>
      </c>
      <c r="C214" s="2233">
        <v>44834</v>
      </c>
      <c r="D214" s="705">
        <v>0</v>
      </c>
      <c r="E214" s="2180">
        <v>0.1099</v>
      </c>
      <c r="F214" s="2094">
        <f t="shared" si="90"/>
        <v>2.8968061926226696E-4</v>
      </c>
      <c r="G214" s="2095">
        <f t="shared" si="91"/>
        <v>45426300</v>
      </c>
      <c r="H214" s="702">
        <v>0</v>
      </c>
      <c r="I214" s="2178">
        <f>ROUND(G214*H214*F214,0)</f>
        <v>0</v>
      </c>
    </row>
    <row r="215" spans="1:10">
      <c r="A215" s="686">
        <v>12</v>
      </c>
      <c r="B215" s="2233">
        <v>44835</v>
      </c>
      <c r="C215" s="2233">
        <v>44865</v>
      </c>
      <c r="D215" s="705">
        <v>0</v>
      </c>
      <c r="E215" s="2180">
        <v>0.11600000000000001</v>
      </c>
      <c r="F215" s="2094">
        <f t="shared" si="90"/>
        <v>3.0490998660059887E-4</v>
      </c>
      <c r="G215" s="2095">
        <f t="shared" si="91"/>
        <v>45426300</v>
      </c>
      <c r="H215" s="702">
        <v>0</v>
      </c>
      <c r="I215" s="2178">
        <f>ROUND(G215*H215*F215,0)</f>
        <v>0</v>
      </c>
    </row>
    <row r="216" spans="1:10">
      <c r="A216" s="686">
        <v>13</v>
      </c>
      <c r="B216" s="2233">
        <v>44866</v>
      </c>
      <c r="C216" s="2233">
        <v>44888</v>
      </c>
      <c r="D216" s="705">
        <v>0</v>
      </c>
      <c r="E216" s="2180">
        <v>0.1263</v>
      </c>
      <c r="F216" s="2094">
        <f t="shared" si="90"/>
        <v>3.3043770493557112E-4</v>
      </c>
      <c r="G216" s="2095">
        <f t="shared" si="91"/>
        <v>45426300</v>
      </c>
      <c r="H216" s="702">
        <v>0</v>
      </c>
      <c r="I216" s="2178">
        <f>ROUND(G216*H216*F216,0)</f>
        <v>0</v>
      </c>
    </row>
    <row r="217" spans="1:10">
      <c r="A217" s="686">
        <v>14</v>
      </c>
      <c r="B217" s="2233">
        <v>44888</v>
      </c>
      <c r="C217" s="2233">
        <v>44895</v>
      </c>
      <c r="D217" s="705">
        <v>0</v>
      </c>
      <c r="E217" s="2180">
        <v>0.1263</v>
      </c>
      <c r="F217" s="2094">
        <f t="shared" si="90"/>
        <v>3.3043770493557112E-4</v>
      </c>
      <c r="G217" s="2095">
        <f t="shared" si="91"/>
        <v>45426300</v>
      </c>
      <c r="H217" s="702">
        <f>(C217-B217)+1</f>
        <v>8</v>
      </c>
      <c r="I217" s="2149">
        <f t="shared" ref="I217:I222" si="95">ROUND(G217*H217*F217,2)</f>
        <v>120084.5</v>
      </c>
    </row>
    <row r="218" spans="1:10">
      <c r="A218" s="686">
        <v>15</v>
      </c>
      <c r="B218" s="2233">
        <v>44896</v>
      </c>
      <c r="C218" s="2233">
        <v>44926</v>
      </c>
      <c r="D218" s="705">
        <v>0</v>
      </c>
      <c r="E218" s="2180">
        <v>0.13420000000000001</v>
      </c>
      <c r="F218" s="2094">
        <f t="shared" si="90"/>
        <v>3.4985995505043554E-4</v>
      </c>
      <c r="G218" s="2095">
        <f t="shared" si="91"/>
        <v>45426300</v>
      </c>
      <c r="H218" s="702">
        <f t="shared" ref="H218" si="96">(C218-B218)+1</f>
        <v>31</v>
      </c>
      <c r="I218" s="2149">
        <f t="shared" si="95"/>
        <v>492678.14</v>
      </c>
    </row>
    <row r="219" spans="1:10">
      <c r="A219" s="686">
        <v>16</v>
      </c>
      <c r="B219" s="2233">
        <v>44927</v>
      </c>
      <c r="C219" s="2233">
        <v>44957</v>
      </c>
      <c r="D219" s="705">
        <v>0</v>
      </c>
      <c r="E219" s="2180">
        <v>0.1391</v>
      </c>
      <c r="F219" s="2094">
        <f t="shared" ref="F219:F221" si="97">+((1+E219)^(1/360)-1)</f>
        <v>3.6183899495223493E-4</v>
      </c>
      <c r="G219" s="2095">
        <f t="shared" si="91"/>
        <v>45426300</v>
      </c>
      <c r="H219" s="702">
        <f>(C219-B219)+1</f>
        <v>31</v>
      </c>
      <c r="I219" s="2149">
        <f t="shared" si="95"/>
        <v>509547.21</v>
      </c>
      <c r="J219" s="2335">
        <f>+I219</f>
        <v>509547.21</v>
      </c>
    </row>
    <row r="220" spans="1:10">
      <c r="A220" s="686">
        <v>17</v>
      </c>
      <c r="B220" s="2233">
        <v>44958</v>
      </c>
      <c r="C220" s="2233">
        <v>44985</v>
      </c>
      <c r="D220" s="705">
        <v>0</v>
      </c>
      <c r="E220" s="2180">
        <v>0.1439</v>
      </c>
      <c r="F220" s="2094">
        <f t="shared" si="97"/>
        <v>3.7352384419087059E-4</v>
      </c>
      <c r="G220" s="2095">
        <f t="shared" si="91"/>
        <v>45426300</v>
      </c>
      <c r="H220" s="702">
        <f t="shared" ref="H220:H221" si="98">(C220-B220)+1</f>
        <v>28</v>
      </c>
      <c r="I220" s="2149">
        <f t="shared" si="95"/>
        <v>475098.57</v>
      </c>
      <c r="J220" s="2335"/>
    </row>
    <row r="221" spans="1:10">
      <c r="A221" s="686">
        <v>18</v>
      </c>
      <c r="B221" s="2233">
        <v>44986</v>
      </c>
      <c r="C221" s="2233">
        <v>45016</v>
      </c>
      <c r="D221" s="705">
        <v>0</v>
      </c>
      <c r="E221" s="2180">
        <v>0.1331</v>
      </c>
      <c r="F221" s="2094">
        <f t="shared" si="97"/>
        <v>3.4716369016041249E-4</v>
      </c>
      <c r="G221" s="2095">
        <f t="shared" si="91"/>
        <v>45426300</v>
      </c>
      <c r="H221" s="702">
        <f t="shared" si="98"/>
        <v>31</v>
      </c>
      <c r="I221" s="2149">
        <f t="shared" si="95"/>
        <v>488881.22</v>
      </c>
      <c r="J221" s="2335"/>
    </row>
    <row r="222" spans="1:10">
      <c r="A222" s="686">
        <v>19</v>
      </c>
      <c r="B222" s="2233">
        <v>45017</v>
      </c>
      <c r="C222" s="2233">
        <v>45046</v>
      </c>
      <c r="D222" s="705">
        <v>0</v>
      </c>
      <c r="E222" s="2180"/>
      <c r="F222" s="2094">
        <f t="shared" ref="F222" si="99">+((1+E222)^(1/360)-1)</f>
        <v>0</v>
      </c>
      <c r="G222" s="2095">
        <f t="shared" si="91"/>
        <v>45426300</v>
      </c>
      <c r="H222" s="702">
        <f>(C222-B222)+1</f>
        <v>30</v>
      </c>
      <c r="I222" s="2149">
        <f t="shared" si="95"/>
        <v>0</v>
      </c>
      <c r="J222" s="2335"/>
    </row>
    <row r="223" spans="1:10">
      <c r="G223" s="2663" t="s">
        <v>951</v>
      </c>
      <c r="H223" s="2663"/>
      <c r="I223" s="2330">
        <f>SUM(I204:I222)</f>
        <v>2530302.9300000002</v>
      </c>
    </row>
    <row r="224" spans="1:10">
      <c r="G224" s="2333"/>
      <c r="H224" s="2333"/>
      <c r="I224" s="2334"/>
    </row>
    <row r="225" spans="1:9">
      <c r="A225" s="702"/>
      <c r="B225" s="1667" t="s">
        <v>1779</v>
      </c>
      <c r="C225" s="2200">
        <v>50</v>
      </c>
      <c r="D225" s="2341">
        <f>+$D$10*C225</f>
        <v>45426300</v>
      </c>
    </row>
    <row r="226" spans="1:9">
      <c r="B226" s="2667" t="s">
        <v>1406</v>
      </c>
      <c r="C226" s="2668"/>
      <c r="D226" s="2668"/>
      <c r="E226" s="2668"/>
      <c r="F226" s="2668"/>
      <c r="G226" s="2668"/>
      <c r="H226" s="2668"/>
      <c r="I226" s="2669"/>
    </row>
    <row r="227" spans="1:9" ht="25.5">
      <c r="B227" s="700" t="s">
        <v>206</v>
      </c>
      <c r="C227" s="700" t="s">
        <v>10</v>
      </c>
      <c r="D227" s="2837" t="s">
        <v>1040</v>
      </c>
      <c r="E227" s="2838"/>
      <c r="F227" s="699" t="s">
        <v>43</v>
      </c>
      <c r="G227" s="700" t="s">
        <v>129</v>
      </c>
      <c r="H227" s="2343" t="s">
        <v>706</v>
      </c>
      <c r="I227" s="700" t="s">
        <v>48</v>
      </c>
    </row>
    <row r="228" spans="1:9">
      <c r="A228" s="686">
        <v>1</v>
      </c>
      <c r="B228" s="2233">
        <v>44547</v>
      </c>
      <c r="C228" s="2233">
        <v>44561</v>
      </c>
      <c r="D228" s="705">
        <v>0</v>
      </c>
      <c r="E228" s="2180">
        <v>3.0800000000000001E-2</v>
      </c>
      <c r="F228" s="2094">
        <f t="shared" ref="F228:F242" si="100">+((1+E228)^(1/360)-1)</f>
        <v>8.4267994225895038E-5</v>
      </c>
      <c r="G228" s="2095">
        <f>+$D$201</f>
        <v>45426300</v>
      </c>
      <c r="H228" s="702">
        <f>(C228-B228)+1</f>
        <v>15</v>
      </c>
      <c r="I228" s="2149">
        <f>ROUND(G228*H228*F228,2)</f>
        <v>57419.75</v>
      </c>
    </row>
    <row r="229" spans="1:9">
      <c r="A229" s="686">
        <v>2</v>
      </c>
      <c r="B229" s="2233">
        <v>44562</v>
      </c>
      <c r="C229" s="2233">
        <v>44592</v>
      </c>
      <c r="D229" s="705">
        <v>0</v>
      </c>
      <c r="E229" s="2180">
        <v>3.4700000000000002E-2</v>
      </c>
      <c r="F229" s="2094">
        <f t="shared" si="100"/>
        <v>9.4758738294453693E-5</v>
      </c>
      <c r="G229" s="2095">
        <f t="shared" ref="G229:G246" si="101">+$D$201</f>
        <v>45426300</v>
      </c>
      <c r="H229" s="702">
        <f t="shared" ref="H229:H231" si="102">(C229-B229)+1</f>
        <v>31</v>
      </c>
      <c r="I229" s="2149">
        <f t="shared" ref="I229:I231" si="103">ROUND(G229*H229*F229,2)</f>
        <v>133440.71</v>
      </c>
    </row>
    <row r="230" spans="1:9">
      <c r="A230" s="686">
        <v>3</v>
      </c>
      <c r="B230" s="2233">
        <v>44593</v>
      </c>
      <c r="C230" s="2233">
        <v>44620</v>
      </c>
      <c r="D230" s="705">
        <v>0</v>
      </c>
      <c r="E230" s="2180">
        <v>4.3099999999999999E-2</v>
      </c>
      <c r="F230" s="2094">
        <f t="shared" si="100"/>
        <v>1.1722089399812674E-4</v>
      </c>
      <c r="G230" s="2095">
        <f t="shared" si="101"/>
        <v>45426300</v>
      </c>
      <c r="H230" s="702">
        <f t="shared" si="102"/>
        <v>28</v>
      </c>
      <c r="I230" s="2149">
        <f t="shared" si="103"/>
        <v>149097.51999999999</v>
      </c>
    </row>
    <row r="231" spans="1:9">
      <c r="A231" s="686">
        <v>4</v>
      </c>
      <c r="B231" s="2233">
        <v>44621</v>
      </c>
      <c r="C231" s="2233">
        <v>44637</v>
      </c>
      <c r="D231" s="705">
        <v>0</v>
      </c>
      <c r="E231" s="2180">
        <v>4.9700000000000001E-2</v>
      </c>
      <c r="F231" s="2094">
        <f t="shared" si="100"/>
        <v>1.3474354670628408E-4</v>
      </c>
      <c r="G231" s="2095">
        <f t="shared" si="101"/>
        <v>45426300</v>
      </c>
      <c r="H231" s="702">
        <f t="shared" si="102"/>
        <v>17</v>
      </c>
      <c r="I231" s="2149">
        <f t="shared" si="103"/>
        <v>104055.31</v>
      </c>
    </row>
    <row r="232" spans="1:9">
      <c r="A232" s="686">
        <v>5</v>
      </c>
      <c r="B232" s="2233">
        <v>44638</v>
      </c>
      <c r="C232" s="2233">
        <v>44651</v>
      </c>
      <c r="D232" s="705">
        <v>0</v>
      </c>
      <c r="E232" s="2180">
        <v>4.9700000000000001E-2</v>
      </c>
      <c r="F232" s="2094">
        <f t="shared" si="100"/>
        <v>1.3474354670628408E-4</v>
      </c>
      <c r="G232" s="2095">
        <f t="shared" si="101"/>
        <v>45426300</v>
      </c>
      <c r="H232" s="702">
        <v>0</v>
      </c>
      <c r="I232" s="2178"/>
    </row>
    <row r="233" spans="1:9">
      <c r="A233" s="686">
        <v>6</v>
      </c>
      <c r="B233" s="2233">
        <v>44652</v>
      </c>
      <c r="C233" s="2233">
        <v>44681</v>
      </c>
      <c r="D233" s="705">
        <v>0</v>
      </c>
      <c r="E233" s="2180">
        <v>5.9700000000000003E-2</v>
      </c>
      <c r="F233" s="2094">
        <f t="shared" si="100"/>
        <v>1.6108477608911542E-4</v>
      </c>
      <c r="G233" s="2095">
        <f t="shared" si="101"/>
        <v>45426300</v>
      </c>
      <c r="H233" s="702">
        <v>0</v>
      </c>
      <c r="I233" s="2178">
        <f t="shared" ref="I233:I237" si="104">ROUND(G233*H233*F233,0)</f>
        <v>0</v>
      </c>
    </row>
    <row r="234" spans="1:9">
      <c r="A234" s="686">
        <v>7</v>
      </c>
      <c r="B234" s="2233">
        <v>44682</v>
      </c>
      <c r="C234" s="2233">
        <v>44712</v>
      </c>
      <c r="D234" s="705">
        <v>0</v>
      </c>
      <c r="E234" s="2180">
        <v>7.0400000000000004E-2</v>
      </c>
      <c r="F234" s="2094">
        <f t="shared" si="100"/>
        <v>1.8899677539563342E-4</v>
      </c>
      <c r="G234" s="2095">
        <f t="shared" si="101"/>
        <v>45426300</v>
      </c>
      <c r="H234" s="702">
        <v>0</v>
      </c>
      <c r="I234" s="2178">
        <f t="shared" si="104"/>
        <v>0</v>
      </c>
    </row>
    <row r="235" spans="1:9">
      <c r="A235" s="686">
        <v>8</v>
      </c>
      <c r="B235" s="2233">
        <v>44713</v>
      </c>
      <c r="C235" s="2233">
        <v>44742</v>
      </c>
      <c r="D235" s="705">
        <v>0</v>
      </c>
      <c r="E235" s="2180">
        <v>7.7200000000000005E-2</v>
      </c>
      <c r="F235" s="2094">
        <f t="shared" si="100"/>
        <v>2.0659100908204664E-4</v>
      </c>
      <c r="G235" s="2095">
        <f t="shared" si="101"/>
        <v>45426300</v>
      </c>
      <c r="H235" s="702">
        <v>0</v>
      </c>
      <c r="I235" s="2178">
        <f t="shared" si="104"/>
        <v>0</v>
      </c>
    </row>
    <row r="236" spans="1:9">
      <c r="A236" s="686">
        <v>9</v>
      </c>
      <c r="B236" s="2233">
        <v>44743</v>
      </c>
      <c r="C236" s="2233">
        <v>44773</v>
      </c>
      <c r="D236" s="705">
        <v>0</v>
      </c>
      <c r="E236" s="2180">
        <v>9.2999999999999999E-2</v>
      </c>
      <c r="F236" s="2094">
        <f t="shared" si="100"/>
        <v>2.4704775903483522E-4</v>
      </c>
      <c r="G236" s="2095">
        <f t="shared" si="101"/>
        <v>45426300</v>
      </c>
      <c r="H236" s="702">
        <v>0</v>
      </c>
      <c r="I236" s="2178">
        <f t="shared" si="104"/>
        <v>0</v>
      </c>
    </row>
    <row r="237" spans="1:9">
      <c r="A237" s="686">
        <v>10</v>
      </c>
      <c r="B237" s="2233">
        <v>44774</v>
      </c>
      <c r="C237" s="2233">
        <v>44804</v>
      </c>
      <c r="D237" s="705">
        <v>0</v>
      </c>
      <c r="E237" s="2180">
        <v>0.1057</v>
      </c>
      <c r="F237" s="2094">
        <f t="shared" si="100"/>
        <v>2.7914622785418786E-4</v>
      </c>
      <c r="G237" s="2095">
        <f t="shared" si="101"/>
        <v>45426300</v>
      </c>
      <c r="H237" s="702">
        <v>0</v>
      </c>
      <c r="I237" s="2178">
        <f t="shared" si="104"/>
        <v>0</v>
      </c>
    </row>
    <row r="238" spans="1:9">
      <c r="A238" s="686">
        <v>11</v>
      </c>
      <c r="B238" s="2233">
        <v>44805</v>
      </c>
      <c r="C238" s="2233">
        <v>44834</v>
      </c>
      <c r="D238" s="705">
        <v>0</v>
      </c>
      <c r="E238" s="2180">
        <v>0.1099</v>
      </c>
      <c r="F238" s="2094">
        <f t="shared" si="100"/>
        <v>2.8968061926226696E-4</v>
      </c>
      <c r="G238" s="2095">
        <f t="shared" si="101"/>
        <v>45426300</v>
      </c>
      <c r="H238" s="702">
        <v>0</v>
      </c>
      <c r="I238" s="2178">
        <f>ROUND(G238*H238*F238,0)</f>
        <v>0</v>
      </c>
    </row>
    <row r="239" spans="1:9">
      <c r="A239" s="686">
        <v>12</v>
      </c>
      <c r="B239" s="2233">
        <v>44835</v>
      </c>
      <c r="C239" s="2233">
        <v>44865</v>
      </c>
      <c r="D239" s="705">
        <v>0</v>
      </c>
      <c r="E239" s="2180">
        <v>0.11600000000000001</v>
      </c>
      <c r="F239" s="2094">
        <f t="shared" si="100"/>
        <v>3.0490998660059887E-4</v>
      </c>
      <c r="G239" s="2095">
        <f t="shared" si="101"/>
        <v>45426300</v>
      </c>
      <c r="H239" s="702">
        <v>0</v>
      </c>
      <c r="I239" s="2178">
        <f>ROUND(G239*H239*F239,0)</f>
        <v>0</v>
      </c>
    </row>
    <row r="240" spans="1:9">
      <c r="A240" s="686">
        <v>13</v>
      </c>
      <c r="B240" s="2233">
        <v>44866</v>
      </c>
      <c r="C240" s="2233">
        <v>44888</v>
      </c>
      <c r="D240" s="705">
        <v>0</v>
      </c>
      <c r="E240" s="2180">
        <v>0.1263</v>
      </c>
      <c r="F240" s="2094">
        <f t="shared" si="100"/>
        <v>3.3043770493557112E-4</v>
      </c>
      <c r="G240" s="2095">
        <f t="shared" si="101"/>
        <v>45426300</v>
      </c>
      <c r="H240" s="702">
        <v>0</v>
      </c>
      <c r="I240" s="2178">
        <f>ROUND(G240*H240*F240,0)</f>
        <v>0</v>
      </c>
    </row>
    <row r="241" spans="1:10">
      <c r="A241" s="686">
        <v>14</v>
      </c>
      <c r="B241" s="2233">
        <v>44888</v>
      </c>
      <c r="C241" s="2233">
        <v>44895</v>
      </c>
      <c r="D241" s="705">
        <v>0</v>
      </c>
      <c r="E241" s="2180">
        <v>0.1263</v>
      </c>
      <c r="F241" s="2094">
        <f t="shared" si="100"/>
        <v>3.3043770493557112E-4</v>
      </c>
      <c r="G241" s="2095">
        <f t="shared" si="101"/>
        <v>45426300</v>
      </c>
      <c r="H241" s="702">
        <f>(C241-B241)+1</f>
        <v>8</v>
      </c>
      <c r="I241" s="2149">
        <f t="shared" ref="I241:I246" si="105">ROUND(G241*H241*F241,2)</f>
        <v>120084.5</v>
      </c>
    </row>
    <row r="242" spans="1:10">
      <c r="A242" s="686">
        <v>15</v>
      </c>
      <c r="B242" s="2233">
        <v>44896</v>
      </c>
      <c r="C242" s="2233">
        <v>44926</v>
      </c>
      <c r="D242" s="705">
        <v>0</v>
      </c>
      <c r="E242" s="2180">
        <v>0.13420000000000001</v>
      </c>
      <c r="F242" s="2094">
        <f t="shared" si="100"/>
        <v>3.4985995505043554E-4</v>
      </c>
      <c r="G242" s="2095">
        <f t="shared" si="101"/>
        <v>45426300</v>
      </c>
      <c r="H242" s="702">
        <f t="shared" ref="H242" si="106">(C242-B242)+1</f>
        <v>31</v>
      </c>
      <c r="I242" s="2149">
        <f t="shared" si="105"/>
        <v>492678.14</v>
      </c>
    </row>
    <row r="243" spans="1:10">
      <c r="A243" s="686">
        <v>16</v>
      </c>
      <c r="B243" s="2233">
        <v>44927</v>
      </c>
      <c r="C243" s="2233">
        <v>44957</v>
      </c>
      <c r="D243" s="705">
        <v>0</v>
      </c>
      <c r="E243" s="2180">
        <v>0.1391</v>
      </c>
      <c r="F243" s="2094">
        <f t="shared" ref="F243:F244" si="107">+((1+E243)^(1/360)-1)</f>
        <v>3.6183899495223493E-4</v>
      </c>
      <c r="G243" s="2095">
        <f t="shared" si="101"/>
        <v>45426300</v>
      </c>
      <c r="H243" s="702">
        <f>(C243-B243)+1</f>
        <v>31</v>
      </c>
      <c r="I243" s="2149">
        <f t="shared" si="105"/>
        <v>509547.21</v>
      </c>
      <c r="J243" s="2335">
        <f>+I243</f>
        <v>509547.21</v>
      </c>
    </row>
    <row r="244" spans="1:10">
      <c r="A244" s="686">
        <v>17</v>
      </c>
      <c r="B244" s="2233">
        <v>44958</v>
      </c>
      <c r="C244" s="2233">
        <v>44985</v>
      </c>
      <c r="D244" s="705">
        <v>0</v>
      </c>
      <c r="E244" s="2180">
        <v>0.1439</v>
      </c>
      <c r="F244" s="2094">
        <f t="shared" si="107"/>
        <v>3.7352384419087059E-4</v>
      </c>
      <c r="G244" s="2095">
        <f t="shared" si="101"/>
        <v>45426300</v>
      </c>
      <c r="H244" s="702">
        <f t="shared" ref="H244" si="108">(C244-B244)+1</f>
        <v>28</v>
      </c>
      <c r="I244" s="2149">
        <f t="shared" si="105"/>
        <v>475098.57</v>
      </c>
      <c r="J244" s="2335"/>
    </row>
    <row r="245" spans="1:10">
      <c r="A245" s="686">
        <v>18</v>
      </c>
      <c r="B245" s="2233">
        <v>44986</v>
      </c>
      <c r="C245" s="2233">
        <v>45016</v>
      </c>
      <c r="D245" s="705">
        <v>0</v>
      </c>
      <c r="E245" s="2180">
        <v>0.1331</v>
      </c>
      <c r="F245" s="2094">
        <f t="shared" ref="F245:F246" si="109">+((1+E245)^(1/360)-1)</f>
        <v>3.4716369016041249E-4</v>
      </c>
      <c r="G245" s="2095">
        <f t="shared" si="101"/>
        <v>45426300</v>
      </c>
      <c r="H245" s="702">
        <f>(C245-B245)+1</f>
        <v>31</v>
      </c>
      <c r="I245" s="2149">
        <f t="shared" si="105"/>
        <v>488881.22</v>
      </c>
      <c r="J245" s="2335"/>
    </row>
    <row r="246" spans="1:10">
      <c r="A246" s="686">
        <v>19</v>
      </c>
      <c r="B246" s="2233">
        <v>45017</v>
      </c>
      <c r="C246" s="2233">
        <v>45046</v>
      </c>
      <c r="D246" s="705">
        <v>0</v>
      </c>
      <c r="E246" s="2180"/>
      <c r="F246" s="2094">
        <f t="shared" si="109"/>
        <v>0</v>
      </c>
      <c r="G246" s="2095">
        <f t="shared" si="101"/>
        <v>45426300</v>
      </c>
      <c r="H246" s="702">
        <f t="shared" ref="H246" si="110">(C246-B246)+1</f>
        <v>30</v>
      </c>
      <c r="I246" s="2149">
        <f t="shared" si="105"/>
        <v>0</v>
      </c>
      <c r="J246" s="2335"/>
    </row>
    <row r="247" spans="1:10">
      <c r="G247" s="2663" t="s">
        <v>951</v>
      </c>
      <c r="H247" s="2663"/>
      <c r="I247" s="2330">
        <f>SUM(I228:I246)</f>
        <v>2530302.9300000002</v>
      </c>
    </row>
    <row r="249" spans="1:10">
      <c r="A249" s="702"/>
      <c r="B249" s="1667" t="s">
        <v>1780</v>
      </c>
      <c r="C249" s="2200">
        <v>50</v>
      </c>
      <c r="D249" s="2341">
        <f>+$D$10*C249</f>
        <v>45426300</v>
      </c>
    </row>
    <row r="250" spans="1:10">
      <c r="B250" s="2667" t="s">
        <v>1406</v>
      </c>
      <c r="C250" s="2668"/>
      <c r="D250" s="2668"/>
      <c r="E250" s="2668"/>
      <c r="F250" s="2668"/>
      <c r="G250" s="2668"/>
      <c r="H250" s="2668"/>
      <c r="I250" s="2669"/>
    </row>
    <row r="251" spans="1:10" ht="25.5">
      <c r="B251" s="700" t="s">
        <v>206</v>
      </c>
      <c r="C251" s="700" t="s">
        <v>10</v>
      </c>
      <c r="D251" s="2837" t="s">
        <v>1040</v>
      </c>
      <c r="E251" s="2838"/>
      <c r="F251" s="699" t="s">
        <v>43</v>
      </c>
      <c r="G251" s="700" t="s">
        <v>129</v>
      </c>
      <c r="H251" s="2343" t="s">
        <v>706</v>
      </c>
      <c r="I251" s="700" t="s">
        <v>48</v>
      </c>
    </row>
    <row r="252" spans="1:10">
      <c r="A252" s="686">
        <v>1</v>
      </c>
      <c r="B252" s="2233">
        <v>44547</v>
      </c>
      <c r="C252" s="2233">
        <v>44561</v>
      </c>
      <c r="D252" s="705">
        <v>0</v>
      </c>
      <c r="E252" s="2180">
        <v>3.0800000000000001E-2</v>
      </c>
      <c r="F252" s="2094">
        <f t="shared" ref="F252:F267" si="111">+((1+E252)^(1/360)-1)</f>
        <v>8.4267994225895038E-5</v>
      </c>
      <c r="G252" s="2095">
        <f>+$D$201</f>
        <v>45426300</v>
      </c>
      <c r="H252" s="702">
        <f>(C252-B252)+1</f>
        <v>15</v>
      </c>
      <c r="I252" s="2149">
        <f>ROUND(G252*H252*F252,2)</f>
        <v>57419.75</v>
      </c>
    </row>
    <row r="253" spans="1:10">
      <c r="A253" s="686">
        <v>2</v>
      </c>
      <c r="B253" s="2233">
        <v>44562</v>
      </c>
      <c r="C253" s="2233">
        <v>44592</v>
      </c>
      <c r="D253" s="705">
        <v>0</v>
      </c>
      <c r="E253" s="2180">
        <v>3.4700000000000002E-2</v>
      </c>
      <c r="F253" s="2094">
        <f t="shared" si="111"/>
        <v>9.4758738294453693E-5</v>
      </c>
      <c r="G253" s="2095">
        <f t="shared" ref="G253:G270" si="112">+$D$201</f>
        <v>45426300</v>
      </c>
      <c r="H253" s="702">
        <f t="shared" ref="H253:H255" si="113">(C253-B253)+1</f>
        <v>31</v>
      </c>
      <c r="I253" s="2149">
        <f t="shared" ref="I253:I255" si="114">ROUND(G253*H253*F253,2)</f>
        <v>133440.71</v>
      </c>
    </row>
    <row r="254" spans="1:10">
      <c r="A254" s="686">
        <v>3</v>
      </c>
      <c r="B254" s="2233">
        <v>44593</v>
      </c>
      <c r="C254" s="2233">
        <v>44620</v>
      </c>
      <c r="D254" s="705">
        <v>0</v>
      </c>
      <c r="E254" s="2180">
        <v>4.3099999999999999E-2</v>
      </c>
      <c r="F254" s="2094">
        <f t="shared" si="111"/>
        <v>1.1722089399812674E-4</v>
      </c>
      <c r="G254" s="2095">
        <f t="shared" si="112"/>
        <v>45426300</v>
      </c>
      <c r="H254" s="702">
        <f t="shared" si="113"/>
        <v>28</v>
      </c>
      <c r="I254" s="2149">
        <f t="shared" si="114"/>
        <v>149097.51999999999</v>
      </c>
    </row>
    <row r="255" spans="1:10">
      <c r="A255" s="686">
        <v>4</v>
      </c>
      <c r="B255" s="2233">
        <v>44621</v>
      </c>
      <c r="C255" s="2233">
        <v>44637</v>
      </c>
      <c r="D255" s="705">
        <v>0</v>
      </c>
      <c r="E255" s="2180">
        <v>4.9700000000000001E-2</v>
      </c>
      <c r="F255" s="2094">
        <f t="shared" si="111"/>
        <v>1.3474354670628408E-4</v>
      </c>
      <c r="G255" s="2095">
        <f t="shared" si="112"/>
        <v>45426300</v>
      </c>
      <c r="H255" s="702">
        <f t="shared" si="113"/>
        <v>17</v>
      </c>
      <c r="I255" s="2149">
        <f t="shared" si="114"/>
        <v>104055.31</v>
      </c>
    </row>
    <row r="256" spans="1:10">
      <c r="A256" s="686">
        <v>5</v>
      </c>
      <c r="B256" s="2233">
        <v>44638</v>
      </c>
      <c r="C256" s="2233">
        <v>44651</v>
      </c>
      <c r="D256" s="705">
        <v>0</v>
      </c>
      <c r="E256" s="2180">
        <v>4.9700000000000001E-2</v>
      </c>
      <c r="F256" s="2094">
        <f t="shared" si="111"/>
        <v>1.3474354670628408E-4</v>
      </c>
      <c r="G256" s="2095">
        <f t="shared" si="112"/>
        <v>45426300</v>
      </c>
      <c r="H256" s="702">
        <v>0</v>
      </c>
      <c r="I256" s="2178"/>
    </row>
    <row r="257" spans="1:10">
      <c r="A257" s="686">
        <v>6</v>
      </c>
      <c r="B257" s="2233">
        <v>44652</v>
      </c>
      <c r="C257" s="2233">
        <v>44681</v>
      </c>
      <c r="D257" s="705">
        <v>0</v>
      </c>
      <c r="E257" s="2180">
        <v>5.9700000000000003E-2</v>
      </c>
      <c r="F257" s="2094">
        <f t="shared" si="111"/>
        <v>1.6108477608911542E-4</v>
      </c>
      <c r="G257" s="2095">
        <f t="shared" si="112"/>
        <v>45426300</v>
      </c>
      <c r="H257" s="702">
        <v>0</v>
      </c>
      <c r="I257" s="2178">
        <f t="shared" ref="I257:I261" si="115">ROUND(G257*H257*F257,0)</f>
        <v>0</v>
      </c>
    </row>
    <row r="258" spans="1:10">
      <c r="A258" s="686">
        <v>7</v>
      </c>
      <c r="B258" s="2233">
        <v>44682</v>
      </c>
      <c r="C258" s="2233">
        <v>44712</v>
      </c>
      <c r="D258" s="705">
        <v>0</v>
      </c>
      <c r="E258" s="2180">
        <v>7.0400000000000004E-2</v>
      </c>
      <c r="F258" s="2094">
        <f t="shared" si="111"/>
        <v>1.8899677539563342E-4</v>
      </c>
      <c r="G258" s="2095">
        <f t="shared" si="112"/>
        <v>45426300</v>
      </c>
      <c r="H258" s="702">
        <v>0</v>
      </c>
      <c r="I258" s="2178">
        <f t="shared" si="115"/>
        <v>0</v>
      </c>
    </row>
    <row r="259" spans="1:10">
      <c r="A259" s="686">
        <v>8</v>
      </c>
      <c r="B259" s="2233">
        <v>44713</v>
      </c>
      <c r="C259" s="2233">
        <v>44742</v>
      </c>
      <c r="D259" s="705">
        <v>0</v>
      </c>
      <c r="E259" s="2180">
        <v>7.7200000000000005E-2</v>
      </c>
      <c r="F259" s="2094">
        <f t="shared" si="111"/>
        <v>2.0659100908204664E-4</v>
      </c>
      <c r="G259" s="2095">
        <f t="shared" si="112"/>
        <v>45426300</v>
      </c>
      <c r="H259" s="702">
        <v>0</v>
      </c>
      <c r="I259" s="2178">
        <f t="shared" si="115"/>
        <v>0</v>
      </c>
    </row>
    <row r="260" spans="1:10">
      <c r="A260" s="686">
        <v>9</v>
      </c>
      <c r="B260" s="2233">
        <v>44743</v>
      </c>
      <c r="C260" s="2233">
        <v>44773</v>
      </c>
      <c r="D260" s="705">
        <v>0</v>
      </c>
      <c r="E260" s="2180">
        <v>9.2999999999999999E-2</v>
      </c>
      <c r="F260" s="2094">
        <f t="shared" si="111"/>
        <v>2.4704775903483522E-4</v>
      </c>
      <c r="G260" s="2095">
        <f t="shared" si="112"/>
        <v>45426300</v>
      </c>
      <c r="H260" s="702">
        <v>0</v>
      </c>
      <c r="I260" s="2178">
        <f t="shared" si="115"/>
        <v>0</v>
      </c>
    </row>
    <row r="261" spans="1:10">
      <c r="A261" s="686">
        <v>10</v>
      </c>
      <c r="B261" s="2233">
        <v>44774</v>
      </c>
      <c r="C261" s="2233">
        <v>44804</v>
      </c>
      <c r="D261" s="705">
        <v>0</v>
      </c>
      <c r="E261" s="2180">
        <v>0.1057</v>
      </c>
      <c r="F261" s="2094">
        <f t="shared" si="111"/>
        <v>2.7914622785418786E-4</v>
      </c>
      <c r="G261" s="2095">
        <f t="shared" si="112"/>
        <v>45426300</v>
      </c>
      <c r="H261" s="702">
        <v>0</v>
      </c>
      <c r="I261" s="2178">
        <f t="shared" si="115"/>
        <v>0</v>
      </c>
    </row>
    <row r="262" spans="1:10">
      <c r="A262" s="686">
        <v>11</v>
      </c>
      <c r="B262" s="2233">
        <v>44805</v>
      </c>
      <c r="C262" s="2233">
        <v>44834</v>
      </c>
      <c r="D262" s="705">
        <v>0</v>
      </c>
      <c r="E262" s="2180">
        <v>0.1099</v>
      </c>
      <c r="F262" s="2094">
        <f t="shared" si="111"/>
        <v>2.8968061926226696E-4</v>
      </c>
      <c r="G262" s="2095">
        <f t="shared" si="112"/>
        <v>45426300</v>
      </c>
      <c r="H262" s="702">
        <v>0</v>
      </c>
      <c r="I262" s="2178">
        <f>ROUND(G262*H262*F262,0)</f>
        <v>0</v>
      </c>
    </row>
    <row r="263" spans="1:10">
      <c r="A263" s="686">
        <v>12</v>
      </c>
      <c r="B263" s="2233">
        <v>44835</v>
      </c>
      <c r="C263" s="2233">
        <v>44865</v>
      </c>
      <c r="D263" s="705">
        <v>0</v>
      </c>
      <c r="E263" s="2180">
        <v>0.11600000000000001</v>
      </c>
      <c r="F263" s="2094">
        <f t="shared" si="111"/>
        <v>3.0490998660059887E-4</v>
      </c>
      <c r="G263" s="2095">
        <f t="shared" si="112"/>
        <v>45426300</v>
      </c>
      <c r="H263" s="702">
        <v>0</v>
      </c>
      <c r="I263" s="2178">
        <f>ROUND(G263*H263*F263,0)</f>
        <v>0</v>
      </c>
    </row>
    <row r="264" spans="1:10">
      <c r="A264" s="686">
        <v>13</v>
      </c>
      <c r="B264" s="2233">
        <v>44866</v>
      </c>
      <c r="C264" s="2233">
        <v>44888</v>
      </c>
      <c r="D264" s="705">
        <v>0</v>
      </c>
      <c r="E264" s="2180">
        <v>0.1263</v>
      </c>
      <c r="F264" s="2094">
        <f t="shared" si="111"/>
        <v>3.3043770493557112E-4</v>
      </c>
      <c r="G264" s="2095">
        <f t="shared" si="112"/>
        <v>45426300</v>
      </c>
      <c r="H264" s="702">
        <v>0</v>
      </c>
      <c r="I264" s="2178">
        <f>ROUND(G264*H264*F264,0)</f>
        <v>0</v>
      </c>
    </row>
    <row r="265" spans="1:10">
      <c r="A265" s="686">
        <v>14</v>
      </c>
      <c r="B265" s="2233">
        <v>44888</v>
      </c>
      <c r="C265" s="2233">
        <v>44895</v>
      </c>
      <c r="D265" s="705">
        <v>0</v>
      </c>
      <c r="E265" s="2180">
        <v>0.1263</v>
      </c>
      <c r="F265" s="2094">
        <f t="shared" si="111"/>
        <v>3.3043770493557112E-4</v>
      </c>
      <c r="G265" s="2095">
        <f t="shared" si="112"/>
        <v>45426300</v>
      </c>
      <c r="H265" s="702">
        <f>(C265-B265)+1</f>
        <v>8</v>
      </c>
      <c r="I265" s="2149">
        <f t="shared" ref="I265:I270" si="116">ROUND(G265*H265*F265,2)</f>
        <v>120084.5</v>
      </c>
    </row>
    <row r="266" spans="1:10">
      <c r="A266" s="686">
        <v>15</v>
      </c>
      <c r="B266" s="2233">
        <v>44896</v>
      </c>
      <c r="C266" s="2233">
        <v>44926</v>
      </c>
      <c r="D266" s="705">
        <v>0</v>
      </c>
      <c r="E266" s="2180">
        <v>0.13420000000000001</v>
      </c>
      <c r="F266" s="2094">
        <f t="shared" si="111"/>
        <v>3.4985995505043554E-4</v>
      </c>
      <c r="G266" s="2095">
        <f t="shared" si="112"/>
        <v>45426300</v>
      </c>
      <c r="H266" s="702">
        <f t="shared" ref="H266" si="117">(C266-B266)+1</f>
        <v>31</v>
      </c>
      <c r="I266" s="2149">
        <f t="shared" si="116"/>
        <v>492678.14</v>
      </c>
    </row>
    <row r="267" spans="1:10">
      <c r="A267" s="686">
        <v>16</v>
      </c>
      <c r="B267" s="2233">
        <v>44927</v>
      </c>
      <c r="C267" s="2233">
        <v>44957</v>
      </c>
      <c r="D267" s="705">
        <v>0</v>
      </c>
      <c r="E267" s="2180">
        <v>0.1391</v>
      </c>
      <c r="F267" s="2094">
        <f t="shared" si="111"/>
        <v>3.6183899495223493E-4</v>
      </c>
      <c r="G267" s="2095">
        <f t="shared" si="112"/>
        <v>45426300</v>
      </c>
      <c r="H267" s="702">
        <f>(C267-B267)+1</f>
        <v>31</v>
      </c>
      <c r="I267" s="2149">
        <f t="shared" si="116"/>
        <v>509547.21</v>
      </c>
      <c r="J267" s="2335">
        <f>+I267</f>
        <v>509547.21</v>
      </c>
    </row>
    <row r="268" spans="1:10">
      <c r="A268" s="686">
        <v>17</v>
      </c>
      <c r="B268" s="2233">
        <v>44958</v>
      </c>
      <c r="C268" s="2233">
        <v>44985</v>
      </c>
      <c r="D268" s="705">
        <v>0</v>
      </c>
      <c r="E268" s="2180">
        <v>0.1439</v>
      </c>
      <c r="F268" s="2094">
        <f t="shared" ref="F268:F269" si="118">+((1+E268)^(1/360)-1)</f>
        <v>3.7352384419087059E-4</v>
      </c>
      <c r="G268" s="2095">
        <f t="shared" si="112"/>
        <v>45426300</v>
      </c>
      <c r="H268" s="702">
        <f t="shared" ref="H268" si="119">(C268-B268)+1</f>
        <v>28</v>
      </c>
      <c r="I268" s="2149">
        <f t="shared" si="116"/>
        <v>475098.57</v>
      </c>
      <c r="J268" s="2335"/>
    </row>
    <row r="269" spans="1:10">
      <c r="A269" s="686">
        <v>18</v>
      </c>
      <c r="B269" s="2233">
        <v>44986</v>
      </c>
      <c r="C269" s="2233">
        <v>45016</v>
      </c>
      <c r="D269" s="705">
        <v>0</v>
      </c>
      <c r="E269" s="2180">
        <v>0.1331</v>
      </c>
      <c r="F269" s="2094">
        <f t="shared" si="118"/>
        <v>3.4716369016041249E-4</v>
      </c>
      <c r="G269" s="2095">
        <f t="shared" si="112"/>
        <v>45426300</v>
      </c>
      <c r="H269" s="702">
        <f>(C269-B269)+1</f>
        <v>31</v>
      </c>
      <c r="I269" s="2149">
        <f t="shared" si="116"/>
        <v>488881.22</v>
      </c>
      <c r="J269" s="2335"/>
    </row>
    <row r="270" spans="1:10">
      <c r="A270" s="686">
        <v>19</v>
      </c>
      <c r="B270" s="2233">
        <v>45017</v>
      </c>
      <c r="C270" s="2233">
        <v>45046</v>
      </c>
      <c r="D270" s="705">
        <v>0</v>
      </c>
      <c r="E270" s="2180"/>
      <c r="F270" s="2094">
        <f t="shared" ref="F270" si="120">+((1+E270)^(1/360)-1)</f>
        <v>0</v>
      </c>
      <c r="G270" s="2095">
        <f t="shared" si="112"/>
        <v>45426300</v>
      </c>
      <c r="H270" s="702">
        <f t="shared" ref="H270" si="121">(C270-B270)+1</f>
        <v>30</v>
      </c>
      <c r="I270" s="2149">
        <f t="shared" si="116"/>
        <v>0</v>
      </c>
      <c r="J270" s="2335"/>
    </row>
    <row r="271" spans="1:10">
      <c r="G271" s="2663" t="s">
        <v>951</v>
      </c>
      <c r="H271" s="2663"/>
      <c r="I271" s="2330">
        <f>SUM(I252:I270)</f>
        <v>2530302.9300000002</v>
      </c>
    </row>
    <row r="272" spans="1:10">
      <c r="A272" s="702"/>
      <c r="B272" s="1667" t="s">
        <v>1781</v>
      </c>
      <c r="C272" s="2200">
        <v>50</v>
      </c>
      <c r="D272" s="2341">
        <f>+$D$10*C272</f>
        <v>45426300</v>
      </c>
    </row>
    <row r="273" spans="1:9">
      <c r="B273" s="2667" t="s">
        <v>1406</v>
      </c>
      <c r="C273" s="2668"/>
      <c r="D273" s="2668"/>
      <c r="E273" s="2668"/>
      <c r="F273" s="2668"/>
      <c r="G273" s="2668"/>
      <c r="H273" s="2668"/>
      <c r="I273" s="2669"/>
    </row>
    <row r="274" spans="1:9" ht="25.5">
      <c r="B274" s="700" t="s">
        <v>206</v>
      </c>
      <c r="C274" s="700" t="s">
        <v>10</v>
      </c>
      <c r="D274" s="2837" t="s">
        <v>1040</v>
      </c>
      <c r="E274" s="2838"/>
      <c r="F274" s="699" t="s">
        <v>43</v>
      </c>
      <c r="G274" s="700" t="s">
        <v>129</v>
      </c>
      <c r="H274" s="2343" t="s">
        <v>706</v>
      </c>
      <c r="I274" s="700" t="s">
        <v>48</v>
      </c>
    </row>
    <row r="275" spans="1:9">
      <c r="A275" s="686">
        <v>1</v>
      </c>
      <c r="B275" s="2233">
        <v>44547</v>
      </c>
      <c r="C275" s="2233">
        <v>44561</v>
      </c>
      <c r="D275" s="705">
        <v>0</v>
      </c>
      <c r="E275" s="2180">
        <v>3.0800000000000001E-2</v>
      </c>
      <c r="F275" s="2094">
        <f t="shared" ref="F275:F289" si="122">+((1+E275)^(1/360)-1)</f>
        <v>8.4267994225895038E-5</v>
      </c>
      <c r="G275" s="2095">
        <f>+$D$201</f>
        <v>45426300</v>
      </c>
      <c r="H275" s="702">
        <f>(C275-B275)+1</f>
        <v>15</v>
      </c>
      <c r="I275" s="2149">
        <f>ROUND(G275*H275*F275,2)</f>
        <v>57419.75</v>
      </c>
    </row>
    <row r="276" spans="1:9">
      <c r="A276" s="686">
        <v>2</v>
      </c>
      <c r="B276" s="2233">
        <v>44562</v>
      </c>
      <c r="C276" s="2233">
        <v>44592</v>
      </c>
      <c r="D276" s="705">
        <v>0</v>
      </c>
      <c r="E276" s="2180">
        <v>3.4700000000000002E-2</v>
      </c>
      <c r="F276" s="2094">
        <f t="shared" si="122"/>
        <v>9.4758738294453693E-5</v>
      </c>
      <c r="G276" s="2095">
        <f t="shared" ref="G276:G293" si="123">+$D$201</f>
        <v>45426300</v>
      </c>
      <c r="H276" s="702">
        <f t="shared" ref="H276:H278" si="124">(C276-B276)+1</f>
        <v>31</v>
      </c>
      <c r="I276" s="2149">
        <f t="shared" ref="I276:I278" si="125">ROUND(G276*H276*F276,2)</f>
        <v>133440.71</v>
      </c>
    </row>
    <row r="277" spans="1:9">
      <c r="A277" s="686">
        <v>3</v>
      </c>
      <c r="B277" s="2233">
        <v>44593</v>
      </c>
      <c r="C277" s="2233">
        <v>44620</v>
      </c>
      <c r="D277" s="705">
        <v>0</v>
      </c>
      <c r="E277" s="2180">
        <v>4.3099999999999999E-2</v>
      </c>
      <c r="F277" s="2094">
        <f t="shared" si="122"/>
        <v>1.1722089399812674E-4</v>
      </c>
      <c r="G277" s="2095">
        <f t="shared" si="123"/>
        <v>45426300</v>
      </c>
      <c r="H277" s="702">
        <f t="shared" si="124"/>
        <v>28</v>
      </c>
      <c r="I277" s="2149">
        <f t="shared" si="125"/>
        <v>149097.51999999999</v>
      </c>
    </row>
    <row r="278" spans="1:9">
      <c r="A278" s="686">
        <v>4</v>
      </c>
      <c r="B278" s="2233">
        <v>44621</v>
      </c>
      <c r="C278" s="2233">
        <v>44637</v>
      </c>
      <c r="D278" s="705">
        <v>0</v>
      </c>
      <c r="E278" s="2180">
        <v>4.9700000000000001E-2</v>
      </c>
      <c r="F278" s="2094">
        <f t="shared" si="122"/>
        <v>1.3474354670628408E-4</v>
      </c>
      <c r="G278" s="2095">
        <f t="shared" si="123"/>
        <v>45426300</v>
      </c>
      <c r="H278" s="702">
        <f t="shared" si="124"/>
        <v>17</v>
      </c>
      <c r="I278" s="2149">
        <f t="shared" si="125"/>
        <v>104055.31</v>
      </c>
    </row>
    <row r="279" spans="1:9">
      <c r="A279" s="686">
        <v>5</v>
      </c>
      <c r="B279" s="2233">
        <v>44638</v>
      </c>
      <c r="C279" s="2233">
        <v>44651</v>
      </c>
      <c r="D279" s="705">
        <v>0</v>
      </c>
      <c r="E279" s="2180">
        <v>4.9700000000000001E-2</v>
      </c>
      <c r="F279" s="2094">
        <f t="shared" si="122"/>
        <v>1.3474354670628408E-4</v>
      </c>
      <c r="G279" s="2095">
        <f t="shared" si="123"/>
        <v>45426300</v>
      </c>
      <c r="H279" s="702">
        <v>0</v>
      </c>
      <c r="I279" s="2178"/>
    </row>
    <row r="280" spans="1:9">
      <c r="A280" s="686">
        <v>6</v>
      </c>
      <c r="B280" s="2233">
        <v>44652</v>
      </c>
      <c r="C280" s="2233">
        <v>44681</v>
      </c>
      <c r="D280" s="705">
        <v>0</v>
      </c>
      <c r="E280" s="2180">
        <v>5.9700000000000003E-2</v>
      </c>
      <c r="F280" s="2094">
        <f t="shared" si="122"/>
        <v>1.6108477608911542E-4</v>
      </c>
      <c r="G280" s="2095">
        <f t="shared" si="123"/>
        <v>45426300</v>
      </c>
      <c r="H280" s="702">
        <v>0</v>
      </c>
      <c r="I280" s="2178">
        <f t="shared" ref="I280:I284" si="126">ROUND(G280*H280*F280,0)</f>
        <v>0</v>
      </c>
    </row>
    <row r="281" spans="1:9">
      <c r="A281" s="686">
        <v>7</v>
      </c>
      <c r="B281" s="2233">
        <v>44682</v>
      </c>
      <c r="C281" s="2233">
        <v>44712</v>
      </c>
      <c r="D281" s="705">
        <v>0</v>
      </c>
      <c r="E281" s="2180">
        <v>7.0400000000000004E-2</v>
      </c>
      <c r="F281" s="2094">
        <f t="shared" si="122"/>
        <v>1.8899677539563342E-4</v>
      </c>
      <c r="G281" s="2095">
        <f t="shared" si="123"/>
        <v>45426300</v>
      </c>
      <c r="H281" s="702">
        <v>0</v>
      </c>
      <c r="I281" s="2178">
        <f t="shared" si="126"/>
        <v>0</v>
      </c>
    </row>
    <row r="282" spans="1:9">
      <c r="A282" s="686">
        <v>8</v>
      </c>
      <c r="B282" s="2233">
        <v>44713</v>
      </c>
      <c r="C282" s="2233">
        <v>44742</v>
      </c>
      <c r="D282" s="705">
        <v>0</v>
      </c>
      <c r="E282" s="2180">
        <v>7.7200000000000005E-2</v>
      </c>
      <c r="F282" s="2094">
        <f t="shared" si="122"/>
        <v>2.0659100908204664E-4</v>
      </c>
      <c r="G282" s="2095">
        <f t="shared" si="123"/>
        <v>45426300</v>
      </c>
      <c r="H282" s="702">
        <v>0</v>
      </c>
      <c r="I282" s="2178">
        <f t="shared" si="126"/>
        <v>0</v>
      </c>
    </row>
    <row r="283" spans="1:9">
      <c r="A283" s="686">
        <v>9</v>
      </c>
      <c r="B283" s="2233">
        <v>44743</v>
      </c>
      <c r="C283" s="2233">
        <v>44773</v>
      </c>
      <c r="D283" s="705">
        <v>0</v>
      </c>
      <c r="E283" s="2180">
        <v>9.2999999999999999E-2</v>
      </c>
      <c r="F283" s="2094">
        <f t="shared" si="122"/>
        <v>2.4704775903483522E-4</v>
      </c>
      <c r="G283" s="2095">
        <f t="shared" si="123"/>
        <v>45426300</v>
      </c>
      <c r="H283" s="702">
        <v>0</v>
      </c>
      <c r="I283" s="2178">
        <f t="shared" si="126"/>
        <v>0</v>
      </c>
    </row>
    <row r="284" spans="1:9">
      <c r="A284" s="686">
        <v>10</v>
      </c>
      <c r="B284" s="2233">
        <v>44774</v>
      </c>
      <c r="C284" s="2233">
        <v>44804</v>
      </c>
      <c r="D284" s="705">
        <v>0</v>
      </c>
      <c r="E284" s="2180">
        <v>0.1057</v>
      </c>
      <c r="F284" s="2094">
        <f t="shared" si="122"/>
        <v>2.7914622785418786E-4</v>
      </c>
      <c r="G284" s="2095">
        <f t="shared" si="123"/>
        <v>45426300</v>
      </c>
      <c r="H284" s="702">
        <v>0</v>
      </c>
      <c r="I284" s="2178">
        <f t="shared" si="126"/>
        <v>0</v>
      </c>
    </row>
    <row r="285" spans="1:9">
      <c r="A285" s="686">
        <v>11</v>
      </c>
      <c r="B285" s="2233">
        <v>44805</v>
      </c>
      <c r="C285" s="2233">
        <v>44834</v>
      </c>
      <c r="D285" s="705">
        <v>0</v>
      </c>
      <c r="E285" s="2180">
        <v>0.1099</v>
      </c>
      <c r="F285" s="2094">
        <f t="shared" si="122"/>
        <v>2.8968061926226696E-4</v>
      </c>
      <c r="G285" s="2095">
        <f t="shared" si="123"/>
        <v>45426300</v>
      </c>
      <c r="H285" s="702">
        <v>0</v>
      </c>
      <c r="I285" s="2178">
        <f>ROUND(G285*H285*F285,0)</f>
        <v>0</v>
      </c>
    </row>
    <row r="286" spans="1:9">
      <c r="A286" s="686">
        <v>12</v>
      </c>
      <c r="B286" s="2233">
        <v>44835</v>
      </c>
      <c r="C286" s="2233">
        <v>44865</v>
      </c>
      <c r="D286" s="705">
        <v>0</v>
      </c>
      <c r="E286" s="2180">
        <v>0.11600000000000001</v>
      </c>
      <c r="F286" s="2094">
        <f t="shared" si="122"/>
        <v>3.0490998660059887E-4</v>
      </c>
      <c r="G286" s="2095">
        <f t="shared" si="123"/>
        <v>45426300</v>
      </c>
      <c r="H286" s="702">
        <v>0</v>
      </c>
      <c r="I286" s="2178">
        <f>ROUND(G286*H286*F286,0)</f>
        <v>0</v>
      </c>
    </row>
    <row r="287" spans="1:9">
      <c r="A287" s="686">
        <v>13</v>
      </c>
      <c r="B287" s="2233">
        <v>44866</v>
      </c>
      <c r="C287" s="2233">
        <v>44888</v>
      </c>
      <c r="D287" s="705">
        <v>0</v>
      </c>
      <c r="E287" s="2180">
        <v>0.1263</v>
      </c>
      <c r="F287" s="2094">
        <f t="shared" si="122"/>
        <v>3.3043770493557112E-4</v>
      </c>
      <c r="G287" s="2095">
        <f t="shared" si="123"/>
        <v>45426300</v>
      </c>
      <c r="H287" s="702">
        <v>0</v>
      </c>
      <c r="I287" s="2178">
        <f>ROUND(G287*H287*F287,0)</f>
        <v>0</v>
      </c>
    </row>
    <row r="288" spans="1:9">
      <c r="A288" s="686">
        <v>14</v>
      </c>
      <c r="B288" s="2233">
        <v>44888</v>
      </c>
      <c r="C288" s="2233">
        <v>44895</v>
      </c>
      <c r="D288" s="705">
        <v>0</v>
      </c>
      <c r="E288" s="2180">
        <v>0.1263</v>
      </c>
      <c r="F288" s="2094">
        <f t="shared" si="122"/>
        <v>3.3043770493557112E-4</v>
      </c>
      <c r="G288" s="2095">
        <f t="shared" si="123"/>
        <v>45426300</v>
      </c>
      <c r="H288" s="702">
        <f>(C288-B288)+1</f>
        <v>8</v>
      </c>
      <c r="I288" s="2149">
        <f t="shared" ref="I288:I293" si="127">ROUND(G288*H288*F288,2)</f>
        <v>120084.5</v>
      </c>
    </row>
    <row r="289" spans="1:10">
      <c r="A289" s="686">
        <v>15</v>
      </c>
      <c r="B289" s="2233">
        <v>44896</v>
      </c>
      <c r="C289" s="2233">
        <v>44926</v>
      </c>
      <c r="D289" s="705">
        <v>0</v>
      </c>
      <c r="E289" s="2180">
        <v>0.13420000000000001</v>
      </c>
      <c r="F289" s="2094">
        <f t="shared" si="122"/>
        <v>3.4985995505043554E-4</v>
      </c>
      <c r="G289" s="2095">
        <f t="shared" si="123"/>
        <v>45426300</v>
      </c>
      <c r="H289" s="702">
        <f t="shared" ref="H289" si="128">(C289-B289)+1</f>
        <v>31</v>
      </c>
      <c r="I289" s="2149">
        <f t="shared" si="127"/>
        <v>492678.14</v>
      </c>
    </row>
    <row r="290" spans="1:10">
      <c r="A290" s="686">
        <v>16</v>
      </c>
      <c r="B290" s="2233">
        <v>44927</v>
      </c>
      <c r="C290" s="2233">
        <v>44957</v>
      </c>
      <c r="D290" s="705">
        <v>0</v>
      </c>
      <c r="E290" s="2180">
        <v>0.1391</v>
      </c>
      <c r="F290" s="2094">
        <f t="shared" ref="F290:F291" si="129">+((1+E290)^(1/360)-1)</f>
        <v>3.6183899495223493E-4</v>
      </c>
      <c r="G290" s="2095">
        <f t="shared" si="123"/>
        <v>45426300</v>
      </c>
      <c r="H290" s="702">
        <f>(C290-B290)+1</f>
        <v>31</v>
      </c>
      <c r="I290" s="2149">
        <f t="shared" si="127"/>
        <v>509547.21</v>
      </c>
      <c r="J290" s="2335">
        <f>+I290</f>
        <v>509547.21</v>
      </c>
    </row>
    <row r="291" spans="1:10">
      <c r="A291" s="686">
        <v>17</v>
      </c>
      <c r="B291" s="2233">
        <v>44958</v>
      </c>
      <c r="C291" s="2233">
        <v>44985</v>
      </c>
      <c r="D291" s="705">
        <v>0</v>
      </c>
      <c r="E291" s="2180">
        <v>0.1439</v>
      </c>
      <c r="F291" s="2094">
        <f t="shared" si="129"/>
        <v>3.7352384419087059E-4</v>
      </c>
      <c r="G291" s="2095">
        <f t="shared" si="123"/>
        <v>45426300</v>
      </c>
      <c r="H291" s="702">
        <f t="shared" ref="H291" si="130">(C291-B291)+1</f>
        <v>28</v>
      </c>
      <c r="I291" s="2149">
        <f t="shared" si="127"/>
        <v>475098.57</v>
      </c>
      <c r="J291" s="2335"/>
    </row>
    <row r="292" spans="1:10">
      <c r="A292" s="686">
        <v>18</v>
      </c>
      <c r="B292" s="2233">
        <v>44986</v>
      </c>
      <c r="C292" s="2233">
        <v>45016</v>
      </c>
      <c r="D292" s="705">
        <v>0</v>
      </c>
      <c r="E292" s="2180">
        <v>0.1331</v>
      </c>
      <c r="F292" s="2094">
        <f t="shared" ref="F292:F293" si="131">+((1+E292)^(1/360)-1)</f>
        <v>3.4716369016041249E-4</v>
      </c>
      <c r="G292" s="2095">
        <f t="shared" si="123"/>
        <v>45426300</v>
      </c>
      <c r="H292" s="702">
        <f>(C292-B292)+1</f>
        <v>31</v>
      </c>
      <c r="I292" s="2149">
        <f t="shared" si="127"/>
        <v>488881.22</v>
      </c>
      <c r="J292" s="2335"/>
    </row>
    <row r="293" spans="1:10">
      <c r="A293" s="686">
        <v>19</v>
      </c>
      <c r="B293" s="2233">
        <v>45017</v>
      </c>
      <c r="C293" s="2233">
        <v>45046</v>
      </c>
      <c r="D293" s="705">
        <v>0</v>
      </c>
      <c r="E293" s="2180"/>
      <c r="F293" s="2094">
        <f t="shared" si="131"/>
        <v>0</v>
      </c>
      <c r="G293" s="2095">
        <f t="shared" si="123"/>
        <v>45426300</v>
      </c>
      <c r="H293" s="702">
        <f t="shared" ref="H293" si="132">(C293-B293)+1</f>
        <v>30</v>
      </c>
      <c r="I293" s="2149">
        <f t="shared" si="127"/>
        <v>0</v>
      </c>
      <c r="J293" s="2335"/>
    </row>
    <row r="294" spans="1:10">
      <c r="G294" s="2663" t="s">
        <v>951</v>
      </c>
      <c r="H294" s="2663"/>
      <c r="I294" s="2330">
        <f>SUM(I275:I293)</f>
        <v>2530302.9300000002</v>
      </c>
    </row>
    <row r="295" spans="1:10">
      <c r="A295" s="702"/>
      <c r="B295" s="1667" t="s">
        <v>1782</v>
      </c>
      <c r="C295" s="2200">
        <v>50</v>
      </c>
      <c r="D295" s="2341">
        <f>+$D$10*C295</f>
        <v>45426300</v>
      </c>
    </row>
    <row r="296" spans="1:10">
      <c r="B296" s="2667" t="s">
        <v>1406</v>
      </c>
      <c r="C296" s="2668"/>
      <c r="D296" s="2668"/>
      <c r="E296" s="2668"/>
      <c r="F296" s="2668"/>
      <c r="G296" s="2668"/>
      <c r="H296" s="2668"/>
      <c r="I296" s="2669"/>
    </row>
    <row r="297" spans="1:10" ht="25.5">
      <c r="B297" s="700" t="s">
        <v>206</v>
      </c>
      <c r="C297" s="700" t="s">
        <v>10</v>
      </c>
      <c r="D297" s="2837" t="s">
        <v>1040</v>
      </c>
      <c r="E297" s="2838"/>
      <c r="F297" s="699" t="s">
        <v>43</v>
      </c>
      <c r="G297" s="700" t="s">
        <v>129</v>
      </c>
      <c r="H297" s="2343" t="s">
        <v>706</v>
      </c>
      <c r="I297" s="700" t="s">
        <v>48</v>
      </c>
    </row>
    <row r="298" spans="1:10">
      <c r="A298" s="686">
        <v>1</v>
      </c>
      <c r="B298" s="2233">
        <v>44547</v>
      </c>
      <c r="C298" s="2233">
        <v>44561</v>
      </c>
      <c r="D298" s="705">
        <v>0</v>
      </c>
      <c r="E298" s="2180">
        <v>3.0800000000000001E-2</v>
      </c>
      <c r="F298" s="2094">
        <f t="shared" ref="F298:F312" si="133">+((1+E298)^(1/360)-1)</f>
        <v>8.4267994225895038E-5</v>
      </c>
      <c r="G298" s="2095">
        <f>+$D$201</f>
        <v>45426300</v>
      </c>
      <c r="H298" s="702">
        <f>(C298-B298)+1</f>
        <v>15</v>
      </c>
      <c r="I298" s="2149">
        <f>ROUND(G298*H298*F298,2)</f>
        <v>57419.75</v>
      </c>
    </row>
    <row r="299" spans="1:10">
      <c r="A299" s="686">
        <v>2</v>
      </c>
      <c r="B299" s="2233">
        <v>44562</v>
      </c>
      <c r="C299" s="2233">
        <v>44592</v>
      </c>
      <c r="D299" s="705">
        <v>0</v>
      </c>
      <c r="E299" s="2180">
        <v>3.4700000000000002E-2</v>
      </c>
      <c r="F299" s="2094">
        <f t="shared" si="133"/>
        <v>9.4758738294453693E-5</v>
      </c>
      <c r="G299" s="2095">
        <f t="shared" ref="G299:G316" si="134">+$D$201</f>
        <v>45426300</v>
      </c>
      <c r="H299" s="702">
        <f t="shared" ref="H299:H301" si="135">(C299-B299)+1</f>
        <v>31</v>
      </c>
      <c r="I299" s="2149">
        <f t="shared" ref="I299:I301" si="136">ROUND(G299*H299*F299,2)</f>
        <v>133440.71</v>
      </c>
    </row>
    <row r="300" spans="1:10">
      <c r="A300" s="686">
        <v>3</v>
      </c>
      <c r="B300" s="2233">
        <v>44593</v>
      </c>
      <c r="C300" s="2233">
        <v>44620</v>
      </c>
      <c r="D300" s="705">
        <v>0</v>
      </c>
      <c r="E300" s="2180">
        <v>4.3099999999999999E-2</v>
      </c>
      <c r="F300" s="2094">
        <f t="shared" si="133"/>
        <v>1.1722089399812674E-4</v>
      </c>
      <c r="G300" s="2095">
        <f t="shared" si="134"/>
        <v>45426300</v>
      </c>
      <c r="H300" s="702">
        <f t="shared" si="135"/>
        <v>28</v>
      </c>
      <c r="I300" s="2149">
        <f t="shared" si="136"/>
        <v>149097.51999999999</v>
      </c>
    </row>
    <row r="301" spans="1:10">
      <c r="A301" s="686">
        <v>4</v>
      </c>
      <c r="B301" s="2233">
        <v>44621</v>
      </c>
      <c r="C301" s="2233">
        <v>44637</v>
      </c>
      <c r="D301" s="705">
        <v>0</v>
      </c>
      <c r="E301" s="2180">
        <v>4.9700000000000001E-2</v>
      </c>
      <c r="F301" s="2094">
        <f t="shared" si="133"/>
        <v>1.3474354670628408E-4</v>
      </c>
      <c r="G301" s="2095">
        <f t="shared" si="134"/>
        <v>45426300</v>
      </c>
      <c r="H301" s="702">
        <f t="shared" si="135"/>
        <v>17</v>
      </c>
      <c r="I301" s="2149">
        <f t="shared" si="136"/>
        <v>104055.31</v>
      </c>
    </row>
    <row r="302" spans="1:10">
      <c r="A302" s="686">
        <v>5</v>
      </c>
      <c r="B302" s="2233">
        <v>44638</v>
      </c>
      <c r="C302" s="2233">
        <v>44651</v>
      </c>
      <c r="D302" s="705">
        <v>0</v>
      </c>
      <c r="E302" s="2180">
        <v>4.9700000000000001E-2</v>
      </c>
      <c r="F302" s="2094">
        <f t="shared" si="133"/>
        <v>1.3474354670628408E-4</v>
      </c>
      <c r="G302" s="2095">
        <f t="shared" si="134"/>
        <v>45426300</v>
      </c>
      <c r="H302" s="702">
        <v>0</v>
      </c>
      <c r="I302" s="2178"/>
    </row>
    <row r="303" spans="1:10">
      <c r="A303" s="686">
        <v>6</v>
      </c>
      <c r="B303" s="2233">
        <v>44652</v>
      </c>
      <c r="C303" s="2233">
        <v>44681</v>
      </c>
      <c r="D303" s="705">
        <v>0</v>
      </c>
      <c r="E303" s="2180">
        <v>5.9700000000000003E-2</v>
      </c>
      <c r="F303" s="2094">
        <f t="shared" si="133"/>
        <v>1.6108477608911542E-4</v>
      </c>
      <c r="G303" s="2095">
        <f t="shared" si="134"/>
        <v>45426300</v>
      </c>
      <c r="H303" s="702">
        <v>0</v>
      </c>
      <c r="I303" s="2178">
        <f t="shared" ref="I303:I307" si="137">ROUND(G303*H303*F303,0)</f>
        <v>0</v>
      </c>
    </row>
    <row r="304" spans="1:10">
      <c r="A304" s="686">
        <v>7</v>
      </c>
      <c r="B304" s="2233">
        <v>44682</v>
      </c>
      <c r="C304" s="2233">
        <v>44712</v>
      </c>
      <c r="D304" s="705">
        <v>0</v>
      </c>
      <c r="E304" s="2180">
        <v>7.0400000000000004E-2</v>
      </c>
      <c r="F304" s="2094">
        <f t="shared" si="133"/>
        <v>1.8899677539563342E-4</v>
      </c>
      <c r="G304" s="2095">
        <f t="shared" si="134"/>
        <v>45426300</v>
      </c>
      <c r="H304" s="702">
        <v>0</v>
      </c>
      <c r="I304" s="2178">
        <f t="shared" si="137"/>
        <v>0</v>
      </c>
    </row>
    <row r="305" spans="1:10">
      <c r="A305" s="686">
        <v>8</v>
      </c>
      <c r="B305" s="2233">
        <v>44713</v>
      </c>
      <c r="C305" s="2233">
        <v>44742</v>
      </c>
      <c r="D305" s="705">
        <v>0</v>
      </c>
      <c r="E305" s="2180">
        <v>7.7200000000000005E-2</v>
      </c>
      <c r="F305" s="2094">
        <f t="shared" si="133"/>
        <v>2.0659100908204664E-4</v>
      </c>
      <c r="G305" s="2095">
        <f t="shared" si="134"/>
        <v>45426300</v>
      </c>
      <c r="H305" s="702">
        <v>0</v>
      </c>
      <c r="I305" s="2178">
        <f t="shared" si="137"/>
        <v>0</v>
      </c>
    </row>
    <row r="306" spans="1:10">
      <c r="A306" s="686">
        <v>9</v>
      </c>
      <c r="B306" s="2233">
        <v>44743</v>
      </c>
      <c r="C306" s="2233">
        <v>44773</v>
      </c>
      <c r="D306" s="705">
        <v>0</v>
      </c>
      <c r="E306" s="2180">
        <v>9.2999999999999999E-2</v>
      </c>
      <c r="F306" s="2094">
        <f t="shared" si="133"/>
        <v>2.4704775903483522E-4</v>
      </c>
      <c r="G306" s="2095">
        <f t="shared" si="134"/>
        <v>45426300</v>
      </c>
      <c r="H306" s="702">
        <v>0</v>
      </c>
      <c r="I306" s="2178">
        <f t="shared" si="137"/>
        <v>0</v>
      </c>
    </row>
    <row r="307" spans="1:10">
      <c r="A307" s="686">
        <v>10</v>
      </c>
      <c r="B307" s="2233">
        <v>44774</v>
      </c>
      <c r="C307" s="2233">
        <v>44804</v>
      </c>
      <c r="D307" s="705">
        <v>0</v>
      </c>
      <c r="E307" s="2180">
        <v>0.1057</v>
      </c>
      <c r="F307" s="2094">
        <f t="shared" si="133"/>
        <v>2.7914622785418786E-4</v>
      </c>
      <c r="G307" s="2095">
        <f t="shared" si="134"/>
        <v>45426300</v>
      </c>
      <c r="H307" s="702">
        <v>0</v>
      </c>
      <c r="I307" s="2178">
        <f t="shared" si="137"/>
        <v>0</v>
      </c>
    </row>
    <row r="308" spans="1:10">
      <c r="A308" s="686">
        <v>11</v>
      </c>
      <c r="B308" s="2233">
        <v>44805</v>
      </c>
      <c r="C308" s="2233">
        <v>44834</v>
      </c>
      <c r="D308" s="705">
        <v>0</v>
      </c>
      <c r="E308" s="2180">
        <v>0.1099</v>
      </c>
      <c r="F308" s="2094">
        <f t="shared" si="133"/>
        <v>2.8968061926226696E-4</v>
      </c>
      <c r="G308" s="2095">
        <f t="shared" si="134"/>
        <v>45426300</v>
      </c>
      <c r="H308" s="702">
        <v>0</v>
      </c>
      <c r="I308" s="2178">
        <f>ROUND(G308*H308*F308,0)</f>
        <v>0</v>
      </c>
    </row>
    <row r="309" spans="1:10">
      <c r="A309" s="686">
        <v>12</v>
      </c>
      <c r="B309" s="2233">
        <v>44835</v>
      </c>
      <c r="C309" s="2233">
        <v>44865</v>
      </c>
      <c r="D309" s="705">
        <v>0</v>
      </c>
      <c r="E309" s="2180">
        <v>0.11600000000000001</v>
      </c>
      <c r="F309" s="2094">
        <f t="shared" si="133"/>
        <v>3.0490998660059887E-4</v>
      </c>
      <c r="G309" s="2095">
        <f t="shared" si="134"/>
        <v>45426300</v>
      </c>
      <c r="H309" s="702">
        <v>0</v>
      </c>
      <c r="I309" s="2178">
        <f>ROUND(G309*H309*F309,0)</f>
        <v>0</v>
      </c>
    </row>
    <row r="310" spans="1:10">
      <c r="A310" s="686">
        <v>13</v>
      </c>
      <c r="B310" s="2233">
        <v>44866</v>
      </c>
      <c r="C310" s="2233">
        <v>44888</v>
      </c>
      <c r="D310" s="705">
        <v>0</v>
      </c>
      <c r="E310" s="2180">
        <v>0.1263</v>
      </c>
      <c r="F310" s="2094">
        <f t="shared" si="133"/>
        <v>3.3043770493557112E-4</v>
      </c>
      <c r="G310" s="2095">
        <f t="shared" si="134"/>
        <v>45426300</v>
      </c>
      <c r="H310" s="702">
        <v>0</v>
      </c>
      <c r="I310" s="2178">
        <f>ROUND(G310*H310*F310,0)</f>
        <v>0</v>
      </c>
    </row>
    <row r="311" spans="1:10">
      <c r="A311" s="686">
        <v>14</v>
      </c>
      <c r="B311" s="2233">
        <v>44888</v>
      </c>
      <c r="C311" s="2233">
        <v>44895</v>
      </c>
      <c r="D311" s="705">
        <v>0</v>
      </c>
      <c r="E311" s="2180">
        <v>0.1263</v>
      </c>
      <c r="F311" s="2094">
        <f t="shared" si="133"/>
        <v>3.3043770493557112E-4</v>
      </c>
      <c r="G311" s="2095">
        <f t="shared" si="134"/>
        <v>45426300</v>
      </c>
      <c r="H311" s="702">
        <f>(C311-B311)+1</f>
        <v>8</v>
      </c>
      <c r="I311" s="2149">
        <f t="shared" ref="I311:I316" si="138">ROUND(G311*H311*F311,2)</f>
        <v>120084.5</v>
      </c>
    </row>
    <row r="312" spans="1:10">
      <c r="A312" s="686">
        <v>15</v>
      </c>
      <c r="B312" s="2233">
        <v>44896</v>
      </c>
      <c r="C312" s="2233">
        <v>44926</v>
      </c>
      <c r="D312" s="705">
        <v>0</v>
      </c>
      <c r="E312" s="2180">
        <v>0.13420000000000001</v>
      </c>
      <c r="F312" s="2094">
        <f t="shared" si="133"/>
        <v>3.4985995505043554E-4</v>
      </c>
      <c r="G312" s="2095">
        <f t="shared" si="134"/>
        <v>45426300</v>
      </c>
      <c r="H312" s="702">
        <f t="shared" ref="H312" si="139">(C312-B312)+1</f>
        <v>31</v>
      </c>
      <c r="I312" s="2149">
        <f t="shared" si="138"/>
        <v>492678.14</v>
      </c>
    </row>
    <row r="313" spans="1:10">
      <c r="A313" s="686">
        <v>16</v>
      </c>
      <c r="B313" s="2233">
        <v>44927</v>
      </c>
      <c r="C313" s="2233">
        <v>44957</v>
      </c>
      <c r="D313" s="705">
        <v>0</v>
      </c>
      <c r="E313" s="2180">
        <v>0.1391</v>
      </c>
      <c r="F313" s="2094">
        <f t="shared" ref="F313:F314" si="140">+((1+E313)^(1/360)-1)</f>
        <v>3.6183899495223493E-4</v>
      </c>
      <c r="G313" s="2095">
        <f t="shared" si="134"/>
        <v>45426300</v>
      </c>
      <c r="H313" s="702">
        <f>(C313-B313)+1</f>
        <v>31</v>
      </c>
      <c r="I313" s="2149">
        <f t="shared" si="138"/>
        <v>509547.21</v>
      </c>
      <c r="J313" s="2335">
        <f>+I313</f>
        <v>509547.21</v>
      </c>
    </row>
    <row r="314" spans="1:10">
      <c r="A314" s="686">
        <v>17</v>
      </c>
      <c r="B314" s="2233">
        <v>44958</v>
      </c>
      <c r="C314" s="2233">
        <v>44985</v>
      </c>
      <c r="D314" s="705">
        <v>0</v>
      </c>
      <c r="E314" s="2180">
        <v>0.1439</v>
      </c>
      <c r="F314" s="2094">
        <f t="shared" si="140"/>
        <v>3.7352384419087059E-4</v>
      </c>
      <c r="G314" s="2095">
        <f t="shared" si="134"/>
        <v>45426300</v>
      </c>
      <c r="H314" s="702">
        <f t="shared" ref="H314" si="141">(C314-B314)+1</f>
        <v>28</v>
      </c>
      <c r="I314" s="2149">
        <f t="shared" si="138"/>
        <v>475098.57</v>
      </c>
      <c r="J314" s="2335"/>
    </row>
    <row r="315" spans="1:10">
      <c r="A315" s="686">
        <v>18</v>
      </c>
      <c r="B315" s="2233">
        <v>44986</v>
      </c>
      <c r="C315" s="2233">
        <v>45016</v>
      </c>
      <c r="D315" s="705">
        <v>0</v>
      </c>
      <c r="E315" s="2180">
        <v>0.1331</v>
      </c>
      <c r="F315" s="2094">
        <f t="shared" ref="F315:F316" si="142">+((1+E315)^(1/360)-1)</f>
        <v>3.4716369016041249E-4</v>
      </c>
      <c r="G315" s="2095">
        <f t="shared" si="134"/>
        <v>45426300</v>
      </c>
      <c r="H315" s="702">
        <f>(C315-B315)+1</f>
        <v>31</v>
      </c>
      <c r="I315" s="2149">
        <f t="shared" si="138"/>
        <v>488881.22</v>
      </c>
      <c r="J315" s="2335"/>
    </row>
    <row r="316" spans="1:10">
      <c r="A316" s="686">
        <v>19</v>
      </c>
      <c r="B316" s="2233">
        <v>45017</v>
      </c>
      <c r="C316" s="2233">
        <v>45046</v>
      </c>
      <c r="D316" s="705">
        <v>0</v>
      </c>
      <c r="E316" s="2180"/>
      <c r="F316" s="2094">
        <f t="shared" si="142"/>
        <v>0</v>
      </c>
      <c r="G316" s="2095">
        <f t="shared" si="134"/>
        <v>45426300</v>
      </c>
      <c r="H316" s="702">
        <f t="shared" ref="H316" si="143">(C316-B316)+1</f>
        <v>30</v>
      </c>
      <c r="I316" s="2149">
        <f t="shared" si="138"/>
        <v>0</v>
      </c>
      <c r="J316" s="2335"/>
    </row>
    <row r="317" spans="1:10">
      <c r="G317" s="2663" t="s">
        <v>951</v>
      </c>
      <c r="H317" s="2663"/>
      <c r="I317" s="2330">
        <f>SUM(I298:I316)</f>
        <v>2530302.9300000002</v>
      </c>
    </row>
    <row r="318" spans="1:10">
      <c r="A318" s="702"/>
      <c r="B318" s="1667" t="s">
        <v>1783</v>
      </c>
      <c r="C318" s="2200">
        <v>50</v>
      </c>
      <c r="D318" s="2341">
        <f>+$D$10*C318</f>
        <v>45426300</v>
      </c>
    </row>
    <row r="319" spans="1:10">
      <c r="B319" s="2667" t="s">
        <v>1406</v>
      </c>
      <c r="C319" s="2668"/>
      <c r="D319" s="2668"/>
      <c r="E319" s="2668"/>
      <c r="F319" s="2668"/>
      <c r="G319" s="2668"/>
      <c r="H319" s="2668"/>
      <c r="I319" s="2669"/>
    </row>
    <row r="320" spans="1:10" ht="25.5">
      <c r="B320" s="700" t="s">
        <v>206</v>
      </c>
      <c r="C320" s="700" t="s">
        <v>10</v>
      </c>
      <c r="D320" s="2837" t="s">
        <v>1040</v>
      </c>
      <c r="E320" s="2838"/>
      <c r="F320" s="699" t="s">
        <v>43</v>
      </c>
      <c r="G320" s="700" t="s">
        <v>129</v>
      </c>
      <c r="H320" s="2343" t="s">
        <v>706</v>
      </c>
      <c r="I320" s="700" t="s">
        <v>48</v>
      </c>
    </row>
    <row r="321" spans="1:10">
      <c r="A321" s="686">
        <v>1</v>
      </c>
      <c r="B321" s="2233">
        <v>44547</v>
      </c>
      <c r="C321" s="2233">
        <v>44561</v>
      </c>
      <c r="D321" s="705">
        <v>0</v>
      </c>
      <c r="E321" s="2180">
        <v>3.0800000000000001E-2</v>
      </c>
      <c r="F321" s="2094">
        <f t="shared" ref="F321:F335" si="144">+((1+E321)^(1/360)-1)</f>
        <v>8.4267994225895038E-5</v>
      </c>
      <c r="G321" s="2095">
        <f>+$D$201</f>
        <v>45426300</v>
      </c>
      <c r="H321" s="702">
        <f>(C321-B321)+1</f>
        <v>15</v>
      </c>
      <c r="I321" s="2149">
        <f>ROUND(G321*H321*F321,2)</f>
        <v>57419.75</v>
      </c>
    </row>
    <row r="322" spans="1:10">
      <c r="A322" s="686">
        <v>2</v>
      </c>
      <c r="B322" s="2233">
        <v>44562</v>
      </c>
      <c r="C322" s="2233">
        <v>44592</v>
      </c>
      <c r="D322" s="705">
        <v>0</v>
      </c>
      <c r="E322" s="2180">
        <v>3.4700000000000002E-2</v>
      </c>
      <c r="F322" s="2094">
        <f t="shared" si="144"/>
        <v>9.4758738294453693E-5</v>
      </c>
      <c r="G322" s="2095">
        <f t="shared" ref="G322:G339" si="145">+$D$201</f>
        <v>45426300</v>
      </c>
      <c r="H322" s="702">
        <f t="shared" ref="H322:H324" si="146">(C322-B322)+1</f>
        <v>31</v>
      </c>
      <c r="I322" s="2149">
        <f t="shared" ref="I322:I324" si="147">ROUND(G322*H322*F322,2)</f>
        <v>133440.71</v>
      </c>
    </row>
    <row r="323" spans="1:10">
      <c r="A323" s="686">
        <v>3</v>
      </c>
      <c r="B323" s="2233">
        <v>44593</v>
      </c>
      <c r="C323" s="2233">
        <v>44620</v>
      </c>
      <c r="D323" s="705">
        <v>0</v>
      </c>
      <c r="E323" s="2180">
        <v>4.3099999999999999E-2</v>
      </c>
      <c r="F323" s="2094">
        <f t="shared" si="144"/>
        <v>1.1722089399812674E-4</v>
      </c>
      <c r="G323" s="2095">
        <f t="shared" si="145"/>
        <v>45426300</v>
      </c>
      <c r="H323" s="702">
        <f t="shared" si="146"/>
        <v>28</v>
      </c>
      <c r="I323" s="2149">
        <f t="shared" si="147"/>
        <v>149097.51999999999</v>
      </c>
    </row>
    <row r="324" spans="1:10">
      <c r="A324" s="686">
        <v>4</v>
      </c>
      <c r="B324" s="2233">
        <v>44621</v>
      </c>
      <c r="C324" s="2233">
        <v>44637</v>
      </c>
      <c r="D324" s="705">
        <v>0</v>
      </c>
      <c r="E324" s="2180">
        <v>4.9700000000000001E-2</v>
      </c>
      <c r="F324" s="2094">
        <f t="shared" si="144"/>
        <v>1.3474354670628408E-4</v>
      </c>
      <c r="G324" s="2095">
        <f t="shared" si="145"/>
        <v>45426300</v>
      </c>
      <c r="H324" s="702">
        <f t="shared" si="146"/>
        <v>17</v>
      </c>
      <c r="I324" s="2149">
        <f t="shared" si="147"/>
        <v>104055.31</v>
      </c>
    </row>
    <row r="325" spans="1:10">
      <c r="A325" s="686">
        <v>5</v>
      </c>
      <c r="B325" s="2233">
        <v>44638</v>
      </c>
      <c r="C325" s="2233">
        <v>44651</v>
      </c>
      <c r="D325" s="705">
        <v>0</v>
      </c>
      <c r="E325" s="2180">
        <v>4.9700000000000001E-2</v>
      </c>
      <c r="F325" s="2094">
        <f t="shared" si="144"/>
        <v>1.3474354670628408E-4</v>
      </c>
      <c r="G325" s="2095">
        <f t="shared" si="145"/>
        <v>45426300</v>
      </c>
      <c r="H325" s="702">
        <v>0</v>
      </c>
      <c r="I325" s="2178"/>
    </row>
    <row r="326" spans="1:10">
      <c r="A326" s="686">
        <v>6</v>
      </c>
      <c r="B326" s="2233">
        <v>44652</v>
      </c>
      <c r="C326" s="2233">
        <v>44681</v>
      </c>
      <c r="D326" s="705">
        <v>0</v>
      </c>
      <c r="E326" s="2180">
        <v>5.9700000000000003E-2</v>
      </c>
      <c r="F326" s="2094">
        <f t="shared" si="144"/>
        <v>1.6108477608911542E-4</v>
      </c>
      <c r="G326" s="2095">
        <f t="shared" si="145"/>
        <v>45426300</v>
      </c>
      <c r="H326" s="702">
        <v>0</v>
      </c>
      <c r="I326" s="2178">
        <f t="shared" ref="I326:I330" si="148">ROUND(G326*H326*F326,0)</f>
        <v>0</v>
      </c>
    </row>
    <row r="327" spans="1:10">
      <c r="A327" s="686">
        <v>7</v>
      </c>
      <c r="B327" s="2233">
        <v>44682</v>
      </c>
      <c r="C327" s="2233">
        <v>44712</v>
      </c>
      <c r="D327" s="705">
        <v>0</v>
      </c>
      <c r="E327" s="2180">
        <v>7.0400000000000004E-2</v>
      </c>
      <c r="F327" s="2094">
        <f t="shared" si="144"/>
        <v>1.8899677539563342E-4</v>
      </c>
      <c r="G327" s="2095">
        <f t="shared" si="145"/>
        <v>45426300</v>
      </c>
      <c r="H327" s="702">
        <v>0</v>
      </c>
      <c r="I327" s="2178">
        <f t="shared" si="148"/>
        <v>0</v>
      </c>
    </row>
    <row r="328" spans="1:10">
      <c r="A328" s="686">
        <v>8</v>
      </c>
      <c r="B328" s="2233">
        <v>44713</v>
      </c>
      <c r="C328" s="2233">
        <v>44742</v>
      </c>
      <c r="D328" s="705">
        <v>0</v>
      </c>
      <c r="E328" s="2180">
        <v>7.7200000000000005E-2</v>
      </c>
      <c r="F328" s="2094">
        <f t="shared" si="144"/>
        <v>2.0659100908204664E-4</v>
      </c>
      <c r="G328" s="2095">
        <f t="shared" si="145"/>
        <v>45426300</v>
      </c>
      <c r="H328" s="702">
        <v>0</v>
      </c>
      <c r="I328" s="2178">
        <f t="shared" si="148"/>
        <v>0</v>
      </c>
    </row>
    <row r="329" spans="1:10">
      <c r="A329" s="686">
        <v>9</v>
      </c>
      <c r="B329" s="2233">
        <v>44743</v>
      </c>
      <c r="C329" s="2233">
        <v>44773</v>
      </c>
      <c r="D329" s="705">
        <v>0</v>
      </c>
      <c r="E329" s="2180">
        <v>9.2999999999999999E-2</v>
      </c>
      <c r="F329" s="2094">
        <f t="shared" si="144"/>
        <v>2.4704775903483522E-4</v>
      </c>
      <c r="G329" s="2095">
        <f t="shared" si="145"/>
        <v>45426300</v>
      </c>
      <c r="H329" s="702">
        <v>0</v>
      </c>
      <c r="I329" s="2178">
        <f t="shared" si="148"/>
        <v>0</v>
      </c>
    </row>
    <row r="330" spans="1:10">
      <c r="A330" s="686">
        <v>10</v>
      </c>
      <c r="B330" s="2233">
        <v>44774</v>
      </c>
      <c r="C330" s="2233">
        <v>44804</v>
      </c>
      <c r="D330" s="705">
        <v>0</v>
      </c>
      <c r="E330" s="2180">
        <v>0.1057</v>
      </c>
      <c r="F330" s="2094">
        <f t="shared" si="144"/>
        <v>2.7914622785418786E-4</v>
      </c>
      <c r="G330" s="2095">
        <f t="shared" si="145"/>
        <v>45426300</v>
      </c>
      <c r="H330" s="702">
        <v>0</v>
      </c>
      <c r="I330" s="2178">
        <f t="shared" si="148"/>
        <v>0</v>
      </c>
    </row>
    <row r="331" spans="1:10">
      <c r="A331" s="686">
        <v>11</v>
      </c>
      <c r="B331" s="2233">
        <v>44805</v>
      </c>
      <c r="C331" s="2233">
        <v>44834</v>
      </c>
      <c r="D331" s="705">
        <v>0</v>
      </c>
      <c r="E331" s="2180">
        <v>0.1099</v>
      </c>
      <c r="F331" s="2094">
        <f t="shared" si="144"/>
        <v>2.8968061926226696E-4</v>
      </c>
      <c r="G331" s="2095">
        <f t="shared" si="145"/>
        <v>45426300</v>
      </c>
      <c r="H331" s="702">
        <v>0</v>
      </c>
      <c r="I331" s="2178">
        <f>ROUND(G331*H331*F331,0)</f>
        <v>0</v>
      </c>
    </row>
    <row r="332" spans="1:10">
      <c r="A332" s="686">
        <v>12</v>
      </c>
      <c r="B332" s="2233">
        <v>44835</v>
      </c>
      <c r="C332" s="2233">
        <v>44865</v>
      </c>
      <c r="D332" s="705">
        <v>0</v>
      </c>
      <c r="E332" s="2180">
        <v>0.11600000000000001</v>
      </c>
      <c r="F332" s="2094">
        <f t="shared" si="144"/>
        <v>3.0490998660059887E-4</v>
      </c>
      <c r="G332" s="2095">
        <f t="shared" si="145"/>
        <v>45426300</v>
      </c>
      <c r="H332" s="702">
        <v>0</v>
      </c>
      <c r="I332" s="2178">
        <f>ROUND(G332*H332*F332,0)</f>
        <v>0</v>
      </c>
    </row>
    <row r="333" spans="1:10">
      <c r="A333" s="686">
        <v>13</v>
      </c>
      <c r="B333" s="2233">
        <v>44866</v>
      </c>
      <c r="C333" s="2233">
        <v>44888</v>
      </c>
      <c r="D333" s="705">
        <v>0</v>
      </c>
      <c r="E333" s="2180">
        <v>0.1263</v>
      </c>
      <c r="F333" s="2094">
        <f t="shared" si="144"/>
        <v>3.3043770493557112E-4</v>
      </c>
      <c r="G333" s="2095">
        <f t="shared" si="145"/>
        <v>45426300</v>
      </c>
      <c r="H333" s="702">
        <v>0</v>
      </c>
      <c r="I333" s="2178">
        <f>ROUND(G333*H333*F333,0)</f>
        <v>0</v>
      </c>
    </row>
    <row r="334" spans="1:10">
      <c r="A334" s="686">
        <v>14</v>
      </c>
      <c r="B334" s="2233">
        <v>44888</v>
      </c>
      <c r="C334" s="2233">
        <v>44895</v>
      </c>
      <c r="D334" s="705">
        <v>0</v>
      </c>
      <c r="E334" s="2180">
        <v>0.1263</v>
      </c>
      <c r="F334" s="2094">
        <f t="shared" si="144"/>
        <v>3.3043770493557112E-4</v>
      </c>
      <c r="G334" s="2095">
        <f t="shared" si="145"/>
        <v>45426300</v>
      </c>
      <c r="H334" s="702">
        <f>(C334-B334)+1</f>
        <v>8</v>
      </c>
      <c r="I334" s="2149">
        <f t="shared" ref="I334:I339" si="149">ROUND(G334*H334*F334,2)</f>
        <v>120084.5</v>
      </c>
    </row>
    <row r="335" spans="1:10">
      <c r="A335" s="686">
        <v>15</v>
      </c>
      <c r="B335" s="2233">
        <v>44896</v>
      </c>
      <c r="C335" s="2233">
        <v>44926</v>
      </c>
      <c r="D335" s="705">
        <v>0</v>
      </c>
      <c r="E335" s="2180">
        <v>0.13420000000000001</v>
      </c>
      <c r="F335" s="2094">
        <f t="shared" si="144"/>
        <v>3.4985995505043554E-4</v>
      </c>
      <c r="G335" s="2095">
        <f t="shared" si="145"/>
        <v>45426300</v>
      </c>
      <c r="H335" s="702">
        <f t="shared" ref="H335" si="150">(C335-B335)+1</f>
        <v>31</v>
      </c>
      <c r="I335" s="2149">
        <f t="shared" si="149"/>
        <v>492678.14</v>
      </c>
    </row>
    <row r="336" spans="1:10">
      <c r="A336" s="686">
        <v>16</v>
      </c>
      <c r="B336" s="2233">
        <v>44927</v>
      </c>
      <c r="C336" s="2233">
        <v>44957</v>
      </c>
      <c r="D336" s="705">
        <v>0</v>
      </c>
      <c r="E336" s="2180">
        <v>0.1391</v>
      </c>
      <c r="F336" s="2094">
        <f t="shared" ref="F336:F337" si="151">+((1+E336)^(1/360)-1)</f>
        <v>3.6183899495223493E-4</v>
      </c>
      <c r="G336" s="2095">
        <f t="shared" si="145"/>
        <v>45426300</v>
      </c>
      <c r="H336" s="702">
        <f>(C336-B336)+1</f>
        <v>31</v>
      </c>
      <c r="I336" s="2149">
        <f t="shared" si="149"/>
        <v>509547.21</v>
      </c>
      <c r="J336" s="2335"/>
    </row>
    <row r="337" spans="1:10">
      <c r="A337" s="686">
        <v>17</v>
      </c>
      <c r="B337" s="2233">
        <v>44958</v>
      </c>
      <c r="C337" s="2233">
        <v>44985</v>
      </c>
      <c r="D337" s="705">
        <v>0</v>
      </c>
      <c r="E337" s="2180">
        <v>0.1439</v>
      </c>
      <c r="F337" s="2094">
        <f t="shared" si="151"/>
        <v>3.7352384419087059E-4</v>
      </c>
      <c r="G337" s="2095">
        <f t="shared" si="145"/>
        <v>45426300</v>
      </c>
      <c r="H337" s="702">
        <f t="shared" ref="H337" si="152">(C337-B337)+1</f>
        <v>28</v>
      </c>
      <c r="I337" s="2149">
        <f t="shared" si="149"/>
        <v>475098.57</v>
      </c>
      <c r="J337" s="2335"/>
    </row>
    <row r="338" spans="1:10">
      <c r="A338" s="686">
        <v>18</v>
      </c>
      <c r="B338" s="2233">
        <v>44986</v>
      </c>
      <c r="C338" s="2233">
        <v>45016</v>
      </c>
      <c r="D338" s="705">
        <v>0</v>
      </c>
      <c r="E338" s="2180">
        <v>0.1331</v>
      </c>
      <c r="F338" s="2094">
        <f t="shared" ref="F338:F339" si="153">+((1+E338)^(1/360)-1)</f>
        <v>3.4716369016041249E-4</v>
      </c>
      <c r="G338" s="2095">
        <f t="shared" si="145"/>
        <v>45426300</v>
      </c>
      <c r="H338" s="702">
        <f>(C338-B338)+1</f>
        <v>31</v>
      </c>
      <c r="I338" s="2149">
        <f t="shared" si="149"/>
        <v>488881.22</v>
      </c>
      <c r="J338" s="2335"/>
    </row>
    <row r="339" spans="1:10">
      <c r="A339" s="686">
        <v>19</v>
      </c>
      <c r="B339" s="2233">
        <v>45017</v>
      </c>
      <c r="C339" s="2233">
        <v>45046</v>
      </c>
      <c r="D339" s="705">
        <v>0</v>
      </c>
      <c r="E339" s="2180"/>
      <c r="F339" s="2094">
        <f t="shared" si="153"/>
        <v>0</v>
      </c>
      <c r="G339" s="2095">
        <f t="shared" si="145"/>
        <v>45426300</v>
      </c>
      <c r="H339" s="702">
        <f t="shared" ref="H339" si="154">(C339-B339)+1</f>
        <v>30</v>
      </c>
      <c r="I339" s="2149">
        <f t="shared" si="149"/>
        <v>0</v>
      </c>
      <c r="J339" s="2335"/>
    </row>
    <row r="340" spans="1:10">
      <c r="G340" s="2663" t="s">
        <v>951</v>
      </c>
      <c r="H340" s="2663"/>
      <c r="I340" s="2330">
        <f>SUM(I321:I339)</f>
        <v>2530302.9300000002</v>
      </c>
    </row>
    <row r="342" spans="1:10">
      <c r="B342" s="1667" t="s">
        <v>1784</v>
      </c>
      <c r="C342" s="2200">
        <v>50</v>
      </c>
      <c r="D342" s="2341">
        <f>+$D$10*C342</f>
        <v>45426300</v>
      </c>
    </row>
    <row r="343" spans="1:10">
      <c r="B343" s="2667" t="s">
        <v>1406</v>
      </c>
      <c r="C343" s="2668"/>
      <c r="D343" s="2668"/>
      <c r="E343" s="2668"/>
      <c r="F343" s="2668"/>
      <c r="G343" s="2668"/>
      <c r="H343" s="2668"/>
      <c r="I343" s="2669"/>
    </row>
    <row r="344" spans="1:10" ht="25.5">
      <c r="B344" s="700" t="s">
        <v>206</v>
      </c>
      <c r="C344" s="700" t="s">
        <v>10</v>
      </c>
      <c r="D344" s="2837" t="s">
        <v>1040</v>
      </c>
      <c r="E344" s="2838"/>
      <c r="F344" s="699" t="s">
        <v>43</v>
      </c>
      <c r="G344" s="700" t="s">
        <v>129</v>
      </c>
      <c r="H344" s="2343" t="s">
        <v>706</v>
      </c>
      <c r="I344" s="700" t="s">
        <v>48</v>
      </c>
    </row>
    <row r="345" spans="1:10">
      <c r="B345" s="2233">
        <v>44547</v>
      </c>
      <c r="C345" s="2233">
        <v>44561</v>
      </c>
      <c r="D345" s="705">
        <v>0</v>
      </c>
      <c r="E345" s="2180">
        <v>3.0800000000000001E-2</v>
      </c>
      <c r="F345" s="2094">
        <f t="shared" ref="F345:F360" si="155">+((1+E345)^(1/360)-1)</f>
        <v>8.4267994225895038E-5</v>
      </c>
      <c r="G345" s="2095">
        <f>+$D$201</f>
        <v>45426300</v>
      </c>
      <c r="H345" s="702">
        <f>(C345-B345)+1</f>
        <v>15</v>
      </c>
      <c r="I345" s="2149">
        <f>ROUND(G345*H345*F345,2)</f>
        <v>57419.75</v>
      </c>
    </row>
    <row r="346" spans="1:10">
      <c r="B346" s="2233">
        <v>44562</v>
      </c>
      <c r="C346" s="2233">
        <v>44592</v>
      </c>
      <c r="D346" s="705">
        <v>0</v>
      </c>
      <c r="E346" s="2180">
        <v>3.4700000000000002E-2</v>
      </c>
      <c r="F346" s="2094">
        <f t="shared" si="155"/>
        <v>9.4758738294453693E-5</v>
      </c>
      <c r="G346" s="2095">
        <f t="shared" ref="G346:G363" si="156">+$D$201</f>
        <v>45426300</v>
      </c>
      <c r="H346" s="702">
        <f t="shared" ref="H346:H348" si="157">(C346-B346)+1</f>
        <v>31</v>
      </c>
      <c r="I346" s="2149">
        <f t="shared" ref="I346:I348" si="158">ROUND(G346*H346*F346,2)</f>
        <v>133440.71</v>
      </c>
    </row>
    <row r="347" spans="1:10">
      <c r="B347" s="2233">
        <v>44593</v>
      </c>
      <c r="C347" s="2233">
        <v>44620</v>
      </c>
      <c r="D347" s="705">
        <v>0</v>
      </c>
      <c r="E347" s="2180">
        <v>4.3099999999999999E-2</v>
      </c>
      <c r="F347" s="2094">
        <f t="shared" si="155"/>
        <v>1.1722089399812674E-4</v>
      </c>
      <c r="G347" s="2095">
        <f t="shared" si="156"/>
        <v>45426300</v>
      </c>
      <c r="H347" s="702">
        <f t="shared" si="157"/>
        <v>28</v>
      </c>
      <c r="I347" s="2149">
        <f t="shared" si="158"/>
        <v>149097.51999999999</v>
      </c>
    </row>
    <row r="348" spans="1:10">
      <c r="B348" s="2233">
        <v>44621</v>
      </c>
      <c r="C348" s="2233">
        <v>44637</v>
      </c>
      <c r="D348" s="705">
        <v>0</v>
      </c>
      <c r="E348" s="2180">
        <v>4.9700000000000001E-2</v>
      </c>
      <c r="F348" s="2094">
        <f t="shared" si="155"/>
        <v>1.3474354670628408E-4</v>
      </c>
      <c r="G348" s="2095">
        <f t="shared" si="156"/>
        <v>45426300</v>
      </c>
      <c r="H348" s="702">
        <f t="shared" si="157"/>
        <v>17</v>
      </c>
      <c r="I348" s="2149">
        <f t="shared" si="158"/>
        <v>104055.31</v>
      </c>
    </row>
    <row r="349" spans="1:10">
      <c r="B349" s="2233">
        <v>44638</v>
      </c>
      <c r="C349" s="2233">
        <v>44651</v>
      </c>
      <c r="D349" s="705">
        <v>0</v>
      </c>
      <c r="E349" s="2180">
        <v>4.9700000000000001E-2</v>
      </c>
      <c r="F349" s="2094">
        <f t="shared" si="155"/>
        <v>1.3474354670628408E-4</v>
      </c>
      <c r="G349" s="2095">
        <f t="shared" si="156"/>
        <v>45426300</v>
      </c>
      <c r="H349" s="702">
        <v>0</v>
      </c>
      <c r="I349" s="2178"/>
    </row>
    <row r="350" spans="1:10">
      <c r="B350" s="2233">
        <v>44652</v>
      </c>
      <c r="C350" s="2233">
        <v>44681</v>
      </c>
      <c r="D350" s="705">
        <v>0</v>
      </c>
      <c r="E350" s="2180">
        <v>5.9700000000000003E-2</v>
      </c>
      <c r="F350" s="2094">
        <f t="shared" si="155"/>
        <v>1.6108477608911542E-4</v>
      </c>
      <c r="G350" s="2095">
        <f t="shared" si="156"/>
        <v>45426300</v>
      </c>
      <c r="H350" s="702">
        <v>0</v>
      </c>
      <c r="I350" s="2178">
        <f t="shared" ref="I350:I354" si="159">ROUND(G350*H350*F350,0)</f>
        <v>0</v>
      </c>
    </row>
    <row r="351" spans="1:10">
      <c r="B351" s="2233">
        <v>44682</v>
      </c>
      <c r="C351" s="2233">
        <v>44712</v>
      </c>
      <c r="D351" s="705">
        <v>0</v>
      </c>
      <c r="E351" s="2180">
        <v>7.0400000000000004E-2</v>
      </c>
      <c r="F351" s="2094">
        <f t="shared" si="155"/>
        <v>1.8899677539563342E-4</v>
      </c>
      <c r="G351" s="2095">
        <f t="shared" si="156"/>
        <v>45426300</v>
      </c>
      <c r="H351" s="702">
        <v>0</v>
      </c>
      <c r="I351" s="2178">
        <f t="shared" si="159"/>
        <v>0</v>
      </c>
    </row>
    <row r="352" spans="1:10">
      <c r="B352" s="2233">
        <v>44713</v>
      </c>
      <c r="C352" s="2233">
        <v>44742</v>
      </c>
      <c r="D352" s="705">
        <v>0</v>
      </c>
      <c r="E352" s="2180">
        <v>7.7200000000000005E-2</v>
      </c>
      <c r="F352" s="2094">
        <f t="shared" si="155"/>
        <v>2.0659100908204664E-4</v>
      </c>
      <c r="G352" s="2095">
        <f t="shared" si="156"/>
        <v>45426300</v>
      </c>
      <c r="H352" s="702">
        <v>0</v>
      </c>
      <c r="I352" s="2178">
        <f t="shared" si="159"/>
        <v>0</v>
      </c>
    </row>
    <row r="353" spans="2:10">
      <c r="B353" s="2233">
        <v>44743</v>
      </c>
      <c r="C353" s="2233">
        <v>44773</v>
      </c>
      <c r="D353" s="705">
        <v>0</v>
      </c>
      <c r="E353" s="2180">
        <v>9.2999999999999999E-2</v>
      </c>
      <c r="F353" s="2094">
        <f t="shared" si="155"/>
        <v>2.4704775903483522E-4</v>
      </c>
      <c r="G353" s="2095">
        <f t="shared" si="156"/>
        <v>45426300</v>
      </c>
      <c r="H353" s="702">
        <v>0</v>
      </c>
      <c r="I353" s="2178">
        <f t="shared" si="159"/>
        <v>0</v>
      </c>
    </row>
    <row r="354" spans="2:10">
      <c r="B354" s="2233">
        <v>44774</v>
      </c>
      <c r="C354" s="2233">
        <v>44804</v>
      </c>
      <c r="D354" s="705">
        <v>0</v>
      </c>
      <c r="E354" s="2180">
        <v>0.1057</v>
      </c>
      <c r="F354" s="2094">
        <f t="shared" si="155"/>
        <v>2.7914622785418786E-4</v>
      </c>
      <c r="G354" s="2095">
        <f t="shared" si="156"/>
        <v>45426300</v>
      </c>
      <c r="H354" s="702">
        <v>0</v>
      </c>
      <c r="I354" s="2178">
        <f t="shared" si="159"/>
        <v>0</v>
      </c>
    </row>
    <row r="355" spans="2:10" ht="13.5" customHeight="1">
      <c r="B355" s="2233">
        <v>44805</v>
      </c>
      <c r="C355" s="2233">
        <v>44834</v>
      </c>
      <c r="D355" s="705">
        <v>0</v>
      </c>
      <c r="E355" s="2180">
        <v>0.1099</v>
      </c>
      <c r="F355" s="2094">
        <f t="shared" si="155"/>
        <v>2.8968061926226696E-4</v>
      </c>
      <c r="G355" s="2095">
        <f t="shared" si="156"/>
        <v>45426300</v>
      </c>
      <c r="H355" s="702">
        <v>0</v>
      </c>
      <c r="I355" s="2178">
        <f>ROUND(G355*H355*F355,0)</f>
        <v>0</v>
      </c>
    </row>
    <row r="356" spans="2:10">
      <c r="B356" s="2233">
        <v>44835</v>
      </c>
      <c r="C356" s="2233">
        <v>44865</v>
      </c>
      <c r="D356" s="705">
        <v>0</v>
      </c>
      <c r="E356" s="2180">
        <v>0.11600000000000001</v>
      </c>
      <c r="F356" s="2094">
        <f t="shared" si="155"/>
        <v>3.0490998660059887E-4</v>
      </c>
      <c r="G356" s="2095">
        <f t="shared" si="156"/>
        <v>45426300</v>
      </c>
      <c r="H356" s="702">
        <v>0</v>
      </c>
      <c r="I356" s="2178">
        <f>ROUND(G356*H356*F356,0)</f>
        <v>0</v>
      </c>
    </row>
    <row r="357" spans="2:10">
      <c r="B357" s="2233">
        <v>44866</v>
      </c>
      <c r="C357" s="2233">
        <v>44888</v>
      </c>
      <c r="D357" s="705">
        <v>0</v>
      </c>
      <c r="E357" s="2180">
        <v>0.1263</v>
      </c>
      <c r="F357" s="2094">
        <f t="shared" si="155"/>
        <v>3.3043770493557112E-4</v>
      </c>
      <c r="G357" s="2095">
        <f t="shared" si="156"/>
        <v>45426300</v>
      </c>
      <c r="H357" s="702">
        <v>0</v>
      </c>
      <c r="I357" s="2178">
        <f>ROUND(G357*H357*F357,0)</f>
        <v>0</v>
      </c>
    </row>
    <row r="358" spans="2:10">
      <c r="B358" s="2233">
        <v>44888</v>
      </c>
      <c r="C358" s="2233">
        <v>44895</v>
      </c>
      <c r="D358" s="705">
        <v>0</v>
      </c>
      <c r="E358" s="2180">
        <v>0.1263</v>
      </c>
      <c r="F358" s="2094">
        <f t="shared" si="155"/>
        <v>3.3043770493557112E-4</v>
      </c>
      <c r="G358" s="2095">
        <f t="shared" si="156"/>
        <v>45426300</v>
      </c>
      <c r="H358" s="702">
        <f>(C358-B358)+1</f>
        <v>8</v>
      </c>
      <c r="I358" s="2149">
        <f t="shared" ref="I358:I363" si="160">ROUND(G358*H358*F358,2)</f>
        <v>120084.5</v>
      </c>
    </row>
    <row r="359" spans="2:10">
      <c r="B359" s="2233">
        <v>44896</v>
      </c>
      <c r="C359" s="2233">
        <v>44926</v>
      </c>
      <c r="D359" s="705">
        <v>0</v>
      </c>
      <c r="E359" s="2180">
        <v>0.13420000000000001</v>
      </c>
      <c r="F359" s="2094">
        <f t="shared" si="155"/>
        <v>3.4985995505043554E-4</v>
      </c>
      <c r="G359" s="2095">
        <f t="shared" si="156"/>
        <v>45426300</v>
      </c>
      <c r="H359" s="702">
        <f t="shared" ref="H359" si="161">(C359-B359)+1</f>
        <v>31</v>
      </c>
      <c r="I359" s="2149">
        <f t="shared" si="160"/>
        <v>492678.14</v>
      </c>
    </row>
    <row r="360" spans="2:10">
      <c r="B360" s="2233">
        <v>44927</v>
      </c>
      <c r="C360" s="2233">
        <v>44957</v>
      </c>
      <c r="D360" s="705">
        <v>0</v>
      </c>
      <c r="E360" s="2180">
        <v>0.1391</v>
      </c>
      <c r="F360" s="2094">
        <f t="shared" si="155"/>
        <v>3.6183899495223493E-4</v>
      </c>
      <c r="G360" s="2095">
        <f t="shared" si="156"/>
        <v>45426300</v>
      </c>
      <c r="H360" s="702">
        <f>(C360-B360)+1</f>
        <v>31</v>
      </c>
      <c r="I360" s="2149">
        <f t="shared" si="160"/>
        <v>509547.21</v>
      </c>
      <c r="J360" s="2335"/>
    </row>
    <row r="361" spans="2:10">
      <c r="B361" s="2233">
        <v>44958</v>
      </c>
      <c r="C361" s="2233">
        <v>44985</v>
      </c>
      <c r="D361" s="705">
        <v>0</v>
      </c>
      <c r="E361" s="2180">
        <v>0.1439</v>
      </c>
      <c r="F361" s="2094">
        <f t="shared" ref="F361:F362" si="162">+((1+E361)^(1/360)-1)</f>
        <v>3.7352384419087059E-4</v>
      </c>
      <c r="G361" s="2095">
        <f t="shared" si="156"/>
        <v>45426300</v>
      </c>
      <c r="H361" s="702">
        <f t="shared" ref="H361" si="163">(C361-B361)+1</f>
        <v>28</v>
      </c>
      <c r="I361" s="2149">
        <f t="shared" si="160"/>
        <v>475098.57</v>
      </c>
      <c r="J361" s="2335"/>
    </row>
    <row r="362" spans="2:10">
      <c r="B362" s="2233">
        <v>44986</v>
      </c>
      <c r="C362" s="2233">
        <v>45016</v>
      </c>
      <c r="D362" s="705">
        <v>0</v>
      </c>
      <c r="E362" s="2180">
        <v>0.1331</v>
      </c>
      <c r="F362" s="2094">
        <f t="shared" si="162"/>
        <v>3.4716369016041249E-4</v>
      </c>
      <c r="G362" s="2095">
        <f t="shared" si="156"/>
        <v>45426300</v>
      </c>
      <c r="H362" s="702">
        <f>(C362-B362)+1</f>
        <v>31</v>
      </c>
      <c r="I362" s="2149">
        <f t="shared" si="160"/>
        <v>488881.22</v>
      </c>
      <c r="J362" s="2335"/>
    </row>
    <row r="363" spans="2:10">
      <c r="B363" s="2233">
        <v>45017</v>
      </c>
      <c r="C363" s="2233">
        <v>45046</v>
      </c>
      <c r="D363" s="705">
        <v>0</v>
      </c>
      <c r="E363" s="2180"/>
      <c r="F363" s="2094">
        <f t="shared" ref="F363" si="164">+((1+E363)^(1/360)-1)</f>
        <v>0</v>
      </c>
      <c r="G363" s="2095">
        <f t="shared" si="156"/>
        <v>45426300</v>
      </c>
      <c r="H363" s="702">
        <f t="shared" ref="H363" si="165">(C363-B363)+1</f>
        <v>30</v>
      </c>
      <c r="I363" s="2149">
        <f t="shared" si="160"/>
        <v>0</v>
      </c>
      <c r="J363" s="2335"/>
    </row>
    <row r="364" spans="2:10">
      <c r="G364" s="2663" t="s">
        <v>951</v>
      </c>
      <c r="H364" s="2663"/>
      <c r="I364" s="2330">
        <f>SUM(I345:I363)</f>
        <v>2530302.9300000002</v>
      </c>
    </row>
    <row r="365" spans="2:10">
      <c r="B365" s="2348" t="s">
        <v>1785</v>
      </c>
      <c r="C365" s="2348" t="s">
        <v>1786</v>
      </c>
    </row>
    <row r="366" spans="2:10">
      <c r="B366" s="2349" t="s">
        <v>1041</v>
      </c>
      <c r="C366" s="2347">
        <v>151213811</v>
      </c>
    </row>
    <row r="367" spans="2:10">
      <c r="G367" s="2171"/>
      <c r="H367" s="2171"/>
      <c r="I367" s="2330"/>
    </row>
    <row r="368" spans="2:10" ht="26.25" customHeight="1">
      <c r="B368" s="700" t="s">
        <v>206</v>
      </c>
      <c r="C368" s="700" t="s">
        <v>10</v>
      </c>
      <c r="D368" s="2837" t="s">
        <v>1040</v>
      </c>
      <c r="E368" s="2838"/>
      <c r="F368" s="699" t="s">
        <v>43</v>
      </c>
      <c r="G368" s="700" t="s">
        <v>129</v>
      </c>
      <c r="H368" s="2343" t="s">
        <v>706</v>
      </c>
      <c r="I368" s="700" t="s">
        <v>48</v>
      </c>
    </row>
    <row r="369" spans="2:10">
      <c r="B369" s="2233">
        <v>44547</v>
      </c>
      <c r="C369" s="2233">
        <v>44561</v>
      </c>
      <c r="D369" s="705">
        <v>0</v>
      </c>
      <c r="E369" s="2180">
        <v>3.0800000000000001E-2</v>
      </c>
      <c r="F369" s="2094">
        <f t="shared" ref="F369:F383" si="166">+((1+E369)^(1/360)-1)</f>
        <v>8.4267994225895038E-5</v>
      </c>
      <c r="G369" s="2095">
        <f>+$C$366</f>
        <v>151213811</v>
      </c>
      <c r="H369" s="702">
        <f>(C369-B369)+1</f>
        <v>15</v>
      </c>
      <c r="I369" s="2149">
        <f>ROUND(G369*H369*F369,2)</f>
        <v>191137.27</v>
      </c>
    </row>
    <row r="370" spans="2:10">
      <c r="B370" s="2233">
        <v>44562</v>
      </c>
      <c r="C370" s="2233">
        <v>44592</v>
      </c>
      <c r="D370" s="705">
        <v>0</v>
      </c>
      <c r="E370" s="2180">
        <v>3.4700000000000002E-2</v>
      </c>
      <c r="F370" s="2094">
        <f t="shared" si="166"/>
        <v>9.4758738294453693E-5</v>
      </c>
      <c r="G370" s="2095">
        <f t="shared" ref="G370:G387" si="167">+$C$366</f>
        <v>151213811</v>
      </c>
      <c r="H370" s="702">
        <f t="shared" ref="H370:H372" si="168">(C370-B370)+1</f>
        <v>31</v>
      </c>
      <c r="I370" s="2149">
        <f t="shared" ref="I370:I372" si="169">ROUND(G370*H370*F370,2)</f>
        <v>444193.73</v>
      </c>
    </row>
    <row r="371" spans="2:10">
      <c r="B371" s="2233">
        <v>44593</v>
      </c>
      <c r="C371" s="2233">
        <v>44620</v>
      </c>
      <c r="D371" s="705">
        <v>0</v>
      </c>
      <c r="E371" s="2180">
        <v>4.3099999999999999E-2</v>
      </c>
      <c r="F371" s="2094">
        <f t="shared" si="166"/>
        <v>1.1722089399812674E-4</v>
      </c>
      <c r="G371" s="2095">
        <f t="shared" si="167"/>
        <v>151213811</v>
      </c>
      <c r="H371" s="702">
        <f t="shared" si="168"/>
        <v>28</v>
      </c>
      <c r="I371" s="2149">
        <f t="shared" si="169"/>
        <v>496311.71</v>
      </c>
    </row>
    <row r="372" spans="2:10">
      <c r="B372" s="2233">
        <v>44621</v>
      </c>
      <c r="C372" s="2233">
        <v>44637</v>
      </c>
      <c r="D372" s="705">
        <v>0</v>
      </c>
      <c r="E372" s="2180">
        <v>4.9700000000000001E-2</v>
      </c>
      <c r="F372" s="2094">
        <f t="shared" si="166"/>
        <v>1.3474354670628408E-4</v>
      </c>
      <c r="G372" s="2095">
        <f t="shared" si="167"/>
        <v>151213811</v>
      </c>
      <c r="H372" s="702">
        <f t="shared" si="168"/>
        <v>17</v>
      </c>
      <c r="I372" s="2149">
        <f t="shared" si="169"/>
        <v>346376.45</v>
      </c>
    </row>
    <row r="373" spans="2:10">
      <c r="B373" s="2233">
        <v>44638</v>
      </c>
      <c r="C373" s="2233">
        <v>44651</v>
      </c>
      <c r="D373" s="705">
        <v>0</v>
      </c>
      <c r="E373" s="2180">
        <v>4.9700000000000001E-2</v>
      </c>
      <c r="F373" s="2094">
        <f t="shared" si="166"/>
        <v>1.3474354670628408E-4</v>
      </c>
      <c r="G373" s="2095">
        <f t="shared" si="167"/>
        <v>151213811</v>
      </c>
      <c r="H373" s="702">
        <v>0</v>
      </c>
      <c r="I373" s="2178"/>
    </row>
    <row r="374" spans="2:10">
      <c r="B374" s="2233">
        <v>44652</v>
      </c>
      <c r="C374" s="2233">
        <v>44681</v>
      </c>
      <c r="D374" s="705">
        <v>0</v>
      </c>
      <c r="E374" s="2180">
        <v>5.9700000000000003E-2</v>
      </c>
      <c r="F374" s="2094">
        <f t="shared" si="166"/>
        <v>1.6108477608911542E-4</v>
      </c>
      <c r="G374" s="2095">
        <f t="shared" si="167"/>
        <v>151213811</v>
      </c>
      <c r="H374" s="702">
        <v>0</v>
      </c>
      <c r="I374" s="2178">
        <f t="shared" ref="I374:I378" si="170">ROUND(G374*H374*F374,0)</f>
        <v>0</v>
      </c>
    </row>
    <row r="375" spans="2:10">
      <c r="B375" s="2233">
        <v>44682</v>
      </c>
      <c r="C375" s="2233">
        <v>44712</v>
      </c>
      <c r="D375" s="705">
        <v>0</v>
      </c>
      <c r="E375" s="2180">
        <v>7.0400000000000004E-2</v>
      </c>
      <c r="F375" s="2094">
        <f t="shared" si="166"/>
        <v>1.8899677539563342E-4</v>
      </c>
      <c r="G375" s="2095">
        <f t="shared" si="167"/>
        <v>151213811</v>
      </c>
      <c r="H375" s="702">
        <v>0</v>
      </c>
      <c r="I375" s="2178">
        <f t="shared" si="170"/>
        <v>0</v>
      </c>
    </row>
    <row r="376" spans="2:10">
      <c r="B376" s="2233">
        <v>44713</v>
      </c>
      <c r="C376" s="2233">
        <v>44742</v>
      </c>
      <c r="D376" s="705">
        <v>0</v>
      </c>
      <c r="E376" s="2180">
        <v>7.7200000000000005E-2</v>
      </c>
      <c r="F376" s="2094">
        <f t="shared" si="166"/>
        <v>2.0659100908204664E-4</v>
      </c>
      <c r="G376" s="2095">
        <f t="shared" si="167"/>
        <v>151213811</v>
      </c>
      <c r="H376" s="702">
        <v>0</v>
      </c>
      <c r="I376" s="2178">
        <f t="shared" si="170"/>
        <v>0</v>
      </c>
    </row>
    <row r="377" spans="2:10">
      <c r="B377" s="2233">
        <v>44743</v>
      </c>
      <c r="C377" s="2233">
        <v>44773</v>
      </c>
      <c r="D377" s="705">
        <v>0</v>
      </c>
      <c r="E377" s="2180">
        <v>9.2999999999999999E-2</v>
      </c>
      <c r="F377" s="2094">
        <f t="shared" si="166"/>
        <v>2.4704775903483522E-4</v>
      </c>
      <c r="G377" s="2095">
        <f t="shared" si="167"/>
        <v>151213811</v>
      </c>
      <c r="H377" s="702">
        <v>0</v>
      </c>
      <c r="I377" s="2178">
        <f t="shared" si="170"/>
        <v>0</v>
      </c>
    </row>
    <row r="378" spans="2:10">
      <c r="B378" s="2233">
        <v>44774</v>
      </c>
      <c r="C378" s="2233">
        <v>44804</v>
      </c>
      <c r="D378" s="705">
        <v>0</v>
      </c>
      <c r="E378" s="2180">
        <v>0.1057</v>
      </c>
      <c r="F378" s="2094">
        <f t="shared" si="166"/>
        <v>2.7914622785418786E-4</v>
      </c>
      <c r="G378" s="2095">
        <f>+$C$366</f>
        <v>151213811</v>
      </c>
      <c r="H378" s="702">
        <v>0</v>
      </c>
      <c r="I378" s="2178">
        <f t="shared" si="170"/>
        <v>0</v>
      </c>
    </row>
    <row r="379" spans="2:10">
      <c r="B379" s="2233">
        <v>44805</v>
      </c>
      <c r="C379" s="2233">
        <v>44834</v>
      </c>
      <c r="D379" s="705">
        <v>0</v>
      </c>
      <c r="E379" s="2180">
        <v>0.1099</v>
      </c>
      <c r="F379" s="2094">
        <f t="shared" si="166"/>
        <v>2.8968061926226696E-4</v>
      </c>
      <c r="G379" s="2095">
        <f t="shared" si="167"/>
        <v>151213811</v>
      </c>
      <c r="H379" s="702">
        <v>0</v>
      </c>
      <c r="I379" s="2178">
        <f>ROUND(G379*H379*F379,0)</f>
        <v>0</v>
      </c>
    </row>
    <row r="380" spans="2:10">
      <c r="B380" s="2233">
        <v>44835</v>
      </c>
      <c r="C380" s="2233">
        <v>44865</v>
      </c>
      <c r="D380" s="705">
        <v>0</v>
      </c>
      <c r="E380" s="2180">
        <v>0.11600000000000001</v>
      </c>
      <c r="F380" s="2094">
        <f t="shared" si="166"/>
        <v>3.0490998660059887E-4</v>
      </c>
      <c r="G380" s="2095">
        <f t="shared" si="167"/>
        <v>151213811</v>
      </c>
      <c r="H380" s="702">
        <v>0</v>
      </c>
      <c r="I380" s="2178">
        <f>ROUND(G380*H380*F380,0)</f>
        <v>0</v>
      </c>
    </row>
    <row r="381" spans="2:10">
      <c r="B381" s="2233">
        <v>44866</v>
      </c>
      <c r="C381" s="2233">
        <v>44888</v>
      </c>
      <c r="D381" s="705">
        <v>0</v>
      </c>
      <c r="E381" s="2180">
        <v>0.1263</v>
      </c>
      <c r="F381" s="2094">
        <f t="shared" si="166"/>
        <v>3.3043770493557112E-4</v>
      </c>
      <c r="G381" s="2095">
        <f t="shared" si="167"/>
        <v>151213811</v>
      </c>
      <c r="H381" s="702">
        <v>0</v>
      </c>
      <c r="I381" s="2178">
        <f>ROUND(G381*H381*F381,0)</f>
        <v>0</v>
      </c>
    </row>
    <row r="382" spans="2:10">
      <c r="B382" s="2233">
        <v>44888</v>
      </c>
      <c r="C382" s="2233">
        <v>44895</v>
      </c>
      <c r="D382" s="705">
        <v>0</v>
      </c>
      <c r="E382" s="2180">
        <v>0.1263</v>
      </c>
      <c r="F382" s="2094">
        <f t="shared" si="166"/>
        <v>3.3043770493557112E-4</v>
      </c>
      <c r="G382" s="2095">
        <f t="shared" si="167"/>
        <v>151213811</v>
      </c>
      <c r="H382" s="702">
        <f>(C382-B382)+1</f>
        <v>8</v>
      </c>
      <c r="I382" s="2149">
        <f t="shared" ref="I382:I387" si="171">ROUND(G382*H382*F382,2)</f>
        <v>399733.96</v>
      </c>
    </row>
    <row r="383" spans="2:10">
      <c r="B383" s="2233">
        <v>44896</v>
      </c>
      <c r="C383" s="2233">
        <v>44926</v>
      </c>
      <c r="D383" s="705">
        <v>0</v>
      </c>
      <c r="E383" s="2180">
        <v>0.13420000000000001</v>
      </c>
      <c r="F383" s="2094">
        <f t="shared" si="166"/>
        <v>3.4985995505043554E-4</v>
      </c>
      <c r="G383" s="2095">
        <f t="shared" si="167"/>
        <v>151213811</v>
      </c>
      <c r="H383" s="702">
        <f t="shared" ref="H383" si="172">(C383-B383)+1</f>
        <v>31</v>
      </c>
      <c r="I383" s="2149">
        <f t="shared" si="171"/>
        <v>1640013.37</v>
      </c>
    </row>
    <row r="384" spans="2:10">
      <c r="B384" s="2233">
        <v>44927</v>
      </c>
      <c r="C384" s="2233">
        <v>44957</v>
      </c>
      <c r="D384" s="705">
        <v>0</v>
      </c>
      <c r="E384" s="2180">
        <v>0.1391</v>
      </c>
      <c r="F384" s="2094">
        <f t="shared" ref="F384:F386" si="173">+((1+E384)^(1/360)-1)</f>
        <v>3.6183899495223493E-4</v>
      </c>
      <c r="G384" s="2095">
        <f t="shared" si="167"/>
        <v>151213811</v>
      </c>
      <c r="H384" s="702">
        <f>(C384-B384)+1</f>
        <v>31</v>
      </c>
      <c r="I384" s="2149">
        <f t="shared" si="171"/>
        <v>1696166.66</v>
      </c>
      <c r="J384" s="2335"/>
    </row>
    <row r="385" spans="1:10">
      <c r="B385" s="2233">
        <v>44958</v>
      </c>
      <c r="C385" s="2233">
        <v>44985</v>
      </c>
      <c r="D385" s="705">
        <v>0</v>
      </c>
      <c r="E385" s="2180">
        <v>0.1439</v>
      </c>
      <c r="F385" s="2094">
        <f t="shared" si="173"/>
        <v>3.7352384419087059E-4</v>
      </c>
      <c r="G385" s="2095">
        <f t="shared" si="167"/>
        <v>151213811</v>
      </c>
      <c r="H385" s="702">
        <f t="shared" ref="H385:H386" si="174">(C385-B385)+1</f>
        <v>28</v>
      </c>
      <c r="I385" s="2149">
        <f t="shared" si="171"/>
        <v>1581494.99</v>
      </c>
      <c r="J385" s="2335"/>
    </row>
    <row r="386" spans="1:10">
      <c r="B386" s="2233">
        <v>44986</v>
      </c>
      <c r="C386" s="2233">
        <v>45016</v>
      </c>
      <c r="D386" s="705">
        <v>0</v>
      </c>
      <c r="E386" s="2180">
        <v>0.1331</v>
      </c>
      <c r="F386" s="2094">
        <f t="shared" si="173"/>
        <v>3.4716369016041249E-4</v>
      </c>
      <c r="G386" s="2095">
        <f t="shared" si="167"/>
        <v>151213811</v>
      </c>
      <c r="H386" s="702">
        <f t="shared" si="174"/>
        <v>31</v>
      </c>
      <c r="I386" s="2149">
        <f t="shared" si="171"/>
        <v>1627374.28</v>
      </c>
      <c r="J386" s="2335"/>
    </row>
    <row r="387" spans="1:10">
      <c r="B387" s="2233">
        <v>45017</v>
      </c>
      <c r="C387" s="2233">
        <v>45046</v>
      </c>
      <c r="D387" s="705">
        <v>0</v>
      </c>
      <c r="E387" s="2180"/>
      <c r="F387" s="2094">
        <f t="shared" ref="F387" si="175">+((1+E387)^(1/360)-1)</f>
        <v>0</v>
      </c>
      <c r="G387" s="2095">
        <f t="shared" si="167"/>
        <v>151213811</v>
      </c>
      <c r="H387" s="702">
        <f>(C387-B387)+1</f>
        <v>30</v>
      </c>
      <c r="I387" s="2149">
        <f t="shared" si="171"/>
        <v>0</v>
      </c>
      <c r="J387" s="2335"/>
    </row>
    <row r="388" spans="1:10">
      <c r="B388" s="698" t="s">
        <v>1787</v>
      </c>
      <c r="G388" s="2663" t="s">
        <v>951</v>
      </c>
      <c r="H388" s="2663"/>
      <c r="I388" s="2330">
        <f>SUM(I369:I387)</f>
        <v>8422802.4199999999</v>
      </c>
      <c r="J388" s="715"/>
    </row>
    <row r="389" spans="1:10">
      <c r="B389" s="698" t="s">
        <v>1785</v>
      </c>
    </row>
    <row r="390" spans="1:10">
      <c r="B390" s="697" t="s">
        <v>1041</v>
      </c>
      <c r="C390" s="2345">
        <v>1100000</v>
      </c>
    </row>
    <row r="391" spans="1:10">
      <c r="D391" s="2042" t="s">
        <v>1788</v>
      </c>
      <c r="E391" s="2042">
        <v>126.03</v>
      </c>
    </row>
    <row r="392" spans="1:10">
      <c r="B392" s="698" t="s">
        <v>959</v>
      </c>
      <c r="C392" s="2345">
        <f>C390*E393</f>
        <v>1743372.7364185113</v>
      </c>
      <c r="D392" s="686" t="s">
        <v>1789</v>
      </c>
      <c r="E392" s="686">
        <v>79.52</v>
      </c>
    </row>
    <row r="393" spans="1:10">
      <c r="C393" s="2345"/>
      <c r="D393" s="686" t="s">
        <v>76</v>
      </c>
      <c r="E393" s="686">
        <f>+E391/E392</f>
        <v>1.5848843058350102</v>
      </c>
    </row>
    <row r="395" spans="1:10">
      <c r="B395" s="1628" t="s">
        <v>1526</v>
      </c>
      <c r="C395" s="2"/>
    </row>
    <row r="396" spans="1:10">
      <c r="B396" s="1628" t="s">
        <v>56</v>
      </c>
      <c r="C396" s="1628"/>
    </row>
    <row r="397" spans="1:10">
      <c r="B397" s="2346" t="s">
        <v>1790</v>
      </c>
    </row>
    <row r="398" spans="1:10" ht="25.5">
      <c r="B398" s="2029" t="s">
        <v>1791</v>
      </c>
      <c r="C398" s="2093" t="s">
        <v>959</v>
      </c>
      <c r="D398" s="2093" t="s">
        <v>1792</v>
      </c>
      <c r="E398" s="2093" t="s">
        <v>120</v>
      </c>
    </row>
    <row r="399" spans="1:10">
      <c r="A399" s="702">
        <v>1</v>
      </c>
      <c r="B399" s="702" t="str">
        <f>+B11</f>
        <v>Mirna Drago Lara</v>
      </c>
      <c r="C399" s="2104">
        <f>+D11</f>
        <v>90852600</v>
      </c>
      <c r="D399" s="2104">
        <f>+I33</f>
        <v>5060605.87</v>
      </c>
      <c r="E399" s="2104">
        <f>+C399+D399</f>
        <v>95913205.870000005</v>
      </c>
    </row>
    <row r="400" spans="1:10">
      <c r="A400" s="702"/>
      <c r="B400" s="702" t="s">
        <v>1769</v>
      </c>
      <c r="C400" s="2104">
        <f>+C366</f>
        <v>151213811</v>
      </c>
      <c r="D400" s="2104">
        <f>+I388</f>
        <v>8422802.4199999999</v>
      </c>
      <c r="E400" s="2104">
        <f>+C400+D400</f>
        <v>159636613.41999999</v>
      </c>
    </row>
    <row r="401" spans="1:6">
      <c r="A401" s="702">
        <v>2</v>
      </c>
      <c r="B401" s="702" t="str">
        <f>+B35</f>
        <v>Elvis Cabarcas Valiente</v>
      </c>
      <c r="C401" s="2104">
        <f>+D35</f>
        <v>90852600</v>
      </c>
      <c r="D401" s="2104">
        <f>+I57</f>
        <v>5060605.87</v>
      </c>
      <c r="E401" s="2104">
        <f t="shared" ref="E401:E415" si="176">+C401+D401</f>
        <v>95913205.870000005</v>
      </c>
    </row>
    <row r="402" spans="1:6">
      <c r="A402" s="702">
        <v>3</v>
      </c>
      <c r="B402" s="702" t="str">
        <f>+B59</f>
        <v xml:space="preserve">Hady Luz Cabarcas Valiente </v>
      </c>
      <c r="C402" s="2104">
        <f>+D59</f>
        <v>90852600</v>
      </c>
      <c r="D402" s="2104">
        <f>+I81</f>
        <v>5060605.87</v>
      </c>
      <c r="E402" s="2104">
        <f t="shared" si="176"/>
        <v>95913205.870000005</v>
      </c>
    </row>
    <row r="403" spans="1:6">
      <c r="A403" s="702">
        <v>4</v>
      </c>
      <c r="B403" s="702" t="str">
        <f>+B82</f>
        <v>Sandra Patricia Torres Drago</v>
      </c>
      <c r="C403" s="2104">
        <f>+D82</f>
        <v>90852600</v>
      </c>
      <c r="D403" s="2104">
        <f>+I104</f>
        <v>5060605.87</v>
      </c>
      <c r="E403" s="2104">
        <f t="shared" si="176"/>
        <v>95913205.870000005</v>
      </c>
    </row>
    <row r="404" spans="1:6">
      <c r="A404" s="702">
        <v>5</v>
      </c>
      <c r="B404" s="702" t="str">
        <f>+B105</f>
        <v>Jhon Torres Drago</v>
      </c>
      <c r="C404" s="2104">
        <f>+D105</f>
        <v>90852600</v>
      </c>
      <c r="D404" s="2104">
        <f>+I127</f>
        <v>5060605.01</v>
      </c>
      <c r="E404" s="2104">
        <f t="shared" si="176"/>
        <v>95913205.010000005</v>
      </c>
    </row>
    <row r="405" spans="1:6">
      <c r="A405" s="702">
        <v>6</v>
      </c>
      <c r="B405" s="702" t="str">
        <f>+B129</f>
        <v>Yuranis Liceth Torres Drago</v>
      </c>
      <c r="C405" s="2104">
        <f>+D129</f>
        <v>90852600</v>
      </c>
      <c r="D405" s="2104">
        <f>+I151</f>
        <v>5060605.87</v>
      </c>
      <c r="E405" s="2104">
        <f t="shared" si="176"/>
        <v>95913205.870000005</v>
      </c>
    </row>
    <row r="406" spans="1:6">
      <c r="A406" s="702">
        <v>7</v>
      </c>
      <c r="B406" s="702" t="str">
        <f>+B153</f>
        <v>Karol Yulieth Lourduy Cabarcas</v>
      </c>
      <c r="C406" s="2104">
        <f>+D153</f>
        <v>45426300</v>
      </c>
      <c r="D406" s="2104">
        <f>+I175</f>
        <v>2530302.9300000002</v>
      </c>
      <c r="E406" s="2104">
        <f t="shared" si="176"/>
        <v>47956602.93</v>
      </c>
    </row>
    <row r="407" spans="1:6">
      <c r="A407" s="702">
        <v>8</v>
      </c>
      <c r="B407" s="702" t="str">
        <f>+B177</f>
        <v>Pedro Luis Cabaracas</v>
      </c>
      <c r="C407" s="2104">
        <f>+D177</f>
        <v>45426300</v>
      </c>
      <c r="D407" s="2104">
        <f>+I199</f>
        <v>2530302.9300000002</v>
      </c>
      <c r="E407" s="2104">
        <f t="shared" si="176"/>
        <v>47956602.93</v>
      </c>
    </row>
    <row r="408" spans="1:6">
      <c r="A408" s="702">
        <v>9</v>
      </c>
      <c r="B408" s="702" t="str">
        <f>+B201</f>
        <v>Nadis Maria Noel Cabarcas</v>
      </c>
      <c r="C408" s="2104">
        <f>+D201</f>
        <v>45426300</v>
      </c>
      <c r="D408" s="2104">
        <f>+I223</f>
        <v>2530302.9300000002</v>
      </c>
      <c r="E408" s="2104">
        <f t="shared" si="176"/>
        <v>47956602.93</v>
      </c>
    </row>
    <row r="409" spans="1:6">
      <c r="A409" s="702">
        <v>10</v>
      </c>
      <c r="B409" s="702" t="str">
        <f>+B225</f>
        <v>Brayder Alexander Noel Cabarcas</v>
      </c>
      <c r="C409" s="2104">
        <f>+D225</f>
        <v>45426300</v>
      </c>
      <c r="D409" s="2104">
        <f>+I247</f>
        <v>2530302.9300000002</v>
      </c>
      <c r="E409" s="2104">
        <f t="shared" si="176"/>
        <v>47956602.93</v>
      </c>
    </row>
    <row r="410" spans="1:6">
      <c r="A410" s="702">
        <v>11</v>
      </c>
      <c r="B410" s="702" t="str">
        <f>+B249</f>
        <v>Sebastian Jimenez Torres</v>
      </c>
      <c r="C410" s="2104">
        <f>+D249</f>
        <v>45426300</v>
      </c>
      <c r="D410" s="2104">
        <f>+I271</f>
        <v>2530302.9300000002</v>
      </c>
      <c r="E410" s="2104">
        <f t="shared" si="176"/>
        <v>47956602.93</v>
      </c>
    </row>
    <row r="411" spans="1:6">
      <c r="A411" s="702">
        <v>12</v>
      </c>
      <c r="B411" s="702" t="str">
        <f>+B272</f>
        <v>Laura Jimenez Torres</v>
      </c>
      <c r="C411" s="2104">
        <f>+D272</f>
        <v>45426300</v>
      </c>
      <c r="D411" s="2104">
        <f>+I294</f>
        <v>2530302.9300000002</v>
      </c>
      <c r="E411" s="2104">
        <f t="shared" si="176"/>
        <v>47956602.93</v>
      </c>
    </row>
    <row r="412" spans="1:6">
      <c r="A412" s="702">
        <v>13</v>
      </c>
      <c r="B412" s="702" t="str">
        <f>+B295</f>
        <v>Maria Jose Torre Segovia</v>
      </c>
      <c r="C412" s="2104">
        <f>+D295</f>
        <v>45426300</v>
      </c>
      <c r="D412" s="2104">
        <f>+I317</f>
        <v>2530302.9300000002</v>
      </c>
      <c r="E412" s="2104">
        <f t="shared" si="176"/>
        <v>47956602.93</v>
      </c>
    </row>
    <row r="413" spans="1:6">
      <c r="A413" s="702">
        <v>14</v>
      </c>
      <c r="B413" s="702" t="str">
        <f>+B318</f>
        <v>Andres Felipe Fuentes Torres</v>
      </c>
      <c r="C413" s="2104">
        <f>+D318</f>
        <v>45426300</v>
      </c>
      <c r="D413" s="2104">
        <f>+I340</f>
        <v>2530302.9300000002</v>
      </c>
      <c r="E413" s="2104">
        <f t="shared" si="176"/>
        <v>47956602.93</v>
      </c>
      <c r="F413" s="2345"/>
    </row>
    <row r="414" spans="1:6">
      <c r="A414" s="702">
        <v>15</v>
      </c>
      <c r="B414" s="702" t="str">
        <f>+B342</f>
        <v>Santiago Andres Fuentes Torres</v>
      </c>
      <c r="C414" s="2104">
        <f>+D342</f>
        <v>45426300</v>
      </c>
      <c r="D414" s="2104">
        <f>+I364</f>
        <v>2530302.9300000002</v>
      </c>
      <c r="E414" s="2104">
        <f t="shared" si="176"/>
        <v>47956602.93</v>
      </c>
    </row>
    <row r="415" spans="1:6">
      <c r="A415" s="702">
        <v>16</v>
      </c>
      <c r="B415" s="2342" t="s">
        <v>1787</v>
      </c>
      <c r="C415" s="2413">
        <f>+C390</f>
        <v>1100000</v>
      </c>
      <c r="D415" s="2413">
        <f>+C392-C390</f>
        <v>643372.73641851125</v>
      </c>
      <c r="E415" s="2413">
        <f t="shared" si="176"/>
        <v>1743372.7364185113</v>
      </c>
    </row>
    <row r="416" spans="1:6" ht="16.5">
      <c r="A416" s="702"/>
      <c r="B416" s="709" t="s">
        <v>691</v>
      </c>
      <c r="C416" s="2037">
        <f>SUM(C399:C415)</f>
        <v>1106266111</v>
      </c>
      <c r="D416" s="2037">
        <f>SUM(D399:D415)</f>
        <v>62202535.886418507</v>
      </c>
      <c r="E416" s="2037">
        <f>SUM(E399:E415)</f>
        <v>1168468646.8864181</v>
      </c>
      <c r="F416" s="2107"/>
    </row>
  </sheetData>
  <mergeCells count="47">
    <mergeCell ref="G388:H388"/>
    <mergeCell ref="D368:E368"/>
    <mergeCell ref="B12:I12"/>
    <mergeCell ref="D13:E13"/>
    <mergeCell ref="G33:H33"/>
    <mergeCell ref="B36:I36"/>
    <mergeCell ref="D37:E37"/>
    <mergeCell ref="G57:H57"/>
    <mergeCell ref="B106:I106"/>
    <mergeCell ref="D107:E107"/>
    <mergeCell ref="G127:H127"/>
    <mergeCell ref="B130:I130"/>
    <mergeCell ref="D131:E131"/>
    <mergeCell ref="G151:H151"/>
    <mergeCell ref="B60:I60"/>
    <mergeCell ref="D61:E61"/>
    <mergeCell ref="G81:H81"/>
    <mergeCell ref="B83:I83"/>
    <mergeCell ref="D84:E84"/>
    <mergeCell ref="G104:H104"/>
    <mergeCell ref="B154:I154"/>
    <mergeCell ref="D155:E155"/>
    <mergeCell ref="G175:H175"/>
    <mergeCell ref="B178:I178"/>
    <mergeCell ref="D179:E179"/>
    <mergeCell ref="G199:H199"/>
    <mergeCell ref="B202:I202"/>
    <mergeCell ref="D203:E203"/>
    <mergeCell ref="G223:H223"/>
    <mergeCell ref="B226:I226"/>
    <mergeCell ref="D227:E227"/>
    <mergeCell ref="G247:H247"/>
    <mergeCell ref="B250:I250"/>
    <mergeCell ref="D251:E251"/>
    <mergeCell ref="G271:H271"/>
    <mergeCell ref="B273:I273"/>
    <mergeCell ref="D274:E274"/>
    <mergeCell ref="G294:H294"/>
    <mergeCell ref="B296:I296"/>
    <mergeCell ref="D297:E297"/>
    <mergeCell ref="D344:E344"/>
    <mergeCell ref="G364:H364"/>
    <mergeCell ref="G317:H317"/>
    <mergeCell ref="B319:I319"/>
    <mergeCell ref="D320:E320"/>
    <mergeCell ref="G340:H340"/>
    <mergeCell ref="B343:I343"/>
  </mergeCells>
  <pageMargins left="0.7" right="0.7" top="0.75" bottom="0.75" header="0.3" footer="0.3"/>
  <pageSetup paperSize="9" scale="77" orientation="portrait" r:id="rId1"/>
  <ignoredErrors>
    <ignoredError sqref="G42 I123:I125" formula="1"/>
  </ignoredError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8FC72-6BDA-424B-956B-A4EFA63D8190}">
  <sheetPr codeName="Hoja111"/>
  <dimension ref="A2:M49"/>
  <sheetViews>
    <sheetView zoomScaleNormal="100" workbookViewId="0">
      <selection activeCell="A18" sqref="A18:C18"/>
    </sheetView>
  </sheetViews>
  <sheetFormatPr defaultColWidth="9.140625" defaultRowHeight="12.75"/>
  <cols>
    <col min="1" max="1" width="16.85546875" style="697" customWidth="1"/>
    <col min="2" max="2" width="20.7109375" style="697" customWidth="1"/>
    <col min="3" max="3" width="11.28515625" style="697" customWidth="1"/>
    <col min="4" max="4" width="15.140625" style="697" bestFit="1" customWidth="1"/>
    <col min="5" max="5" width="11.42578125" style="697" customWidth="1"/>
    <col min="6" max="6" width="13.42578125" style="697" customWidth="1"/>
    <col min="7" max="7" width="11" style="697" customWidth="1"/>
    <col min="8" max="8" width="15.7109375" style="697" customWidth="1"/>
    <col min="9" max="9" width="11.42578125" style="697" customWidth="1"/>
    <col min="10" max="10" width="15.85546875" style="697" bestFit="1" customWidth="1"/>
    <col min="11" max="11" width="13.85546875" style="697" bestFit="1" customWidth="1"/>
    <col min="12" max="256" width="11.42578125" style="697" customWidth="1"/>
    <col min="257" max="16384" width="9.140625" style="697"/>
  </cols>
  <sheetData>
    <row r="2" spans="1:10" ht="25.5">
      <c r="A2" s="2210" t="s">
        <v>1488</v>
      </c>
      <c r="B2" s="2196" t="s">
        <v>1793</v>
      </c>
    </row>
    <row r="3" spans="1:10" ht="25.5">
      <c r="A3" s="2210" t="s">
        <v>1491</v>
      </c>
      <c r="B3" s="2196" t="s">
        <v>1794</v>
      </c>
    </row>
    <row r="4" spans="1:10">
      <c r="A4" s="2210" t="s">
        <v>124</v>
      </c>
      <c r="B4" s="2196"/>
    </row>
    <row r="5" spans="1:10" ht="16.5">
      <c r="A5" s="1632" t="s">
        <v>1494</v>
      </c>
      <c r="B5" s="2206">
        <v>49211621</v>
      </c>
      <c r="F5" s="1633"/>
    </row>
    <row r="6" spans="1:10">
      <c r="A6" s="1632" t="s">
        <v>124</v>
      </c>
      <c r="B6" s="2194" t="s">
        <v>1795</v>
      </c>
    </row>
    <row r="7" spans="1:10" ht="15.75" customHeight="1">
      <c r="A7" s="1632" t="s">
        <v>1493</v>
      </c>
      <c r="B7" s="1767" t="s">
        <v>128</v>
      </c>
    </row>
    <row r="8" spans="1:10" ht="15.75" customHeight="1">
      <c r="A8" s="697" t="s">
        <v>4</v>
      </c>
      <c r="B8" s="703">
        <v>44596</v>
      </c>
    </row>
    <row r="9" spans="1:10" ht="13.5">
      <c r="A9" s="2824" t="s">
        <v>670</v>
      </c>
      <c r="B9" s="2824"/>
      <c r="C9" s="690"/>
      <c r="D9" s="687"/>
      <c r="E9" s="686"/>
      <c r="F9" s="686"/>
      <c r="G9" s="686"/>
      <c r="H9" s="686"/>
      <c r="I9" s="686"/>
      <c r="J9" s="686"/>
    </row>
    <row r="10" spans="1:10" ht="13.5">
      <c r="A10" s="688" t="s">
        <v>671</v>
      </c>
      <c r="B10" s="2195">
        <v>49211621</v>
      </c>
      <c r="C10" s="690"/>
      <c r="D10" s="686"/>
      <c r="E10" s="686"/>
      <c r="F10" s="686"/>
      <c r="G10" s="686"/>
      <c r="H10" s="686"/>
      <c r="I10" s="686"/>
      <c r="J10" s="686"/>
    </row>
    <row r="11" spans="1:10" ht="13.5">
      <c r="A11" s="2203" t="s">
        <v>1796</v>
      </c>
      <c r="B11" s="2205">
        <v>81.73</v>
      </c>
      <c r="C11" s="690"/>
      <c r="D11" s="686"/>
      <c r="E11" s="686"/>
      <c r="F11" s="686"/>
      <c r="G11" s="692"/>
      <c r="H11" s="693"/>
      <c r="I11" s="686"/>
      <c r="J11" s="686"/>
    </row>
    <row r="12" spans="1:10" ht="13.5">
      <c r="A12" s="2203" t="s">
        <v>1797</v>
      </c>
      <c r="B12" s="2204">
        <v>103.26</v>
      </c>
      <c r="C12" s="690"/>
      <c r="D12" s="686"/>
      <c r="E12" s="686"/>
      <c r="F12" s="686"/>
      <c r="G12" s="692"/>
      <c r="H12" s="693"/>
      <c r="I12" s="686"/>
      <c r="J12" s="686"/>
    </row>
    <row r="13" spans="1:10" ht="13.5">
      <c r="A13" s="2203" t="s">
        <v>1798</v>
      </c>
      <c r="B13" s="2204" t="s">
        <v>1799</v>
      </c>
      <c r="C13" s="690"/>
      <c r="D13" s="686"/>
      <c r="E13" s="686"/>
      <c r="F13" s="686"/>
      <c r="G13" s="692"/>
      <c r="H13" s="693"/>
      <c r="I13" s="686"/>
      <c r="J13" s="686"/>
    </row>
    <row r="14" spans="1:10" ht="27.75">
      <c r="A14" s="695" t="s">
        <v>145</v>
      </c>
      <c r="B14" s="2201">
        <f>(B12/B11)*B10</f>
        <v>62175357.695583016</v>
      </c>
      <c r="C14" s="690"/>
      <c r="D14" s="686"/>
      <c r="E14" s="686"/>
      <c r="F14" s="686"/>
      <c r="G14" s="696"/>
      <c r="H14" s="693"/>
      <c r="I14" s="686"/>
      <c r="J14" s="686"/>
    </row>
    <row r="15" spans="1:10" ht="13.5">
      <c r="A15" s="691"/>
      <c r="B15" s="2202"/>
      <c r="C15" s="690"/>
      <c r="D15" s="686"/>
      <c r="E15" s="686"/>
      <c r="F15" s="686"/>
      <c r="G15" s="686"/>
      <c r="H15" s="686"/>
      <c r="I15" s="686"/>
      <c r="J15" s="686"/>
    </row>
    <row r="16" spans="1:10">
      <c r="A16" s="698" t="s">
        <v>226</v>
      </c>
      <c r="B16" s="686"/>
      <c r="C16" s="686"/>
      <c r="D16" s="686"/>
      <c r="E16" s="686"/>
      <c r="F16" s="686"/>
      <c r="G16" s="686"/>
      <c r="H16" s="686"/>
      <c r="I16" s="686"/>
      <c r="J16" s="686"/>
    </row>
    <row r="17" spans="1:13">
      <c r="A17" s="698" t="s">
        <v>674</v>
      </c>
      <c r="B17" s="686"/>
      <c r="C17" s="686"/>
      <c r="D17" s="686"/>
      <c r="E17" s="686"/>
      <c r="F17" s="686"/>
      <c r="G17" s="686"/>
      <c r="H17" s="686"/>
      <c r="I17" s="686"/>
      <c r="J17" s="686"/>
    </row>
    <row r="18" spans="1:13">
      <c r="A18" s="2667" t="s">
        <v>11</v>
      </c>
      <c r="B18" s="2668"/>
      <c r="C18" s="2669"/>
      <c r="D18" s="2663" t="s">
        <v>84</v>
      </c>
      <c r="E18" s="2663"/>
      <c r="F18" s="2663"/>
      <c r="G18" s="2663"/>
      <c r="H18" s="2663"/>
      <c r="I18" s="2663"/>
      <c r="J18" s="2663"/>
    </row>
    <row r="19" spans="1:13" ht="51.75" customHeight="1">
      <c r="A19" s="699" t="s">
        <v>675</v>
      </c>
      <c r="B19" s="699" t="s">
        <v>147</v>
      </c>
      <c r="C19" s="699" t="s">
        <v>40</v>
      </c>
      <c r="D19" s="700" t="s">
        <v>227</v>
      </c>
      <c r="E19" s="701" t="s">
        <v>228</v>
      </c>
      <c r="F19" s="699" t="s">
        <v>529</v>
      </c>
      <c r="G19" s="699" t="s">
        <v>230</v>
      </c>
      <c r="H19" s="700" t="s">
        <v>231</v>
      </c>
      <c r="I19" s="699" t="s">
        <v>232</v>
      </c>
      <c r="J19" s="700" t="s">
        <v>233</v>
      </c>
    </row>
    <row r="20" spans="1:13" ht="13.5">
      <c r="A20" s="2199">
        <v>2014</v>
      </c>
      <c r="B20" s="2209">
        <v>41838</v>
      </c>
      <c r="C20" s="703">
        <v>42004</v>
      </c>
      <c r="D20" s="2207">
        <f>+B10</f>
        <v>49211621</v>
      </c>
      <c r="E20" s="705">
        <v>1.9400000000000001E-2</v>
      </c>
      <c r="F20" s="706">
        <f>_xlfn.DAYS(C20,B20)+1</f>
        <v>167</v>
      </c>
      <c r="G20" s="705">
        <v>1.9400000000000001E-2</v>
      </c>
      <c r="H20" s="2208">
        <f>(((D20*E20)/365*F20))+D20</f>
        <v>49648431.437577531</v>
      </c>
      <c r="I20" s="705">
        <f>(12%*F20)/365</f>
        <v>5.4904109589041093E-2</v>
      </c>
      <c r="J20" s="745">
        <f>ROUND(H20*I20,2)</f>
        <v>2725902.92</v>
      </c>
    </row>
    <row r="21" spans="1:13" ht="13.5">
      <c r="A21" s="2199">
        <v>2015</v>
      </c>
      <c r="B21" s="703">
        <v>42005</v>
      </c>
      <c r="C21" s="703">
        <v>42369</v>
      </c>
      <c r="D21" s="2207">
        <f>+H20</f>
        <v>49648431.437577531</v>
      </c>
      <c r="E21" s="705">
        <v>3.6600000000000001E-2</v>
      </c>
      <c r="F21" s="706">
        <f t="shared" ref="F21:F23" si="0">_xlfn.DAYS(C21,B21)+1</f>
        <v>365</v>
      </c>
      <c r="G21" s="705">
        <v>3.6600000000000001E-2</v>
      </c>
      <c r="H21" s="2208">
        <f t="shared" ref="H21:H23" si="1">(((D21*E21)/365*F21))+D21</f>
        <v>51465564.02819287</v>
      </c>
      <c r="I21" s="705">
        <f t="shared" ref="I21:I27" si="2">(12%*F21)/365</f>
        <v>0.12</v>
      </c>
      <c r="J21" s="745">
        <f>ROUND(H21*I21,2)</f>
        <v>6175867.6799999997</v>
      </c>
    </row>
    <row r="22" spans="1:13" ht="13.5">
      <c r="A22" s="2199">
        <v>2016</v>
      </c>
      <c r="B22" s="703">
        <v>42370</v>
      </c>
      <c r="C22" s="703">
        <v>42735</v>
      </c>
      <c r="D22" s="2207">
        <f>+H21</f>
        <v>51465564.02819287</v>
      </c>
      <c r="E22" s="705">
        <v>6.7699999999999996E-2</v>
      </c>
      <c r="F22" s="706">
        <f t="shared" si="0"/>
        <v>366</v>
      </c>
      <c r="G22" s="705">
        <v>6.7699999999999996E-2</v>
      </c>
      <c r="H22" s="2208">
        <f t="shared" si="1"/>
        <v>54959328.517517164</v>
      </c>
      <c r="I22" s="705">
        <f>(12%*F22)/365</f>
        <v>0.12032876712328767</v>
      </c>
      <c r="J22" s="745">
        <f t="shared" ref="J22:J28" si="3">ROUND(H22*I22,2)</f>
        <v>6613188.2400000002</v>
      </c>
    </row>
    <row r="23" spans="1:13" ht="13.5">
      <c r="A23" s="2199">
        <v>2017</v>
      </c>
      <c r="B23" s="703">
        <v>42736</v>
      </c>
      <c r="C23" s="703">
        <v>43100</v>
      </c>
      <c r="D23" s="2207">
        <f>+H22</f>
        <v>54959328.517517164</v>
      </c>
      <c r="E23" s="705">
        <v>5.7500000000000002E-2</v>
      </c>
      <c r="F23" s="706">
        <f t="shared" si="0"/>
        <v>365</v>
      </c>
      <c r="G23" s="705">
        <v>5.7500000000000002E-2</v>
      </c>
      <c r="H23" s="2208">
        <f t="shared" si="1"/>
        <v>58119489.907274403</v>
      </c>
      <c r="I23" s="705">
        <f t="shared" si="2"/>
        <v>0.12</v>
      </c>
      <c r="J23" s="745">
        <f t="shared" si="3"/>
        <v>6974338.79</v>
      </c>
    </row>
    <row r="24" spans="1:13" ht="13.5">
      <c r="A24" s="2200">
        <v>2018</v>
      </c>
      <c r="B24" s="703">
        <v>43101</v>
      </c>
      <c r="C24" s="703">
        <v>43465</v>
      </c>
      <c r="D24" s="2207">
        <f t="shared" ref="D24:D27" si="4">+H23</f>
        <v>58119489.907274403</v>
      </c>
      <c r="E24" s="705">
        <v>4.0899999999999999E-2</v>
      </c>
      <c r="F24" s="706">
        <f t="shared" ref="F24:F29" si="5">_xlfn.DAYS(C24,B24)+1</f>
        <v>365</v>
      </c>
      <c r="G24" s="705">
        <v>4.0899999999999999E-2</v>
      </c>
      <c r="H24" s="2208">
        <f>(((D24*E24)/365*F24))+D24</f>
        <v>60496577.044481926</v>
      </c>
      <c r="I24" s="705">
        <f t="shared" si="2"/>
        <v>0.12</v>
      </c>
      <c r="J24" s="745">
        <f t="shared" si="3"/>
        <v>7259589.25</v>
      </c>
    </row>
    <row r="25" spans="1:13" ht="13.5">
      <c r="A25" s="2200">
        <v>2019</v>
      </c>
      <c r="B25" s="708">
        <v>43466</v>
      </c>
      <c r="C25" s="708">
        <v>43830</v>
      </c>
      <c r="D25" s="2207">
        <f t="shared" si="4"/>
        <v>60496577.044481926</v>
      </c>
      <c r="E25" s="705">
        <v>3.1800000000000002E-2</v>
      </c>
      <c r="F25" s="706">
        <f t="shared" si="5"/>
        <v>365</v>
      </c>
      <c r="G25" s="705">
        <v>3.1800000000000002E-2</v>
      </c>
      <c r="H25" s="2208">
        <f>(((D25*E25)/365*F25))+D25</f>
        <v>62420368.194496453</v>
      </c>
      <c r="I25" s="705">
        <f t="shared" si="2"/>
        <v>0.12</v>
      </c>
      <c r="J25" s="745">
        <f t="shared" si="3"/>
        <v>7490444.1799999997</v>
      </c>
    </row>
    <row r="26" spans="1:13" ht="13.5">
      <c r="A26" s="2200">
        <v>2020</v>
      </c>
      <c r="B26" s="703">
        <v>43831</v>
      </c>
      <c r="C26" s="703">
        <v>44196</v>
      </c>
      <c r="D26" s="2207">
        <f t="shared" si="4"/>
        <v>62420368.194496453</v>
      </c>
      <c r="E26" s="705">
        <v>3.7999999999999999E-2</v>
      </c>
      <c r="F26" s="706">
        <f t="shared" si="5"/>
        <v>366</v>
      </c>
      <c r="G26" s="705">
        <v>3.7999999999999999E-2</v>
      </c>
      <c r="H26" s="2208">
        <f>(((D26*E26)/366*F26))+D26</f>
        <v>64792342.185887322</v>
      </c>
      <c r="I26" s="705">
        <f t="shared" si="2"/>
        <v>0.12032876712328767</v>
      </c>
      <c r="J26" s="745">
        <f t="shared" si="3"/>
        <v>7796382.6500000004</v>
      </c>
    </row>
    <row r="27" spans="1:13" ht="13.5">
      <c r="A27" s="2200">
        <v>2021</v>
      </c>
      <c r="B27" s="703">
        <v>44197</v>
      </c>
      <c r="C27" s="703">
        <v>44561</v>
      </c>
      <c r="D27" s="2207">
        <f t="shared" si="4"/>
        <v>64792342.185887322</v>
      </c>
      <c r="E27" s="705">
        <v>5.62E-2</v>
      </c>
      <c r="F27" s="706">
        <f t="shared" si="5"/>
        <v>365</v>
      </c>
      <c r="G27" s="705">
        <v>5.62E-2</v>
      </c>
      <c r="H27" s="2208">
        <f>(((D27*E27)/366*F27))+D27</f>
        <v>68423722.828671768</v>
      </c>
      <c r="I27" s="705">
        <f t="shared" si="2"/>
        <v>0.12</v>
      </c>
      <c r="J27" s="745">
        <f t="shared" si="3"/>
        <v>8210846.7400000002</v>
      </c>
    </row>
    <row r="28" spans="1:13" ht="13.5">
      <c r="A28" s="2200">
        <v>2022</v>
      </c>
      <c r="B28" s="703">
        <v>44562</v>
      </c>
      <c r="C28" s="703">
        <v>44926</v>
      </c>
      <c r="D28" s="2207">
        <f t="shared" ref="D28:D29" si="6">+H27</f>
        <v>68423722.828671768</v>
      </c>
      <c r="E28" s="705">
        <v>0.1008</v>
      </c>
      <c r="F28" s="706">
        <f t="shared" si="5"/>
        <v>365</v>
      </c>
      <c r="G28" s="705">
        <v>0.1008</v>
      </c>
      <c r="H28" s="2208">
        <f>(((D28*E28)/366*F28))+D28</f>
        <v>75301989.523514643</v>
      </c>
      <c r="I28" s="705">
        <f>(12%*F28)/365</f>
        <v>0.12</v>
      </c>
      <c r="J28" s="745">
        <f t="shared" si="3"/>
        <v>9036238.7400000002</v>
      </c>
    </row>
    <row r="29" spans="1:13" ht="13.5">
      <c r="A29" s="2200">
        <v>2023</v>
      </c>
      <c r="B29" s="703">
        <v>44927</v>
      </c>
      <c r="C29" s="703">
        <v>45046</v>
      </c>
      <c r="D29" s="2207">
        <f t="shared" si="6"/>
        <v>75301989.523514643</v>
      </c>
      <c r="E29" s="705">
        <v>0.13120000000000001</v>
      </c>
      <c r="F29" s="706">
        <f t="shared" si="5"/>
        <v>120</v>
      </c>
      <c r="G29" s="705">
        <v>0.13120000000000001</v>
      </c>
      <c r="H29" s="2208">
        <f>(((D29*E29)/366*F29))+D29</f>
        <v>78541209.531870425</v>
      </c>
      <c r="I29" s="705">
        <f t="shared" ref="I29" si="7">(12%*F29)/365</f>
        <v>3.9452054794520547E-2</v>
      </c>
      <c r="J29" s="745">
        <f>ROUND(H29*I29,2)</f>
        <v>3098612.1</v>
      </c>
    </row>
    <row r="30" spans="1:13" ht="23.25" customHeight="1" thickBot="1">
      <c r="A30" s="686"/>
      <c r="B30" s="686"/>
      <c r="C30" s="686"/>
      <c r="D30" s="686"/>
      <c r="E30" s="686"/>
      <c r="F30" s="686"/>
      <c r="G30" s="686"/>
      <c r="H30" s="2670" t="s">
        <v>338</v>
      </c>
      <c r="I30" s="2671"/>
      <c r="J30" s="2300">
        <f>SUM(J20:J29)</f>
        <v>65381411.290000007</v>
      </c>
    </row>
    <row r="31" spans="1:13" ht="17.25" thickTop="1">
      <c r="A31" s="709" t="s">
        <v>55</v>
      </c>
      <c r="B31" s="710"/>
      <c r="C31" s="686"/>
      <c r="D31" s="686"/>
      <c r="E31" s="686"/>
      <c r="F31" s="686"/>
      <c r="G31" s="686"/>
      <c r="H31" s="686"/>
      <c r="I31" s="686"/>
      <c r="J31" s="686"/>
      <c r="M31" s="2197"/>
    </row>
    <row r="32" spans="1:13">
      <c r="A32" s="711" t="s">
        <v>56</v>
      </c>
      <c r="B32" s="711"/>
      <c r="C32" s="686"/>
      <c r="D32" s="686"/>
      <c r="E32" s="686"/>
      <c r="F32" s="686"/>
      <c r="G32" s="686"/>
      <c r="H32" s="686"/>
      <c r="I32" s="686"/>
      <c r="J32" s="686"/>
      <c r="K32" s="2198"/>
      <c r="L32" s="2198"/>
    </row>
    <row r="33" spans="1:11" ht="25.5">
      <c r="A33" s="712" t="s">
        <v>283</v>
      </c>
      <c r="B33" s="747">
        <f>+H28</f>
        <v>75301989.523514643</v>
      </c>
      <c r="C33" s="686"/>
      <c r="D33" s="686"/>
      <c r="E33" s="686"/>
      <c r="F33" s="686"/>
      <c r="G33" s="686"/>
      <c r="H33" s="686"/>
      <c r="I33" s="686"/>
      <c r="J33" s="686"/>
      <c r="K33" s="715"/>
    </row>
    <row r="34" spans="1:11" ht="25.5">
      <c r="A34" s="712" t="s">
        <v>59</v>
      </c>
      <c r="B34" s="747">
        <f>+J30</f>
        <v>65381411.290000007</v>
      </c>
      <c r="E34" s="686"/>
      <c r="F34" s="686"/>
      <c r="G34" s="713"/>
      <c r="H34" s="714"/>
      <c r="I34" s="686"/>
      <c r="J34" s="715"/>
    </row>
    <row r="35" spans="1:11">
      <c r="A35" s="716" t="s">
        <v>668</v>
      </c>
      <c r="B35" s="748"/>
      <c r="E35" s="686"/>
      <c r="F35" s="686"/>
      <c r="G35" s="686"/>
      <c r="H35" s="686"/>
      <c r="I35" s="686"/>
      <c r="J35" s="686"/>
    </row>
    <row r="36" spans="1:11" ht="17.25" thickBot="1">
      <c r="A36" s="717" t="s">
        <v>97</v>
      </c>
      <c r="B36" s="746">
        <f>SUM(B33:B35)</f>
        <v>140683400.81351465</v>
      </c>
      <c r="E36" s="686"/>
      <c r="F36" s="686"/>
      <c r="G36" s="686"/>
      <c r="H36" s="718"/>
      <c r="I36" s="686"/>
      <c r="J36" s="686"/>
    </row>
    <row r="37" spans="1:11" ht="13.5" thickTop="1">
      <c r="A37" s="686"/>
      <c r="B37" s="686"/>
      <c r="E37" s="686"/>
      <c r="F37" s="686"/>
      <c r="G37" s="686"/>
      <c r="H37" s="686"/>
      <c r="I37" s="686"/>
      <c r="J37" s="686"/>
    </row>
    <row r="38" spans="1:11">
      <c r="A38" s="719" t="s">
        <v>62</v>
      </c>
      <c r="B38" s="720"/>
      <c r="C38" s="686"/>
      <c r="D38" s="686"/>
      <c r="E38" s="686"/>
      <c r="F38" s="686"/>
      <c r="G38" s="686"/>
      <c r="H38" s="686"/>
      <c r="I38" s="686"/>
      <c r="J38" s="686"/>
    </row>
    <row r="39" spans="1:11">
      <c r="A39" s="721"/>
      <c r="B39" s="722"/>
      <c r="C39" s="686"/>
      <c r="D39" s="686"/>
      <c r="E39" s="686"/>
      <c r="F39" s="686"/>
      <c r="G39" s="686"/>
      <c r="H39" s="686"/>
      <c r="I39" s="686"/>
      <c r="J39" s="686"/>
    </row>
    <row r="40" spans="1:11">
      <c r="A40" s="721"/>
      <c r="B40" s="722"/>
      <c r="C40" s="686"/>
      <c r="D40" s="686"/>
      <c r="E40" s="686"/>
      <c r="F40" s="686"/>
      <c r="G40" s="686"/>
      <c r="H40" s="686"/>
      <c r="I40" s="686"/>
      <c r="J40" s="686"/>
    </row>
    <row r="41" spans="1:11">
      <c r="A41" s="719" t="s">
        <v>63</v>
      </c>
      <c r="B41" s="722"/>
      <c r="C41" s="686"/>
      <c r="D41" s="686"/>
      <c r="E41" s="686"/>
      <c r="F41" s="686"/>
      <c r="G41" s="686"/>
      <c r="H41" s="686"/>
      <c r="I41" s="686"/>
      <c r="J41" s="686"/>
    </row>
    <row r="42" spans="1:11">
      <c r="A42" s="719" t="s">
        <v>64</v>
      </c>
      <c r="B42" s="722"/>
    </row>
    <row r="43" spans="1:11">
      <c r="A43" s="719" t="s">
        <v>65</v>
      </c>
      <c r="B43" s="722"/>
    </row>
    <row r="46" spans="1:11">
      <c r="A46" s="686"/>
      <c r="B46" s="686"/>
    </row>
    <row r="47" spans="1:11">
      <c r="A47" s="715"/>
      <c r="B47" s="686"/>
    </row>
    <row r="48" spans="1:11">
      <c r="A48" s="1889"/>
      <c r="B48" s="1890"/>
    </row>
    <row r="49" spans="1:2">
      <c r="A49" s="686"/>
      <c r="B49" s="1889"/>
    </row>
  </sheetData>
  <mergeCells count="4">
    <mergeCell ref="A18:C18"/>
    <mergeCell ref="D18:J18"/>
    <mergeCell ref="H30:I30"/>
    <mergeCell ref="A9:B9"/>
  </mergeCells>
  <pageMargins left="0.7" right="0.7" top="0.75" bottom="0.75" header="0.3" footer="0.3"/>
  <pageSetup paperSize="9" scale="60"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00C18-0AB4-474E-9152-524E7D41E86C}">
  <sheetPr codeName="Hoja100"/>
  <dimension ref="A2:L333"/>
  <sheetViews>
    <sheetView topLeftCell="A322" zoomScaleNormal="100" workbookViewId="0">
      <selection activeCell="F336" sqref="F336"/>
    </sheetView>
  </sheetViews>
  <sheetFormatPr defaultColWidth="11.42578125" defaultRowHeight="12.75"/>
  <cols>
    <col min="1" max="1" width="3.140625" style="697" customWidth="1"/>
    <col min="2" max="2" width="16.42578125" style="697" customWidth="1"/>
    <col min="3" max="3" width="17.28515625" style="697" customWidth="1"/>
    <col min="4" max="4" width="14.5703125" style="697" customWidth="1"/>
    <col min="5" max="5" width="14.42578125" style="697" customWidth="1"/>
    <col min="6" max="6" width="14" style="697" customWidth="1"/>
    <col min="7" max="7" width="12.7109375" style="697" customWidth="1"/>
    <col min="8" max="8" width="15" style="2151" customWidth="1"/>
    <col min="9" max="9" width="13.85546875" style="697" bestFit="1" customWidth="1"/>
    <col min="10" max="10" width="6.7109375" style="697" customWidth="1"/>
    <col min="11" max="11" width="13.7109375" style="697" customWidth="1"/>
    <col min="12" max="12" width="13.85546875" style="697" bestFit="1" customWidth="1"/>
    <col min="13" max="16384" width="11.42578125" style="697"/>
  </cols>
  <sheetData>
    <row r="2" spans="1:10" ht="13.5">
      <c r="B2" s="1627" t="s">
        <v>121</v>
      </c>
      <c r="C2" s="723" t="s">
        <v>1800</v>
      </c>
    </row>
    <row r="3" spans="1:10" ht="13.5">
      <c r="B3" s="683" t="s">
        <v>291</v>
      </c>
      <c r="C3" s="723" t="s">
        <v>1801</v>
      </c>
    </row>
    <row r="4" spans="1:10">
      <c r="B4" s="1710" t="s">
        <v>4</v>
      </c>
      <c r="C4" s="1629">
        <v>44573</v>
      </c>
    </row>
    <row r="5" spans="1:10">
      <c r="B5" s="1630" t="s">
        <v>2</v>
      </c>
      <c r="C5" s="1631" t="s">
        <v>1802</v>
      </c>
    </row>
    <row r="6" spans="1:10">
      <c r="B6" s="1632" t="s">
        <v>1409</v>
      </c>
      <c r="C6" s="1767" t="s">
        <v>1803</v>
      </c>
    </row>
    <row r="7" spans="1:10" ht="25.5">
      <c r="B7" s="1634" t="s">
        <v>1411</v>
      </c>
      <c r="C7" s="1629">
        <v>44613</v>
      </c>
    </row>
    <row r="8" spans="1:10" ht="13.5" thickBot="1">
      <c r="B8" s="1711" t="s">
        <v>1747</v>
      </c>
      <c r="C8" s="2199" t="s">
        <v>1136</v>
      </c>
      <c r="D8" s="2411">
        <v>908526</v>
      </c>
    </row>
    <row r="11" spans="1:10">
      <c r="A11" s="2843" t="s">
        <v>1804</v>
      </c>
      <c r="B11" s="2843"/>
      <c r="C11" s="2843"/>
      <c r="D11" s="2843"/>
      <c r="E11" s="723"/>
      <c r="F11" s="723"/>
      <c r="G11" s="723"/>
      <c r="H11" s="2150"/>
      <c r="I11" s="723"/>
    </row>
    <row r="12" spans="1:10" ht="29.25" customHeight="1">
      <c r="A12" s="723"/>
      <c r="B12" s="2842" t="s">
        <v>1805</v>
      </c>
      <c r="C12" s="2842"/>
      <c r="D12" s="2219" t="s">
        <v>1685</v>
      </c>
      <c r="E12" s="2454" t="s">
        <v>1806</v>
      </c>
      <c r="F12" s="2446" t="s">
        <v>1807</v>
      </c>
      <c r="G12" s="2446" t="s">
        <v>1808</v>
      </c>
      <c r="H12" s="2446" t="s">
        <v>1085</v>
      </c>
      <c r="I12" s="2455" t="s">
        <v>1809</v>
      </c>
    </row>
    <row r="13" spans="1:10" ht="13.5">
      <c r="A13" s="729">
        <v>1</v>
      </c>
      <c r="B13" s="737" t="s">
        <v>1810</v>
      </c>
      <c r="C13" s="723"/>
      <c r="D13" s="2456" t="s">
        <v>1811</v>
      </c>
      <c r="E13" s="2199">
        <v>100</v>
      </c>
      <c r="F13" s="2457">
        <f>+E13*$D$8</f>
        <v>90852600</v>
      </c>
      <c r="G13" s="2354">
        <v>9370538.4499999993</v>
      </c>
      <c r="H13" s="2150"/>
      <c r="I13" s="2458">
        <f>+F13+G13</f>
        <v>100223138.45</v>
      </c>
      <c r="J13" s="1932">
        <v>1</v>
      </c>
    </row>
    <row r="14" spans="1:10" ht="13.5">
      <c r="A14" s="729">
        <v>2</v>
      </c>
      <c r="B14" s="737" t="s">
        <v>1812</v>
      </c>
      <c r="C14" s="723"/>
      <c r="D14" s="2456" t="s">
        <v>1813</v>
      </c>
      <c r="E14" s="2199">
        <v>100</v>
      </c>
      <c r="F14" s="2457">
        <f t="shared" ref="F14:F23" si="0">+E14*$D$8</f>
        <v>90852600</v>
      </c>
      <c r="G14" s="2354">
        <v>9840416.6600000001</v>
      </c>
      <c r="H14" s="2150"/>
      <c r="I14" s="2458">
        <f>+F14+G14</f>
        <v>100693016.66</v>
      </c>
      <c r="J14" s="1932">
        <v>2</v>
      </c>
    </row>
    <row r="15" spans="1:10" ht="13.5">
      <c r="A15" s="729">
        <v>3</v>
      </c>
      <c r="B15" s="737" t="s">
        <v>1814</v>
      </c>
      <c r="C15" s="723"/>
      <c r="D15" s="2456" t="s">
        <v>1815</v>
      </c>
      <c r="E15" s="2199">
        <v>100</v>
      </c>
      <c r="F15" s="2457">
        <f t="shared" si="0"/>
        <v>90852600</v>
      </c>
      <c r="G15" s="2354">
        <v>13402690.359999999</v>
      </c>
      <c r="H15" s="2150"/>
      <c r="I15" s="2458">
        <f>+F15+G15</f>
        <v>104255290.36</v>
      </c>
      <c r="J15" s="1932">
        <v>3</v>
      </c>
    </row>
    <row r="16" spans="1:10" ht="13.5">
      <c r="A16" s="729">
        <v>4</v>
      </c>
      <c r="B16" s="737" t="s">
        <v>1816</v>
      </c>
      <c r="C16" s="723"/>
      <c r="D16" s="2456" t="s">
        <v>1815</v>
      </c>
      <c r="E16" s="2199">
        <v>100</v>
      </c>
      <c r="F16" s="2457">
        <f t="shared" si="0"/>
        <v>90852600</v>
      </c>
      <c r="G16" s="2354">
        <v>20176922.989999998</v>
      </c>
      <c r="H16" s="2150"/>
      <c r="I16" s="2458">
        <f>+F16+G16</f>
        <v>111029522.98999999</v>
      </c>
      <c r="J16" s="1932">
        <v>4</v>
      </c>
    </row>
    <row r="17" spans="1:12" ht="13.5">
      <c r="A17" s="729">
        <v>5</v>
      </c>
      <c r="B17" s="737" t="s">
        <v>1817</v>
      </c>
      <c r="C17" s="723"/>
      <c r="D17" s="2456" t="s">
        <v>1813</v>
      </c>
      <c r="E17" s="2199">
        <v>100</v>
      </c>
      <c r="F17" s="2457">
        <f t="shared" si="0"/>
        <v>90852600</v>
      </c>
      <c r="G17" s="2354">
        <v>23145631.440000001</v>
      </c>
      <c r="H17" s="2150"/>
      <c r="I17" s="2458">
        <f>+F17+G17</f>
        <v>113998231.44</v>
      </c>
      <c r="J17" s="1932">
        <v>5</v>
      </c>
    </row>
    <row r="18" spans="1:12" ht="13.5">
      <c r="A18" s="729">
        <v>6</v>
      </c>
      <c r="B18" s="737" t="s">
        <v>1818</v>
      </c>
      <c r="C18" s="723"/>
      <c r="D18" s="2456" t="s">
        <v>1813</v>
      </c>
      <c r="E18" s="2199">
        <v>100</v>
      </c>
      <c r="F18" s="2457">
        <f t="shared" si="0"/>
        <v>90852600</v>
      </c>
      <c r="G18" s="2354">
        <v>27419570.710000001</v>
      </c>
      <c r="H18" s="2150">
        <f>(100*$D$8)</f>
        <v>90852600</v>
      </c>
      <c r="I18" s="2458">
        <f>+F18+G18+H18</f>
        <v>209124770.71000001</v>
      </c>
      <c r="J18" s="1932">
        <v>6</v>
      </c>
    </row>
    <row r="19" spans="1:12" ht="13.5">
      <c r="A19" s="729">
        <v>7</v>
      </c>
      <c r="B19" s="737" t="s">
        <v>1819</v>
      </c>
      <c r="C19" s="723"/>
      <c r="D19" s="2456" t="s">
        <v>1820</v>
      </c>
      <c r="E19" s="2199">
        <v>100</v>
      </c>
      <c r="F19" s="2457">
        <f t="shared" si="0"/>
        <v>90852600</v>
      </c>
      <c r="G19" s="2411">
        <v>0</v>
      </c>
      <c r="H19" s="2150"/>
      <c r="I19" s="2458">
        <f>+F19+G19</f>
        <v>90852600</v>
      </c>
      <c r="J19" s="1932">
        <v>7</v>
      </c>
    </row>
    <row r="20" spans="1:12" ht="13.5">
      <c r="A20" s="729">
        <v>8</v>
      </c>
      <c r="B20" s="737" t="s">
        <v>1821</v>
      </c>
      <c r="C20" s="723"/>
      <c r="D20" s="2456" t="s">
        <v>1822</v>
      </c>
      <c r="E20" s="2199">
        <v>100</v>
      </c>
      <c r="F20" s="2457">
        <f t="shared" si="0"/>
        <v>90852600</v>
      </c>
      <c r="G20" s="2411">
        <v>0</v>
      </c>
      <c r="H20" s="2150"/>
      <c r="I20" s="2458">
        <f>+F20+G20</f>
        <v>90852600</v>
      </c>
      <c r="J20" s="1932">
        <v>8</v>
      </c>
    </row>
    <row r="21" spans="1:12" ht="13.5">
      <c r="A21" s="729">
        <v>9</v>
      </c>
      <c r="B21" s="737" t="s">
        <v>1823</v>
      </c>
      <c r="C21" s="723"/>
      <c r="D21" s="2456" t="s">
        <v>1824</v>
      </c>
      <c r="E21" s="2199">
        <v>50</v>
      </c>
      <c r="F21" s="2457">
        <f t="shared" si="0"/>
        <v>45426300</v>
      </c>
      <c r="G21" s="2411">
        <v>0</v>
      </c>
      <c r="H21" s="2150"/>
      <c r="I21" s="2458">
        <f>+F21+G21</f>
        <v>45426300</v>
      </c>
      <c r="J21" s="1932">
        <v>9</v>
      </c>
    </row>
    <row r="22" spans="1:12" ht="13.5">
      <c r="A22" s="729">
        <v>10</v>
      </c>
      <c r="B22" s="737" t="s">
        <v>1825</v>
      </c>
      <c r="C22" s="723"/>
      <c r="D22" s="2456" t="s">
        <v>1824</v>
      </c>
      <c r="E22" s="2199">
        <v>50</v>
      </c>
      <c r="F22" s="2457">
        <f t="shared" si="0"/>
        <v>45426300</v>
      </c>
      <c r="G22" s="2411">
        <v>0</v>
      </c>
      <c r="H22" s="2150"/>
      <c r="I22" s="2458">
        <f>+F22+G22</f>
        <v>45426300</v>
      </c>
      <c r="J22" s="1932">
        <v>10</v>
      </c>
    </row>
    <row r="23" spans="1:12" ht="13.5">
      <c r="A23" s="729">
        <v>11</v>
      </c>
      <c r="B23" s="737" t="s">
        <v>1826</v>
      </c>
      <c r="C23" s="723"/>
      <c r="D23" s="2456" t="s">
        <v>1827</v>
      </c>
      <c r="E23" s="2199">
        <v>35</v>
      </c>
      <c r="F23" s="2457">
        <f t="shared" si="0"/>
        <v>31798410</v>
      </c>
      <c r="G23" s="2411">
        <v>0</v>
      </c>
      <c r="H23" s="2150"/>
      <c r="I23" s="2458">
        <f>+F23+G23</f>
        <v>31798410</v>
      </c>
      <c r="J23" s="1932">
        <v>11</v>
      </c>
    </row>
    <row r="24" spans="1:12" ht="25.5">
      <c r="A24" s="723"/>
      <c r="B24" s="723"/>
      <c r="C24" s="723"/>
      <c r="D24" s="723"/>
      <c r="E24" s="723"/>
      <c r="F24" s="2810" t="s">
        <v>1828</v>
      </c>
      <c r="G24" s="2810"/>
      <c r="H24" s="2810"/>
      <c r="I24" s="2152">
        <f>SUM(I13:I23)</f>
        <v>1043680180.61</v>
      </c>
      <c r="K24" s="1112" t="s">
        <v>346</v>
      </c>
      <c r="L24" s="1112"/>
    </row>
    <row r="25" spans="1:12" ht="13.5">
      <c r="K25" s="741" t="s">
        <v>959</v>
      </c>
      <c r="L25" s="1121">
        <f>+I24</f>
        <v>1043680180.61</v>
      </c>
    </row>
    <row r="26" spans="1:12" ht="13.5">
      <c r="K26" s="741" t="s">
        <v>951</v>
      </c>
      <c r="L26" s="1121">
        <f>+I46</f>
        <v>0</v>
      </c>
    </row>
    <row r="27" spans="1:12" ht="13.5" customHeight="1">
      <c r="A27" s="731">
        <v>1</v>
      </c>
      <c r="B27" s="860" t="s">
        <v>1810</v>
      </c>
      <c r="D27" s="697" t="s">
        <v>1041</v>
      </c>
      <c r="E27" s="2350">
        <f>+I13</f>
        <v>100223138.45</v>
      </c>
      <c r="K27" s="741"/>
      <c r="L27" s="1121"/>
    </row>
    <row r="28" spans="1:12" ht="13.5">
      <c r="B28" s="2824" t="s">
        <v>160</v>
      </c>
      <c r="C28" s="2824"/>
      <c r="D28" s="2824"/>
      <c r="E28" s="2824"/>
      <c r="F28" s="2824"/>
      <c r="G28" s="2824"/>
      <c r="H28" s="2824"/>
      <c r="I28" s="686"/>
      <c r="K28" s="726" t="s">
        <v>61</v>
      </c>
      <c r="L28" s="1125">
        <f>SUM(L25:L26)</f>
        <v>1043680180.61</v>
      </c>
    </row>
    <row r="29" spans="1:12" ht="27">
      <c r="B29" s="1915" t="s">
        <v>206</v>
      </c>
      <c r="C29" s="1915" t="s">
        <v>10</v>
      </c>
      <c r="D29" s="2441" t="s">
        <v>1829</v>
      </c>
      <c r="E29" s="700" t="s">
        <v>1830</v>
      </c>
      <c r="F29" s="699" t="s">
        <v>43</v>
      </c>
      <c r="G29" s="1642" t="s">
        <v>47</v>
      </c>
      <c r="H29" s="2153" t="s">
        <v>48</v>
      </c>
    </row>
    <row r="30" spans="1:12">
      <c r="A30" s="697">
        <v>1</v>
      </c>
      <c r="B30" s="1629">
        <v>44574</v>
      </c>
      <c r="C30" s="1629">
        <v>44592</v>
      </c>
      <c r="D30" s="1920">
        <v>3.4700000000000002E-2</v>
      </c>
      <c r="E30" s="1920">
        <v>0</v>
      </c>
      <c r="F30" s="1933">
        <f>((1+D30)^(1/365)-1)</f>
        <v>9.3460612729190373E-5</v>
      </c>
      <c r="G30" s="706">
        <f>+(C30-B30)+1</f>
        <v>19</v>
      </c>
      <c r="H30" s="2149">
        <f>ROUND($E$27*F30*G30,2)</f>
        <v>177971.4</v>
      </c>
      <c r="I30" s="2453"/>
    </row>
    <row r="31" spans="1:12">
      <c r="A31" s="697">
        <v>2</v>
      </c>
      <c r="B31" s="1629">
        <v>44593</v>
      </c>
      <c r="C31" s="1629">
        <v>44620</v>
      </c>
      <c r="D31" s="1920">
        <v>4.3099999999999999E-2</v>
      </c>
      <c r="E31" s="1920">
        <v>0</v>
      </c>
      <c r="F31" s="1933">
        <f>((1+D31)^(1/365)-1)</f>
        <v>1.1561503550527874E-4</v>
      </c>
      <c r="G31" s="706">
        <f>+(C31-B31)+1</f>
        <v>28</v>
      </c>
      <c r="H31" s="2149">
        <f>ROUND($E$27*F31*G31,2)</f>
        <v>324444.45</v>
      </c>
      <c r="I31" s="2453"/>
    </row>
    <row r="32" spans="1:12">
      <c r="A32" s="697">
        <v>3</v>
      </c>
      <c r="B32" s="1629">
        <v>44621</v>
      </c>
      <c r="C32" s="1629">
        <v>44651</v>
      </c>
      <c r="D32" s="1920">
        <v>4.9700000000000001E-2</v>
      </c>
      <c r="E32" s="1920">
        <v>0</v>
      </c>
      <c r="F32" s="1933">
        <f t="shared" ref="F32:F40" si="1">((1+D32)^(1/365)-1)</f>
        <v>1.3289762205070943E-4</v>
      </c>
      <c r="G32" s="706">
        <f t="shared" ref="G32:G45" si="2">+(C32-B32)+1</f>
        <v>31</v>
      </c>
      <c r="H32" s="2149">
        <f t="shared" ref="H32:H45" si="3">ROUND($E$27*F32*G32,2)</f>
        <v>412901.92</v>
      </c>
      <c r="I32" s="2453"/>
    </row>
    <row r="33" spans="1:9">
      <c r="A33" s="697">
        <v>4</v>
      </c>
      <c r="B33" s="1629">
        <v>44652</v>
      </c>
      <c r="C33" s="1629">
        <v>44681</v>
      </c>
      <c r="D33" s="1920">
        <v>5.9700000000000003E-2</v>
      </c>
      <c r="E33" s="1920">
        <v>0</v>
      </c>
      <c r="F33" s="1933">
        <f t="shared" si="1"/>
        <v>1.5887796003677401E-4</v>
      </c>
      <c r="G33" s="706">
        <f t="shared" si="2"/>
        <v>30</v>
      </c>
      <c r="H33" s="2149">
        <f t="shared" si="3"/>
        <v>477697.43</v>
      </c>
      <c r="I33" s="2453"/>
    </row>
    <row r="34" spans="1:9">
      <c r="A34" s="697">
        <v>5</v>
      </c>
      <c r="B34" s="1629">
        <v>44682</v>
      </c>
      <c r="C34" s="1629">
        <v>44712</v>
      </c>
      <c r="D34" s="1920">
        <v>7.0400000000000004E-2</v>
      </c>
      <c r="E34" s="1920">
        <v>0</v>
      </c>
      <c r="F34" s="1933">
        <f t="shared" si="1"/>
        <v>1.8640753718313086E-4</v>
      </c>
      <c r="G34" s="706">
        <f t="shared" si="2"/>
        <v>31</v>
      </c>
      <c r="H34" s="2149">
        <f t="shared" si="3"/>
        <v>579152.80000000005</v>
      </c>
      <c r="I34" s="2453"/>
    </row>
    <row r="35" spans="1:9" ht="13.5">
      <c r="A35" s="697">
        <v>6</v>
      </c>
      <c r="B35" s="1629">
        <v>44713</v>
      </c>
      <c r="C35" s="1629">
        <v>44742</v>
      </c>
      <c r="D35" s="1923">
        <v>7.7200000000000005E-2</v>
      </c>
      <c r="E35" s="1920">
        <v>0</v>
      </c>
      <c r="F35" s="1933">
        <f t="shared" si="1"/>
        <v>2.0376070695582449E-4</v>
      </c>
      <c r="G35" s="706">
        <f t="shared" si="2"/>
        <v>30</v>
      </c>
      <c r="H35" s="2149">
        <f t="shared" si="3"/>
        <v>612646.13</v>
      </c>
      <c r="I35" s="2453"/>
    </row>
    <row r="36" spans="1:9" ht="13.5">
      <c r="A36" s="697">
        <v>7</v>
      </c>
      <c r="B36" s="1629">
        <v>44743</v>
      </c>
      <c r="C36" s="1629">
        <v>44773</v>
      </c>
      <c r="D36" s="1923">
        <v>9.2999999999999999E-2</v>
      </c>
      <c r="E36" s="1920">
        <v>0</v>
      </c>
      <c r="F36" s="1933">
        <f t="shared" si="1"/>
        <v>2.4366313088708402E-4</v>
      </c>
      <c r="G36" s="706">
        <f t="shared" si="2"/>
        <v>31</v>
      </c>
      <c r="H36" s="2149">
        <f t="shared" si="3"/>
        <v>757041.19</v>
      </c>
      <c r="I36" s="2453"/>
    </row>
    <row r="37" spans="1:9">
      <c r="A37" s="697">
        <v>8</v>
      </c>
      <c r="B37" s="1629">
        <v>44774</v>
      </c>
      <c r="C37" s="1629">
        <v>44804</v>
      </c>
      <c r="D37" s="1920">
        <v>0.1057</v>
      </c>
      <c r="E37" s="1920">
        <v>0</v>
      </c>
      <c r="F37" s="1933">
        <f t="shared" si="1"/>
        <v>2.7532178056910439E-4</v>
      </c>
      <c r="G37" s="706">
        <f t="shared" si="2"/>
        <v>31</v>
      </c>
      <c r="H37" s="2149">
        <f t="shared" si="3"/>
        <v>855402</v>
      </c>
      <c r="I37" s="2453"/>
    </row>
    <row r="38" spans="1:9">
      <c r="A38" s="697">
        <v>9</v>
      </c>
      <c r="B38" s="1629">
        <v>44805</v>
      </c>
      <c r="C38" s="1629">
        <v>44834</v>
      </c>
      <c r="D38" s="2181">
        <v>0.1099</v>
      </c>
      <c r="E38" s="1920">
        <v>0</v>
      </c>
      <c r="F38" s="1933">
        <f t="shared" si="1"/>
        <v>2.857118247707735E-4</v>
      </c>
      <c r="G38" s="706">
        <f t="shared" si="2"/>
        <v>30</v>
      </c>
      <c r="H38" s="2149">
        <f t="shared" si="3"/>
        <v>859048.07</v>
      </c>
      <c r="I38" s="2453"/>
    </row>
    <row r="39" spans="1:9">
      <c r="A39" s="697">
        <v>10</v>
      </c>
      <c r="B39" s="1629">
        <v>44835</v>
      </c>
      <c r="C39" s="1629">
        <v>44865</v>
      </c>
      <c r="D39" s="2181">
        <v>0.11600000000000001</v>
      </c>
      <c r="E39" s="1920">
        <v>0</v>
      </c>
      <c r="F39" s="1933">
        <f t="shared" si="1"/>
        <v>3.0073250947526553E-4</v>
      </c>
      <c r="G39" s="706">
        <f t="shared" si="2"/>
        <v>31</v>
      </c>
      <c r="H39" s="2149">
        <f t="shared" si="3"/>
        <v>934351.03</v>
      </c>
      <c r="I39" s="2453"/>
    </row>
    <row r="40" spans="1:9">
      <c r="A40" s="697">
        <v>11</v>
      </c>
      <c r="B40" s="1629">
        <v>44866</v>
      </c>
      <c r="C40" s="1629">
        <v>44877</v>
      </c>
      <c r="D40" s="2181">
        <v>0.1263</v>
      </c>
      <c r="E40" s="1920">
        <v>0</v>
      </c>
      <c r="F40" s="1933">
        <f t="shared" si="1"/>
        <v>3.2591042348917298E-4</v>
      </c>
      <c r="G40" s="706">
        <f t="shared" si="2"/>
        <v>12</v>
      </c>
      <c r="H40" s="2149">
        <f t="shared" si="3"/>
        <v>391965.19</v>
      </c>
      <c r="I40" s="2453"/>
    </row>
    <row r="41" spans="1:9">
      <c r="A41" s="697">
        <v>12</v>
      </c>
      <c r="B41" s="1629">
        <v>44878</v>
      </c>
      <c r="C41" s="1629">
        <v>44895</v>
      </c>
      <c r="D41" s="2181">
        <v>0.25779999999999997</v>
      </c>
      <c r="E41" s="1920">
        <f>+D41*1.5</f>
        <v>0.38669999999999993</v>
      </c>
      <c r="F41" s="1933">
        <f>((1+E41)^(1/365)-1)</f>
        <v>8.9609117817124329E-4</v>
      </c>
      <c r="G41" s="706">
        <f t="shared" si="2"/>
        <v>18</v>
      </c>
      <c r="H41" s="2149">
        <f t="shared" si="3"/>
        <v>1616563.26</v>
      </c>
      <c r="I41" s="2453"/>
    </row>
    <row r="42" spans="1:9">
      <c r="A42" s="697">
        <v>13</v>
      </c>
      <c r="B42" s="1629">
        <v>44896</v>
      </c>
      <c r="C42" s="1629">
        <v>44926</v>
      </c>
      <c r="D42" s="2181">
        <v>0.27639999999999998</v>
      </c>
      <c r="E42" s="1920">
        <f t="shared" ref="E42:E45" si="4">+D42*1.5</f>
        <v>0.41459999999999997</v>
      </c>
      <c r="F42" s="1933">
        <f t="shared" ref="F42:F45" si="5">((1+E42)^(1/365)-1)</f>
        <v>9.5071686592063109E-4</v>
      </c>
      <c r="G42" s="706">
        <f t="shared" si="2"/>
        <v>31</v>
      </c>
      <c r="H42" s="2149">
        <f t="shared" si="3"/>
        <v>2953798.67</v>
      </c>
      <c r="I42" s="2453"/>
    </row>
    <row r="43" spans="1:9">
      <c r="A43" s="697">
        <v>15</v>
      </c>
      <c r="B43" s="1629">
        <v>44927</v>
      </c>
      <c r="C43" s="1629">
        <v>44957</v>
      </c>
      <c r="D43" s="2181">
        <v>0.28839999999999999</v>
      </c>
      <c r="E43" s="1920">
        <f t="shared" si="4"/>
        <v>0.43259999999999998</v>
      </c>
      <c r="F43" s="1933">
        <f t="shared" si="5"/>
        <v>9.8539196132163553E-4</v>
      </c>
      <c r="G43" s="706">
        <f t="shared" si="2"/>
        <v>31</v>
      </c>
      <c r="H43" s="2149">
        <f t="shared" si="3"/>
        <v>3061531.32</v>
      </c>
      <c r="I43" s="2453"/>
    </row>
    <row r="44" spans="1:9">
      <c r="A44" s="697">
        <v>16</v>
      </c>
      <c r="B44" s="1629">
        <v>44958</v>
      </c>
      <c r="C44" s="1629">
        <v>44985</v>
      </c>
      <c r="D44" s="2181">
        <v>0.30180000000000001</v>
      </c>
      <c r="E44" s="1920">
        <f t="shared" si="4"/>
        <v>0.45269999999999999</v>
      </c>
      <c r="F44" s="1933">
        <f t="shared" si="5"/>
        <v>1.0236026853662761E-3</v>
      </c>
      <c r="G44" s="706">
        <f t="shared" si="2"/>
        <v>28</v>
      </c>
      <c r="H44" s="2149">
        <f t="shared" si="3"/>
        <v>2872482.86</v>
      </c>
      <c r="I44" s="2453"/>
    </row>
    <row r="45" spans="1:9">
      <c r="A45" s="697">
        <v>17</v>
      </c>
      <c r="B45" s="1629">
        <v>44986</v>
      </c>
      <c r="C45" s="1629">
        <v>45002</v>
      </c>
      <c r="D45" s="2181">
        <v>0.30840000000000001</v>
      </c>
      <c r="E45" s="1920">
        <f t="shared" si="4"/>
        <v>0.46260000000000001</v>
      </c>
      <c r="F45" s="1933">
        <f t="shared" si="5"/>
        <v>1.0422295217955568E-3</v>
      </c>
      <c r="G45" s="706">
        <f t="shared" si="2"/>
        <v>17</v>
      </c>
      <c r="H45" s="2149">
        <f t="shared" si="3"/>
        <v>1775743.73</v>
      </c>
      <c r="I45" s="2453"/>
    </row>
    <row r="46" spans="1:9" ht="13.5" customHeight="1">
      <c r="F46" s="2840" t="s">
        <v>1831</v>
      </c>
      <c r="G46" s="2841"/>
      <c r="H46" s="2150">
        <f>SUM(H30:H45)</f>
        <v>18662741.450000003</v>
      </c>
    </row>
    <row r="47" spans="1:9" ht="13.5" customHeight="1">
      <c r="B47" s="2672" t="s">
        <v>55</v>
      </c>
      <c r="C47" s="2672"/>
      <c r="F47" s="1934"/>
      <c r="G47" s="1934"/>
    </row>
    <row r="48" spans="1:9" ht="13.5">
      <c r="B48" s="737" t="s">
        <v>276</v>
      </c>
      <c r="C48" s="2154">
        <f>+E27</f>
        <v>100223138.45</v>
      </c>
      <c r="F48" s="1934"/>
      <c r="G48" s="1934"/>
    </row>
    <row r="49" spans="1:11" ht="25.5">
      <c r="B49" s="902" t="s">
        <v>338</v>
      </c>
      <c r="C49" s="2154">
        <f>+H46</f>
        <v>18662741.450000003</v>
      </c>
      <c r="F49" s="1934"/>
      <c r="G49" s="1934"/>
    </row>
    <row r="50" spans="1:11" ht="25.5">
      <c r="B50" s="902" t="s">
        <v>348</v>
      </c>
      <c r="C50" s="2154">
        <v>1853228.0072727271</v>
      </c>
      <c r="F50" s="1934"/>
      <c r="G50" s="1934"/>
    </row>
    <row r="51" spans="1:11" ht="13.5">
      <c r="B51" s="902" t="s">
        <v>757</v>
      </c>
      <c r="C51" s="2154">
        <v>4545.454545454545</v>
      </c>
      <c r="F51" s="1934"/>
      <c r="G51" s="1934"/>
    </row>
    <row r="52" spans="1:11" ht="13.5">
      <c r="B52" s="728" t="s">
        <v>1705</v>
      </c>
      <c r="C52" s="2250">
        <f>SUM(C48:C51)</f>
        <v>120743653.36181818</v>
      </c>
      <c r="D52" s="2197">
        <v>120743653.361818</v>
      </c>
    </row>
    <row r="53" spans="1:11" ht="13.5">
      <c r="B53" s="848"/>
      <c r="C53" s="2444"/>
    </row>
    <row r="54" spans="1:11" ht="13.5">
      <c r="A54" s="731">
        <v>2</v>
      </c>
      <c r="B54" s="791" t="s">
        <v>1812</v>
      </c>
      <c r="D54" s="697" t="s">
        <v>1041</v>
      </c>
      <c r="E54" s="2350">
        <f>+I14</f>
        <v>100693016.66</v>
      </c>
    </row>
    <row r="55" spans="1:11" ht="13.5">
      <c r="B55" s="2824" t="s">
        <v>160</v>
      </c>
      <c r="C55" s="2824"/>
      <c r="D55" s="2824"/>
      <c r="E55" s="2824"/>
      <c r="F55" s="2824"/>
      <c r="G55" s="2824"/>
      <c r="H55" s="2824"/>
      <c r="K55" s="697">
        <v>1853228.0072727271</v>
      </c>
    </row>
    <row r="56" spans="1:11" ht="27">
      <c r="B56" s="1915" t="s">
        <v>206</v>
      </c>
      <c r="C56" s="1915" t="s">
        <v>10</v>
      </c>
      <c r="D56" s="2441" t="s">
        <v>1829</v>
      </c>
      <c r="E56" s="700" t="s">
        <v>1830</v>
      </c>
      <c r="F56" s="699" t="s">
        <v>43</v>
      </c>
      <c r="G56" s="1642" t="s">
        <v>47</v>
      </c>
      <c r="H56" s="2153" t="s">
        <v>48</v>
      </c>
      <c r="K56" s="697">
        <v>4545.454545454545</v>
      </c>
    </row>
    <row r="57" spans="1:11">
      <c r="B57" s="1629">
        <v>44574</v>
      </c>
      <c r="C57" s="1629">
        <v>44592</v>
      </c>
      <c r="D57" s="1920">
        <v>3.4700000000000002E-2</v>
      </c>
      <c r="E57" s="1920">
        <v>0</v>
      </c>
      <c r="F57" s="1933">
        <f>((1+D57)^(1/365)-1)</f>
        <v>9.3460612729190373E-5</v>
      </c>
      <c r="G57" s="706">
        <f>+(C57-B57)+1</f>
        <v>19</v>
      </c>
      <c r="H57" s="2149">
        <f>ROUND($E$54*F57*G57,2)</f>
        <v>178805.79</v>
      </c>
    </row>
    <row r="58" spans="1:11">
      <c r="B58" s="1629">
        <v>44593</v>
      </c>
      <c r="C58" s="1629">
        <v>44620</v>
      </c>
      <c r="D58" s="1920">
        <v>4.3099999999999999E-2</v>
      </c>
      <c r="E58" s="1920">
        <v>0</v>
      </c>
      <c r="F58" s="1933">
        <f>((1+D58)^(1/365)-1)</f>
        <v>1.1561503550527874E-4</v>
      </c>
      <c r="G58" s="706">
        <f>+(C58-B58)+1</f>
        <v>28</v>
      </c>
      <c r="H58" s="2149">
        <f t="shared" ref="H58:H72" si="6">ROUND($E$54*F58*G58,2)</f>
        <v>325965.55</v>
      </c>
    </row>
    <row r="59" spans="1:11">
      <c r="B59" s="1629">
        <v>44621</v>
      </c>
      <c r="C59" s="1629">
        <v>44651</v>
      </c>
      <c r="D59" s="1920">
        <v>4.9700000000000001E-2</v>
      </c>
      <c r="E59" s="1920">
        <v>0</v>
      </c>
      <c r="F59" s="1933">
        <f t="shared" ref="F59:F67" si="7">((1+D59)^(1/365)-1)</f>
        <v>1.3289762205070943E-4</v>
      </c>
      <c r="G59" s="706">
        <f t="shared" ref="G59:G72" si="8">+(C59-B59)+1</f>
        <v>31</v>
      </c>
      <c r="H59" s="2149">
        <f t="shared" si="6"/>
        <v>414837.74</v>
      </c>
    </row>
    <row r="60" spans="1:11">
      <c r="B60" s="1629">
        <v>44652</v>
      </c>
      <c r="C60" s="1629">
        <v>44681</v>
      </c>
      <c r="D60" s="1920">
        <v>5.9700000000000003E-2</v>
      </c>
      <c r="E60" s="1920">
        <v>0</v>
      </c>
      <c r="F60" s="1933">
        <f t="shared" si="7"/>
        <v>1.5887796003677401E-4</v>
      </c>
      <c r="G60" s="706">
        <f t="shared" si="8"/>
        <v>30</v>
      </c>
      <c r="H60" s="2149">
        <f t="shared" si="6"/>
        <v>479937.03</v>
      </c>
    </row>
    <row r="61" spans="1:11">
      <c r="B61" s="1629">
        <v>44682</v>
      </c>
      <c r="C61" s="1629">
        <v>44712</v>
      </c>
      <c r="D61" s="1920">
        <v>7.0400000000000004E-2</v>
      </c>
      <c r="E61" s="1920">
        <v>0</v>
      </c>
      <c r="F61" s="1933">
        <f t="shared" si="7"/>
        <v>1.8640753718313086E-4</v>
      </c>
      <c r="G61" s="706">
        <f t="shared" si="8"/>
        <v>31</v>
      </c>
      <c r="H61" s="2149">
        <f t="shared" si="6"/>
        <v>581868.05000000005</v>
      </c>
    </row>
    <row r="62" spans="1:11" ht="13.5">
      <c r="B62" s="1629">
        <v>44713</v>
      </c>
      <c r="C62" s="1629">
        <v>44742</v>
      </c>
      <c r="D62" s="1923">
        <v>7.7200000000000005E-2</v>
      </c>
      <c r="E62" s="1920">
        <v>0</v>
      </c>
      <c r="F62" s="1933">
        <f t="shared" si="7"/>
        <v>2.0376070695582449E-4</v>
      </c>
      <c r="G62" s="706">
        <f t="shared" si="8"/>
        <v>30</v>
      </c>
      <c r="H62" s="2149">
        <f t="shared" si="6"/>
        <v>615518.41</v>
      </c>
    </row>
    <row r="63" spans="1:11" ht="13.5">
      <c r="B63" s="1629">
        <v>44743</v>
      </c>
      <c r="C63" s="1629">
        <v>44773</v>
      </c>
      <c r="D63" s="1923">
        <v>9.2999999999999999E-2</v>
      </c>
      <c r="E63" s="1920">
        <v>0</v>
      </c>
      <c r="F63" s="1933">
        <f t="shared" si="7"/>
        <v>2.4366313088708402E-4</v>
      </c>
      <c r="G63" s="706">
        <f t="shared" si="8"/>
        <v>31</v>
      </c>
      <c r="H63" s="2149">
        <f t="shared" si="6"/>
        <v>760590.45</v>
      </c>
    </row>
    <row r="64" spans="1:11">
      <c r="B64" s="1629">
        <v>44774</v>
      </c>
      <c r="C64" s="1629">
        <v>44804</v>
      </c>
      <c r="D64" s="1920">
        <v>0.1057</v>
      </c>
      <c r="E64" s="1920">
        <v>0</v>
      </c>
      <c r="F64" s="1933">
        <f t="shared" si="7"/>
        <v>2.7532178056910439E-4</v>
      </c>
      <c r="G64" s="706">
        <f t="shared" si="8"/>
        <v>31</v>
      </c>
      <c r="H64" s="2149">
        <f t="shared" si="6"/>
        <v>859412.4</v>
      </c>
    </row>
    <row r="65" spans="2:8">
      <c r="B65" s="1629">
        <v>44805</v>
      </c>
      <c r="C65" s="1629">
        <v>44834</v>
      </c>
      <c r="D65" s="2181">
        <v>0.1099</v>
      </c>
      <c r="E65" s="1920">
        <v>0</v>
      </c>
      <c r="F65" s="1933">
        <f t="shared" si="7"/>
        <v>2.857118247707735E-4</v>
      </c>
      <c r="G65" s="706">
        <f t="shared" si="8"/>
        <v>30</v>
      </c>
      <c r="H65" s="2149">
        <f t="shared" si="6"/>
        <v>863075.57</v>
      </c>
    </row>
    <row r="66" spans="2:8">
      <c r="B66" s="1629">
        <v>44835</v>
      </c>
      <c r="C66" s="1629">
        <v>44865</v>
      </c>
      <c r="D66" s="2181">
        <v>0.11600000000000001</v>
      </c>
      <c r="E66" s="1920">
        <v>0</v>
      </c>
      <c r="F66" s="1933">
        <f t="shared" si="7"/>
        <v>3.0073250947526553E-4</v>
      </c>
      <c r="G66" s="706">
        <f t="shared" si="8"/>
        <v>31</v>
      </c>
      <c r="H66" s="2149">
        <f t="shared" si="6"/>
        <v>938731.57</v>
      </c>
    </row>
    <row r="67" spans="2:8">
      <c r="B67" s="1629">
        <v>44866</v>
      </c>
      <c r="C67" s="1629">
        <v>44877</v>
      </c>
      <c r="D67" s="2181">
        <v>0.1263</v>
      </c>
      <c r="E67" s="1920">
        <v>0</v>
      </c>
      <c r="F67" s="1933">
        <f t="shared" si="7"/>
        <v>3.2591042348917298E-4</v>
      </c>
      <c r="G67" s="706">
        <f t="shared" si="8"/>
        <v>12</v>
      </c>
      <c r="H67" s="2149">
        <f t="shared" si="6"/>
        <v>393802.84</v>
      </c>
    </row>
    <row r="68" spans="2:8">
      <c r="B68" s="1629">
        <v>44878</v>
      </c>
      <c r="C68" s="1629">
        <v>44895</v>
      </c>
      <c r="D68" s="2181">
        <v>0.25779999999999997</v>
      </c>
      <c r="E68" s="1920">
        <f>+D68*1.5</f>
        <v>0.38669999999999993</v>
      </c>
      <c r="F68" s="1933">
        <f>((1+E68)^(1/365)-1)</f>
        <v>8.9609117817124329E-4</v>
      </c>
      <c r="G68" s="706">
        <f t="shared" si="8"/>
        <v>18</v>
      </c>
      <c r="H68" s="2149">
        <f t="shared" si="6"/>
        <v>1624142.23</v>
      </c>
    </row>
    <row r="69" spans="2:8">
      <c r="B69" s="1629">
        <v>44896</v>
      </c>
      <c r="C69" s="1629">
        <v>44926</v>
      </c>
      <c r="D69" s="2181">
        <v>0.27639999999999998</v>
      </c>
      <c r="E69" s="1920">
        <f t="shared" ref="E69:E72" si="9">+D69*1.5</f>
        <v>0.41459999999999997</v>
      </c>
      <c r="F69" s="1933">
        <f t="shared" ref="F69:F72" si="10">((1+E69)^(1/365)-1)</f>
        <v>9.5071686592063109E-4</v>
      </c>
      <c r="G69" s="706">
        <f t="shared" si="8"/>
        <v>31</v>
      </c>
      <c r="H69" s="2149">
        <f t="shared" si="6"/>
        <v>2967647.03</v>
      </c>
    </row>
    <row r="70" spans="2:8">
      <c r="B70" s="1629">
        <v>44927</v>
      </c>
      <c r="C70" s="1629">
        <v>44957</v>
      </c>
      <c r="D70" s="2181">
        <v>0.28839999999999999</v>
      </c>
      <c r="E70" s="1920">
        <f t="shared" si="9"/>
        <v>0.43259999999999998</v>
      </c>
      <c r="F70" s="1933">
        <f t="shared" si="10"/>
        <v>9.8539196132163553E-4</v>
      </c>
      <c r="G70" s="706">
        <f t="shared" si="8"/>
        <v>31</v>
      </c>
      <c r="H70" s="2149">
        <f t="shared" si="6"/>
        <v>3075884.76</v>
      </c>
    </row>
    <row r="71" spans="2:8" ht="12.75" customHeight="1">
      <c r="B71" s="1629">
        <v>44958</v>
      </c>
      <c r="C71" s="1629">
        <v>44985</v>
      </c>
      <c r="D71" s="2181">
        <v>0.30180000000000001</v>
      </c>
      <c r="E71" s="1920">
        <f t="shared" si="9"/>
        <v>0.45269999999999999</v>
      </c>
      <c r="F71" s="1933">
        <f t="shared" si="10"/>
        <v>1.0236026853662761E-3</v>
      </c>
      <c r="G71" s="706">
        <f t="shared" si="8"/>
        <v>28</v>
      </c>
      <c r="H71" s="2149">
        <f t="shared" si="6"/>
        <v>2885949.98</v>
      </c>
    </row>
    <row r="72" spans="2:8" ht="12.75" customHeight="1">
      <c r="B72" s="1629">
        <v>44986</v>
      </c>
      <c r="C72" s="1629">
        <v>45002</v>
      </c>
      <c r="D72" s="2181">
        <v>0.30840000000000001</v>
      </c>
      <c r="E72" s="1920">
        <f t="shared" si="9"/>
        <v>0.46260000000000001</v>
      </c>
      <c r="F72" s="2094">
        <f t="shared" si="10"/>
        <v>1.0422295217955568E-3</v>
      </c>
      <c r="G72" s="706">
        <f t="shared" si="8"/>
        <v>17</v>
      </c>
      <c r="H72" s="2149">
        <f t="shared" si="6"/>
        <v>1784068.99</v>
      </c>
    </row>
    <row r="73" spans="2:8" ht="12.75" customHeight="1">
      <c r="B73" s="1629"/>
      <c r="C73" s="1629"/>
      <c r="D73" s="2445"/>
      <c r="E73" s="2045"/>
      <c r="F73" s="2839" t="s">
        <v>1831</v>
      </c>
      <c r="G73" s="2839"/>
      <c r="H73" s="2149">
        <f>SUM(H57:H72)</f>
        <v>18750238.389999997</v>
      </c>
    </row>
    <row r="74" spans="2:8" ht="13.5">
      <c r="B74" s="2672" t="s">
        <v>55</v>
      </c>
      <c r="C74" s="2672"/>
    </row>
    <row r="75" spans="2:8" ht="13.5">
      <c r="B75" s="737" t="s">
        <v>276</v>
      </c>
      <c r="C75" s="2154">
        <f>+E54</f>
        <v>100693016.66</v>
      </c>
    </row>
    <row r="76" spans="2:8" ht="25.5">
      <c r="B76" s="902" t="s">
        <v>338</v>
      </c>
      <c r="C76" s="2154">
        <f>+H73</f>
        <v>18750238.389999997</v>
      </c>
    </row>
    <row r="77" spans="2:8" ht="25.5">
      <c r="B77" s="902" t="s">
        <v>348</v>
      </c>
      <c r="C77" s="2154">
        <v>1853228.0072727301</v>
      </c>
    </row>
    <row r="78" spans="2:8" ht="13.5">
      <c r="B78" s="902" t="s">
        <v>757</v>
      </c>
      <c r="C78" s="2154">
        <v>4545.454545454545</v>
      </c>
    </row>
    <row r="79" spans="2:8" ht="13.5">
      <c r="B79" s="728" t="s">
        <v>1705</v>
      </c>
      <c r="C79" s="2250">
        <f>SUM(C75:C78)</f>
        <v>121301028.51181819</v>
      </c>
    </row>
    <row r="82" spans="1:8" ht="13.5">
      <c r="A82" s="731">
        <v>3</v>
      </c>
      <c r="B82" s="791" t="s">
        <v>1814</v>
      </c>
      <c r="D82" s="697" t="s">
        <v>1041</v>
      </c>
      <c r="E82" s="2350">
        <f>+I15</f>
        <v>104255290.36</v>
      </c>
    </row>
    <row r="83" spans="1:8" ht="13.5">
      <c r="B83" s="2824" t="s">
        <v>160</v>
      </c>
      <c r="C83" s="2824"/>
      <c r="D83" s="2824"/>
      <c r="E83" s="2824"/>
      <c r="F83" s="2824"/>
      <c r="G83" s="2824"/>
      <c r="H83" s="2824"/>
    </row>
    <row r="84" spans="1:8" ht="27">
      <c r="B84" s="1915" t="s">
        <v>206</v>
      </c>
      <c r="C84" s="1915" t="s">
        <v>10</v>
      </c>
      <c r="D84" s="2441" t="s">
        <v>1829</v>
      </c>
      <c r="E84" s="700" t="s">
        <v>1830</v>
      </c>
      <c r="F84" s="699" t="s">
        <v>43</v>
      </c>
      <c r="G84" s="1642" t="s">
        <v>47</v>
      </c>
      <c r="H84" s="2153" t="s">
        <v>48</v>
      </c>
    </row>
    <row r="85" spans="1:8">
      <c r="B85" s="1629">
        <v>44574</v>
      </c>
      <c r="C85" s="1629">
        <v>44592</v>
      </c>
      <c r="D85" s="1920">
        <v>3.4700000000000002E-2</v>
      </c>
      <c r="E85" s="1920">
        <v>0</v>
      </c>
      <c r="F85" s="1933">
        <f>((1+D85)^(1/365)-1)</f>
        <v>9.3460612729190373E-5</v>
      </c>
      <c r="G85" s="706">
        <f>+(C85-B85)+1</f>
        <v>19</v>
      </c>
      <c r="H85" s="2149">
        <f>ROUND($E$82*F85*G85,2)</f>
        <v>185131.5</v>
      </c>
    </row>
    <row r="86" spans="1:8">
      <c r="B86" s="1629">
        <v>44593</v>
      </c>
      <c r="C86" s="1629">
        <v>44620</v>
      </c>
      <c r="D86" s="1920">
        <v>4.3099999999999999E-2</v>
      </c>
      <c r="E86" s="1920">
        <v>0</v>
      </c>
      <c r="F86" s="1933">
        <f>((1+D86)^(1/365)-1)</f>
        <v>1.1561503550527874E-4</v>
      </c>
      <c r="G86" s="706">
        <f>+(C86-B86)+1</f>
        <v>28</v>
      </c>
      <c r="H86" s="2149">
        <f t="shared" ref="H86:H100" si="11">ROUND($E$82*F86*G86,2)</f>
        <v>337497.41</v>
      </c>
    </row>
    <row r="87" spans="1:8">
      <c r="B87" s="1629">
        <v>44621</v>
      </c>
      <c r="C87" s="1629">
        <v>44651</v>
      </c>
      <c r="D87" s="1920">
        <v>4.9700000000000001E-2</v>
      </c>
      <c r="E87" s="1920">
        <v>0</v>
      </c>
      <c r="F87" s="1933">
        <f t="shared" ref="F87:F95" si="12">((1+D87)^(1/365)-1)</f>
        <v>1.3289762205070943E-4</v>
      </c>
      <c r="G87" s="706">
        <f t="shared" ref="G87:G100" si="13">+(C87-B87)+1</f>
        <v>31</v>
      </c>
      <c r="H87" s="2149">
        <f t="shared" si="11"/>
        <v>429513.69</v>
      </c>
    </row>
    <row r="88" spans="1:8">
      <c r="B88" s="1629">
        <v>44652</v>
      </c>
      <c r="C88" s="1629">
        <v>44681</v>
      </c>
      <c r="D88" s="1920">
        <v>5.9700000000000003E-2</v>
      </c>
      <c r="E88" s="1920">
        <v>0</v>
      </c>
      <c r="F88" s="1933">
        <f t="shared" si="12"/>
        <v>1.5887796003677401E-4</v>
      </c>
      <c r="G88" s="706">
        <f t="shared" si="13"/>
        <v>30</v>
      </c>
      <c r="H88" s="2149">
        <f t="shared" si="11"/>
        <v>496916.04</v>
      </c>
    </row>
    <row r="89" spans="1:8">
      <c r="B89" s="1629">
        <v>44682</v>
      </c>
      <c r="C89" s="1629">
        <v>44712</v>
      </c>
      <c r="D89" s="1920">
        <v>7.0400000000000004E-2</v>
      </c>
      <c r="E89" s="1920">
        <v>0</v>
      </c>
      <c r="F89" s="1933">
        <f t="shared" si="12"/>
        <v>1.8640753718313086E-4</v>
      </c>
      <c r="G89" s="706">
        <f t="shared" si="13"/>
        <v>31</v>
      </c>
      <c r="H89" s="2149">
        <f t="shared" si="11"/>
        <v>602453.13</v>
      </c>
    </row>
    <row r="90" spans="1:8" ht="13.5">
      <c r="B90" s="1629">
        <v>44713</v>
      </c>
      <c r="C90" s="1629">
        <v>44742</v>
      </c>
      <c r="D90" s="1923">
        <v>7.7200000000000005E-2</v>
      </c>
      <c r="E90" s="1920">
        <v>0</v>
      </c>
      <c r="F90" s="1933">
        <f t="shared" si="12"/>
        <v>2.0376070695582449E-4</v>
      </c>
      <c r="G90" s="706">
        <f t="shared" si="13"/>
        <v>30</v>
      </c>
      <c r="H90" s="2149">
        <f t="shared" si="11"/>
        <v>637293.94999999995</v>
      </c>
    </row>
    <row r="91" spans="1:8" ht="13.5">
      <c r="B91" s="1629">
        <v>44743</v>
      </c>
      <c r="C91" s="1629">
        <v>44773</v>
      </c>
      <c r="D91" s="1923">
        <v>9.2999999999999999E-2</v>
      </c>
      <c r="E91" s="1920">
        <v>0</v>
      </c>
      <c r="F91" s="1933">
        <f t="shared" si="12"/>
        <v>2.4366313088708402E-4</v>
      </c>
      <c r="G91" s="706">
        <f t="shared" si="13"/>
        <v>31</v>
      </c>
      <c r="H91" s="2149">
        <f t="shared" si="11"/>
        <v>787498.28</v>
      </c>
    </row>
    <row r="92" spans="1:8">
      <c r="B92" s="1629">
        <v>44774</v>
      </c>
      <c r="C92" s="1629">
        <v>44804</v>
      </c>
      <c r="D92" s="1920">
        <v>0.1057</v>
      </c>
      <c r="E92" s="1920">
        <v>0</v>
      </c>
      <c r="F92" s="1933">
        <f t="shared" si="12"/>
        <v>2.7532178056910439E-4</v>
      </c>
      <c r="G92" s="706">
        <f t="shared" si="13"/>
        <v>31</v>
      </c>
      <c r="H92" s="2149">
        <f t="shared" si="11"/>
        <v>889816.32</v>
      </c>
    </row>
    <row r="93" spans="1:8">
      <c r="B93" s="1629">
        <v>44805</v>
      </c>
      <c r="C93" s="1629">
        <v>44834</v>
      </c>
      <c r="D93" s="2181">
        <v>0.1099</v>
      </c>
      <c r="E93" s="1920">
        <v>0</v>
      </c>
      <c r="F93" s="1933">
        <f t="shared" si="12"/>
        <v>2.857118247707735E-4</v>
      </c>
      <c r="G93" s="706">
        <f t="shared" si="13"/>
        <v>30</v>
      </c>
      <c r="H93" s="2149">
        <f t="shared" si="11"/>
        <v>893609.08</v>
      </c>
    </row>
    <row r="94" spans="1:8">
      <c r="B94" s="1629">
        <v>44835</v>
      </c>
      <c r="C94" s="1629">
        <v>44865</v>
      </c>
      <c r="D94" s="2181">
        <v>0.11600000000000001</v>
      </c>
      <c r="E94" s="1920">
        <v>0</v>
      </c>
      <c r="F94" s="1933">
        <f t="shared" si="12"/>
        <v>3.0073250947526553E-4</v>
      </c>
      <c r="G94" s="706">
        <f t="shared" si="13"/>
        <v>31</v>
      </c>
      <c r="H94" s="2149">
        <f t="shared" si="11"/>
        <v>971941.61</v>
      </c>
    </row>
    <row r="95" spans="1:8">
      <c r="B95" s="1629">
        <v>44866</v>
      </c>
      <c r="C95" s="1629">
        <v>44877</v>
      </c>
      <c r="D95" s="2181">
        <v>0.1263</v>
      </c>
      <c r="E95" s="1920">
        <v>0</v>
      </c>
      <c r="F95" s="1933">
        <f t="shared" si="12"/>
        <v>3.2591042348917298E-4</v>
      </c>
      <c r="G95" s="706">
        <f t="shared" si="13"/>
        <v>12</v>
      </c>
      <c r="H95" s="2149">
        <f t="shared" si="11"/>
        <v>407734.63</v>
      </c>
    </row>
    <row r="96" spans="1:8">
      <c r="B96" s="1629">
        <v>44878</v>
      </c>
      <c r="C96" s="1629">
        <v>44895</v>
      </c>
      <c r="D96" s="2181">
        <v>0.25779999999999997</v>
      </c>
      <c r="E96" s="1920">
        <f>+D96*1.5</f>
        <v>0.38669999999999993</v>
      </c>
      <c r="F96" s="1933">
        <f>((1+E96)^(1/365)-1)</f>
        <v>8.9609117817124329E-4</v>
      </c>
      <c r="G96" s="706">
        <f t="shared" si="13"/>
        <v>18</v>
      </c>
      <c r="H96" s="2149">
        <f t="shared" si="11"/>
        <v>1681600.43</v>
      </c>
    </row>
    <row r="97" spans="1:8">
      <c r="B97" s="1629">
        <v>44896</v>
      </c>
      <c r="C97" s="1629">
        <v>44926</v>
      </c>
      <c r="D97" s="2181">
        <v>0.27639999999999998</v>
      </c>
      <c r="E97" s="1920">
        <f t="shared" ref="E97:E100" si="14">+D97*1.5</f>
        <v>0.41459999999999997</v>
      </c>
      <c r="F97" s="1933">
        <f t="shared" ref="F97:F100" si="15">((1+E97)^(1/365)-1)</f>
        <v>9.5071686592063109E-4</v>
      </c>
      <c r="G97" s="706">
        <f t="shared" si="13"/>
        <v>31</v>
      </c>
      <c r="H97" s="2149">
        <f t="shared" si="11"/>
        <v>3072635.15</v>
      </c>
    </row>
    <row r="98" spans="1:8">
      <c r="B98" s="1629">
        <v>44927</v>
      </c>
      <c r="C98" s="1629">
        <v>44957</v>
      </c>
      <c r="D98" s="2181">
        <v>0.28839999999999999</v>
      </c>
      <c r="E98" s="1920">
        <f t="shared" si="14"/>
        <v>0.43259999999999998</v>
      </c>
      <c r="F98" s="1933">
        <f t="shared" si="15"/>
        <v>9.8539196132163553E-4</v>
      </c>
      <c r="G98" s="706">
        <f t="shared" si="13"/>
        <v>31</v>
      </c>
      <c r="H98" s="2149">
        <f t="shared" si="11"/>
        <v>3184702.08</v>
      </c>
    </row>
    <row r="99" spans="1:8" ht="12.75" customHeight="1">
      <c r="B99" s="1629">
        <v>44958</v>
      </c>
      <c r="C99" s="1629">
        <v>44985</v>
      </c>
      <c r="D99" s="2181">
        <v>0.30180000000000001</v>
      </c>
      <c r="E99" s="1920">
        <f t="shared" si="14"/>
        <v>0.45269999999999999</v>
      </c>
      <c r="F99" s="1933">
        <f t="shared" si="15"/>
        <v>1.0236026853662761E-3</v>
      </c>
      <c r="G99" s="706">
        <f t="shared" si="13"/>
        <v>28</v>
      </c>
      <c r="H99" s="2149">
        <f t="shared" si="11"/>
        <v>2988047.86</v>
      </c>
    </row>
    <row r="100" spans="1:8" ht="12.75" customHeight="1">
      <c r="B100" s="1629">
        <v>44986</v>
      </c>
      <c r="C100" s="1629">
        <v>45002</v>
      </c>
      <c r="D100" s="2181">
        <v>0.30840000000000001</v>
      </c>
      <c r="E100" s="1920">
        <f t="shared" si="14"/>
        <v>0.46260000000000001</v>
      </c>
      <c r="F100" s="2094">
        <f t="shared" si="15"/>
        <v>1.0422295217955568E-3</v>
      </c>
      <c r="G100" s="706">
        <f t="shared" si="13"/>
        <v>17</v>
      </c>
      <c r="H100" s="2149">
        <f t="shared" si="11"/>
        <v>1847185</v>
      </c>
    </row>
    <row r="101" spans="1:8">
      <c r="B101" s="1629"/>
      <c r="C101" s="1629"/>
      <c r="D101" s="2445"/>
      <c r="E101" s="2045"/>
      <c r="F101" s="2839" t="s">
        <v>1831</v>
      </c>
      <c r="G101" s="2839"/>
      <c r="H101" s="2149">
        <f>SUM(H85:H100)</f>
        <v>19413576.16</v>
      </c>
    </row>
    <row r="102" spans="1:8" ht="13.5">
      <c r="B102" s="2672" t="s">
        <v>55</v>
      </c>
      <c r="C102" s="2672"/>
      <c r="F102" s="1934"/>
      <c r="G102" s="1934"/>
      <c r="H102" s="2151">
        <v>19413576.16</v>
      </c>
    </row>
    <row r="103" spans="1:8" ht="13.5">
      <c r="B103" s="737" t="s">
        <v>276</v>
      </c>
      <c r="C103" s="2154">
        <f>+E82</f>
        <v>104255290.36</v>
      </c>
      <c r="F103" s="1934"/>
      <c r="G103" s="1934"/>
    </row>
    <row r="104" spans="1:8" ht="25.5">
      <c r="B104" s="902" t="s">
        <v>338</v>
      </c>
      <c r="C104" s="2154">
        <f>+H101</f>
        <v>19413576.16</v>
      </c>
      <c r="F104" s="1934"/>
      <c r="G104" s="1934"/>
    </row>
    <row r="105" spans="1:8" ht="25.5">
      <c r="B105" s="902" t="s">
        <v>348</v>
      </c>
      <c r="C105" s="2154">
        <v>1853228.0072727271</v>
      </c>
      <c r="F105" s="1934"/>
      <c r="G105" s="1934"/>
    </row>
    <row r="106" spans="1:8" ht="13.5">
      <c r="B106" s="902" t="s">
        <v>757</v>
      </c>
      <c r="C106" s="2154">
        <v>4545.454545454545</v>
      </c>
      <c r="F106" s="1934"/>
      <c r="G106" s="1934"/>
    </row>
    <row r="107" spans="1:8" ht="13.5">
      <c r="B107" s="728" t="s">
        <v>1705</v>
      </c>
      <c r="C107" s="2250">
        <f>SUM(C103:C106)</f>
        <v>125526639.98181817</v>
      </c>
      <c r="D107" s="697">
        <v>125526639.98181801</v>
      </c>
    </row>
    <row r="109" spans="1:8" ht="13.5">
      <c r="A109" s="731">
        <v>4</v>
      </c>
      <c r="B109" s="791" t="s">
        <v>1816</v>
      </c>
      <c r="D109" s="697" t="s">
        <v>1041</v>
      </c>
      <c r="E109" s="2350">
        <f>+I16</f>
        <v>111029522.98999999</v>
      </c>
    </row>
    <row r="110" spans="1:8" ht="13.5">
      <c r="B110" s="2824" t="s">
        <v>160</v>
      </c>
      <c r="C110" s="2824"/>
      <c r="D110" s="2824"/>
      <c r="E110" s="2824"/>
      <c r="F110" s="2824"/>
      <c r="G110" s="2824"/>
      <c r="H110" s="2824"/>
    </row>
    <row r="111" spans="1:8" ht="27">
      <c r="B111" s="1915" t="s">
        <v>206</v>
      </c>
      <c r="C111" s="1915" t="s">
        <v>10</v>
      </c>
      <c r="D111" s="2441" t="s">
        <v>1829</v>
      </c>
      <c r="E111" s="700" t="s">
        <v>1830</v>
      </c>
      <c r="F111" s="699" t="s">
        <v>43</v>
      </c>
      <c r="G111" s="1642" t="s">
        <v>47</v>
      </c>
      <c r="H111" s="2153" t="s">
        <v>48</v>
      </c>
    </row>
    <row r="112" spans="1:8">
      <c r="B112" s="1629">
        <v>44574</v>
      </c>
      <c r="C112" s="1629">
        <v>44592</v>
      </c>
      <c r="D112" s="1920">
        <v>3.4700000000000002E-2</v>
      </c>
      <c r="E112" s="1920">
        <v>0</v>
      </c>
      <c r="F112" s="1933">
        <f>((1+D112)^(1/365)-1)</f>
        <v>9.3460612729190373E-5</v>
      </c>
      <c r="G112" s="706">
        <f>+(C112-B112)+1</f>
        <v>19</v>
      </c>
      <c r="H112" s="2149">
        <f>ROUND($E$109*F112*G112,2)</f>
        <v>197160.86</v>
      </c>
    </row>
    <row r="113" spans="2:8">
      <c r="B113" s="1629">
        <v>44593</v>
      </c>
      <c r="C113" s="1629">
        <v>44620</v>
      </c>
      <c r="D113" s="1920">
        <v>4.3099999999999999E-2</v>
      </c>
      <c r="E113" s="1920">
        <v>0</v>
      </c>
      <c r="F113" s="1933">
        <f>((1+D113)^(1/365)-1)</f>
        <v>1.1561503550527874E-4</v>
      </c>
      <c r="G113" s="706">
        <f>+(C113-B113)+1</f>
        <v>28</v>
      </c>
      <c r="H113" s="2149">
        <f t="shared" ref="H113:H127" si="16">ROUND($E$109*F113*G113,2)</f>
        <v>359427.1</v>
      </c>
    </row>
    <row r="114" spans="2:8">
      <c r="B114" s="1629">
        <v>44621</v>
      </c>
      <c r="C114" s="1629">
        <v>44651</v>
      </c>
      <c r="D114" s="1920">
        <v>4.9700000000000001E-2</v>
      </c>
      <c r="E114" s="1920">
        <v>0</v>
      </c>
      <c r="F114" s="1933">
        <f t="shared" ref="F114:F122" si="17">((1+D114)^(1/365)-1)</f>
        <v>1.3289762205070943E-4</v>
      </c>
      <c r="G114" s="706">
        <f t="shared" ref="G114:G127" si="18">+(C114-B114)+1</f>
        <v>31</v>
      </c>
      <c r="H114" s="2149">
        <f t="shared" si="16"/>
        <v>457422.35</v>
      </c>
    </row>
    <row r="115" spans="2:8">
      <c r="B115" s="1629">
        <v>44652</v>
      </c>
      <c r="C115" s="1629">
        <v>44681</v>
      </c>
      <c r="D115" s="1920">
        <v>5.9700000000000003E-2</v>
      </c>
      <c r="E115" s="1920">
        <v>0</v>
      </c>
      <c r="F115" s="1933">
        <f t="shared" si="17"/>
        <v>1.5887796003677401E-4</v>
      </c>
      <c r="G115" s="706">
        <f t="shared" si="18"/>
        <v>30</v>
      </c>
      <c r="H115" s="2149">
        <f t="shared" si="16"/>
        <v>529204.31999999995</v>
      </c>
    </row>
    <row r="116" spans="2:8">
      <c r="B116" s="1629">
        <v>44682</v>
      </c>
      <c r="C116" s="1629">
        <v>44712</v>
      </c>
      <c r="D116" s="1920">
        <v>7.0400000000000004E-2</v>
      </c>
      <c r="E116" s="1920">
        <v>0</v>
      </c>
      <c r="F116" s="1933">
        <f t="shared" si="17"/>
        <v>1.8640753718313086E-4</v>
      </c>
      <c r="G116" s="706">
        <f t="shared" si="18"/>
        <v>31</v>
      </c>
      <c r="H116" s="2149">
        <f t="shared" si="16"/>
        <v>641598.93999999994</v>
      </c>
    </row>
    <row r="117" spans="2:8" ht="13.5">
      <c r="B117" s="1629">
        <v>44713</v>
      </c>
      <c r="C117" s="1629">
        <v>44742</v>
      </c>
      <c r="D117" s="1923">
        <v>7.7200000000000005E-2</v>
      </c>
      <c r="E117" s="1920">
        <v>0</v>
      </c>
      <c r="F117" s="1933">
        <f t="shared" si="17"/>
        <v>2.0376070695582449E-4</v>
      </c>
      <c r="G117" s="706">
        <f t="shared" si="18"/>
        <v>30</v>
      </c>
      <c r="H117" s="2149">
        <f t="shared" si="16"/>
        <v>678703.62</v>
      </c>
    </row>
    <row r="118" spans="2:8" ht="13.5">
      <c r="B118" s="1629">
        <v>44743</v>
      </c>
      <c r="C118" s="1629">
        <v>44773</v>
      </c>
      <c r="D118" s="1923">
        <v>9.2999999999999999E-2</v>
      </c>
      <c r="E118" s="1920">
        <v>0</v>
      </c>
      <c r="F118" s="1933">
        <f t="shared" si="17"/>
        <v>2.4366313088708402E-4</v>
      </c>
      <c r="G118" s="706">
        <f t="shared" si="18"/>
        <v>31</v>
      </c>
      <c r="H118" s="2149">
        <f t="shared" si="16"/>
        <v>838667.84</v>
      </c>
    </row>
    <row r="119" spans="2:8">
      <c r="B119" s="1629">
        <v>44774</v>
      </c>
      <c r="C119" s="1629">
        <v>44804</v>
      </c>
      <c r="D119" s="1920">
        <v>0.1057</v>
      </c>
      <c r="E119" s="1920">
        <v>0</v>
      </c>
      <c r="F119" s="1933">
        <f t="shared" si="17"/>
        <v>2.7532178056910439E-4</v>
      </c>
      <c r="G119" s="706">
        <f t="shared" si="18"/>
        <v>31</v>
      </c>
      <c r="H119" s="2149">
        <f t="shared" si="16"/>
        <v>947634.22</v>
      </c>
    </row>
    <row r="120" spans="2:8">
      <c r="B120" s="1629">
        <v>44805</v>
      </c>
      <c r="C120" s="1629">
        <v>44834</v>
      </c>
      <c r="D120" s="2181">
        <v>0.1099</v>
      </c>
      <c r="E120" s="1920">
        <v>0</v>
      </c>
      <c r="F120" s="1933">
        <f t="shared" si="17"/>
        <v>2.857118247707735E-4</v>
      </c>
      <c r="G120" s="706">
        <f t="shared" si="18"/>
        <v>30</v>
      </c>
      <c r="H120" s="2149">
        <f t="shared" si="16"/>
        <v>951673.43</v>
      </c>
    </row>
    <row r="121" spans="2:8">
      <c r="B121" s="1629">
        <v>44835</v>
      </c>
      <c r="C121" s="1629">
        <v>44865</v>
      </c>
      <c r="D121" s="2181">
        <v>0.11600000000000001</v>
      </c>
      <c r="E121" s="1920">
        <v>0</v>
      </c>
      <c r="F121" s="1933">
        <f t="shared" si="17"/>
        <v>3.0073250947526553E-4</v>
      </c>
      <c r="G121" s="706">
        <f t="shared" si="18"/>
        <v>31</v>
      </c>
      <c r="H121" s="2149">
        <f t="shared" si="16"/>
        <v>1035095.8</v>
      </c>
    </row>
    <row r="122" spans="2:8">
      <c r="B122" s="1629">
        <v>44866</v>
      </c>
      <c r="C122" s="1629">
        <v>44877</v>
      </c>
      <c r="D122" s="2181">
        <v>0.1263</v>
      </c>
      <c r="E122" s="1920">
        <v>0</v>
      </c>
      <c r="F122" s="1933">
        <f t="shared" si="17"/>
        <v>3.2591042348917298E-4</v>
      </c>
      <c r="G122" s="706">
        <f t="shared" si="18"/>
        <v>12</v>
      </c>
      <c r="H122" s="2149">
        <f t="shared" si="16"/>
        <v>434228.15</v>
      </c>
    </row>
    <row r="123" spans="2:8">
      <c r="B123" s="1629">
        <v>44878</v>
      </c>
      <c r="C123" s="1629">
        <v>44895</v>
      </c>
      <c r="D123" s="2181">
        <v>0.25779999999999997</v>
      </c>
      <c r="E123" s="1920">
        <f>+D123*1.5</f>
        <v>0.38669999999999993</v>
      </c>
      <c r="F123" s="1933">
        <f>((1+E123)^(1/365)-1)</f>
        <v>8.9609117817124329E-4</v>
      </c>
      <c r="G123" s="706">
        <f t="shared" si="18"/>
        <v>18</v>
      </c>
      <c r="H123" s="2149">
        <f t="shared" si="16"/>
        <v>1790866.37</v>
      </c>
    </row>
    <row r="124" spans="2:8">
      <c r="B124" s="1629">
        <v>44896</v>
      </c>
      <c r="C124" s="1629">
        <v>44926</v>
      </c>
      <c r="D124" s="2181">
        <v>0.27639999999999998</v>
      </c>
      <c r="E124" s="1920">
        <f t="shared" ref="E124:E127" si="19">+D124*1.5</f>
        <v>0.41459999999999997</v>
      </c>
      <c r="F124" s="1933">
        <f t="shared" ref="F124:F127" si="20">((1+E124)^(1/365)-1)</f>
        <v>9.5071686592063109E-4</v>
      </c>
      <c r="G124" s="706">
        <f t="shared" si="18"/>
        <v>31</v>
      </c>
      <c r="H124" s="2149">
        <f t="shared" si="16"/>
        <v>3272286.84</v>
      </c>
    </row>
    <row r="125" spans="2:8">
      <c r="B125" s="1629">
        <v>44927</v>
      </c>
      <c r="C125" s="1629">
        <v>44957</v>
      </c>
      <c r="D125" s="2181">
        <v>0.28839999999999999</v>
      </c>
      <c r="E125" s="1920">
        <f t="shared" si="19"/>
        <v>0.43259999999999998</v>
      </c>
      <c r="F125" s="1933">
        <f t="shared" si="20"/>
        <v>9.8539196132163553E-4</v>
      </c>
      <c r="G125" s="706">
        <f t="shared" si="18"/>
        <v>31</v>
      </c>
      <c r="H125" s="2149">
        <f t="shared" si="16"/>
        <v>3391635.58</v>
      </c>
    </row>
    <row r="126" spans="2:8" ht="12.75" customHeight="1">
      <c r="B126" s="1629">
        <v>44958</v>
      </c>
      <c r="C126" s="1629">
        <v>44985</v>
      </c>
      <c r="D126" s="2181">
        <v>0.30180000000000001</v>
      </c>
      <c r="E126" s="1920">
        <f t="shared" si="19"/>
        <v>0.45269999999999999</v>
      </c>
      <c r="F126" s="1933">
        <f t="shared" si="20"/>
        <v>1.0236026853662761E-3</v>
      </c>
      <c r="G126" s="706">
        <f t="shared" si="18"/>
        <v>28</v>
      </c>
      <c r="H126" s="2149">
        <f t="shared" si="16"/>
        <v>3182203.3</v>
      </c>
    </row>
    <row r="127" spans="2:8" ht="12.75" customHeight="1">
      <c r="B127" s="1629">
        <v>44986</v>
      </c>
      <c r="C127" s="1629">
        <v>45002</v>
      </c>
      <c r="D127" s="2181">
        <v>0.30840000000000001</v>
      </c>
      <c r="E127" s="1920">
        <f t="shared" si="19"/>
        <v>0.46260000000000001</v>
      </c>
      <c r="F127" s="2094">
        <f t="shared" si="20"/>
        <v>1.0422295217955568E-3</v>
      </c>
      <c r="G127" s="706">
        <f t="shared" si="18"/>
        <v>17</v>
      </c>
      <c r="H127" s="2149">
        <f t="shared" si="16"/>
        <v>1967210.19</v>
      </c>
    </row>
    <row r="128" spans="2:8" ht="12.75" customHeight="1">
      <c r="B128" s="1629"/>
      <c r="C128" s="1629"/>
      <c r="D128" s="2445"/>
      <c r="E128" s="2045"/>
      <c r="F128" s="2839" t="s">
        <v>1831</v>
      </c>
      <c r="G128" s="2839"/>
      <c r="H128" s="2149">
        <f>SUM(H112:H127)</f>
        <v>20675018.91</v>
      </c>
    </row>
    <row r="129" spans="1:8" ht="13.5">
      <c r="B129" s="2672" t="s">
        <v>55</v>
      </c>
      <c r="C129" s="2672"/>
      <c r="F129" s="1934"/>
      <c r="G129" s="1934"/>
    </row>
    <row r="130" spans="1:8" ht="13.5">
      <c r="B130" s="737" t="s">
        <v>276</v>
      </c>
      <c r="C130" s="2154">
        <f>+E109</f>
        <v>111029522.98999999</v>
      </c>
      <c r="F130" s="1934"/>
      <c r="G130" s="1934"/>
    </row>
    <row r="131" spans="1:8" ht="25.5">
      <c r="B131" s="902" t="s">
        <v>338</v>
      </c>
      <c r="C131" s="2154">
        <f>+H128</f>
        <v>20675018.91</v>
      </c>
      <c r="F131" s="1934"/>
      <c r="G131" s="1934"/>
    </row>
    <row r="132" spans="1:8" ht="25.5">
      <c r="B132" s="902" t="s">
        <v>348</v>
      </c>
      <c r="C132" s="2154">
        <v>1853228.0072727271</v>
      </c>
      <c r="F132" s="1934"/>
      <c r="G132" s="1934"/>
    </row>
    <row r="133" spans="1:8" ht="13.5">
      <c r="B133" s="902" t="s">
        <v>757</v>
      </c>
      <c r="C133" s="2154">
        <v>4545.454545454545</v>
      </c>
      <c r="F133" s="1934"/>
      <c r="G133" s="1934"/>
    </row>
    <row r="134" spans="1:8" ht="13.5">
      <c r="B134" s="728" t="s">
        <v>1705</v>
      </c>
      <c r="C134" s="2250">
        <f>SUM(C130:C133)</f>
        <v>133562315.36181816</v>
      </c>
      <c r="F134" s="1934"/>
      <c r="G134" s="1934"/>
    </row>
    <row r="135" spans="1:8">
      <c r="F135" s="1934"/>
      <c r="G135" s="1934"/>
    </row>
    <row r="136" spans="1:8" ht="13.5">
      <c r="A136" s="731">
        <v>5</v>
      </c>
      <c r="B136" s="1086" t="s">
        <v>1817</v>
      </c>
      <c r="D136" s="697" t="s">
        <v>1041</v>
      </c>
      <c r="E136" s="2350">
        <f>+I17</f>
        <v>113998231.44</v>
      </c>
    </row>
    <row r="137" spans="1:8" ht="13.5">
      <c r="B137" s="2824" t="s">
        <v>160</v>
      </c>
      <c r="C137" s="2824"/>
      <c r="D137" s="2824"/>
      <c r="E137" s="2824"/>
      <c r="F137" s="2824"/>
      <c r="G137" s="2824"/>
      <c r="H137" s="2824"/>
    </row>
    <row r="138" spans="1:8" ht="27">
      <c r="B138" s="1915" t="s">
        <v>206</v>
      </c>
      <c r="C138" s="1915" t="s">
        <v>10</v>
      </c>
      <c r="D138" s="2441" t="s">
        <v>1829</v>
      </c>
      <c r="E138" s="700" t="s">
        <v>1830</v>
      </c>
      <c r="F138" s="699" t="s">
        <v>43</v>
      </c>
      <c r="G138" s="1642" t="s">
        <v>47</v>
      </c>
      <c r="H138" s="2153" t="s">
        <v>48</v>
      </c>
    </row>
    <row r="139" spans="1:8">
      <c r="B139" s="1629">
        <v>44574</v>
      </c>
      <c r="C139" s="1629">
        <v>44592</v>
      </c>
      <c r="D139" s="1920">
        <v>3.4700000000000002E-2</v>
      </c>
      <c r="E139" s="1920">
        <v>0</v>
      </c>
      <c r="F139" s="1933">
        <f>((1+D139)^(1/365)-1)</f>
        <v>9.3460612729190373E-5</v>
      </c>
      <c r="G139" s="706">
        <f>+(C139-B139)+1</f>
        <v>19</v>
      </c>
      <c r="H139" s="2149">
        <f>ROUND($E$136*F139*G139,2)</f>
        <v>202432.55</v>
      </c>
    </row>
    <row r="140" spans="1:8">
      <c r="B140" s="1629">
        <v>44593</v>
      </c>
      <c r="C140" s="1629">
        <v>44620</v>
      </c>
      <c r="D140" s="1920">
        <v>4.3099999999999999E-2</v>
      </c>
      <c r="E140" s="1920">
        <v>0</v>
      </c>
      <c r="F140" s="1933">
        <f>((1+D140)^(1/365)-1)</f>
        <v>1.1561503550527874E-4</v>
      </c>
      <c r="G140" s="706">
        <f>+(C140-B140)+1</f>
        <v>28</v>
      </c>
      <c r="H140" s="2149">
        <f t="shared" ref="H140:H154" si="21">ROUND($E$136*F140*G140,2)</f>
        <v>369037.47</v>
      </c>
    </row>
    <row r="141" spans="1:8">
      <c r="B141" s="1629">
        <v>44621</v>
      </c>
      <c r="C141" s="1629">
        <v>44651</v>
      </c>
      <c r="D141" s="1920">
        <v>4.9700000000000001E-2</v>
      </c>
      <c r="E141" s="1920">
        <v>0</v>
      </c>
      <c r="F141" s="1933">
        <f t="shared" ref="F141:F149" si="22">((1+D141)^(1/365)-1)</f>
        <v>1.3289762205070943E-4</v>
      </c>
      <c r="G141" s="706">
        <f t="shared" ref="G141:G154" si="23">+(C141-B141)+1</f>
        <v>31</v>
      </c>
      <c r="H141" s="2149">
        <f t="shared" si="21"/>
        <v>469652.91</v>
      </c>
    </row>
    <row r="142" spans="1:8">
      <c r="B142" s="1629">
        <v>44652</v>
      </c>
      <c r="C142" s="1629">
        <v>44681</v>
      </c>
      <c r="D142" s="1920">
        <v>5.9700000000000003E-2</v>
      </c>
      <c r="E142" s="1920">
        <v>0</v>
      </c>
      <c r="F142" s="1933">
        <f t="shared" si="22"/>
        <v>1.5887796003677401E-4</v>
      </c>
      <c r="G142" s="706">
        <f t="shared" si="23"/>
        <v>30</v>
      </c>
      <c r="H142" s="2149">
        <f t="shared" si="21"/>
        <v>543354.18999999994</v>
      </c>
    </row>
    <row r="143" spans="1:8">
      <c r="B143" s="1629">
        <v>44682</v>
      </c>
      <c r="C143" s="1629">
        <v>44712</v>
      </c>
      <c r="D143" s="1920">
        <v>7.0400000000000004E-2</v>
      </c>
      <c r="E143" s="1920">
        <v>0</v>
      </c>
      <c r="F143" s="1933">
        <f t="shared" si="22"/>
        <v>1.8640753718313086E-4</v>
      </c>
      <c r="G143" s="706">
        <f t="shared" si="23"/>
        <v>31</v>
      </c>
      <c r="H143" s="2149">
        <f t="shared" si="21"/>
        <v>658754.02</v>
      </c>
    </row>
    <row r="144" spans="1:8" ht="13.5">
      <c r="B144" s="1629">
        <v>44713</v>
      </c>
      <c r="C144" s="1629">
        <v>44742</v>
      </c>
      <c r="D144" s="1923">
        <v>7.7200000000000005E-2</v>
      </c>
      <c r="E144" s="1920">
        <v>0</v>
      </c>
      <c r="F144" s="1933">
        <f t="shared" si="22"/>
        <v>2.0376070695582449E-4</v>
      </c>
      <c r="G144" s="706">
        <f t="shared" si="23"/>
        <v>30</v>
      </c>
      <c r="H144" s="2149">
        <f t="shared" si="21"/>
        <v>696850.81</v>
      </c>
    </row>
    <row r="145" spans="2:8" ht="13.5">
      <c r="B145" s="1629">
        <v>44743</v>
      </c>
      <c r="C145" s="1629">
        <v>44773</v>
      </c>
      <c r="D145" s="1923">
        <v>9.2999999999999999E-2</v>
      </c>
      <c r="E145" s="1920">
        <v>0</v>
      </c>
      <c r="F145" s="1933">
        <f t="shared" si="22"/>
        <v>2.4366313088708402E-4</v>
      </c>
      <c r="G145" s="706">
        <f t="shared" si="23"/>
        <v>31</v>
      </c>
      <c r="H145" s="2149">
        <f t="shared" si="21"/>
        <v>861092.15</v>
      </c>
    </row>
    <row r="146" spans="2:8">
      <c r="B146" s="1629">
        <v>44774</v>
      </c>
      <c r="C146" s="1629">
        <v>44804</v>
      </c>
      <c r="D146" s="1920">
        <v>0.1057</v>
      </c>
      <c r="E146" s="1920">
        <v>0</v>
      </c>
      <c r="F146" s="1933">
        <f t="shared" si="22"/>
        <v>2.7532178056910439E-4</v>
      </c>
      <c r="G146" s="706">
        <f t="shared" si="23"/>
        <v>31</v>
      </c>
      <c r="H146" s="2149">
        <f t="shared" si="21"/>
        <v>972972.08</v>
      </c>
    </row>
    <row r="147" spans="2:8">
      <c r="B147" s="1629">
        <v>44805</v>
      </c>
      <c r="C147" s="1629">
        <v>44834</v>
      </c>
      <c r="D147" s="2181">
        <v>0.1099</v>
      </c>
      <c r="E147" s="1920">
        <v>0</v>
      </c>
      <c r="F147" s="1933">
        <f t="shared" si="22"/>
        <v>2.857118247707735E-4</v>
      </c>
      <c r="G147" s="706">
        <f t="shared" si="23"/>
        <v>30</v>
      </c>
      <c r="H147" s="2149">
        <f t="shared" si="21"/>
        <v>977119.28</v>
      </c>
    </row>
    <row r="148" spans="2:8">
      <c r="B148" s="1629">
        <v>44835</v>
      </c>
      <c r="C148" s="1629">
        <v>44865</v>
      </c>
      <c r="D148" s="2181">
        <v>0.11600000000000001</v>
      </c>
      <c r="E148" s="1920">
        <v>0</v>
      </c>
      <c r="F148" s="1933">
        <f t="shared" si="22"/>
        <v>3.0073250947526553E-4</v>
      </c>
      <c r="G148" s="706">
        <f t="shared" si="23"/>
        <v>31</v>
      </c>
      <c r="H148" s="2149">
        <f t="shared" si="21"/>
        <v>1062772.2</v>
      </c>
    </row>
    <row r="149" spans="2:8">
      <c r="B149" s="1629">
        <v>44866</v>
      </c>
      <c r="C149" s="1629">
        <v>44877</v>
      </c>
      <c r="D149" s="2181">
        <v>0.1263</v>
      </c>
      <c r="E149" s="1920">
        <v>0</v>
      </c>
      <c r="F149" s="1933">
        <f t="shared" si="22"/>
        <v>3.2591042348917298E-4</v>
      </c>
      <c r="G149" s="706">
        <f t="shared" si="23"/>
        <v>12</v>
      </c>
      <c r="H149" s="2149">
        <f t="shared" si="21"/>
        <v>445838.54</v>
      </c>
    </row>
    <row r="150" spans="2:8">
      <c r="B150" s="1629">
        <v>44878</v>
      </c>
      <c r="C150" s="1629">
        <v>44895</v>
      </c>
      <c r="D150" s="2181">
        <v>0.25779999999999997</v>
      </c>
      <c r="E150" s="1920">
        <f>+D150*1.5</f>
        <v>0.38669999999999993</v>
      </c>
      <c r="F150" s="1933">
        <f>((1+E150)^(1/365)-1)</f>
        <v>8.9609117817124329E-4</v>
      </c>
      <c r="G150" s="706">
        <f t="shared" si="23"/>
        <v>18</v>
      </c>
      <c r="H150" s="2149">
        <f t="shared" si="21"/>
        <v>1838750.57</v>
      </c>
    </row>
    <row r="151" spans="2:8">
      <c r="B151" s="1629">
        <v>44896</v>
      </c>
      <c r="C151" s="1629">
        <v>44926</v>
      </c>
      <c r="D151" s="2181">
        <v>0.27639999999999998</v>
      </c>
      <c r="E151" s="1920">
        <f t="shared" ref="E151:E154" si="24">+D151*1.5</f>
        <v>0.41459999999999997</v>
      </c>
      <c r="F151" s="1933">
        <f t="shared" ref="F151:F154" si="25">((1+E151)^(1/365)-1)</f>
        <v>9.5071686592063109E-4</v>
      </c>
      <c r="G151" s="706">
        <f t="shared" si="23"/>
        <v>31</v>
      </c>
      <c r="H151" s="2149">
        <f t="shared" si="21"/>
        <v>3359781.28</v>
      </c>
    </row>
    <row r="152" spans="2:8">
      <c r="B152" s="1629">
        <v>44927</v>
      </c>
      <c r="C152" s="1629">
        <v>44957</v>
      </c>
      <c r="D152" s="2181">
        <v>0.28839999999999999</v>
      </c>
      <c r="E152" s="1920">
        <f t="shared" si="24"/>
        <v>0.43259999999999998</v>
      </c>
      <c r="F152" s="1933">
        <f t="shared" si="25"/>
        <v>9.8539196132163553E-4</v>
      </c>
      <c r="G152" s="706">
        <f t="shared" si="23"/>
        <v>31</v>
      </c>
      <c r="H152" s="2149">
        <f t="shared" si="21"/>
        <v>3482321.17</v>
      </c>
    </row>
    <row r="153" spans="2:8">
      <c r="B153" s="1629">
        <v>44958</v>
      </c>
      <c r="C153" s="1629">
        <v>44985</v>
      </c>
      <c r="D153" s="2181">
        <v>0.30180000000000001</v>
      </c>
      <c r="E153" s="1920">
        <f t="shared" si="24"/>
        <v>0.45269999999999999</v>
      </c>
      <c r="F153" s="1933">
        <f t="shared" si="25"/>
        <v>1.0236026853662761E-3</v>
      </c>
      <c r="G153" s="706">
        <f t="shared" si="23"/>
        <v>28</v>
      </c>
      <c r="H153" s="2149">
        <f t="shared" si="21"/>
        <v>3267289.08</v>
      </c>
    </row>
    <row r="154" spans="2:8" ht="12.75" customHeight="1">
      <c r="B154" s="1629">
        <v>44986</v>
      </c>
      <c r="C154" s="1629">
        <v>45002</v>
      </c>
      <c r="D154" s="2181">
        <v>0.30840000000000001</v>
      </c>
      <c r="E154" s="1920">
        <f t="shared" si="24"/>
        <v>0.46260000000000001</v>
      </c>
      <c r="F154" s="2094">
        <f t="shared" si="25"/>
        <v>1.0422295217955568E-3</v>
      </c>
      <c r="G154" s="706">
        <f t="shared" si="23"/>
        <v>17</v>
      </c>
      <c r="H154" s="2149">
        <f t="shared" si="21"/>
        <v>2019809.48</v>
      </c>
    </row>
    <row r="155" spans="2:8" ht="12.75" customHeight="1">
      <c r="B155" s="1629"/>
      <c r="C155" s="1629"/>
      <c r="D155" s="2445"/>
      <c r="E155" s="2045"/>
      <c r="F155" s="2839" t="s">
        <v>1831</v>
      </c>
      <c r="G155" s="2839"/>
      <c r="H155" s="2149">
        <f>SUM(H139:H154)</f>
        <v>21227827.779999997</v>
      </c>
    </row>
    <row r="156" spans="2:8" ht="13.5">
      <c r="B156" s="2672" t="s">
        <v>55</v>
      </c>
      <c r="C156" s="2672"/>
      <c r="D156" s="2445"/>
      <c r="E156" s="2045"/>
      <c r="H156" s="697"/>
    </row>
    <row r="157" spans="2:8" ht="13.5">
      <c r="B157" s="737" t="s">
        <v>276</v>
      </c>
      <c r="C157" s="2154">
        <f>+E136</f>
        <v>113998231.44</v>
      </c>
      <c r="D157" s="2445"/>
      <c r="E157" s="2045"/>
      <c r="H157" s="697"/>
    </row>
    <row r="158" spans="2:8" ht="25.5">
      <c r="B158" s="902" t="s">
        <v>338</v>
      </c>
      <c r="C158" s="2154">
        <f>+H155</f>
        <v>21227827.779999997</v>
      </c>
      <c r="D158" s="2445"/>
      <c r="E158" s="2045"/>
      <c r="H158" s="697"/>
    </row>
    <row r="159" spans="2:8" ht="25.5">
      <c r="B159" s="902" t="s">
        <v>348</v>
      </c>
      <c r="C159" s="2154">
        <v>1853228.0072727271</v>
      </c>
      <c r="D159" s="2445"/>
      <c r="E159" s="2045"/>
      <c r="H159" s="697"/>
    </row>
    <row r="160" spans="2:8" ht="13.5">
      <c r="B160" s="902" t="s">
        <v>757</v>
      </c>
      <c r="C160" s="2154">
        <v>4545.454545454545</v>
      </c>
      <c r="D160" s="2445"/>
      <c r="E160" s="2045"/>
      <c r="H160" s="697"/>
    </row>
    <row r="161" spans="1:8" ht="13.5">
      <c r="B161" s="728" t="s">
        <v>1705</v>
      </c>
      <c r="C161" s="2250">
        <f>SUM(C157:C160)</f>
        <v>137083832.68181819</v>
      </c>
      <c r="D161" s="697">
        <v>137083832.68181801</v>
      </c>
      <c r="H161" s="697"/>
    </row>
    <row r="163" spans="1:8" ht="13.5">
      <c r="A163" s="731">
        <v>6</v>
      </c>
      <c r="B163" s="791" t="s">
        <v>1818</v>
      </c>
      <c r="D163" s="697" t="s">
        <v>1041</v>
      </c>
      <c r="E163" s="2350">
        <f>+I18</f>
        <v>209124770.71000001</v>
      </c>
    </row>
    <row r="164" spans="1:8" ht="13.5">
      <c r="B164" s="2824" t="s">
        <v>160</v>
      </c>
      <c r="C164" s="2824"/>
      <c r="D164" s="2824"/>
      <c r="E164" s="2824"/>
      <c r="F164" s="2824"/>
      <c r="G164" s="2824"/>
      <c r="H164" s="2824"/>
    </row>
    <row r="165" spans="1:8" ht="27">
      <c r="B165" s="1915" t="s">
        <v>206</v>
      </c>
      <c r="C165" s="1915" t="s">
        <v>10</v>
      </c>
      <c r="D165" s="2441" t="s">
        <v>1829</v>
      </c>
      <c r="E165" s="700" t="s">
        <v>1830</v>
      </c>
      <c r="F165" s="699" t="s">
        <v>43</v>
      </c>
      <c r="G165" s="1642" t="s">
        <v>47</v>
      </c>
      <c r="H165" s="2153" t="s">
        <v>48</v>
      </c>
    </row>
    <row r="166" spans="1:8">
      <c r="B166" s="1629">
        <v>44574</v>
      </c>
      <c r="C166" s="1629">
        <v>44592</v>
      </c>
      <c r="D166" s="1920">
        <v>3.4700000000000002E-2</v>
      </c>
      <c r="E166" s="1920">
        <v>0</v>
      </c>
      <c r="F166" s="1933">
        <f>((1+D166)^(1/365)-1)</f>
        <v>9.3460612729190373E-5</v>
      </c>
      <c r="G166" s="706">
        <f>+(C166-B166)+1</f>
        <v>19</v>
      </c>
      <c r="H166" s="2149">
        <f>ROUND($E$163*F166*G166,2)</f>
        <v>371353.65</v>
      </c>
    </row>
    <row r="167" spans="1:8">
      <c r="B167" s="1629">
        <v>44593</v>
      </c>
      <c r="C167" s="1629">
        <v>44620</v>
      </c>
      <c r="D167" s="1920">
        <v>4.3099999999999999E-2</v>
      </c>
      <c r="E167" s="1920">
        <v>0</v>
      </c>
      <c r="F167" s="1933">
        <f>((1+D167)^(1/365)-1)</f>
        <v>1.1561503550527874E-4</v>
      </c>
      <c r="G167" s="706">
        <f>+(C167-B167)+1</f>
        <v>28</v>
      </c>
      <c r="H167" s="2149">
        <f t="shared" ref="H167:H181" si="26">ROUND($E$163*F167*G167,2)</f>
        <v>676983.1</v>
      </c>
    </row>
    <row r="168" spans="1:8">
      <c r="B168" s="1629">
        <v>44621</v>
      </c>
      <c r="C168" s="1629">
        <v>44651</v>
      </c>
      <c r="D168" s="1920">
        <v>4.9700000000000001E-2</v>
      </c>
      <c r="E168" s="1920">
        <v>0</v>
      </c>
      <c r="F168" s="1933">
        <f t="shared" ref="F168:F176" si="27">((1+D168)^(1/365)-1)</f>
        <v>1.3289762205070943E-4</v>
      </c>
      <c r="G168" s="706">
        <f t="shared" ref="G168:G181" si="28">+(C168-B168)+1</f>
        <v>31</v>
      </c>
      <c r="H168" s="2149">
        <f t="shared" si="26"/>
        <v>861557.73</v>
      </c>
    </row>
    <row r="169" spans="1:8">
      <c r="B169" s="1629">
        <v>44652</v>
      </c>
      <c r="C169" s="1629">
        <v>44681</v>
      </c>
      <c r="D169" s="1920">
        <v>5.9700000000000003E-2</v>
      </c>
      <c r="E169" s="1920">
        <v>0</v>
      </c>
      <c r="F169" s="1933">
        <f t="shared" si="27"/>
        <v>1.5887796003677401E-4</v>
      </c>
      <c r="G169" s="706">
        <f t="shared" si="28"/>
        <v>30</v>
      </c>
      <c r="H169" s="2149">
        <f t="shared" si="26"/>
        <v>996759.51</v>
      </c>
    </row>
    <row r="170" spans="1:8">
      <c r="B170" s="1629">
        <v>44682</v>
      </c>
      <c r="C170" s="1629">
        <v>44712</v>
      </c>
      <c r="D170" s="1920">
        <v>7.0400000000000004E-2</v>
      </c>
      <c r="E170" s="1920">
        <v>0</v>
      </c>
      <c r="F170" s="1933">
        <f t="shared" si="27"/>
        <v>1.8640753718313086E-4</v>
      </c>
      <c r="G170" s="706">
        <f t="shared" si="28"/>
        <v>31</v>
      </c>
      <c r="H170" s="2149">
        <f t="shared" si="26"/>
        <v>1208455.44</v>
      </c>
    </row>
    <row r="171" spans="1:8" ht="13.5">
      <c r="B171" s="1629">
        <v>44713</v>
      </c>
      <c r="C171" s="1629">
        <v>44742</v>
      </c>
      <c r="D171" s="1923">
        <v>7.7200000000000005E-2</v>
      </c>
      <c r="E171" s="1920">
        <v>0</v>
      </c>
      <c r="F171" s="1933">
        <f t="shared" si="27"/>
        <v>2.0376070695582449E-4</v>
      </c>
      <c r="G171" s="706">
        <f t="shared" si="28"/>
        <v>30</v>
      </c>
      <c r="H171" s="2149">
        <f t="shared" si="26"/>
        <v>1278342.33</v>
      </c>
    </row>
    <row r="172" spans="1:8" ht="13.5">
      <c r="B172" s="1629">
        <v>44743</v>
      </c>
      <c r="C172" s="1629">
        <v>44773</v>
      </c>
      <c r="D172" s="1923">
        <v>9.2999999999999999E-2</v>
      </c>
      <c r="E172" s="1920">
        <v>0</v>
      </c>
      <c r="F172" s="1933">
        <f t="shared" si="27"/>
        <v>2.4366313088708402E-4</v>
      </c>
      <c r="G172" s="706">
        <f t="shared" si="28"/>
        <v>31</v>
      </c>
      <c r="H172" s="2149">
        <f t="shared" si="26"/>
        <v>1579635.89</v>
      </c>
    </row>
    <row r="173" spans="1:8">
      <c r="B173" s="1629">
        <v>44774</v>
      </c>
      <c r="C173" s="1629">
        <v>44804</v>
      </c>
      <c r="D173" s="1920">
        <v>0.1057</v>
      </c>
      <c r="E173" s="1920">
        <v>0</v>
      </c>
      <c r="F173" s="1933">
        <f t="shared" si="27"/>
        <v>2.7532178056910439E-4</v>
      </c>
      <c r="G173" s="706">
        <f t="shared" si="28"/>
        <v>31</v>
      </c>
      <c r="H173" s="2149">
        <f t="shared" si="26"/>
        <v>1784874.73</v>
      </c>
    </row>
    <row r="174" spans="1:8">
      <c r="B174" s="1629">
        <v>44805</v>
      </c>
      <c r="C174" s="1629">
        <v>44834</v>
      </c>
      <c r="D174" s="2181">
        <v>0.1099</v>
      </c>
      <c r="E174" s="1920">
        <v>0</v>
      </c>
      <c r="F174" s="1933">
        <f t="shared" si="27"/>
        <v>2.857118247707735E-4</v>
      </c>
      <c r="G174" s="706">
        <f t="shared" si="28"/>
        <v>30</v>
      </c>
      <c r="H174" s="2149">
        <f t="shared" si="26"/>
        <v>1792482.6</v>
      </c>
    </row>
    <row r="175" spans="1:8">
      <c r="B175" s="1629">
        <v>44835</v>
      </c>
      <c r="C175" s="1629">
        <v>44865</v>
      </c>
      <c r="D175" s="2181">
        <v>0.11600000000000001</v>
      </c>
      <c r="E175" s="1920">
        <v>0</v>
      </c>
      <c r="F175" s="1933">
        <f t="shared" si="27"/>
        <v>3.0073250947526553E-4</v>
      </c>
      <c r="G175" s="706">
        <f t="shared" si="28"/>
        <v>31</v>
      </c>
      <c r="H175" s="2149">
        <f t="shared" si="26"/>
        <v>1949609.13</v>
      </c>
    </row>
    <row r="176" spans="1:8">
      <c r="B176" s="1629">
        <v>44866</v>
      </c>
      <c r="C176" s="1629">
        <v>44877</v>
      </c>
      <c r="D176" s="2181">
        <v>0.1263</v>
      </c>
      <c r="E176" s="1920">
        <v>0</v>
      </c>
      <c r="F176" s="1933">
        <f t="shared" si="27"/>
        <v>3.2591042348917298E-4</v>
      </c>
      <c r="G176" s="706">
        <f t="shared" si="28"/>
        <v>12</v>
      </c>
      <c r="H176" s="2149">
        <f t="shared" si="26"/>
        <v>817871.31</v>
      </c>
    </row>
    <row r="177" spans="1:8">
      <c r="B177" s="1629">
        <v>44878</v>
      </c>
      <c r="C177" s="1629">
        <v>44895</v>
      </c>
      <c r="D177" s="2181">
        <v>0.25779999999999997</v>
      </c>
      <c r="E177" s="1920">
        <f>+D177*1.5</f>
        <v>0.38669999999999993</v>
      </c>
      <c r="F177" s="1933">
        <f>((1+E177)^(1/365)-1)</f>
        <v>8.9609117817124329E-4</v>
      </c>
      <c r="G177" s="706">
        <f t="shared" si="28"/>
        <v>18</v>
      </c>
      <c r="H177" s="2149">
        <f t="shared" si="26"/>
        <v>3373107.52</v>
      </c>
    </row>
    <row r="178" spans="1:8">
      <c r="B178" s="1629">
        <v>44896</v>
      </c>
      <c r="C178" s="1629">
        <v>44926</v>
      </c>
      <c r="D178" s="2181">
        <v>0.27639999999999998</v>
      </c>
      <c r="E178" s="1920">
        <f t="shared" ref="E178:E181" si="29">+D178*1.5</f>
        <v>0.41459999999999997</v>
      </c>
      <c r="F178" s="1933">
        <f t="shared" ref="F178:F181" si="30">((1+E178)^(1/365)-1)</f>
        <v>9.5071686592063109E-4</v>
      </c>
      <c r="G178" s="706">
        <f t="shared" si="28"/>
        <v>31</v>
      </c>
      <c r="H178" s="2149">
        <f t="shared" si="26"/>
        <v>6163371.8399999999</v>
      </c>
    </row>
    <row r="179" spans="1:8">
      <c r="B179" s="1629">
        <v>44927</v>
      </c>
      <c r="C179" s="1629">
        <v>44957</v>
      </c>
      <c r="D179" s="2181">
        <v>0.28839999999999999</v>
      </c>
      <c r="E179" s="1920">
        <f t="shared" si="29"/>
        <v>0.43259999999999998</v>
      </c>
      <c r="F179" s="1933">
        <f t="shared" si="30"/>
        <v>9.8539196132163553E-4</v>
      </c>
      <c r="G179" s="706">
        <f t="shared" si="28"/>
        <v>31</v>
      </c>
      <c r="H179" s="2149">
        <f t="shared" si="26"/>
        <v>6388165.9100000001</v>
      </c>
    </row>
    <row r="180" spans="1:8" ht="12.75" customHeight="1">
      <c r="B180" s="1629">
        <v>44958</v>
      </c>
      <c r="C180" s="1629">
        <v>44985</v>
      </c>
      <c r="D180" s="2181">
        <v>0.30180000000000001</v>
      </c>
      <c r="E180" s="1920">
        <f t="shared" si="29"/>
        <v>0.45269999999999999</v>
      </c>
      <c r="F180" s="1933">
        <f t="shared" si="30"/>
        <v>1.0236026853662761E-3</v>
      </c>
      <c r="G180" s="706">
        <f t="shared" si="28"/>
        <v>28</v>
      </c>
      <c r="H180" s="2149">
        <f t="shared" si="26"/>
        <v>5993698.9500000002</v>
      </c>
    </row>
    <row r="181" spans="1:8" ht="12.75" customHeight="1">
      <c r="B181" s="1629">
        <v>44986</v>
      </c>
      <c r="C181" s="1629">
        <v>45002</v>
      </c>
      <c r="D181" s="2181">
        <v>0.30840000000000001</v>
      </c>
      <c r="E181" s="1920">
        <f t="shared" si="29"/>
        <v>0.46260000000000001</v>
      </c>
      <c r="F181" s="2094">
        <f t="shared" si="30"/>
        <v>1.0422295217955568E-3</v>
      </c>
      <c r="G181" s="706">
        <f t="shared" si="28"/>
        <v>17</v>
      </c>
      <c r="H181" s="2149">
        <f t="shared" si="26"/>
        <v>3705252.17</v>
      </c>
    </row>
    <row r="182" spans="1:8" ht="12.75" customHeight="1">
      <c r="B182" s="1629"/>
      <c r="C182" s="1629"/>
      <c r="D182" s="2445"/>
      <c r="E182" s="2045"/>
      <c r="F182" s="2839" t="s">
        <v>1831</v>
      </c>
      <c r="G182" s="2839"/>
      <c r="H182" s="2149">
        <f>SUM(H166:H181)</f>
        <v>38941521.810000002</v>
      </c>
    </row>
    <row r="183" spans="1:8">
      <c r="H183" s="697"/>
    </row>
    <row r="184" spans="1:8" ht="13.5">
      <c r="B184" s="2672" t="s">
        <v>55</v>
      </c>
      <c r="C184" s="2672"/>
      <c r="D184" s="2445"/>
      <c r="E184" s="2045"/>
      <c r="H184" s="697"/>
    </row>
    <row r="185" spans="1:8" ht="13.5">
      <c r="B185" s="737" t="s">
        <v>276</v>
      </c>
      <c r="C185" s="2154">
        <f>+E163</f>
        <v>209124770.71000001</v>
      </c>
      <c r="D185" s="2445"/>
      <c r="E185" s="2045"/>
      <c r="H185" s="697"/>
    </row>
    <row r="186" spans="1:8" ht="25.5">
      <c r="B186" s="902" t="s">
        <v>338</v>
      </c>
      <c r="C186" s="2154">
        <f>+H182</f>
        <v>38941521.810000002</v>
      </c>
      <c r="D186" s="2445"/>
      <c r="E186" s="2045"/>
      <c r="H186" s="697"/>
    </row>
    <row r="187" spans="1:8" ht="25.5">
      <c r="B187" s="902" t="s">
        <v>348</v>
      </c>
      <c r="C187" s="2154">
        <v>1853228.0072727271</v>
      </c>
      <c r="D187" s="2445"/>
      <c r="E187" s="2045"/>
      <c r="H187" s="697"/>
    </row>
    <row r="188" spans="1:8" ht="13.5">
      <c r="B188" s="902" t="s">
        <v>757</v>
      </c>
      <c r="C188" s="2154">
        <v>4545.454545454545</v>
      </c>
      <c r="D188" s="2445"/>
      <c r="E188" s="2045"/>
      <c r="H188" s="697"/>
    </row>
    <row r="189" spans="1:8" ht="13.5">
      <c r="B189" s="728" t="s">
        <v>1705</v>
      </c>
      <c r="C189" s="2250">
        <f>SUM(C185:C188)</f>
        <v>249924065.9818182</v>
      </c>
      <c r="D189" s="697">
        <v>249924065.98181799</v>
      </c>
      <c r="H189" s="697"/>
    </row>
    <row r="190" spans="1:8" ht="13.5">
      <c r="B190" s="848"/>
      <c r="C190" s="2444"/>
      <c r="H190" s="697"/>
    </row>
    <row r="191" spans="1:8" ht="13.5">
      <c r="A191" s="731">
        <v>7</v>
      </c>
      <c r="B191" s="791" t="s">
        <v>1819</v>
      </c>
      <c r="D191" s="697" t="s">
        <v>1041</v>
      </c>
      <c r="E191" s="2350">
        <f>+I19</f>
        <v>90852600</v>
      </c>
    </row>
    <row r="192" spans="1:8" ht="13.5">
      <c r="B192" s="2824" t="s">
        <v>160</v>
      </c>
      <c r="C192" s="2824"/>
      <c r="D192" s="2824"/>
      <c r="E192" s="2824"/>
      <c r="F192" s="2824"/>
      <c r="G192" s="2824"/>
      <c r="H192" s="2824"/>
    </row>
    <row r="193" spans="2:8" ht="27">
      <c r="B193" s="1915" t="s">
        <v>206</v>
      </c>
      <c r="C193" s="1915" t="s">
        <v>10</v>
      </c>
      <c r="D193" s="2441" t="s">
        <v>1829</v>
      </c>
      <c r="E193" s="700" t="s">
        <v>1830</v>
      </c>
      <c r="F193" s="699" t="s">
        <v>43</v>
      </c>
      <c r="G193" s="1642" t="s">
        <v>47</v>
      </c>
      <c r="H193" s="2153" t="s">
        <v>48</v>
      </c>
    </row>
    <row r="194" spans="2:8">
      <c r="B194" s="1629">
        <v>44574</v>
      </c>
      <c r="C194" s="1629">
        <v>44592</v>
      </c>
      <c r="D194" s="1920">
        <v>3.4700000000000002E-2</v>
      </c>
      <c r="E194" s="1920">
        <v>0</v>
      </c>
      <c r="F194" s="1933">
        <f>((1+D194)^(1/365)-1)</f>
        <v>9.3460612729190373E-5</v>
      </c>
      <c r="G194" s="706">
        <f>+(C194-B194)+1</f>
        <v>19</v>
      </c>
      <c r="H194" s="2149">
        <f>ROUND($E$191*F194*G194,2)</f>
        <v>161331.65</v>
      </c>
    </row>
    <row r="195" spans="2:8">
      <c r="B195" s="1629">
        <v>44593</v>
      </c>
      <c r="C195" s="1629">
        <v>44620</v>
      </c>
      <c r="D195" s="1920">
        <v>4.3099999999999999E-2</v>
      </c>
      <c r="E195" s="1920">
        <v>0</v>
      </c>
      <c r="F195" s="1933">
        <f>((1+D195)^(1/365)-1)</f>
        <v>1.1561503550527874E-4</v>
      </c>
      <c r="G195" s="706">
        <f>+(C195-B195)+1</f>
        <v>28</v>
      </c>
      <c r="H195" s="2149">
        <f t="shared" ref="H195:H209" si="31">ROUND($E$191*F195*G195,2)</f>
        <v>294109.94</v>
      </c>
    </row>
    <row r="196" spans="2:8">
      <c r="B196" s="1629">
        <v>44621</v>
      </c>
      <c r="C196" s="1629">
        <v>44651</v>
      </c>
      <c r="D196" s="1920">
        <v>4.9700000000000001E-2</v>
      </c>
      <c r="E196" s="1920">
        <v>0</v>
      </c>
      <c r="F196" s="1933">
        <f t="shared" ref="F196:F204" si="32">((1+D196)^(1/365)-1)</f>
        <v>1.3289762205070943E-4</v>
      </c>
      <c r="G196" s="706">
        <f t="shared" ref="G196:G209" si="33">+(C196-B196)+1</f>
        <v>31</v>
      </c>
      <c r="H196" s="2149">
        <f t="shared" si="31"/>
        <v>374296.93</v>
      </c>
    </row>
    <row r="197" spans="2:8">
      <c r="B197" s="1629">
        <v>44652</v>
      </c>
      <c r="C197" s="1629">
        <v>44681</v>
      </c>
      <c r="D197" s="1920">
        <v>5.9700000000000003E-2</v>
      </c>
      <c r="E197" s="1920">
        <v>0</v>
      </c>
      <c r="F197" s="1933">
        <f t="shared" si="32"/>
        <v>1.5887796003677401E-4</v>
      </c>
      <c r="G197" s="706">
        <f t="shared" si="33"/>
        <v>30</v>
      </c>
      <c r="H197" s="2149">
        <f t="shared" si="31"/>
        <v>433034.27</v>
      </c>
    </row>
    <row r="198" spans="2:8">
      <c r="B198" s="1629">
        <v>44682</v>
      </c>
      <c r="C198" s="1629">
        <v>44712</v>
      </c>
      <c r="D198" s="1920">
        <v>7.0400000000000004E-2</v>
      </c>
      <c r="E198" s="1920">
        <v>0</v>
      </c>
      <c r="F198" s="1933">
        <f t="shared" si="32"/>
        <v>1.8640753718313086E-4</v>
      </c>
      <c r="G198" s="706">
        <f t="shared" si="33"/>
        <v>31</v>
      </c>
      <c r="H198" s="2149">
        <f t="shared" si="31"/>
        <v>525003.89</v>
      </c>
    </row>
    <row r="199" spans="2:8" ht="13.5">
      <c r="B199" s="1629">
        <v>44713</v>
      </c>
      <c r="C199" s="1629">
        <v>44742</v>
      </c>
      <c r="D199" s="1923">
        <v>7.7200000000000005E-2</v>
      </c>
      <c r="E199" s="1920">
        <v>0</v>
      </c>
      <c r="F199" s="1933">
        <f t="shared" si="32"/>
        <v>2.0376070695582449E-4</v>
      </c>
      <c r="G199" s="706">
        <f t="shared" si="33"/>
        <v>30</v>
      </c>
      <c r="H199" s="2149">
        <f t="shared" si="31"/>
        <v>555365.69999999995</v>
      </c>
    </row>
    <row r="200" spans="2:8" ht="13.5">
      <c r="B200" s="1629">
        <v>44743</v>
      </c>
      <c r="C200" s="1629">
        <v>44773</v>
      </c>
      <c r="D200" s="1923">
        <v>9.2999999999999999E-2</v>
      </c>
      <c r="E200" s="1920">
        <v>0</v>
      </c>
      <c r="F200" s="1933">
        <f t="shared" si="32"/>
        <v>2.4366313088708402E-4</v>
      </c>
      <c r="G200" s="706">
        <f t="shared" si="33"/>
        <v>31</v>
      </c>
      <c r="H200" s="2149">
        <f t="shared" si="31"/>
        <v>686260.3</v>
      </c>
    </row>
    <row r="201" spans="2:8">
      <c r="B201" s="1629">
        <v>44774</v>
      </c>
      <c r="C201" s="1629">
        <v>44804</v>
      </c>
      <c r="D201" s="1920">
        <v>0.1057</v>
      </c>
      <c r="E201" s="1920">
        <v>0</v>
      </c>
      <c r="F201" s="1933">
        <f t="shared" si="32"/>
        <v>2.7532178056910439E-4</v>
      </c>
      <c r="G201" s="706">
        <f t="shared" si="33"/>
        <v>31</v>
      </c>
      <c r="H201" s="2149">
        <f t="shared" si="31"/>
        <v>775424.69</v>
      </c>
    </row>
    <row r="202" spans="2:8">
      <c r="B202" s="1629">
        <v>44805</v>
      </c>
      <c r="C202" s="1629">
        <v>44834</v>
      </c>
      <c r="D202" s="2181">
        <v>0.1099</v>
      </c>
      <c r="E202" s="1920">
        <v>0</v>
      </c>
      <c r="F202" s="1933">
        <f t="shared" si="32"/>
        <v>2.857118247707735E-4</v>
      </c>
      <c r="G202" s="706">
        <f t="shared" si="33"/>
        <v>30</v>
      </c>
      <c r="H202" s="2149">
        <f t="shared" si="31"/>
        <v>778729.86</v>
      </c>
    </row>
    <row r="203" spans="2:8">
      <c r="B203" s="1629">
        <v>44835</v>
      </c>
      <c r="C203" s="1629">
        <v>44865</v>
      </c>
      <c r="D203" s="2181">
        <v>0.11600000000000001</v>
      </c>
      <c r="E203" s="1920">
        <v>0</v>
      </c>
      <c r="F203" s="1933">
        <f t="shared" si="32"/>
        <v>3.0073250947526553E-4</v>
      </c>
      <c r="G203" s="706">
        <f t="shared" si="33"/>
        <v>31</v>
      </c>
      <c r="H203" s="2149">
        <f t="shared" si="31"/>
        <v>846992.24</v>
      </c>
    </row>
    <row r="204" spans="2:8">
      <c r="B204" s="1629">
        <v>44866</v>
      </c>
      <c r="C204" s="1629">
        <v>44877</v>
      </c>
      <c r="D204" s="2181">
        <v>0.1263</v>
      </c>
      <c r="E204" s="1920">
        <v>0</v>
      </c>
      <c r="F204" s="1933">
        <f t="shared" si="32"/>
        <v>3.2591042348917298E-4</v>
      </c>
      <c r="G204" s="706">
        <f t="shared" si="33"/>
        <v>12</v>
      </c>
      <c r="H204" s="2149">
        <f t="shared" si="31"/>
        <v>355317.71</v>
      </c>
    </row>
    <row r="205" spans="2:8">
      <c r="B205" s="1629">
        <v>44878</v>
      </c>
      <c r="C205" s="1629">
        <v>44895</v>
      </c>
      <c r="D205" s="2181">
        <v>0.25779999999999997</v>
      </c>
      <c r="E205" s="1920">
        <f>+D205*1.5</f>
        <v>0.38669999999999993</v>
      </c>
      <c r="F205" s="1933">
        <f>((1+E205)^(1/365)-1)</f>
        <v>8.9609117817124329E-4</v>
      </c>
      <c r="G205" s="706">
        <f t="shared" si="33"/>
        <v>18</v>
      </c>
      <c r="H205" s="2149">
        <f t="shared" si="31"/>
        <v>1465419.84</v>
      </c>
    </row>
    <row r="206" spans="2:8">
      <c r="B206" s="1629">
        <v>44896</v>
      </c>
      <c r="C206" s="1629">
        <v>44926</v>
      </c>
      <c r="D206" s="2181">
        <v>0.27639999999999998</v>
      </c>
      <c r="E206" s="1920">
        <f t="shared" ref="E206:E209" si="34">+D206*1.5</f>
        <v>0.41459999999999997</v>
      </c>
      <c r="F206" s="1933">
        <f t="shared" ref="F206:F209" si="35">((1+E206)^(1/365)-1)</f>
        <v>9.5071686592063109E-4</v>
      </c>
      <c r="G206" s="706">
        <f t="shared" si="33"/>
        <v>31</v>
      </c>
      <c r="H206" s="2149">
        <f t="shared" si="31"/>
        <v>2677628.0699999998</v>
      </c>
    </row>
    <row r="207" spans="2:8">
      <c r="B207" s="1629">
        <v>44927</v>
      </c>
      <c r="C207" s="1629">
        <v>44957</v>
      </c>
      <c r="D207" s="2181">
        <v>0.28839999999999999</v>
      </c>
      <c r="E207" s="1920">
        <f t="shared" si="34"/>
        <v>0.43259999999999998</v>
      </c>
      <c r="F207" s="1933">
        <f t="shared" si="35"/>
        <v>9.8539196132163553E-4</v>
      </c>
      <c r="G207" s="706">
        <f t="shared" si="33"/>
        <v>31</v>
      </c>
      <c r="H207" s="2149">
        <f t="shared" si="31"/>
        <v>2775288.07</v>
      </c>
    </row>
    <row r="208" spans="2:8" ht="12.75" customHeight="1">
      <c r="B208" s="1629">
        <v>44958</v>
      </c>
      <c r="C208" s="1629">
        <v>44985</v>
      </c>
      <c r="D208" s="2181">
        <v>0.30180000000000001</v>
      </c>
      <c r="E208" s="1920">
        <f t="shared" si="34"/>
        <v>0.45269999999999999</v>
      </c>
      <c r="F208" s="1933">
        <f t="shared" si="35"/>
        <v>1.0236026853662761E-3</v>
      </c>
      <c r="G208" s="706">
        <f t="shared" si="33"/>
        <v>28</v>
      </c>
      <c r="H208" s="2149">
        <f t="shared" si="31"/>
        <v>2603915.0299999998</v>
      </c>
    </row>
    <row r="209" spans="1:8" ht="12.75" customHeight="1">
      <c r="B209" s="1629">
        <v>44986</v>
      </c>
      <c r="C209" s="1629">
        <v>45002</v>
      </c>
      <c r="D209" s="2181">
        <v>0.30840000000000001</v>
      </c>
      <c r="E209" s="1920">
        <f t="shared" si="34"/>
        <v>0.46260000000000001</v>
      </c>
      <c r="F209" s="2094">
        <f t="shared" si="35"/>
        <v>1.0422295217955568E-3</v>
      </c>
      <c r="G209" s="706">
        <f t="shared" si="33"/>
        <v>17</v>
      </c>
      <c r="H209" s="2149">
        <f t="shared" si="31"/>
        <v>1609717.45</v>
      </c>
    </row>
    <row r="210" spans="1:8" ht="12.75" customHeight="1">
      <c r="B210" s="1629"/>
      <c r="C210" s="1629"/>
      <c r="D210" s="2445"/>
      <c r="E210" s="2045"/>
      <c r="F210" s="2839" t="s">
        <v>1831</v>
      </c>
      <c r="G210" s="2839"/>
      <c r="H210" s="2149">
        <f>SUM(H194:H209)</f>
        <v>16917835.640000001</v>
      </c>
    </row>
    <row r="211" spans="1:8" ht="13.5">
      <c r="B211" s="2672" t="s">
        <v>55</v>
      </c>
      <c r="C211" s="2672"/>
      <c r="D211" s="2445"/>
      <c r="E211" s="2045"/>
      <c r="H211" s="697"/>
    </row>
    <row r="212" spans="1:8" ht="13.5">
      <c r="B212" s="737" t="s">
        <v>276</v>
      </c>
      <c r="C212" s="2154">
        <f>+E191</f>
        <v>90852600</v>
      </c>
      <c r="D212" s="2445"/>
      <c r="E212" s="2045"/>
      <c r="H212" s="697"/>
    </row>
    <row r="213" spans="1:8" ht="25.5">
      <c r="B213" s="902" t="s">
        <v>338</v>
      </c>
      <c r="C213" s="2154">
        <f>+H210</f>
        <v>16917835.640000001</v>
      </c>
      <c r="D213" s="2445"/>
      <c r="E213" s="2045"/>
      <c r="H213" s="697"/>
    </row>
    <row r="214" spans="1:8" ht="25.5">
      <c r="B214" s="902" t="s">
        <v>348</v>
      </c>
      <c r="C214" s="2154">
        <v>1853228.0072727271</v>
      </c>
      <c r="D214" s="2445"/>
      <c r="E214" s="2045"/>
      <c r="H214" s="697"/>
    </row>
    <row r="215" spans="1:8" ht="13.5">
      <c r="B215" s="902" t="s">
        <v>757</v>
      </c>
      <c r="C215" s="2154">
        <v>4545.454545454545</v>
      </c>
      <c r="D215" s="2445"/>
      <c r="E215" s="2045"/>
      <c r="H215" s="697"/>
    </row>
    <row r="216" spans="1:8" ht="13.5">
      <c r="B216" s="728" t="s">
        <v>1705</v>
      </c>
      <c r="C216" s="2250">
        <f>SUM(C212:C215)</f>
        <v>109628209.10181817</v>
      </c>
      <c r="H216" s="697"/>
    </row>
    <row r="217" spans="1:8" ht="13.5">
      <c r="B217" s="848"/>
      <c r="C217" s="2444"/>
      <c r="H217" s="697"/>
    </row>
    <row r="218" spans="1:8" ht="13.5">
      <c r="A218" s="731">
        <v>8</v>
      </c>
      <c r="B218" s="791" t="s">
        <v>1821</v>
      </c>
      <c r="D218" s="697" t="s">
        <v>1041</v>
      </c>
      <c r="E218" s="2350">
        <f>+I20</f>
        <v>90852600</v>
      </c>
    </row>
    <row r="219" spans="1:8" ht="13.5">
      <c r="B219" s="2664" t="s">
        <v>160</v>
      </c>
      <c r="C219" s="2665"/>
      <c r="D219" s="2665"/>
      <c r="E219" s="2665"/>
      <c r="F219" s="2665"/>
      <c r="G219" s="2665"/>
      <c r="H219" s="2666"/>
    </row>
    <row r="220" spans="1:8" ht="27">
      <c r="B220" s="1915" t="s">
        <v>206</v>
      </c>
      <c r="C220" s="1915" t="s">
        <v>10</v>
      </c>
      <c r="D220" s="2441" t="s">
        <v>1829</v>
      </c>
      <c r="E220" s="700" t="s">
        <v>1830</v>
      </c>
      <c r="F220" s="699" t="s">
        <v>43</v>
      </c>
      <c r="G220" s="1642" t="s">
        <v>47</v>
      </c>
      <c r="H220" s="2153" t="s">
        <v>48</v>
      </c>
    </row>
    <row r="221" spans="1:8">
      <c r="B221" s="1629">
        <v>44574</v>
      </c>
      <c r="C221" s="1629">
        <v>44592</v>
      </c>
      <c r="D221" s="1920">
        <v>3.4700000000000002E-2</v>
      </c>
      <c r="E221" s="1920">
        <v>0</v>
      </c>
      <c r="F221" s="1933">
        <f>((1+D221)^(1/365)-1)</f>
        <v>9.3460612729190373E-5</v>
      </c>
      <c r="G221" s="706">
        <f>+(C221-B221)+1</f>
        <v>19</v>
      </c>
      <c r="H221" s="2149">
        <f>ROUND($E$218*F221*G221,2)</f>
        <v>161331.65</v>
      </c>
    </row>
    <row r="222" spans="1:8">
      <c r="B222" s="1629">
        <v>44593</v>
      </c>
      <c r="C222" s="1629">
        <v>44620</v>
      </c>
      <c r="D222" s="1920">
        <v>4.3099999999999999E-2</v>
      </c>
      <c r="E222" s="1920">
        <v>0</v>
      </c>
      <c r="F222" s="1933">
        <f>((1+D222)^(1/365)-1)</f>
        <v>1.1561503550527874E-4</v>
      </c>
      <c r="G222" s="706">
        <f>+(C222-B222)+1</f>
        <v>28</v>
      </c>
      <c r="H222" s="2149">
        <f t="shared" ref="H222:H236" si="36">ROUND($E$218*F222*G222,2)</f>
        <v>294109.94</v>
      </c>
    </row>
    <row r="223" spans="1:8">
      <c r="B223" s="1629">
        <v>44621</v>
      </c>
      <c r="C223" s="1629">
        <v>44651</v>
      </c>
      <c r="D223" s="1920">
        <v>4.9700000000000001E-2</v>
      </c>
      <c r="E223" s="1920">
        <v>0</v>
      </c>
      <c r="F223" s="1933">
        <f t="shared" ref="F223:F231" si="37">((1+D223)^(1/365)-1)</f>
        <v>1.3289762205070943E-4</v>
      </c>
      <c r="G223" s="706">
        <f t="shared" ref="G223:G236" si="38">+(C223-B223)+1</f>
        <v>31</v>
      </c>
      <c r="H223" s="2149">
        <f t="shared" si="36"/>
        <v>374296.93</v>
      </c>
    </row>
    <row r="224" spans="1:8">
      <c r="B224" s="1629">
        <v>44652</v>
      </c>
      <c r="C224" s="1629">
        <v>44681</v>
      </c>
      <c r="D224" s="1920">
        <v>5.9700000000000003E-2</v>
      </c>
      <c r="E224" s="1920">
        <v>0</v>
      </c>
      <c r="F224" s="1933">
        <f t="shared" si="37"/>
        <v>1.5887796003677401E-4</v>
      </c>
      <c r="G224" s="706">
        <f t="shared" si="38"/>
        <v>30</v>
      </c>
      <c r="H224" s="2149">
        <f t="shared" si="36"/>
        <v>433034.27</v>
      </c>
    </row>
    <row r="225" spans="2:8">
      <c r="B225" s="1629">
        <v>44682</v>
      </c>
      <c r="C225" s="1629">
        <v>44712</v>
      </c>
      <c r="D225" s="1920">
        <v>7.0400000000000004E-2</v>
      </c>
      <c r="E225" s="1920">
        <v>0</v>
      </c>
      <c r="F225" s="1933">
        <f t="shared" si="37"/>
        <v>1.8640753718313086E-4</v>
      </c>
      <c r="G225" s="706">
        <f t="shared" si="38"/>
        <v>31</v>
      </c>
      <c r="H225" s="2149">
        <f t="shared" si="36"/>
        <v>525003.89</v>
      </c>
    </row>
    <row r="226" spans="2:8" ht="13.5">
      <c r="B226" s="1629">
        <v>44713</v>
      </c>
      <c r="C226" s="1629">
        <v>44742</v>
      </c>
      <c r="D226" s="1923">
        <v>7.7200000000000005E-2</v>
      </c>
      <c r="E226" s="1920">
        <v>0</v>
      </c>
      <c r="F226" s="1933">
        <f t="shared" si="37"/>
        <v>2.0376070695582449E-4</v>
      </c>
      <c r="G226" s="706">
        <f t="shared" si="38"/>
        <v>30</v>
      </c>
      <c r="H226" s="2149">
        <f t="shared" si="36"/>
        <v>555365.69999999995</v>
      </c>
    </row>
    <row r="227" spans="2:8" ht="13.5">
      <c r="B227" s="1629">
        <v>44743</v>
      </c>
      <c r="C227" s="1629">
        <v>44773</v>
      </c>
      <c r="D227" s="1923">
        <v>9.2999999999999999E-2</v>
      </c>
      <c r="E227" s="1920">
        <v>0</v>
      </c>
      <c r="F227" s="1933">
        <f t="shared" si="37"/>
        <v>2.4366313088708402E-4</v>
      </c>
      <c r="G227" s="706">
        <f t="shared" si="38"/>
        <v>31</v>
      </c>
      <c r="H227" s="2149">
        <f t="shared" si="36"/>
        <v>686260.3</v>
      </c>
    </row>
    <row r="228" spans="2:8">
      <c r="B228" s="1629">
        <v>44774</v>
      </c>
      <c r="C228" s="1629">
        <v>44804</v>
      </c>
      <c r="D228" s="1920">
        <v>0.1057</v>
      </c>
      <c r="E228" s="1920">
        <v>0</v>
      </c>
      <c r="F228" s="1933">
        <f t="shared" si="37"/>
        <v>2.7532178056910439E-4</v>
      </c>
      <c r="G228" s="706">
        <f t="shared" si="38"/>
        <v>31</v>
      </c>
      <c r="H228" s="2149">
        <f t="shared" si="36"/>
        <v>775424.69</v>
      </c>
    </row>
    <row r="229" spans="2:8">
      <c r="B229" s="1629">
        <v>44805</v>
      </c>
      <c r="C229" s="1629">
        <v>44834</v>
      </c>
      <c r="D229" s="2181">
        <v>0.1099</v>
      </c>
      <c r="E229" s="1920">
        <v>0</v>
      </c>
      <c r="F229" s="1933">
        <f t="shared" si="37"/>
        <v>2.857118247707735E-4</v>
      </c>
      <c r="G229" s="706">
        <f t="shared" si="38"/>
        <v>30</v>
      </c>
      <c r="H229" s="2149">
        <f t="shared" si="36"/>
        <v>778729.86</v>
      </c>
    </row>
    <row r="230" spans="2:8">
      <c r="B230" s="1629">
        <v>44835</v>
      </c>
      <c r="C230" s="1629">
        <v>44865</v>
      </c>
      <c r="D230" s="2181">
        <v>0.11600000000000001</v>
      </c>
      <c r="E230" s="1920">
        <v>0</v>
      </c>
      <c r="F230" s="1933">
        <f t="shared" si="37"/>
        <v>3.0073250947526553E-4</v>
      </c>
      <c r="G230" s="706">
        <f t="shared" si="38"/>
        <v>31</v>
      </c>
      <c r="H230" s="2149">
        <f t="shared" si="36"/>
        <v>846992.24</v>
      </c>
    </row>
    <row r="231" spans="2:8">
      <c r="B231" s="1629">
        <v>44866</v>
      </c>
      <c r="C231" s="1629">
        <v>44877</v>
      </c>
      <c r="D231" s="2181">
        <v>0.1263</v>
      </c>
      <c r="E231" s="1920">
        <v>0</v>
      </c>
      <c r="F231" s="1933">
        <f t="shared" si="37"/>
        <v>3.2591042348917298E-4</v>
      </c>
      <c r="G231" s="706">
        <f t="shared" si="38"/>
        <v>12</v>
      </c>
      <c r="H231" s="2149">
        <f t="shared" si="36"/>
        <v>355317.71</v>
      </c>
    </row>
    <row r="232" spans="2:8">
      <c r="B232" s="1629">
        <v>44878</v>
      </c>
      <c r="C232" s="1629">
        <v>44895</v>
      </c>
      <c r="D232" s="2181">
        <v>0.25779999999999997</v>
      </c>
      <c r="E232" s="1920">
        <f>+D232*1.5</f>
        <v>0.38669999999999993</v>
      </c>
      <c r="F232" s="1933">
        <f>((1+E232)^(1/365)-1)</f>
        <v>8.9609117817124329E-4</v>
      </c>
      <c r="G232" s="706">
        <f t="shared" si="38"/>
        <v>18</v>
      </c>
      <c r="H232" s="2149">
        <f t="shared" si="36"/>
        <v>1465419.84</v>
      </c>
    </row>
    <row r="233" spans="2:8">
      <c r="B233" s="1629">
        <v>44896</v>
      </c>
      <c r="C233" s="1629">
        <v>44926</v>
      </c>
      <c r="D233" s="2181">
        <v>0.27639999999999998</v>
      </c>
      <c r="E233" s="1920">
        <f t="shared" ref="E233:E236" si="39">+D233*1.5</f>
        <v>0.41459999999999997</v>
      </c>
      <c r="F233" s="1933">
        <f t="shared" ref="F233:F236" si="40">((1+E233)^(1/365)-1)</f>
        <v>9.5071686592063109E-4</v>
      </c>
      <c r="G233" s="706">
        <f t="shared" si="38"/>
        <v>31</v>
      </c>
      <c r="H233" s="2149">
        <f t="shared" si="36"/>
        <v>2677628.0699999998</v>
      </c>
    </row>
    <row r="234" spans="2:8">
      <c r="B234" s="1629">
        <v>44927</v>
      </c>
      <c r="C234" s="1629">
        <v>44957</v>
      </c>
      <c r="D234" s="2181">
        <v>0.28839999999999999</v>
      </c>
      <c r="E234" s="1920">
        <f t="shared" si="39"/>
        <v>0.43259999999999998</v>
      </c>
      <c r="F234" s="1933">
        <f t="shared" si="40"/>
        <v>9.8539196132163553E-4</v>
      </c>
      <c r="G234" s="706">
        <f t="shared" si="38"/>
        <v>31</v>
      </c>
      <c r="H234" s="2149">
        <f t="shared" si="36"/>
        <v>2775288.07</v>
      </c>
    </row>
    <row r="235" spans="2:8" ht="12.75" customHeight="1">
      <c r="B235" s="1629">
        <v>44958</v>
      </c>
      <c r="C235" s="1629">
        <v>44985</v>
      </c>
      <c r="D235" s="2181">
        <v>0.30180000000000001</v>
      </c>
      <c r="E235" s="1920">
        <f t="shared" si="39"/>
        <v>0.45269999999999999</v>
      </c>
      <c r="F235" s="1933">
        <f t="shared" si="40"/>
        <v>1.0236026853662761E-3</v>
      </c>
      <c r="G235" s="706">
        <f t="shared" si="38"/>
        <v>28</v>
      </c>
      <c r="H235" s="2149">
        <f t="shared" si="36"/>
        <v>2603915.0299999998</v>
      </c>
    </row>
    <row r="236" spans="2:8" ht="12.75" customHeight="1">
      <c r="B236" s="1629">
        <v>44986</v>
      </c>
      <c r="C236" s="1629">
        <v>45002</v>
      </c>
      <c r="D236" s="2181">
        <v>0.30840000000000001</v>
      </c>
      <c r="E236" s="1920">
        <f t="shared" si="39"/>
        <v>0.46260000000000001</v>
      </c>
      <c r="F236" s="2094">
        <f t="shared" si="40"/>
        <v>1.0422295217955568E-3</v>
      </c>
      <c r="G236" s="706">
        <f t="shared" si="38"/>
        <v>17</v>
      </c>
      <c r="H236" s="2149">
        <f t="shared" si="36"/>
        <v>1609717.45</v>
      </c>
    </row>
    <row r="237" spans="2:8" ht="12.75" customHeight="1">
      <c r="B237" s="1629"/>
      <c r="C237" s="1629"/>
      <c r="D237" s="2445"/>
      <c r="E237" s="2045"/>
      <c r="F237" s="2840" t="s">
        <v>1831</v>
      </c>
      <c r="G237" s="2841"/>
      <c r="H237" s="2149">
        <f>SUM(H221:H236)</f>
        <v>16917835.640000001</v>
      </c>
    </row>
    <row r="238" spans="2:8" ht="13.5">
      <c r="B238" s="2672" t="s">
        <v>55</v>
      </c>
      <c r="C238" s="2672"/>
      <c r="D238" s="2445"/>
      <c r="E238" s="2045"/>
      <c r="H238" s="697"/>
    </row>
    <row r="239" spans="2:8" ht="13.5">
      <c r="B239" s="737" t="s">
        <v>276</v>
      </c>
      <c r="C239" s="2154">
        <f>+E218</f>
        <v>90852600</v>
      </c>
      <c r="D239" s="2445"/>
      <c r="E239" s="2045"/>
      <c r="H239" s="697"/>
    </row>
    <row r="240" spans="2:8" ht="25.5">
      <c r="B240" s="902" t="s">
        <v>338</v>
      </c>
      <c r="C240" s="2154">
        <f>+H237</f>
        <v>16917835.640000001</v>
      </c>
      <c r="D240" s="2445"/>
      <c r="E240" s="2045"/>
      <c r="H240" s="697"/>
    </row>
    <row r="241" spans="1:8" ht="25.5">
      <c r="B241" s="902" t="s">
        <v>348</v>
      </c>
      <c r="C241" s="2154">
        <v>1853228.0072727271</v>
      </c>
      <c r="D241" s="2445"/>
      <c r="E241" s="2045"/>
      <c r="H241" s="697"/>
    </row>
    <row r="242" spans="1:8" ht="13.5">
      <c r="B242" s="902" t="s">
        <v>757</v>
      </c>
      <c r="C242" s="2154">
        <v>4545.454545454545</v>
      </c>
      <c r="D242" s="2445"/>
      <c r="E242" s="2045"/>
      <c r="H242" s="697"/>
    </row>
    <row r="243" spans="1:8" ht="13.5">
      <c r="B243" s="728" t="s">
        <v>1705</v>
      </c>
      <c r="C243" s="2250">
        <f>SUM(C239:C242)</f>
        <v>109628209.10181817</v>
      </c>
      <c r="H243" s="697"/>
    </row>
    <row r="244" spans="1:8">
      <c r="F244" s="1934"/>
      <c r="G244" s="1934"/>
    </row>
    <row r="246" spans="1:8" ht="13.5">
      <c r="A246" s="731">
        <v>9</v>
      </c>
      <c r="B246" s="791" t="s">
        <v>1823</v>
      </c>
      <c r="D246" s="697" t="s">
        <v>1041</v>
      </c>
      <c r="E246" s="2350">
        <f>+I21</f>
        <v>45426300</v>
      </c>
    </row>
    <row r="247" spans="1:8" ht="13.5">
      <c r="B247" s="2824" t="s">
        <v>160</v>
      </c>
      <c r="C247" s="2824"/>
      <c r="D247" s="2824"/>
      <c r="E247" s="2824"/>
      <c r="F247" s="2824"/>
      <c r="G247" s="2824"/>
      <c r="H247" s="2824"/>
    </row>
    <row r="248" spans="1:8" ht="27">
      <c r="B248" s="1915" t="s">
        <v>206</v>
      </c>
      <c r="C248" s="1915" t="s">
        <v>10</v>
      </c>
      <c r="D248" s="2441" t="s">
        <v>1829</v>
      </c>
      <c r="E248" s="700" t="s">
        <v>1830</v>
      </c>
      <c r="F248" s="699" t="s">
        <v>43</v>
      </c>
      <c r="G248" s="1642" t="s">
        <v>47</v>
      </c>
      <c r="H248" s="2153" t="s">
        <v>48</v>
      </c>
    </row>
    <row r="249" spans="1:8">
      <c r="B249" s="1629">
        <v>44574</v>
      </c>
      <c r="C249" s="1629">
        <v>44592</v>
      </c>
      <c r="D249" s="1920">
        <v>3.4700000000000002E-2</v>
      </c>
      <c r="E249" s="1920">
        <v>0</v>
      </c>
      <c r="F249" s="1933">
        <f>((1+D249)^(1/365)-1)</f>
        <v>9.3460612729190373E-5</v>
      </c>
      <c r="G249" s="706">
        <f>+(C249-B249)+1</f>
        <v>19</v>
      </c>
      <c r="H249" s="2149">
        <f>ROUND($E$246*F249*G249,2)</f>
        <v>80665.83</v>
      </c>
    </row>
    <row r="250" spans="1:8">
      <c r="B250" s="1629">
        <v>44593</v>
      </c>
      <c r="C250" s="1629">
        <v>44620</v>
      </c>
      <c r="D250" s="1920">
        <v>4.3099999999999999E-2</v>
      </c>
      <c r="E250" s="1920">
        <v>0</v>
      </c>
      <c r="F250" s="1933">
        <f>((1+D250)^(1/365)-1)</f>
        <v>1.1561503550527874E-4</v>
      </c>
      <c r="G250" s="706">
        <f>+(C250-B250)+1</f>
        <v>28</v>
      </c>
      <c r="H250" s="2149">
        <f t="shared" ref="H250:H264" si="41">ROUND($E$246*F250*G250,2)</f>
        <v>147054.97</v>
      </c>
    </row>
    <row r="251" spans="1:8">
      <c r="B251" s="1629">
        <v>44621</v>
      </c>
      <c r="C251" s="1629">
        <v>44651</v>
      </c>
      <c r="D251" s="1920">
        <v>4.9700000000000001E-2</v>
      </c>
      <c r="E251" s="1920">
        <v>0</v>
      </c>
      <c r="F251" s="1933">
        <f t="shared" ref="F251:F259" si="42">((1+D251)^(1/365)-1)</f>
        <v>1.3289762205070943E-4</v>
      </c>
      <c r="G251" s="706">
        <f t="shared" ref="G251:G264" si="43">+(C251-B251)+1</f>
        <v>31</v>
      </c>
      <c r="H251" s="2149">
        <f t="shared" si="41"/>
        <v>187148.46</v>
      </c>
    </row>
    <row r="252" spans="1:8">
      <c r="B252" s="1629">
        <v>44652</v>
      </c>
      <c r="C252" s="1629">
        <v>44681</v>
      </c>
      <c r="D252" s="1920">
        <v>5.9700000000000003E-2</v>
      </c>
      <c r="E252" s="1920">
        <v>0</v>
      </c>
      <c r="F252" s="1933">
        <f t="shared" si="42"/>
        <v>1.5887796003677401E-4</v>
      </c>
      <c r="G252" s="706">
        <f t="shared" si="43"/>
        <v>30</v>
      </c>
      <c r="H252" s="2149">
        <f t="shared" si="41"/>
        <v>216517.14</v>
      </c>
    </row>
    <row r="253" spans="1:8">
      <c r="B253" s="1629">
        <v>44682</v>
      </c>
      <c r="C253" s="1629">
        <v>44712</v>
      </c>
      <c r="D253" s="1920">
        <v>7.0400000000000004E-2</v>
      </c>
      <c r="E253" s="1920">
        <v>0</v>
      </c>
      <c r="F253" s="1933">
        <f t="shared" si="42"/>
        <v>1.8640753718313086E-4</v>
      </c>
      <c r="G253" s="706">
        <f t="shared" si="43"/>
        <v>31</v>
      </c>
      <c r="H253" s="2149">
        <f t="shared" si="41"/>
        <v>262501.95</v>
      </c>
    </row>
    <row r="254" spans="1:8" ht="13.5">
      <c r="B254" s="1629">
        <v>44713</v>
      </c>
      <c r="C254" s="1629">
        <v>44742</v>
      </c>
      <c r="D254" s="1923">
        <v>7.7200000000000005E-2</v>
      </c>
      <c r="E254" s="1920">
        <v>0</v>
      </c>
      <c r="F254" s="1933">
        <f t="shared" si="42"/>
        <v>2.0376070695582449E-4</v>
      </c>
      <c r="G254" s="706">
        <f t="shared" si="43"/>
        <v>30</v>
      </c>
      <c r="H254" s="2149">
        <f t="shared" si="41"/>
        <v>277682.84999999998</v>
      </c>
    </row>
    <row r="255" spans="1:8" ht="13.5">
      <c r="B255" s="1629">
        <v>44743</v>
      </c>
      <c r="C255" s="1629">
        <v>44773</v>
      </c>
      <c r="D255" s="1923">
        <v>9.2999999999999999E-2</v>
      </c>
      <c r="E255" s="1920">
        <v>0</v>
      </c>
      <c r="F255" s="1933">
        <f t="shared" si="42"/>
        <v>2.4366313088708402E-4</v>
      </c>
      <c r="G255" s="706">
        <f t="shared" si="43"/>
        <v>31</v>
      </c>
      <c r="H255" s="2149">
        <f t="shared" si="41"/>
        <v>343130.15</v>
      </c>
    </row>
    <row r="256" spans="1:8">
      <c r="B256" s="1629">
        <v>44774</v>
      </c>
      <c r="C256" s="1629">
        <v>44804</v>
      </c>
      <c r="D256" s="1920">
        <v>0.1057</v>
      </c>
      <c r="E256" s="1920">
        <v>0</v>
      </c>
      <c r="F256" s="1933">
        <f t="shared" si="42"/>
        <v>2.7532178056910439E-4</v>
      </c>
      <c r="G256" s="706">
        <f t="shared" si="43"/>
        <v>31</v>
      </c>
      <c r="H256" s="2149">
        <f t="shared" si="41"/>
        <v>387712.34</v>
      </c>
    </row>
    <row r="257" spans="2:8">
      <c r="B257" s="1629">
        <v>44805</v>
      </c>
      <c r="C257" s="1629">
        <v>44834</v>
      </c>
      <c r="D257" s="2181">
        <v>0.1099</v>
      </c>
      <c r="E257" s="1920">
        <v>0</v>
      </c>
      <c r="F257" s="1933">
        <f t="shared" si="42"/>
        <v>2.857118247707735E-4</v>
      </c>
      <c r="G257" s="706">
        <f t="shared" si="43"/>
        <v>30</v>
      </c>
      <c r="H257" s="2149">
        <f t="shared" si="41"/>
        <v>389364.93</v>
      </c>
    </row>
    <row r="258" spans="2:8">
      <c r="B258" s="1629">
        <v>44835</v>
      </c>
      <c r="C258" s="1629">
        <v>44865</v>
      </c>
      <c r="D258" s="2181">
        <v>0.11600000000000001</v>
      </c>
      <c r="E258" s="1920">
        <v>0</v>
      </c>
      <c r="F258" s="1933">
        <f t="shared" si="42"/>
        <v>3.0073250947526553E-4</v>
      </c>
      <c r="G258" s="706">
        <f t="shared" si="43"/>
        <v>31</v>
      </c>
      <c r="H258" s="2149">
        <f t="shared" si="41"/>
        <v>423496.12</v>
      </c>
    </row>
    <row r="259" spans="2:8">
      <c r="B259" s="1629">
        <v>44866</v>
      </c>
      <c r="C259" s="1629">
        <v>44877</v>
      </c>
      <c r="D259" s="2181">
        <v>0.1263</v>
      </c>
      <c r="E259" s="1920">
        <v>0</v>
      </c>
      <c r="F259" s="1933">
        <f t="shared" si="42"/>
        <v>3.2591042348917298E-4</v>
      </c>
      <c r="G259" s="706">
        <f t="shared" si="43"/>
        <v>12</v>
      </c>
      <c r="H259" s="2149">
        <f t="shared" si="41"/>
        <v>177658.86</v>
      </c>
    </row>
    <row r="260" spans="2:8">
      <c r="B260" s="1629">
        <v>44878</v>
      </c>
      <c r="C260" s="1629">
        <v>44895</v>
      </c>
      <c r="D260" s="2181">
        <v>0.25779999999999997</v>
      </c>
      <c r="E260" s="1920">
        <f>+D260*1.5</f>
        <v>0.38669999999999993</v>
      </c>
      <c r="F260" s="1933">
        <f>((1+E260)^(1/365)-1)</f>
        <v>8.9609117817124329E-4</v>
      </c>
      <c r="G260" s="706">
        <f t="shared" si="43"/>
        <v>18</v>
      </c>
      <c r="H260" s="2149">
        <f t="shared" si="41"/>
        <v>732709.92</v>
      </c>
    </row>
    <row r="261" spans="2:8">
      <c r="B261" s="1629">
        <v>44896</v>
      </c>
      <c r="C261" s="1629">
        <v>44926</v>
      </c>
      <c r="D261" s="2181">
        <v>0.27639999999999998</v>
      </c>
      <c r="E261" s="1920">
        <f t="shared" ref="E261:E264" si="44">+D261*1.5</f>
        <v>0.41459999999999997</v>
      </c>
      <c r="F261" s="1933">
        <f t="shared" ref="F261:F264" si="45">((1+E261)^(1/365)-1)</f>
        <v>9.5071686592063109E-4</v>
      </c>
      <c r="G261" s="706">
        <f t="shared" si="43"/>
        <v>31</v>
      </c>
      <c r="H261" s="2149">
        <f t="shared" si="41"/>
        <v>1338814.04</v>
      </c>
    </row>
    <row r="262" spans="2:8">
      <c r="B262" s="1629">
        <v>44927</v>
      </c>
      <c r="C262" s="1629">
        <v>44957</v>
      </c>
      <c r="D262" s="2181">
        <v>0.28839999999999999</v>
      </c>
      <c r="E262" s="1920">
        <f t="shared" si="44"/>
        <v>0.43259999999999998</v>
      </c>
      <c r="F262" s="1933">
        <f t="shared" si="45"/>
        <v>9.8539196132163553E-4</v>
      </c>
      <c r="G262" s="706">
        <f t="shared" si="43"/>
        <v>31</v>
      </c>
      <c r="H262" s="2149">
        <f t="shared" si="41"/>
        <v>1387644.04</v>
      </c>
    </row>
    <row r="263" spans="2:8" ht="12.75" customHeight="1">
      <c r="B263" s="1629">
        <v>44958</v>
      </c>
      <c r="C263" s="1629">
        <v>44985</v>
      </c>
      <c r="D263" s="2181">
        <v>0.30180000000000001</v>
      </c>
      <c r="E263" s="1920">
        <f t="shared" si="44"/>
        <v>0.45269999999999999</v>
      </c>
      <c r="F263" s="1933">
        <f t="shared" si="45"/>
        <v>1.0236026853662761E-3</v>
      </c>
      <c r="G263" s="706">
        <f t="shared" si="43"/>
        <v>28</v>
      </c>
      <c r="H263" s="2149">
        <f t="shared" si="41"/>
        <v>1301957.51</v>
      </c>
    </row>
    <row r="264" spans="2:8" ht="12.75" customHeight="1">
      <c r="B264" s="1629">
        <v>44986</v>
      </c>
      <c r="C264" s="1629">
        <v>45002</v>
      </c>
      <c r="D264" s="2181">
        <v>0.30840000000000001</v>
      </c>
      <c r="E264" s="1920">
        <f t="shared" si="44"/>
        <v>0.46260000000000001</v>
      </c>
      <c r="F264" s="2094">
        <f t="shared" si="45"/>
        <v>1.0422295217955568E-3</v>
      </c>
      <c r="G264" s="706">
        <f t="shared" si="43"/>
        <v>17</v>
      </c>
      <c r="H264" s="2149">
        <f t="shared" si="41"/>
        <v>804858.73</v>
      </c>
    </row>
    <row r="265" spans="2:8" ht="12.75" customHeight="1">
      <c r="B265" s="1629"/>
      <c r="C265" s="1629"/>
      <c r="D265" s="2445"/>
      <c r="E265" s="2045"/>
      <c r="F265" s="2839" t="s">
        <v>1831</v>
      </c>
      <c r="G265" s="2839"/>
      <c r="H265" s="2149">
        <f>SUM(H249:H264)</f>
        <v>8458917.8399999999</v>
      </c>
    </row>
    <row r="266" spans="2:8" ht="13.5">
      <c r="B266" s="2672" t="s">
        <v>55</v>
      </c>
      <c r="C266" s="2672"/>
      <c r="F266" s="1934"/>
      <c r="G266" s="1934"/>
    </row>
    <row r="267" spans="2:8" ht="13.5">
      <c r="B267" s="737" t="s">
        <v>276</v>
      </c>
      <c r="C267" s="2154">
        <f>+E246</f>
        <v>45426300</v>
      </c>
      <c r="F267" s="1934"/>
      <c r="G267" s="1934"/>
    </row>
    <row r="268" spans="2:8" ht="25.5">
      <c r="B268" s="902" t="s">
        <v>338</v>
      </c>
      <c r="C268" s="2154">
        <f>+H265</f>
        <v>8458917.8399999999</v>
      </c>
      <c r="F268" s="1934"/>
      <c r="G268" s="1934"/>
    </row>
    <row r="269" spans="2:8" ht="25.5">
      <c r="B269" s="902" t="s">
        <v>348</v>
      </c>
      <c r="C269" s="2154">
        <v>1853228.0072727271</v>
      </c>
      <c r="F269" s="1934"/>
      <c r="G269" s="1934"/>
    </row>
    <row r="270" spans="2:8" ht="13.5">
      <c r="B270" s="902" t="s">
        <v>757</v>
      </c>
      <c r="C270" s="2154">
        <v>4545.454545454545</v>
      </c>
      <c r="F270" s="1934"/>
      <c r="G270" s="1934"/>
    </row>
    <row r="271" spans="2:8" ht="13.5">
      <c r="B271" s="728" t="s">
        <v>1705</v>
      </c>
      <c r="C271" s="2250">
        <f>SUM(C267:C270)</f>
        <v>55742991.301818185</v>
      </c>
    </row>
    <row r="272" spans="2:8" ht="13.5">
      <c r="B272" s="848"/>
      <c r="C272" s="2444"/>
    </row>
    <row r="273" spans="1:8" ht="13.5">
      <c r="A273" s="731">
        <v>10</v>
      </c>
      <c r="B273" s="791" t="s">
        <v>1825</v>
      </c>
      <c r="D273" s="697" t="s">
        <v>1041</v>
      </c>
      <c r="E273" s="2350">
        <f>+I22</f>
        <v>45426300</v>
      </c>
    </row>
    <row r="274" spans="1:8" ht="13.5">
      <c r="B274" s="2824" t="s">
        <v>160</v>
      </c>
      <c r="C274" s="2824"/>
      <c r="D274" s="2824"/>
      <c r="E274" s="2824"/>
      <c r="F274" s="2824"/>
      <c r="G274" s="2824"/>
      <c r="H274" s="2824"/>
    </row>
    <row r="275" spans="1:8" ht="27">
      <c r="B275" s="1915" t="s">
        <v>206</v>
      </c>
      <c r="C275" s="1915" t="s">
        <v>10</v>
      </c>
      <c r="D275" s="2441" t="s">
        <v>1829</v>
      </c>
      <c r="E275" s="700" t="s">
        <v>1830</v>
      </c>
      <c r="F275" s="699" t="s">
        <v>43</v>
      </c>
      <c r="G275" s="1642" t="s">
        <v>47</v>
      </c>
      <c r="H275" s="2153" t="s">
        <v>48</v>
      </c>
    </row>
    <row r="276" spans="1:8">
      <c r="B276" s="1629">
        <v>44574</v>
      </c>
      <c r="C276" s="1629">
        <v>44592</v>
      </c>
      <c r="D276" s="1920">
        <v>3.4700000000000002E-2</v>
      </c>
      <c r="E276" s="1920">
        <v>0</v>
      </c>
      <c r="F276" s="1933">
        <f>((1+D276)^(1/365)-1)</f>
        <v>9.3460612729190373E-5</v>
      </c>
      <c r="G276" s="706">
        <f>+(C276-B276)+1</f>
        <v>19</v>
      </c>
      <c r="H276" s="2149">
        <f>ROUND($E$273*F276*G276,2)</f>
        <v>80665.83</v>
      </c>
    </row>
    <row r="277" spans="1:8">
      <c r="B277" s="1629">
        <v>44593</v>
      </c>
      <c r="C277" s="1629">
        <v>44620</v>
      </c>
      <c r="D277" s="1920">
        <v>4.3099999999999999E-2</v>
      </c>
      <c r="E277" s="1920">
        <v>0</v>
      </c>
      <c r="F277" s="1933">
        <f>((1+D277)^(1/365)-1)</f>
        <v>1.1561503550527874E-4</v>
      </c>
      <c r="G277" s="706">
        <f>+(C277-B277)+1</f>
        <v>28</v>
      </c>
      <c r="H277" s="2149">
        <f t="shared" ref="H277:H291" si="46">ROUND($E$273*F277*G277,2)</f>
        <v>147054.97</v>
      </c>
    </row>
    <row r="278" spans="1:8">
      <c r="B278" s="1629">
        <v>44621</v>
      </c>
      <c r="C278" s="1629">
        <v>44651</v>
      </c>
      <c r="D278" s="1920">
        <v>4.9700000000000001E-2</v>
      </c>
      <c r="E278" s="1920">
        <v>0</v>
      </c>
      <c r="F278" s="1933">
        <f t="shared" ref="F278:F286" si="47">((1+D278)^(1/365)-1)</f>
        <v>1.3289762205070943E-4</v>
      </c>
      <c r="G278" s="706">
        <f t="shared" ref="G278:G291" si="48">+(C278-B278)+1</f>
        <v>31</v>
      </c>
      <c r="H278" s="2149">
        <f t="shared" si="46"/>
        <v>187148.46</v>
      </c>
    </row>
    <row r="279" spans="1:8">
      <c r="B279" s="1629">
        <v>44652</v>
      </c>
      <c r="C279" s="1629">
        <v>44681</v>
      </c>
      <c r="D279" s="1920">
        <v>5.9700000000000003E-2</v>
      </c>
      <c r="E279" s="1920">
        <v>0</v>
      </c>
      <c r="F279" s="1933">
        <f t="shared" si="47"/>
        <v>1.5887796003677401E-4</v>
      </c>
      <c r="G279" s="706">
        <f t="shared" si="48"/>
        <v>30</v>
      </c>
      <c r="H279" s="2149">
        <f t="shared" si="46"/>
        <v>216517.14</v>
      </c>
    </row>
    <row r="280" spans="1:8">
      <c r="B280" s="1629">
        <v>44682</v>
      </c>
      <c r="C280" s="1629">
        <v>44712</v>
      </c>
      <c r="D280" s="1920">
        <v>7.0400000000000004E-2</v>
      </c>
      <c r="E280" s="1920">
        <v>0</v>
      </c>
      <c r="F280" s="1933">
        <f t="shared" si="47"/>
        <v>1.8640753718313086E-4</v>
      </c>
      <c r="G280" s="706">
        <f t="shared" si="48"/>
        <v>31</v>
      </c>
      <c r="H280" s="2149">
        <f t="shared" si="46"/>
        <v>262501.95</v>
      </c>
    </row>
    <row r="281" spans="1:8" ht="13.5">
      <c r="B281" s="1629">
        <v>44713</v>
      </c>
      <c r="C281" s="1629">
        <v>44742</v>
      </c>
      <c r="D281" s="1923">
        <v>7.7200000000000005E-2</v>
      </c>
      <c r="E281" s="1920">
        <v>0</v>
      </c>
      <c r="F281" s="1933">
        <f t="shared" si="47"/>
        <v>2.0376070695582449E-4</v>
      </c>
      <c r="G281" s="706">
        <f t="shared" si="48"/>
        <v>30</v>
      </c>
      <c r="H281" s="2149">
        <f t="shared" si="46"/>
        <v>277682.84999999998</v>
      </c>
    </row>
    <row r="282" spans="1:8" ht="13.5">
      <c r="B282" s="1629">
        <v>44743</v>
      </c>
      <c r="C282" s="1629">
        <v>44773</v>
      </c>
      <c r="D282" s="1923">
        <v>9.2999999999999999E-2</v>
      </c>
      <c r="E282" s="1920">
        <v>0</v>
      </c>
      <c r="F282" s="1933">
        <f t="shared" si="47"/>
        <v>2.4366313088708402E-4</v>
      </c>
      <c r="G282" s="706">
        <f t="shared" si="48"/>
        <v>31</v>
      </c>
      <c r="H282" s="2149">
        <f t="shared" si="46"/>
        <v>343130.15</v>
      </c>
    </row>
    <row r="283" spans="1:8">
      <c r="B283" s="1629">
        <v>44774</v>
      </c>
      <c r="C283" s="1629">
        <v>44804</v>
      </c>
      <c r="D283" s="1920">
        <v>0.1057</v>
      </c>
      <c r="E283" s="1920">
        <v>0</v>
      </c>
      <c r="F283" s="1933">
        <f t="shared" si="47"/>
        <v>2.7532178056910439E-4</v>
      </c>
      <c r="G283" s="706">
        <f t="shared" si="48"/>
        <v>31</v>
      </c>
      <c r="H283" s="2149">
        <f t="shared" si="46"/>
        <v>387712.34</v>
      </c>
    </row>
    <row r="284" spans="1:8">
      <c r="B284" s="1629">
        <v>44805</v>
      </c>
      <c r="C284" s="1629">
        <v>44834</v>
      </c>
      <c r="D284" s="2181">
        <v>0.1099</v>
      </c>
      <c r="E284" s="1920">
        <v>0</v>
      </c>
      <c r="F284" s="1933">
        <f t="shared" si="47"/>
        <v>2.857118247707735E-4</v>
      </c>
      <c r="G284" s="706">
        <f t="shared" si="48"/>
        <v>30</v>
      </c>
      <c r="H284" s="2149">
        <f t="shared" si="46"/>
        <v>389364.93</v>
      </c>
    </row>
    <row r="285" spans="1:8">
      <c r="B285" s="1629">
        <v>44835</v>
      </c>
      <c r="C285" s="1629">
        <v>44865</v>
      </c>
      <c r="D285" s="2181">
        <v>0.11600000000000001</v>
      </c>
      <c r="E285" s="1920">
        <v>0</v>
      </c>
      <c r="F285" s="1933">
        <f t="shared" si="47"/>
        <v>3.0073250947526553E-4</v>
      </c>
      <c r="G285" s="706">
        <f t="shared" si="48"/>
        <v>31</v>
      </c>
      <c r="H285" s="2149">
        <f t="shared" si="46"/>
        <v>423496.12</v>
      </c>
    </row>
    <row r="286" spans="1:8">
      <c r="B286" s="1629">
        <v>44866</v>
      </c>
      <c r="C286" s="1629">
        <v>44877</v>
      </c>
      <c r="D286" s="2181">
        <v>0.1263</v>
      </c>
      <c r="E286" s="1920">
        <v>0</v>
      </c>
      <c r="F286" s="1933">
        <f t="shared" si="47"/>
        <v>3.2591042348917298E-4</v>
      </c>
      <c r="G286" s="706">
        <f t="shared" si="48"/>
        <v>12</v>
      </c>
      <c r="H286" s="2149">
        <f t="shared" si="46"/>
        <v>177658.86</v>
      </c>
    </row>
    <row r="287" spans="1:8">
      <c r="B287" s="1629">
        <v>44878</v>
      </c>
      <c r="C287" s="1629">
        <v>44895</v>
      </c>
      <c r="D287" s="2181">
        <v>0.25779999999999997</v>
      </c>
      <c r="E287" s="1920">
        <f>+D287*1.5</f>
        <v>0.38669999999999993</v>
      </c>
      <c r="F287" s="1933">
        <f>((1+E287)^(1/365)-1)</f>
        <v>8.9609117817124329E-4</v>
      </c>
      <c r="G287" s="706">
        <f t="shared" si="48"/>
        <v>18</v>
      </c>
      <c r="H287" s="2149">
        <f t="shared" si="46"/>
        <v>732709.92</v>
      </c>
    </row>
    <row r="288" spans="1:8">
      <c r="B288" s="1629">
        <v>44896</v>
      </c>
      <c r="C288" s="1629">
        <v>44926</v>
      </c>
      <c r="D288" s="2181">
        <v>0.27639999999999998</v>
      </c>
      <c r="E288" s="1920">
        <f t="shared" ref="E288:E291" si="49">+D288*1.5</f>
        <v>0.41459999999999997</v>
      </c>
      <c r="F288" s="1933">
        <f t="shared" ref="F288:F291" si="50">((1+E288)^(1/365)-1)</f>
        <v>9.5071686592063109E-4</v>
      </c>
      <c r="G288" s="706">
        <f t="shared" si="48"/>
        <v>31</v>
      </c>
      <c r="H288" s="2149">
        <f t="shared" si="46"/>
        <v>1338814.04</v>
      </c>
    </row>
    <row r="289" spans="1:8">
      <c r="B289" s="1629">
        <v>44927</v>
      </c>
      <c r="C289" s="1629">
        <v>44957</v>
      </c>
      <c r="D289" s="2181">
        <v>0.28839999999999999</v>
      </c>
      <c r="E289" s="1920">
        <f t="shared" si="49"/>
        <v>0.43259999999999998</v>
      </c>
      <c r="F289" s="1933">
        <f t="shared" si="50"/>
        <v>9.8539196132163553E-4</v>
      </c>
      <c r="G289" s="706">
        <f t="shared" si="48"/>
        <v>31</v>
      </c>
      <c r="H289" s="2149">
        <f t="shared" si="46"/>
        <v>1387644.04</v>
      </c>
    </row>
    <row r="290" spans="1:8" ht="12.75" customHeight="1">
      <c r="B290" s="1629">
        <v>44958</v>
      </c>
      <c r="C290" s="1629">
        <v>44985</v>
      </c>
      <c r="D290" s="2181">
        <v>0.30180000000000001</v>
      </c>
      <c r="E290" s="1920">
        <f t="shared" si="49"/>
        <v>0.45269999999999999</v>
      </c>
      <c r="F290" s="1933">
        <f t="shared" si="50"/>
        <v>1.0236026853662761E-3</v>
      </c>
      <c r="G290" s="706">
        <f t="shared" si="48"/>
        <v>28</v>
      </c>
      <c r="H290" s="2149">
        <f t="shared" si="46"/>
        <v>1301957.51</v>
      </c>
    </row>
    <row r="291" spans="1:8" ht="12.75" customHeight="1">
      <c r="B291" s="1629">
        <v>44986</v>
      </c>
      <c r="C291" s="1629">
        <v>45002</v>
      </c>
      <c r="D291" s="2181">
        <v>0.30840000000000001</v>
      </c>
      <c r="E291" s="1920">
        <f t="shared" si="49"/>
        <v>0.46260000000000001</v>
      </c>
      <c r="F291" s="2094">
        <f t="shared" si="50"/>
        <v>1.0422295217955568E-3</v>
      </c>
      <c r="G291" s="706">
        <f t="shared" si="48"/>
        <v>17</v>
      </c>
      <c r="H291" s="2149">
        <f t="shared" si="46"/>
        <v>804858.73</v>
      </c>
    </row>
    <row r="292" spans="1:8" ht="12.75" customHeight="1">
      <c r="B292" s="1629"/>
      <c r="C292" s="1629"/>
      <c r="D292" s="2445"/>
      <c r="E292" s="2045"/>
      <c r="F292" s="2839" t="s">
        <v>1831</v>
      </c>
      <c r="G292" s="2839"/>
      <c r="H292" s="2149">
        <f>SUM(H276:H291)</f>
        <v>8458917.8399999999</v>
      </c>
    </row>
    <row r="293" spans="1:8" ht="13.5">
      <c r="B293" s="2672" t="s">
        <v>55</v>
      </c>
      <c r="C293" s="2672"/>
      <c r="F293" s="1934"/>
      <c r="G293" s="1934"/>
    </row>
    <row r="294" spans="1:8" ht="13.5">
      <c r="B294" s="737" t="s">
        <v>276</v>
      </c>
      <c r="C294" s="2154">
        <f>+E273</f>
        <v>45426300</v>
      </c>
      <c r="F294" s="1934"/>
      <c r="G294" s="1934"/>
    </row>
    <row r="295" spans="1:8" ht="25.5">
      <c r="B295" s="902" t="s">
        <v>338</v>
      </c>
      <c r="C295" s="2154">
        <f>+H292</f>
        <v>8458917.8399999999</v>
      </c>
      <c r="F295" s="1934"/>
      <c r="G295" s="1934"/>
    </row>
    <row r="296" spans="1:8" ht="25.5">
      <c r="B296" s="902" t="s">
        <v>348</v>
      </c>
      <c r="C296" s="2154">
        <v>1853228.0072727271</v>
      </c>
      <c r="F296" s="1934"/>
      <c r="G296" s="1934"/>
    </row>
    <row r="297" spans="1:8" ht="13.5">
      <c r="B297" s="902" t="s">
        <v>757</v>
      </c>
      <c r="C297" s="2154">
        <v>4545.45</v>
      </c>
      <c r="F297" s="1934"/>
      <c r="G297" s="1934"/>
    </row>
    <row r="298" spans="1:8" ht="13.5">
      <c r="B298" s="728" t="s">
        <v>1705</v>
      </c>
      <c r="C298" s="2250">
        <f>SUM(C294:C297)</f>
        <v>55742991.297272734</v>
      </c>
    </row>
    <row r="300" spans="1:8">
      <c r="A300" s="697">
        <v>11</v>
      </c>
      <c r="B300" s="697" t="s">
        <v>1826</v>
      </c>
      <c r="D300" s="697" t="s">
        <v>1041</v>
      </c>
      <c r="E300" s="2350">
        <f>+$I$23</f>
        <v>31798410</v>
      </c>
    </row>
    <row r="301" spans="1:8">
      <c r="B301" s="2663" t="s">
        <v>160</v>
      </c>
      <c r="C301" s="2663"/>
      <c r="D301" s="2663"/>
      <c r="E301" s="2663"/>
      <c r="F301" s="2663"/>
      <c r="G301" s="2663"/>
      <c r="H301" s="2663"/>
    </row>
    <row r="302" spans="1:8" ht="27">
      <c r="B302" s="1915" t="s">
        <v>206</v>
      </c>
      <c r="C302" s="1915" t="s">
        <v>10</v>
      </c>
      <c r="D302" s="2441" t="s">
        <v>1829</v>
      </c>
      <c r="E302" s="700" t="s">
        <v>1830</v>
      </c>
      <c r="F302" s="699" t="s">
        <v>43</v>
      </c>
      <c r="G302" s="1642" t="s">
        <v>47</v>
      </c>
      <c r="H302" s="2153" t="s">
        <v>48</v>
      </c>
    </row>
    <row r="303" spans="1:8">
      <c r="B303" s="1629">
        <v>44574</v>
      </c>
      <c r="C303" s="1629">
        <v>44592</v>
      </c>
      <c r="D303" s="1920">
        <v>3.4700000000000002E-2</v>
      </c>
      <c r="E303" s="1920">
        <v>0</v>
      </c>
      <c r="F303" s="1933">
        <f>((1+D303)^(1/365)-1)</f>
        <v>9.3460612729190373E-5</v>
      </c>
      <c r="G303" s="706">
        <f>+(C303-B303)+1</f>
        <v>19</v>
      </c>
      <c r="H303" s="2149">
        <f>ROUND($E$300*F303*G303,2)</f>
        <v>56466.080000000002</v>
      </c>
    </row>
    <row r="304" spans="1:8">
      <c r="B304" s="1629">
        <v>44593</v>
      </c>
      <c r="C304" s="1629">
        <v>44620</v>
      </c>
      <c r="D304" s="1920">
        <v>4.3099999999999999E-2</v>
      </c>
      <c r="E304" s="1920">
        <v>0</v>
      </c>
      <c r="F304" s="1933">
        <f>((1+D304)^(1/365)-1)</f>
        <v>1.1561503550527874E-4</v>
      </c>
      <c r="G304" s="706">
        <f>+(C304-B304)+1</f>
        <v>28</v>
      </c>
      <c r="H304" s="2149">
        <f t="shared" ref="H304:H318" si="51">ROUND($E$300*F304*G304,2)</f>
        <v>102938.48</v>
      </c>
    </row>
    <row r="305" spans="2:8">
      <c r="B305" s="1629">
        <v>44621</v>
      </c>
      <c r="C305" s="1629">
        <v>44651</v>
      </c>
      <c r="D305" s="1920">
        <v>4.9700000000000001E-2</v>
      </c>
      <c r="E305" s="1920">
        <v>0</v>
      </c>
      <c r="F305" s="1933">
        <f t="shared" ref="F305:F313" si="52">((1+D305)^(1/365)-1)</f>
        <v>1.3289762205070943E-4</v>
      </c>
      <c r="G305" s="706">
        <f t="shared" ref="G305:G318" si="53">+(C305-B305)+1</f>
        <v>31</v>
      </c>
      <c r="H305" s="2149">
        <f t="shared" si="51"/>
        <v>131003.93</v>
      </c>
    </row>
    <row r="306" spans="2:8">
      <c r="B306" s="1629">
        <v>44652</v>
      </c>
      <c r="C306" s="1629">
        <v>44681</v>
      </c>
      <c r="D306" s="1920">
        <v>5.9700000000000003E-2</v>
      </c>
      <c r="E306" s="1920">
        <v>0</v>
      </c>
      <c r="F306" s="1933">
        <f t="shared" si="52"/>
        <v>1.5887796003677401E-4</v>
      </c>
      <c r="G306" s="706">
        <f t="shared" si="53"/>
        <v>30</v>
      </c>
      <c r="H306" s="2149">
        <f t="shared" si="51"/>
        <v>151562</v>
      </c>
    </row>
    <row r="307" spans="2:8">
      <c r="B307" s="1629">
        <v>44682</v>
      </c>
      <c r="C307" s="1629">
        <v>44712</v>
      </c>
      <c r="D307" s="1920">
        <v>7.0400000000000004E-2</v>
      </c>
      <c r="E307" s="1920">
        <v>0</v>
      </c>
      <c r="F307" s="1933">
        <f t="shared" si="52"/>
        <v>1.8640753718313086E-4</v>
      </c>
      <c r="G307" s="706">
        <f t="shared" si="53"/>
        <v>31</v>
      </c>
      <c r="H307" s="2149">
        <f t="shared" si="51"/>
        <v>183751.36</v>
      </c>
    </row>
    <row r="308" spans="2:8" ht="13.5">
      <c r="B308" s="1629">
        <v>44713</v>
      </c>
      <c r="C308" s="1629">
        <v>44742</v>
      </c>
      <c r="D308" s="1923">
        <v>7.7200000000000005E-2</v>
      </c>
      <c r="E308" s="1920">
        <v>0</v>
      </c>
      <c r="F308" s="1933">
        <f t="shared" si="52"/>
        <v>2.0376070695582449E-4</v>
      </c>
      <c r="G308" s="706">
        <f t="shared" si="53"/>
        <v>30</v>
      </c>
      <c r="H308" s="2149">
        <f t="shared" si="51"/>
        <v>194378</v>
      </c>
    </row>
    <row r="309" spans="2:8" ht="13.5">
      <c r="B309" s="1629">
        <v>44743</v>
      </c>
      <c r="C309" s="1629">
        <v>44773</v>
      </c>
      <c r="D309" s="1923">
        <v>9.2999999999999999E-2</v>
      </c>
      <c r="E309" s="1920">
        <v>0</v>
      </c>
      <c r="F309" s="1933">
        <f t="shared" si="52"/>
        <v>2.4366313088708402E-4</v>
      </c>
      <c r="G309" s="706">
        <f t="shared" si="53"/>
        <v>31</v>
      </c>
      <c r="H309" s="2149">
        <f t="shared" si="51"/>
        <v>240191.1</v>
      </c>
    </row>
    <row r="310" spans="2:8">
      <c r="B310" s="1629">
        <v>44774</v>
      </c>
      <c r="C310" s="1629">
        <v>44804</v>
      </c>
      <c r="D310" s="1920">
        <v>0.1057</v>
      </c>
      <c r="E310" s="1920">
        <v>0</v>
      </c>
      <c r="F310" s="1933">
        <f t="shared" si="52"/>
        <v>2.7532178056910439E-4</v>
      </c>
      <c r="G310" s="706">
        <f t="shared" si="53"/>
        <v>31</v>
      </c>
      <c r="H310" s="2149">
        <f t="shared" si="51"/>
        <v>271398.64</v>
      </c>
    </row>
    <row r="311" spans="2:8">
      <c r="B311" s="1629">
        <v>44805</v>
      </c>
      <c r="C311" s="1629">
        <v>44834</v>
      </c>
      <c r="D311" s="2181">
        <v>0.1099</v>
      </c>
      <c r="E311" s="1920">
        <v>0</v>
      </c>
      <c r="F311" s="1933">
        <f t="shared" si="52"/>
        <v>2.857118247707735E-4</v>
      </c>
      <c r="G311" s="706">
        <f t="shared" si="53"/>
        <v>30</v>
      </c>
      <c r="H311" s="2149">
        <f t="shared" si="51"/>
        <v>272555.45</v>
      </c>
    </row>
    <row r="312" spans="2:8">
      <c r="B312" s="1629">
        <v>44835</v>
      </c>
      <c r="C312" s="1629">
        <v>44865</v>
      </c>
      <c r="D312" s="2181">
        <v>0.11600000000000001</v>
      </c>
      <c r="E312" s="1920">
        <v>0</v>
      </c>
      <c r="F312" s="1933">
        <f t="shared" si="52"/>
        <v>3.0073250947526553E-4</v>
      </c>
      <c r="G312" s="706">
        <f t="shared" si="53"/>
        <v>31</v>
      </c>
      <c r="H312" s="2149">
        <f t="shared" si="51"/>
        <v>296447.28000000003</v>
      </c>
    </row>
    <row r="313" spans="2:8">
      <c r="B313" s="1629">
        <v>44866</v>
      </c>
      <c r="C313" s="1629">
        <v>44877</v>
      </c>
      <c r="D313" s="2181">
        <v>0.1263</v>
      </c>
      <c r="E313" s="1920">
        <v>0</v>
      </c>
      <c r="F313" s="1933">
        <f t="shared" si="52"/>
        <v>3.2591042348917298E-4</v>
      </c>
      <c r="G313" s="706">
        <f t="shared" si="53"/>
        <v>12</v>
      </c>
      <c r="H313" s="2149">
        <f t="shared" si="51"/>
        <v>124361.2</v>
      </c>
    </row>
    <row r="314" spans="2:8">
      <c r="B314" s="1629">
        <v>44878</v>
      </c>
      <c r="C314" s="1629">
        <v>44895</v>
      </c>
      <c r="D314" s="2181">
        <v>0.25779999999999997</v>
      </c>
      <c r="E314" s="1920">
        <f>+D314*1.5</f>
        <v>0.38669999999999993</v>
      </c>
      <c r="F314" s="1933">
        <f>((1+E314)^(1/365)-1)</f>
        <v>8.9609117817124329E-4</v>
      </c>
      <c r="G314" s="706">
        <f t="shared" si="53"/>
        <v>18</v>
      </c>
      <c r="H314" s="2149">
        <f t="shared" si="51"/>
        <v>512896.94</v>
      </c>
    </row>
    <row r="315" spans="2:8">
      <c r="B315" s="1629">
        <v>44896</v>
      </c>
      <c r="C315" s="1629">
        <v>44926</v>
      </c>
      <c r="D315" s="2181">
        <v>0.27639999999999998</v>
      </c>
      <c r="E315" s="1920">
        <f t="shared" ref="E315:E318" si="54">+D315*1.5</f>
        <v>0.41459999999999997</v>
      </c>
      <c r="F315" s="1933">
        <f t="shared" ref="F315:F318" si="55">((1+E315)^(1/365)-1)</f>
        <v>9.5071686592063109E-4</v>
      </c>
      <c r="G315" s="706">
        <f t="shared" si="53"/>
        <v>31</v>
      </c>
      <c r="H315" s="2149">
        <f t="shared" si="51"/>
        <v>937169.83</v>
      </c>
    </row>
    <row r="316" spans="2:8">
      <c r="B316" s="1629">
        <v>44927</v>
      </c>
      <c r="C316" s="1629">
        <v>44957</v>
      </c>
      <c r="D316" s="2181">
        <v>0.28839999999999999</v>
      </c>
      <c r="E316" s="1920">
        <f t="shared" si="54"/>
        <v>0.43259999999999998</v>
      </c>
      <c r="F316" s="1933">
        <f t="shared" si="55"/>
        <v>9.8539196132163553E-4</v>
      </c>
      <c r="G316" s="706">
        <f t="shared" si="53"/>
        <v>31</v>
      </c>
      <c r="H316" s="2149">
        <f t="shared" si="51"/>
        <v>971350.83</v>
      </c>
    </row>
    <row r="317" spans="2:8" ht="12.75" customHeight="1">
      <c r="B317" s="1629">
        <v>44958</v>
      </c>
      <c r="C317" s="1629">
        <v>44985</v>
      </c>
      <c r="D317" s="2181">
        <v>0.30180000000000001</v>
      </c>
      <c r="E317" s="1920">
        <f t="shared" si="54"/>
        <v>0.45269999999999999</v>
      </c>
      <c r="F317" s="1933">
        <f t="shared" si="55"/>
        <v>1.0236026853662761E-3</v>
      </c>
      <c r="G317" s="706">
        <f t="shared" si="53"/>
        <v>28</v>
      </c>
      <c r="H317" s="2149">
        <f t="shared" si="51"/>
        <v>911370.26</v>
      </c>
    </row>
    <row r="318" spans="2:8" ht="12.75" customHeight="1">
      <c r="B318" s="1629">
        <v>44986</v>
      </c>
      <c r="C318" s="1629">
        <v>45002</v>
      </c>
      <c r="D318" s="2181">
        <v>0.30840000000000001</v>
      </c>
      <c r="E318" s="1920">
        <f t="shared" si="54"/>
        <v>0.46260000000000001</v>
      </c>
      <c r="F318" s="2094">
        <f t="shared" si="55"/>
        <v>1.0422295217955568E-3</v>
      </c>
      <c r="G318" s="706">
        <f t="shared" si="53"/>
        <v>17</v>
      </c>
      <c r="H318" s="2149">
        <f t="shared" si="51"/>
        <v>563401.11</v>
      </c>
    </row>
    <row r="319" spans="2:8" ht="12.75" customHeight="1">
      <c r="B319" s="1629"/>
      <c r="C319" s="1629"/>
      <c r="D319" s="2445"/>
      <c r="E319" s="2045"/>
      <c r="F319" s="2839" t="s">
        <v>1831</v>
      </c>
      <c r="G319" s="2839"/>
      <c r="H319" s="2149">
        <f>SUM(H303:H318)</f>
        <v>5921242.4900000002</v>
      </c>
    </row>
    <row r="320" spans="2:8" ht="13.5">
      <c r="B320" s="2672" t="s">
        <v>55</v>
      </c>
      <c r="C320" s="2672"/>
      <c r="F320" s="1934"/>
      <c r="G320" s="1934"/>
    </row>
    <row r="321" spans="2:7" ht="13.5">
      <c r="B321" s="737" t="s">
        <v>276</v>
      </c>
      <c r="C321" s="2154">
        <f>+E300</f>
        <v>31798410</v>
      </c>
      <c r="F321" s="1934"/>
      <c r="G321" s="1934"/>
    </row>
    <row r="322" spans="2:7" ht="25.5">
      <c r="B322" s="902" t="s">
        <v>338</v>
      </c>
      <c r="C322" s="2154">
        <f>+H319</f>
        <v>5921242.4900000002</v>
      </c>
      <c r="F322" s="1934"/>
      <c r="G322" s="1934"/>
    </row>
    <row r="323" spans="2:7" ht="25.5">
      <c r="B323" s="902" t="s">
        <v>348</v>
      </c>
      <c r="C323" s="2154">
        <v>1853228.0072727271</v>
      </c>
      <c r="F323" s="1934"/>
      <c r="G323" s="1934"/>
    </row>
    <row r="324" spans="2:7" ht="13.5">
      <c r="B324" s="902" t="s">
        <v>757</v>
      </c>
      <c r="C324" s="2154">
        <v>4545.45</v>
      </c>
      <c r="F324" s="1934"/>
      <c r="G324" s="1934"/>
    </row>
    <row r="325" spans="2:7" ht="13.5">
      <c r="B325" s="728" t="s">
        <v>1705</v>
      </c>
      <c r="C325" s="2250">
        <f>SUM(C321:C324)</f>
        <v>39577425.947272733</v>
      </c>
    </row>
    <row r="328" spans="2:7" ht="13.5">
      <c r="B328" s="2672" t="s">
        <v>1832</v>
      </c>
      <c r="C328" s="2672"/>
    </row>
    <row r="329" spans="2:7" ht="13.5">
      <c r="B329" s="737" t="s">
        <v>276</v>
      </c>
      <c r="C329" s="2154">
        <f>+E27+E54+E82+E109+E136+E163+E191+E218+E246+E300+E273</f>
        <v>1043680180.61</v>
      </c>
      <c r="D329" s="1641"/>
      <c r="E329" s="1641"/>
    </row>
    <row r="330" spans="2:7" ht="25.5">
      <c r="B330" s="902" t="s">
        <v>338</v>
      </c>
      <c r="C330" s="2154">
        <f>+C49+C76+C104+C131+C158+C186+C213+C240+C268+C295+C322</f>
        <v>194345673.94999999</v>
      </c>
    </row>
    <row r="331" spans="2:7" ht="13.5">
      <c r="B331" s="902" t="s">
        <v>757</v>
      </c>
      <c r="C331" s="2354">
        <f>+C50+C77+C105+C132+C159+C187+C214+C241+C269+C296+C323</f>
        <v>20385508.080000006</v>
      </c>
      <c r="D331" s="715"/>
    </row>
    <row r="332" spans="2:7" ht="13.5">
      <c r="B332" s="902" t="s">
        <v>1833</v>
      </c>
      <c r="C332" s="2354">
        <f>+C51+C78+C106+C133+C160+C188+C215+C242+C270+C297+C324</f>
        <v>49999.990909090899</v>
      </c>
      <c r="D332" s="715"/>
    </row>
    <row r="333" spans="2:7" ht="13.5">
      <c r="B333" s="728" t="s">
        <v>1705</v>
      </c>
      <c r="C333" s="2250">
        <f>SUM(C329:C332)</f>
        <v>1258461362.630909</v>
      </c>
      <c r="D333" s="2379"/>
    </row>
  </sheetData>
  <mergeCells count="37">
    <mergeCell ref="B328:C328"/>
    <mergeCell ref="B274:H274"/>
    <mergeCell ref="B301:H301"/>
    <mergeCell ref="B293:C293"/>
    <mergeCell ref="F319:G319"/>
    <mergeCell ref="B320:C320"/>
    <mergeCell ref="B110:H110"/>
    <mergeCell ref="B137:H137"/>
    <mergeCell ref="B12:C12"/>
    <mergeCell ref="A11:D11"/>
    <mergeCell ref="B28:H28"/>
    <mergeCell ref="F24:H24"/>
    <mergeCell ref="F46:G46"/>
    <mergeCell ref="B55:H55"/>
    <mergeCell ref="B83:H83"/>
    <mergeCell ref="B47:C47"/>
    <mergeCell ref="B102:C102"/>
    <mergeCell ref="B74:C74"/>
    <mergeCell ref="F73:G73"/>
    <mergeCell ref="F101:G101"/>
    <mergeCell ref="F128:G128"/>
    <mergeCell ref="B129:C129"/>
    <mergeCell ref="F155:G155"/>
    <mergeCell ref="F182:G182"/>
    <mergeCell ref="F265:G265"/>
    <mergeCell ref="B266:C266"/>
    <mergeCell ref="F292:G292"/>
    <mergeCell ref="B247:H247"/>
    <mergeCell ref="F237:G237"/>
    <mergeCell ref="B238:C238"/>
    <mergeCell ref="B164:H164"/>
    <mergeCell ref="B156:C156"/>
    <mergeCell ref="B192:H192"/>
    <mergeCell ref="B219:H219"/>
    <mergeCell ref="B184:C184"/>
    <mergeCell ref="F210:G210"/>
    <mergeCell ref="B211:C211"/>
  </mergeCells>
  <pageMargins left="0.7" right="0.7" top="0.75" bottom="0.75" header="0.3" footer="0.3"/>
  <pageSetup paperSize="9" scale="73" orientation="portrait" r:id="rId1"/>
  <colBreaks count="1" manualBreakCount="1">
    <brk id="9" max="1048575" man="1"/>
  </col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F80D-D254-45C7-9880-D6D460AF6D0C}">
  <sheetPr codeName="Hoja106"/>
  <dimension ref="A2:I307"/>
  <sheetViews>
    <sheetView topLeftCell="A290" zoomScaleNormal="100" workbookViewId="0">
      <selection activeCell="D308" sqref="D308"/>
    </sheetView>
  </sheetViews>
  <sheetFormatPr defaultColWidth="11.42578125" defaultRowHeight="12.75"/>
  <cols>
    <col min="1" max="1" width="2.42578125" customWidth="1"/>
    <col min="2" max="2" width="23.7109375" customWidth="1"/>
    <col min="3" max="3" width="20.5703125" customWidth="1"/>
    <col min="4" max="4" width="10.5703125" customWidth="1"/>
    <col min="5" max="5" width="14.42578125" customWidth="1"/>
    <col min="8" max="8" width="14.28515625" customWidth="1"/>
    <col min="9" max="9" width="11.85546875" bestFit="1" customWidth="1"/>
  </cols>
  <sheetData>
    <row r="2" spans="1:5" ht="13.5">
      <c r="B2" s="1627" t="s">
        <v>508</v>
      </c>
      <c r="C2" s="2" t="s">
        <v>1834</v>
      </c>
    </row>
    <row r="3" spans="1:5" ht="13.5">
      <c r="B3" s="1627" t="s">
        <v>814</v>
      </c>
      <c r="C3" s="2" t="s">
        <v>1057</v>
      </c>
    </row>
    <row r="4" spans="1:5" ht="13.5">
      <c r="B4" s="1627" t="s">
        <v>220</v>
      </c>
      <c r="C4" s="2" t="s">
        <v>1835</v>
      </c>
    </row>
    <row r="5" spans="1:5" ht="13.5">
      <c r="B5" s="1627" t="s">
        <v>1338</v>
      </c>
      <c r="C5" s="724">
        <v>44614</v>
      </c>
    </row>
    <row r="6" spans="1:5" ht="13.5">
      <c r="B6" s="1627" t="s">
        <v>700</v>
      </c>
      <c r="C6" s="2" t="s">
        <v>820</v>
      </c>
    </row>
    <row r="7" spans="1:5" ht="13.5">
      <c r="B7" s="683" t="s">
        <v>1002</v>
      </c>
      <c r="C7" s="724">
        <v>44628</v>
      </c>
    </row>
    <row r="10" spans="1:5">
      <c r="B10" s="188" t="s">
        <v>1836</v>
      </c>
      <c r="C10" s="21">
        <v>1000000</v>
      </c>
    </row>
    <row r="11" spans="1:5" ht="13.5">
      <c r="B11" s="1471" t="s">
        <v>1837</v>
      </c>
      <c r="C11" s="868"/>
    </row>
    <row r="12" spans="1:5" ht="33.75">
      <c r="A12" s="2"/>
      <c r="B12" s="401" t="s">
        <v>1805</v>
      </c>
      <c r="C12" s="401" t="s">
        <v>1685</v>
      </c>
      <c r="D12" s="67" t="s">
        <v>1838</v>
      </c>
      <c r="E12" s="67" t="s">
        <v>1839</v>
      </c>
    </row>
    <row r="13" spans="1:5" ht="13.5">
      <c r="A13" s="737">
        <v>1</v>
      </c>
      <c r="B13" s="737" t="s">
        <v>1840</v>
      </c>
      <c r="C13" s="737" t="s">
        <v>1841</v>
      </c>
      <c r="D13" s="1726">
        <v>50</v>
      </c>
      <c r="E13" s="88">
        <f>+D13*$C$10</f>
        <v>50000000</v>
      </c>
    </row>
    <row r="14" spans="1:5" ht="13.5">
      <c r="A14" s="737">
        <f>+A13+1</f>
        <v>2</v>
      </c>
      <c r="B14" s="737" t="s">
        <v>1842</v>
      </c>
      <c r="C14" s="737" t="s">
        <v>1841</v>
      </c>
      <c r="D14" s="1726">
        <v>50</v>
      </c>
      <c r="E14" s="88">
        <f t="shared" ref="E14:E25" si="0">+D14*$C$10</f>
        <v>50000000</v>
      </c>
    </row>
    <row r="15" spans="1:5" ht="13.5">
      <c r="A15" s="737">
        <f t="shared" ref="A15:A25" si="1">+A14+1</f>
        <v>3</v>
      </c>
      <c r="B15" s="737" t="s">
        <v>1843</v>
      </c>
      <c r="C15" s="737" t="s">
        <v>1841</v>
      </c>
      <c r="D15" s="1726">
        <v>50</v>
      </c>
      <c r="E15" s="88">
        <f t="shared" si="0"/>
        <v>50000000</v>
      </c>
    </row>
    <row r="16" spans="1:5" ht="13.5">
      <c r="A16" s="737">
        <f t="shared" si="1"/>
        <v>4</v>
      </c>
      <c r="B16" s="737" t="s">
        <v>1844</v>
      </c>
      <c r="C16" s="737" t="s">
        <v>1841</v>
      </c>
      <c r="D16" s="1726">
        <v>50</v>
      </c>
      <c r="E16" s="88">
        <f t="shared" si="0"/>
        <v>50000000</v>
      </c>
    </row>
    <row r="17" spans="1:9" ht="13.5">
      <c r="A17" s="737">
        <f t="shared" si="1"/>
        <v>5</v>
      </c>
      <c r="B17" s="737" t="s">
        <v>1845</v>
      </c>
      <c r="C17" s="737" t="s">
        <v>1841</v>
      </c>
      <c r="D17" s="1726">
        <v>50</v>
      </c>
      <c r="E17" s="88">
        <f t="shared" si="0"/>
        <v>50000000</v>
      </c>
    </row>
    <row r="18" spans="1:9" ht="13.5">
      <c r="A18" s="737">
        <f t="shared" si="1"/>
        <v>6</v>
      </c>
      <c r="B18" s="737" t="s">
        <v>1846</v>
      </c>
      <c r="C18" s="737" t="s">
        <v>1847</v>
      </c>
      <c r="D18" s="1726">
        <v>25</v>
      </c>
      <c r="E18" s="88">
        <f t="shared" si="0"/>
        <v>25000000</v>
      </c>
    </row>
    <row r="19" spans="1:9" ht="13.5">
      <c r="A19" s="737">
        <f t="shared" si="1"/>
        <v>7</v>
      </c>
      <c r="B19" s="737" t="s">
        <v>1848</v>
      </c>
      <c r="C19" s="737" t="s">
        <v>1847</v>
      </c>
      <c r="D19" s="1726">
        <v>25</v>
      </c>
      <c r="E19" s="88">
        <f t="shared" si="0"/>
        <v>25000000</v>
      </c>
    </row>
    <row r="20" spans="1:9" ht="13.5">
      <c r="A20" s="737">
        <f t="shared" si="1"/>
        <v>8</v>
      </c>
      <c r="B20" s="737" t="s">
        <v>1849</v>
      </c>
      <c r="C20" s="737" t="s">
        <v>1847</v>
      </c>
      <c r="D20" s="1726">
        <v>25</v>
      </c>
      <c r="E20" s="88">
        <f t="shared" si="0"/>
        <v>25000000</v>
      </c>
    </row>
    <row r="21" spans="1:9" ht="13.5">
      <c r="A21" s="737">
        <f t="shared" si="1"/>
        <v>9</v>
      </c>
      <c r="B21" s="737" t="s">
        <v>1850</v>
      </c>
      <c r="C21" s="737" t="s">
        <v>1847</v>
      </c>
      <c r="D21" s="1726">
        <v>25</v>
      </c>
      <c r="E21" s="88">
        <f t="shared" si="0"/>
        <v>25000000</v>
      </c>
    </row>
    <row r="22" spans="1:9" ht="13.5">
      <c r="A22" s="737">
        <f t="shared" si="1"/>
        <v>10</v>
      </c>
      <c r="B22" s="737" t="s">
        <v>1851</v>
      </c>
      <c r="C22" s="737" t="s">
        <v>1847</v>
      </c>
      <c r="D22" s="1726">
        <v>25</v>
      </c>
      <c r="E22" s="88">
        <f t="shared" si="0"/>
        <v>25000000</v>
      </c>
    </row>
    <row r="23" spans="1:9" ht="13.5">
      <c r="A23" s="737">
        <f t="shared" si="1"/>
        <v>11</v>
      </c>
      <c r="B23" s="737" t="s">
        <v>1852</v>
      </c>
      <c r="C23" s="737" t="s">
        <v>1847</v>
      </c>
      <c r="D23" s="1726">
        <v>25</v>
      </c>
      <c r="E23" s="88">
        <f t="shared" si="0"/>
        <v>25000000</v>
      </c>
    </row>
    <row r="24" spans="1:9" ht="13.5">
      <c r="A24" s="737">
        <f t="shared" si="1"/>
        <v>12</v>
      </c>
      <c r="B24" s="737" t="s">
        <v>1853</v>
      </c>
      <c r="C24" s="737" t="s">
        <v>1847</v>
      </c>
      <c r="D24" s="1726">
        <v>25</v>
      </c>
      <c r="E24" s="88">
        <f t="shared" si="0"/>
        <v>25000000</v>
      </c>
    </row>
    <row r="25" spans="1:9" ht="13.5">
      <c r="A25" s="737">
        <f t="shared" si="1"/>
        <v>13</v>
      </c>
      <c r="B25" s="737" t="s">
        <v>1854</v>
      </c>
      <c r="C25" s="737" t="s">
        <v>1847</v>
      </c>
      <c r="D25" s="1726">
        <v>25</v>
      </c>
      <c r="E25" s="88">
        <f t="shared" si="0"/>
        <v>25000000</v>
      </c>
    </row>
    <row r="26" spans="1:9">
      <c r="C26" s="2845" t="s">
        <v>276</v>
      </c>
      <c r="D26" s="2846"/>
      <c r="E26" s="22">
        <f>SUM(E13:E25)</f>
        <v>450000000</v>
      </c>
    </row>
    <row r="28" spans="1:9" ht="13.5">
      <c r="B28" s="737" t="s">
        <v>1840</v>
      </c>
      <c r="C28" s="737" t="s">
        <v>1841</v>
      </c>
      <c r="D28" s="1726">
        <v>50</v>
      </c>
      <c r="E28" s="88">
        <f>+D28*$C$10</f>
        <v>50000000</v>
      </c>
    </row>
    <row r="29" spans="1:9" ht="13.5">
      <c r="B29" s="728" t="s">
        <v>143</v>
      </c>
      <c r="C29" s="850">
        <f>+E28</f>
        <v>50000000</v>
      </c>
      <c r="D29" s="2644" t="s">
        <v>172</v>
      </c>
      <c r="E29" s="2645"/>
      <c r="F29" s="2645"/>
      <c r="G29" s="2645"/>
      <c r="H29" s="2645"/>
      <c r="I29" s="2646"/>
    </row>
    <row r="30" spans="1:9" ht="25.5">
      <c r="B30" s="793" t="s">
        <v>337</v>
      </c>
      <c r="C30" s="793" t="s">
        <v>40</v>
      </c>
      <c r="D30" s="2739" t="s">
        <v>822</v>
      </c>
      <c r="E30" s="2740"/>
      <c r="F30" s="794" t="s">
        <v>43</v>
      </c>
      <c r="G30" s="794" t="s">
        <v>129</v>
      </c>
      <c r="H30" s="794" t="s">
        <v>706</v>
      </c>
      <c r="I30" s="893" t="s">
        <v>48</v>
      </c>
    </row>
    <row r="31" spans="1:9" ht="13.5">
      <c r="A31" s="737">
        <v>1</v>
      </c>
      <c r="B31" s="724">
        <v>44615</v>
      </c>
      <c r="C31" s="724">
        <v>44620</v>
      </c>
      <c r="D31" s="796">
        <v>0</v>
      </c>
      <c r="E31" s="796">
        <v>4.3099999999999999E-2</v>
      </c>
      <c r="F31" s="897">
        <f t="shared" ref="F31:F36" si="2">((1+E31)^(1/365)-1)</f>
        <v>1.1561503550527874E-4</v>
      </c>
      <c r="G31" s="895">
        <f>$C$29</f>
        <v>50000000</v>
      </c>
      <c r="H31" s="931">
        <f t="shared" ref="H31:H39" si="3">+_xlfn.DAYS(C31,B31)+1</f>
        <v>6</v>
      </c>
      <c r="I31" s="941">
        <f>ROUND(F31*G31*H31,2)</f>
        <v>34684.51</v>
      </c>
    </row>
    <row r="32" spans="1:9" ht="13.5">
      <c r="A32" s="737">
        <v>2</v>
      </c>
      <c r="B32" s="724">
        <v>44621</v>
      </c>
      <c r="C32" s="724">
        <v>44651</v>
      </c>
      <c r="D32" s="796">
        <v>0</v>
      </c>
      <c r="E32" s="796">
        <v>4.9700000000000001E-2</v>
      </c>
      <c r="F32" s="897">
        <f t="shared" si="2"/>
        <v>1.3289762205070943E-4</v>
      </c>
      <c r="G32" s="895">
        <f t="shared" ref="G32:G46" si="4">$C$29</f>
        <v>50000000</v>
      </c>
      <c r="H32" s="931">
        <f t="shared" si="3"/>
        <v>31</v>
      </c>
      <c r="I32" s="941">
        <f t="shared" ref="I32:I46" si="5">ROUND(F32*G32*H32,2)</f>
        <v>205991.31</v>
      </c>
    </row>
    <row r="33" spans="1:9" ht="13.5">
      <c r="A33" s="737">
        <v>3</v>
      </c>
      <c r="B33" s="724">
        <v>44652</v>
      </c>
      <c r="C33" s="724">
        <v>44681</v>
      </c>
      <c r="D33" s="796">
        <v>0</v>
      </c>
      <c r="E33" s="796">
        <v>5.9700000000000003E-2</v>
      </c>
      <c r="F33" s="897">
        <f t="shared" si="2"/>
        <v>1.5887796003677401E-4</v>
      </c>
      <c r="G33" s="895">
        <f t="shared" si="4"/>
        <v>50000000</v>
      </c>
      <c r="H33" s="931">
        <f t="shared" si="3"/>
        <v>30</v>
      </c>
      <c r="I33" s="941">
        <f t="shared" si="5"/>
        <v>238316.94</v>
      </c>
    </row>
    <row r="34" spans="1:9" ht="13.5">
      <c r="A34" s="737">
        <v>4</v>
      </c>
      <c r="B34" s="724">
        <v>44682</v>
      </c>
      <c r="C34" s="724">
        <v>44712</v>
      </c>
      <c r="D34" s="796">
        <v>0</v>
      </c>
      <c r="E34" s="796">
        <v>7.0400000000000004E-2</v>
      </c>
      <c r="F34" s="897">
        <f t="shared" si="2"/>
        <v>1.8640753718313086E-4</v>
      </c>
      <c r="G34" s="895">
        <f t="shared" si="4"/>
        <v>50000000</v>
      </c>
      <c r="H34" s="931">
        <f t="shared" si="3"/>
        <v>31</v>
      </c>
      <c r="I34" s="941">
        <f t="shared" si="5"/>
        <v>288931.68</v>
      </c>
    </row>
    <row r="35" spans="1:9" ht="13.5">
      <c r="A35" s="737">
        <v>5</v>
      </c>
      <c r="B35" s="724">
        <v>44713</v>
      </c>
      <c r="C35" s="724">
        <v>44742</v>
      </c>
      <c r="D35" s="796">
        <v>0</v>
      </c>
      <c r="E35" s="796">
        <v>7.7200000000000005E-2</v>
      </c>
      <c r="F35" s="897">
        <f t="shared" si="2"/>
        <v>2.0376070695582449E-4</v>
      </c>
      <c r="G35" s="895">
        <f t="shared" si="4"/>
        <v>50000000</v>
      </c>
      <c r="H35" s="931">
        <f t="shared" si="3"/>
        <v>30</v>
      </c>
      <c r="I35" s="941">
        <f t="shared" si="5"/>
        <v>305641.06</v>
      </c>
    </row>
    <row r="36" spans="1:9" ht="13.5">
      <c r="A36" s="737">
        <v>6</v>
      </c>
      <c r="B36" s="724">
        <v>44743</v>
      </c>
      <c r="C36" s="724">
        <v>44773</v>
      </c>
      <c r="D36" s="796">
        <v>0</v>
      </c>
      <c r="E36" s="1343">
        <v>9.2999999999999999E-2</v>
      </c>
      <c r="F36" s="2108">
        <f t="shared" si="2"/>
        <v>2.4366313088708402E-4</v>
      </c>
      <c r="G36" s="895">
        <f t="shared" si="4"/>
        <v>50000000</v>
      </c>
      <c r="H36" s="931">
        <f t="shared" si="3"/>
        <v>31</v>
      </c>
      <c r="I36" s="941">
        <f t="shared" si="5"/>
        <v>377677.85</v>
      </c>
    </row>
    <row r="37" spans="1:9" ht="13.5">
      <c r="A37" s="737">
        <v>7</v>
      </c>
      <c r="B37" s="724">
        <v>44774</v>
      </c>
      <c r="C37" s="724">
        <v>44804</v>
      </c>
      <c r="D37" s="796">
        <v>0</v>
      </c>
      <c r="E37" s="796">
        <v>0.1057</v>
      </c>
      <c r="F37" s="897">
        <f t="shared" ref="F37:F42" si="6">((1+E37)^(1/365)-1)</f>
        <v>2.7532178056910439E-4</v>
      </c>
      <c r="G37" s="895">
        <f t="shared" si="4"/>
        <v>50000000</v>
      </c>
      <c r="H37" s="931">
        <f t="shared" si="3"/>
        <v>31</v>
      </c>
      <c r="I37" s="941">
        <f t="shared" si="5"/>
        <v>426748.76</v>
      </c>
    </row>
    <row r="38" spans="1:9" ht="13.5">
      <c r="A38" s="737">
        <v>8</v>
      </c>
      <c r="B38" s="724">
        <v>44805</v>
      </c>
      <c r="C38" s="724">
        <v>44834</v>
      </c>
      <c r="D38" s="796">
        <v>0</v>
      </c>
      <c r="E38" s="796">
        <v>0.1099</v>
      </c>
      <c r="F38" s="897">
        <f t="shared" si="6"/>
        <v>2.857118247707735E-4</v>
      </c>
      <c r="G38" s="895">
        <f t="shared" si="4"/>
        <v>50000000</v>
      </c>
      <c r="H38" s="931">
        <f t="shared" si="3"/>
        <v>30</v>
      </c>
      <c r="I38" s="941">
        <f t="shared" si="5"/>
        <v>428567.74</v>
      </c>
    </row>
    <row r="39" spans="1:9" ht="13.5">
      <c r="A39" s="737">
        <v>9</v>
      </c>
      <c r="B39" s="724">
        <v>44835</v>
      </c>
      <c r="C39" s="724">
        <v>44865</v>
      </c>
      <c r="D39" s="796">
        <v>0</v>
      </c>
      <c r="E39" s="796">
        <v>0.11600000000000001</v>
      </c>
      <c r="F39" s="897">
        <f t="shared" si="6"/>
        <v>3.0073250947526553E-4</v>
      </c>
      <c r="G39" s="895">
        <f t="shared" si="4"/>
        <v>50000000</v>
      </c>
      <c r="H39" s="931">
        <f t="shared" si="3"/>
        <v>31</v>
      </c>
      <c r="I39" s="941">
        <f t="shared" si="5"/>
        <v>466135.39</v>
      </c>
    </row>
    <row r="40" spans="1:9" ht="13.5">
      <c r="A40" s="737">
        <v>10</v>
      </c>
      <c r="B40" s="724">
        <v>44866</v>
      </c>
      <c r="C40" s="724">
        <v>44895</v>
      </c>
      <c r="D40" s="796">
        <v>0</v>
      </c>
      <c r="E40" s="796">
        <v>0.1263</v>
      </c>
      <c r="F40" s="897">
        <f t="shared" si="6"/>
        <v>3.2591042348917298E-4</v>
      </c>
      <c r="G40" s="895">
        <f t="shared" si="4"/>
        <v>50000000</v>
      </c>
      <c r="H40" s="931">
        <f t="shared" ref="H40:H42" si="7">+_xlfn.DAYS(C40,B40)+1</f>
        <v>30</v>
      </c>
      <c r="I40" s="941">
        <f t="shared" si="5"/>
        <v>488865.64</v>
      </c>
    </row>
    <row r="41" spans="1:9" ht="13.5">
      <c r="A41" s="737">
        <v>11</v>
      </c>
      <c r="B41" s="724">
        <v>44896</v>
      </c>
      <c r="C41" s="724">
        <v>44918</v>
      </c>
      <c r="D41" s="796">
        <v>0</v>
      </c>
      <c r="E41" s="796">
        <v>0.13420000000000001</v>
      </c>
      <c r="F41" s="897">
        <f t="shared" si="6"/>
        <v>3.4506652613908173E-4</v>
      </c>
      <c r="G41" s="895">
        <f t="shared" si="4"/>
        <v>50000000</v>
      </c>
      <c r="H41" s="931">
        <f t="shared" si="7"/>
        <v>23</v>
      </c>
      <c r="I41" s="941">
        <f t="shared" si="5"/>
        <v>396826.51</v>
      </c>
    </row>
    <row r="42" spans="1:9" ht="13.5">
      <c r="A42" s="737">
        <v>12</v>
      </c>
      <c r="B42" s="724">
        <v>44919</v>
      </c>
      <c r="C42" s="724">
        <v>44926</v>
      </c>
      <c r="D42" s="2181">
        <v>0.27639999999999998</v>
      </c>
      <c r="E42" s="796">
        <f>+D42*1.5</f>
        <v>0.41459999999999997</v>
      </c>
      <c r="F42" s="897">
        <f t="shared" si="6"/>
        <v>9.5071686592063109E-4</v>
      </c>
      <c r="G42" s="895">
        <f t="shared" si="4"/>
        <v>50000000</v>
      </c>
      <c r="H42" s="931">
        <f t="shared" si="7"/>
        <v>8</v>
      </c>
      <c r="I42" s="941">
        <f t="shared" si="5"/>
        <v>380286.75</v>
      </c>
    </row>
    <row r="43" spans="1:9" ht="13.5">
      <c r="A43" s="737">
        <v>13</v>
      </c>
      <c r="B43" s="724">
        <v>44927</v>
      </c>
      <c r="C43" s="724">
        <v>44957</v>
      </c>
      <c r="D43" s="2181">
        <v>0.28839999999999999</v>
      </c>
      <c r="E43" s="796">
        <f>+D43*1.5</f>
        <v>0.43259999999999998</v>
      </c>
      <c r="F43" s="897">
        <f t="shared" ref="F43:F44" si="8">((1+E43)^(1/365)-1)</f>
        <v>9.8539196132163553E-4</v>
      </c>
      <c r="G43" s="895">
        <f t="shared" si="4"/>
        <v>50000000</v>
      </c>
      <c r="H43" s="931">
        <f t="shared" ref="H43:H44" si="9">+_xlfn.DAYS(C43,B43)+1</f>
        <v>31</v>
      </c>
      <c r="I43" s="941">
        <f t="shared" si="5"/>
        <v>1527357.54</v>
      </c>
    </row>
    <row r="44" spans="1:9" ht="13.5">
      <c r="A44" s="737">
        <v>14</v>
      </c>
      <c r="B44" s="724">
        <v>44958</v>
      </c>
      <c r="C44" s="724">
        <v>44985</v>
      </c>
      <c r="D44" s="2181">
        <v>0.30180000000000001</v>
      </c>
      <c r="E44" s="796">
        <f>+D44*1.5</f>
        <v>0.45269999999999999</v>
      </c>
      <c r="F44" s="897">
        <f t="shared" si="8"/>
        <v>1.0236026853662761E-3</v>
      </c>
      <c r="G44" s="895">
        <f t="shared" si="4"/>
        <v>50000000</v>
      </c>
      <c r="H44" s="931">
        <f t="shared" si="9"/>
        <v>28</v>
      </c>
      <c r="I44" s="941">
        <f t="shared" si="5"/>
        <v>1433043.76</v>
      </c>
    </row>
    <row r="45" spans="1:9" ht="13.5">
      <c r="A45" s="737">
        <v>15</v>
      </c>
      <c r="B45" s="724">
        <v>44986</v>
      </c>
      <c r="C45" s="724">
        <v>45016</v>
      </c>
      <c r="D45" s="2181">
        <v>0.30840000000000001</v>
      </c>
      <c r="E45" s="796">
        <f>+D45*1.5</f>
        <v>0.46260000000000001</v>
      </c>
      <c r="F45" s="897">
        <f t="shared" ref="F45:F46" si="10">((1+E45)^(1/365)-1)</f>
        <v>1.0422295217955568E-3</v>
      </c>
      <c r="G45" s="895">
        <f t="shared" si="4"/>
        <v>50000000</v>
      </c>
      <c r="H45" s="931">
        <f t="shared" ref="H45:H46" si="11">+_xlfn.DAYS(C45,B45)+1</f>
        <v>31</v>
      </c>
      <c r="I45" s="941">
        <f t="shared" si="5"/>
        <v>1615455.76</v>
      </c>
    </row>
    <row r="46" spans="1:9" ht="13.5">
      <c r="A46" s="737">
        <v>16</v>
      </c>
      <c r="B46" s="724">
        <v>45017</v>
      </c>
      <c r="C46" s="724">
        <v>45046</v>
      </c>
      <c r="D46" s="2181">
        <v>0.31390000000000001</v>
      </c>
      <c r="E46" s="796">
        <f>+D46*1.5</f>
        <v>0.47084999999999999</v>
      </c>
      <c r="F46" s="897">
        <f t="shared" si="10"/>
        <v>1.0576560884423269E-3</v>
      </c>
      <c r="G46" s="895">
        <f t="shared" si="4"/>
        <v>50000000</v>
      </c>
      <c r="H46" s="931">
        <f t="shared" si="11"/>
        <v>30</v>
      </c>
      <c r="I46" s="941">
        <f t="shared" si="5"/>
        <v>1586484.13</v>
      </c>
    </row>
    <row r="47" spans="1:9" ht="13.5">
      <c r="G47" s="2844" t="s">
        <v>338</v>
      </c>
      <c r="H47" s="2844"/>
      <c r="I47" s="2528">
        <f>SUM(I31:I46)</f>
        <v>10201015.330000002</v>
      </c>
    </row>
    <row r="49" spans="1:9" ht="13.5">
      <c r="B49" s="737" t="s">
        <v>1842</v>
      </c>
      <c r="C49" s="737" t="s">
        <v>1841</v>
      </c>
      <c r="D49" s="1726">
        <v>50</v>
      </c>
      <c r="E49" s="88">
        <f>+D49*$C$10</f>
        <v>50000000</v>
      </c>
    </row>
    <row r="50" spans="1:9" ht="13.5">
      <c r="B50" s="728" t="s">
        <v>143</v>
      </c>
      <c r="C50" s="850">
        <f>+E49</f>
        <v>50000000</v>
      </c>
      <c r="D50" s="2644" t="s">
        <v>172</v>
      </c>
      <c r="E50" s="2645"/>
      <c r="F50" s="2645"/>
      <c r="G50" s="2645"/>
      <c r="H50" s="2645"/>
      <c r="I50" s="2646"/>
    </row>
    <row r="51" spans="1:9" ht="26.25" customHeight="1">
      <c r="B51" s="793" t="s">
        <v>337</v>
      </c>
      <c r="C51" s="793" t="s">
        <v>40</v>
      </c>
      <c r="D51" s="2739" t="s">
        <v>822</v>
      </c>
      <c r="E51" s="2740"/>
      <c r="F51" s="794" t="s">
        <v>43</v>
      </c>
      <c r="G51" s="794" t="s">
        <v>129</v>
      </c>
      <c r="H51" s="794" t="s">
        <v>706</v>
      </c>
      <c r="I51" s="893" t="s">
        <v>48</v>
      </c>
    </row>
    <row r="52" spans="1:9" ht="13.5">
      <c r="A52" s="737">
        <v>1</v>
      </c>
      <c r="B52" s="724">
        <v>44615</v>
      </c>
      <c r="C52" s="724">
        <v>44620</v>
      </c>
      <c r="D52" s="796">
        <v>0</v>
      </c>
      <c r="E52" s="796">
        <v>4.3099999999999999E-2</v>
      </c>
      <c r="F52" s="897">
        <f t="shared" ref="F52:F59" si="12">((1+E52)^(1/365)-1)</f>
        <v>1.1561503550527874E-4</v>
      </c>
      <c r="G52" s="895">
        <f>$C$50</f>
        <v>50000000</v>
      </c>
      <c r="H52" s="931">
        <f t="shared" ref="H52:H59" si="13">+_xlfn.DAYS(C52,B52)+1</f>
        <v>6</v>
      </c>
      <c r="I52" s="941">
        <f>ROUND(F52*G52*H52,2)</f>
        <v>34684.51</v>
      </c>
    </row>
    <row r="53" spans="1:9" ht="13.5">
      <c r="A53" s="737">
        <v>2</v>
      </c>
      <c r="B53" s="724">
        <v>44621</v>
      </c>
      <c r="C53" s="724">
        <v>44651</v>
      </c>
      <c r="D53" s="796">
        <v>0</v>
      </c>
      <c r="E53" s="796">
        <v>4.9700000000000001E-2</v>
      </c>
      <c r="F53" s="897">
        <f t="shared" si="12"/>
        <v>1.3289762205070943E-4</v>
      </c>
      <c r="G53" s="895">
        <f t="shared" ref="G53:G60" si="14">$C$50</f>
        <v>50000000</v>
      </c>
      <c r="H53" s="931">
        <f t="shared" si="13"/>
        <v>31</v>
      </c>
      <c r="I53" s="941">
        <f t="shared" ref="I53:I67" si="15">ROUND(F53*G53*H53,2)</f>
        <v>205991.31</v>
      </c>
    </row>
    <row r="54" spans="1:9" ht="13.5">
      <c r="A54" s="737">
        <v>3</v>
      </c>
      <c r="B54" s="724">
        <v>44652</v>
      </c>
      <c r="C54" s="724">
        <v>44681</v>
      </c>
      <c r="D54" s="796">
        <v>0</v>
      </c>
      <c r="E54" s="796">
        <v>5.9700000000000003E-2</v>
      </c>
      <c r="F54" s="897">
        <f t="shared" si="12"/>
        <v>1.5887796003677401E-4</v>
      </c>
      <c r="G54" s="895">
        <f t="shared" si="14"/>
        <v>50000000</v>
      </c>
      <c r="H54" s="931">
        <f t="shared" si="13"/>
        <v>30</v>
      </c>
      <c r="I54" s="941">
        <f t="shared" si="15"/>
        <v>238316.94</v>
      </c>
    </row>
    <row r="55" spans="1:9" ht="13.5">
      <c r="A55" s="737">
        <v>4</v>
      </c>
      <c r="B55" s="724">
        <v>44682</v>
      </c>
      <c r="C55" s="724">
        <v>44712</v>
      </c>
      <c r="D55" s="796">
        <v>0</v>
      </c>
      <c r="E55" s="796">
        <v>7.0400000000000004E-2</v>
      </c>
      <c r="F55" s="897">
        <f t="shared" si="12"/>
        <v>1.8640753718313086E-4</v>
      </c>
      <c r="G55" s="895">
        <f t="shared" si="14"/>
        <v>50000000</v>
      </c>
      <c r="H55" s="931">
        <f t="shared" si="13"/>
        <v>31</v>
      </c>
      <c r="I55" s="941">
        <f t="shared" si="15"/>
        <v>288931.68</v>
      </c>
    </row>
    <row r="56" spans="1:9" ht="13.5">
      <c r="A56" s="737">
        <v>5</v>
      </c>
      <c r="B56" s="724">
        <v>44713</v>
      </c>
      <c r="C56" s="724">
        <v>44742</v>
      </c>
      <c r="D56" s="796">
        <v>0</v>
      </c>
      <c r="E56" s="796">
        <v>7.7200000000000005E-2</v>
      </c>
      <c r="F56" s="897">
        <f t="shared" si="12"/>
        <v>2.0376070695582449E-4</v>
      </c>
      <c r="G56" s="895">
        <f t="shared" si="14"/>
        <v>50000000</v>
      </c>
      <c r="H56" s="931">
        <f t="shared" si="13"/>
        <v>30</v>
      </c>
      <c r="I56" s="941">
        <f t="shared" si="15"/>
        <v>305641.06</v>
      </c>
    </row>
    <row r="57" spans="1:9" ht="13.5">
      <c r="A57" s="737">
        <v>6</v>
      </c>
      <c r="B57" s="724">
        <v>44743</v>
      </c>
      <c r="C57" s="724">
        <v>44773</v>
      </c>
      <c r="D57" s="796">
        <v>0</v>
      </c>
      <c r="E57" s="796">
        <v>9.2999999999999999E-2</v>
      </c>
      <c r="F57" s="897">
        <f t="shared" si="12"/>
        <v>2.4366313088708402E-4</v>
      </c>
      <c r="G57" s="895">
        <f t="shared" si="14"/>
        <v>50000000</v>
      </c>
      <c r="H57" s="931">
        <f t="shared" si="13"/>
        <v>31</v>
      </c>
      <c r="I57" s="941">
        <f t="shared" si="15"/>
        <v>377677.85</v>
      </c>
    </row>
    <row r="58" spans="1:9" ht="15" customHeight="1">
      <c r="A58" s="737">
        <v>7</v>
      </c>
      <c r="B58" s="724">
        <v>44774</v>
      </c>
      <c r="C58" s="724">
        <v>44804</v>
      </c>
      <c r="D58" s="796">
        <v>0</v>
      </c>
      <c r="E58" s="796">
        <v>0.1057</v>
      </c>
      <c r="F58" s="897">
        <f t="shared" si="12"/>
        <v>2.7532178056910439E-4</v>
      </c>
      <c r="G58" s="895">
        <f t="shared" si="14"/>
        <v>50000000</v>
      </c>
      <c r="H58" s="931">
        <f t="shared" si="13"/>
        <v>31</v>
      </c>
      <c r="I58" s="941">
        <f t="shared" si="15"/>
        <v>426748.76</v>
      </c>
    </row>
    <row r="59" spans="1:9" ht="15" customHeight="1">
      <c r="A59" s="737">
        <v>8</v>
      </c>
      <c r="B59" s="724">
        <v>44805</v>
      </c>
      <c r="C59" s="724">
        <v>44834</v>
      </c>
      <c r="D59" s="796">
        <v>0</v>
      </c>
      <c r="E59" s="796">
        <v>0.1099</v>
      </c>
      <c r="F59" s="897">
        <f t="shared" si="12"/>
        <v>2.857118247707735E-4</v>
      </c>
      <c r="G59" s="895">
        <f>$C$29</f>
        <v>50000000</v>
      </c>
      <c r="H59" s="931">
        <f t="shared" si="13"/>
        <v>30</v>
      </c>
      <c r="I59" s="941">
        <f t="shared" si="15"/>
        <v>428567.74</v>
      </c>
    </row>
    <row r="60" spans="1:9" ht="15" customHeight="1">
      <c r="A60" s="737">
        <v>9</v>
      </c>
      <c r="B60" s="724">
        <v>44835</v>
      </c>
      <c r="C60" s="724">
        <v>44865</v>
      </c>
      <c r="D60" s="796">
        <v>0</v>
      </c>
      <c r="E60" s="796">
        <v>0.11600000000000001</v>
      </c>
      <c r="F60" s="897">
        <f t="shared" ref="F60:F61" si="16">((1+E60)^(1/365)-1)</f>
        <v>3.0073250947526553E-4</v>
      </c>
      <c r="G60" s="895">
        <f t="shared" si="14"/>
        <v>50000000</v>
      </c>
      <c r="H60" s="931">
        <f t="shared" ref="H60:H64" si="17">+_xlfn.DAYS(C60,B60)+1</f>
        <v>31</v>
      </c>
      <c r="I60" s="941">
        <f t="shared" si="15"/>
        <v>466135.39</v>
      </c>
    </row>
    <row r="61" spans="1:9" ht="15" customHeight="1">
      <c r="A61" s="737">
        <v>10</v>
      </c>
      <c r="B61" s="724">
        <v>44866</v>
      </c>
      <c r="C61" s="724">
        <v>44895</v>
      </c>
      <c r="D61" s="796">
        <v>0</v>
      </c>
      <c r="E61" s="796">
        <v>0.1263</v>
      </c>
      <c r="F61" s="897">
        <f t="shared" si="16"/>
        <v>3.2591042348917298E-4</v>
      </c>
      <c r="G61" s="895">
        <f>$C$29</f>
        <v>50000000</v>
      </c>
      <c r="H61" s="931">
        <f t="shared" si="17"/>
        <v>30</v>
      </c>
      <c r="I61" s="941">
        <f t="shared" si="15"/>
        <v>488865.64</v>
      </c>
    </row>
    <row r="62" spans="1:9" ht="15" customHeight="1">
      <c r="A62" s="737">
        <v>11</v>
      </c>
      <c r="B62" s="724">
        <v>44896</v>
      </c>
      <c r="C62" s="724">
        <v>44918</v>
      </c>
      <c r="D62" s="796">
        <v>0</v>
      </c>
      <c r="E62" s="796">
        <v>0.13420000000000001</v>
      </c>
      <c r="F62" s="897">
        <f>((1+E62)^(1/365)-1)</f>
        <v>3.4506652613908173E-4</v>
      </c>
      <c r="G62" s="895">
        <f t="shared" ref="G62:G67" si="18">$C$29</f>
        <v>50000000</v>
      </c>
      <c r="H62" s="931">
        <f t="shared" si="17"/>
        <v>23</v>
      </c>
      <c r="I62" s="941">
        <f t="shared" si="15"/>
        <v>396826.51</v>
      </c>
    </row>
    <row r="63" spans="1:9" ht="15" customHeight="1">
      <c r="A63" s="737">
        <v>12</v>
      </c>
      <c r="B63" s="724">
        <v>44919</v>
      </c>
      <c r="C63" s="724">
        <v>44926</v>
      </c>
      <c r="D63" s="796">
        <v>0.27639999999999998</v>
      </c>
      <c r="E63" s="796">
        <f>+D63*1.5</f>
        <v>0.41459999999999997</v>
      </c>
      <c r="F63" s="897">
        <f>((1+E63)^(1/365)-1)</f>
        <v>9.5071686592063109E-4</v>
      </c>
      <c r="G63" s="895">
        <f t="shared" si="18"/>
        <v>50000000</v>
      </c>
      <c r="H63" s="931">
        <f t="shared" si="17"/>
        <v>8</v>
      </c>
      <c r="I63" s="941">
        <f t="shared" si="15"/>
        <v>380286.75</v>
      </c>
    </row>
    <row r="64" spans="1:9" ht="15" customHeight="1">
      <c r="A64" s="737">
        <v>13</v>
      </c>
      <c r="B64" s="724">
        <v>44927</v>
      </c>
      <c r="C64" s="724">
        <v>44957</v>
      </c>
      <c r="D64" s="796">
        <v>0.28839999999999999</v>
      </c>
      <c r="E64" s="796">
        <f>+D64*1.5</f>
        <v>0.43259999999999998</v>
      </c>
      <c r="F64" s="897">
        <f t="shared" ref="F64" si="19">((1+E64)^(1/365)-1)</f>
        <v>9.8539196132163553E-4</v>
      </c>
      <c r="G64" s="895">
        <f t="shared" si="18"/>
        <v>50000000</v>
      </c>
      <c r="H64" s="931">
        <f t="shared" si="17"/>
        <v>31</v>
      </c>
      <c r="I64" s="941">
        <f t="shared" si="15"/>
        <v>1527357.54</v>
      </c>
    </row>
    <row r="65" spans="1:9" ht="15" customHeight="1">
      <c r="A65" s="737">
        <v>14</v>
      </c>
      <c r="B65" s="724">
        <v>44958</v>
      </c>
      <c r="C65" s="724">
        <v>44985</v>
      </c>
      <c r="D65" s="796">
        <v>0.30180000000000001</v>
      </c>
      <c r="E65" s="796">
        <f>+D65*1.5</f>
        <v>0.45269999999999999</v>
      </c>
      <c r="F65" s="897">
        <f>((1+E65)^(1/365)-1)</f>
        <v>1.0236026853662761E-3</v>
      </c>
      <c r="G65" s="895">
        <f t="shared" si="18"/>
        <v>50000000</v>
      </c>
      <c r="H65" s="931">
        <f t="shared" ref="H65:H66" si="20">+_xlfn.DAYS(C65,B65)+1</f>
        <v>28</v>
      </c>
      <c r="I65" s="941">
        <f t="shared" si="15"/>
        <v>1433043.76</v>
      </c>
    </row>
    <row r="66" spans="1:9" ht="15" customHeight="1">
      <c r="A66" s="737">
        <v>15</v>
      </c>
      <c r="B66" s="724">
        <v>44986</v>
      </c>
      <c r="C66" s="724">
        <v>45016</v>
      </c>
      <c r="D66" s="796">
        <v>0.30840000000000001</v>
      </c>
      <c r="E66" s="796">
        <f>+D66*1.5</f>
        <v>0.46260000000000001</v>
      </c>
      <c r="F66" s="897">
        <f t="shared" ref="F66" si="21">((1+E66)^(1/365)-1)</f>
        <v>1.0422295217955568E-3</v>
      </c>
      <c r="G66" s="895">
        <f t="shared" si="18"/>
        <v>50000000</v>
      </c>
      <c r="H66" s="931">
        <f t="shared" si="20"/>
        <v>31</v>
      </c>
      <c r="I66" s="941">
        <f t="shared" si="15"/>
        <v>1615455.76</v>
      </c>
    </row>
    <row r="67" spans="1:9" ht="15" customHeight="1">
      <c r="A67" s="737">
        <v>16</v>
      </c>
      <c r="B67" s="724">
        <v>45017</v>
      </c>
      <c r="C67" s="724">
        <v>45046</v>
      </c>
      <c r="D67" s="796">
        <v>0.31390000000000001</v>
      </c>
      <c r="E67" s="796">
        <f>+D67*1.5</f>
        <v>0.47084999999999999</v>
      </c>
      <c r="F67" s="897">
        <f>((1+E67)^(1/365)-1)</f>
        <v>1.0576560884423269E-3</v>
      </c>
      <c r="G67" s="895">
        <f t="shared" si="18"/>
        <v>50000000</v>
      </c>
      <c r="H67" s="931">
        <f t="shared" ref="H67" si="22">+_xlfn.DAYS(C67,B67)+1</f>
        <v>30</v>
      </c>
      <c r="I67" s="941">
        <f t="shared" si="15"/>
        <v>1586484.13</v>
      </c>
    </row>
    <row r="68" spans="1:9" ht="13.5">
      <c r="G68" s="2847" t="s">
        <v>338</v>
      </c>
      <c r="H68" s="2847"/>
      <c r="I68" s="1077">
        <f>SUM(I52:I67)</f>
        <v>10201015.330000002</v>
      </c>
    </row>
    <row r="70" spans="1:9" ht="13.5">
      <c r="B70" s="737" t="s">
        <v>1843</v>
      </c>
      <c r="C70" s="737" t="s">
        <v>1841</v>
      </c>
      <c r="D70" s="1726">
        <v>50</v>
      </c>
      <c r="E70" s="88">
        <f>+D70*$C$10</f>
        <v>50000000</v>
      </c>
    </row>
    <row r="71" spans="1:9" ht="13.5">
      <c r="B71" s="728" t="s">
        <v>143</v>
      </c>
      <c r="C71" s="850">
        <f>+E70</f>
        <v>50000000</v>
      </c>
      <c r="D71" s="2644" t="s">
        <v>172</v>
      </c>
      <c r="E71" s="2645"/>
      <c r="F71" s="2645"/>
      <c r="G71" s="2645"/>
      <c r="H71" s="2645"/>
      <c r="I71" s="2646"/>
    </row>
    <row r="72" spans="1:9" ht="22.5" customHeight="1">
      <c r="B72" s="793" t="s">
        <v>337</v>
      </c>
      <c r="C72" s="793" t="s">
        <v>40</v>
      </c>
      <c r="D72" s="2739" t="s">
        <v>822</v>
      </c>
      <c r="E72" s="2740"/>
      <c r="F72" s="794" t="s">
        <v>43</v>
      </c>
      <c r="G72" s="794" t="s">
        <v>129</v>
      </c>
      <c r="H72" s="794" t="s">
        <v>706</v>
      </c>
      <c r="I72" s="893" t="s">
        <v>48</v>
      </c>
    </row>
    <row r="73" spans="1:9" ht="13.5">
      <c r="A73" s="737">
        <v>1</v>
      </c>
      <c r="B73" s="724">
        <v>44615</v>
      </c>
      <c r="C73" s="724">
        <v>44620</v>
      </c>
      <c r="D73" s="796">
        <v>0</v>
      </c>
      <c r="E73" s="796">
        <v>4.3099999999999999E-2</v>
      </c>
      <c r="F73" s="897">
        <f t="shared" ref="F73:F80" si="23">((1+E73)^(1/365)-1)</f>
        <v>1.1561503550527874E-4</v>
      </c>
      <c r="G73" s="895">
        <f>$C$71</f>
        <v>50000000</v>
      </c>
      <c r="H73" s="931">
        <f t="shared" ref="H73:H80" si="24">+_xlfn.DAYS(C73,B73)+1</f>
        <v>6</v>
      </c>
      <c r="I73" s="941">
        <f>ROUND(F73*G73*H73,2)</f>
        <v>34684.51</v>
      </c>
    </row>
    <row r="74" spans="1:9" ht="13.5">
      <c r="A74" s="737">
        <v>2</v>
      </c>
      <c r="B74" s="724">
        <v>44621</v>
      </c>
      <c r="C74" s="724">
        <v>44651</v>
      </c>
      <c r="D74" s="796">
        <v>0</v>
      </c>
      <c r="E74" s="796">
        <v>4.9700000000000001E-2</v>
      </c>
      <c r="F74" s="897">
        <f t="shared" si="23"/>
        <v>1.3289762205070943E-4</v>
      </c>
      <c r="G74" s="895">
        <f t="shared" ref="G74:G81" si="25">$C$71</f>
        <v>50000000</v>
      </c>
      <c r="H74" s="931">
        <f t="shared" si="24"/>
        <v>31</v>
      </c>
      <c r="I74" s="941">
        <f t="shared" ref="I74:I87" si="26">ROUND(F74*G74*H74,2)</f>
        <v>205991.31</v>
      </c>
    </row>
    <row r="75" spans="1:9" ht="13.5">
      <c r="A75" s="737">
        <v>3</v>
      </c>
      <c r="B75" s="724">
        <v>44652</v>
      </c>
      <c r="C75" s="724">
        <v>44681</v>
      </c>
      <c r="D75" s="796">
        <v>0</v>
      </c>
      <c r="E75" s="796">
        <v>5.9700000000000003E-2</v>
      </c>
      <c r="F75" s="897">
        <f t="shared" si="23"/>
        <v>1.5887796003677401E-4</v>
      </c>
      <c r="G75" s="895">
        <f t="shared" si="25"/>
        <v>50000000</v>
      </c>
      <c r="H75" s="931">
        <f t="shared" si="24"/>
        <v>30</v>
      </c>
      <c r="I75" s="941">
        <f t="shared" si="26"/>
        <v>238316.94</v>
      </c>
    </row>
    <row r="76" spans="1:9" ht="13.5">
      <c r="A76" s="737">
        <v>4</v>
      </c>
      <c r="B76" s="724">
        <v>44682</v>
      </c>
      <c r="C76" s="724">
        <v>44712</v>
      </c>
      <c r="D76" s="796">
        <v>0</v>
      </c>
      <c r="E76" s="796">
        <v>7.0400000000000004E-2</v>
      </c>
      <c r="F76" s="897">
        <f t="shared" si="23"/>
        <v>1.8640753718313086E-4</v>
      </c>
      <c r="G76" s="895">
        <f t="shared" si="25"/>
        <v>50000000</v>
      </c>
      <c r="H76" s="931">
        <f t="shared" si="24"/>
        <v>31</v>
      </c>
      <c r="I76" s="941">
        <f t="shared" si="26"/>
        <v>288931.68</v>
      </c>
    </row>
    <row r="77" spans="1:9" ht="13.5">
      <c r="A77" s="737">
        <v>5</v>
      </c>
      <c r="B77" s="724">
        <v>44713</v>
      </c>
      <c r="C77" s="724">
        <v>44742</v>
      </c>
      <c r="D77" s="796">
        <v>0</v>
      </c>
      <c r="E77" s="796">
        <v>7.7200000000000005E-2</v>
      </c>
      <c r="F77" s="897">
        <f t="shared" si="23"/>
        <v>2.0376070695582449E-4</v>
      </c>
      <c r="G77" s="895">
        <f t="shared" si="25"/>
        <v>50000000</v>
      </c>
      <c r="H77" s="931">
        <f t="shared" si="24"/>
        <v>30</v>
      </c>
      <c r="I77" s="941">
        <f t="shared" si="26"/>
        <v>305641.06</v>
      </c>
    </row>
    <row r="78" spans="1:9" ht="13.5">
      <c r="A78" s="737">
        <v>6</v>
      </c>
      <c r="B78" s="724">
        <v>44743</v>
      </c>
      <c r="C78" s="724">
        <v>44773</v>
      </c>
      <c r="D78" s="796">
        <v>0</v>
      </c>
      <c r="E78" s="796">
        <v>9.2999999999999999E-2</v>
      </c>
      <c r="F78" s="897">
        <f t="shared" si="23"/>
        <v>2.4366313088708402E-4</v>
      </c>
      <c r="G78" s="895">
        <f t="shared" si="25"/>
        <v>50000000</v>
      </c>
      <c r="H78" s="931">
        <f t="shared" si="24"/>
        <v>31</v>
      </c>
      <c r="I78" s="941">
        <f t="shared" si="26"/>
        <v>377677.85</v>
      </c>
    </row>
    <row r="79" spans="1:9" ht="13.5">
      <c r="A79" s="737">
        <v>7</v>
      </c>
      <c r="B79" s="724">
        <v>44774</v>
      </c>
      <c r="C79" s="724">
        <v>44804</v>
      </c>
      <c r="D79" s="796">
        <v>0</v>
      </c>
      <c r="E79" s="796">
        <v>0.1057</v>
      </c>
      <c r="F79" s="897">
        <f t="shared" si="23"/>
        <v>2.7532178056910439E-4</v>
      </c>
      <c r="G79" s="895">
        <f t="shared" si="25"/>
        <v>50000000</v>
      </c>
      <c r="H79" s="931">
        <f t="shared" si="24"/>
        <v>31</v>
      </c>
      <c r="I79" s="941">
        <f t="shared" si="26"/>
        <v>426748.76</v>
      </c>
    </row>
    <row r="80" spans="1:9" ht="13.5">
      <c r="A80" s="737">
        <v>8</v>
      </c>
      <c r="B80" s="724">
        <v>44805</v>
      </c>
      <c r="C80" s="724">
        <v>44834</v>
      </c>
      <c r="D80" s="796">
        <v>0</v>
      </c>
      <c r="E80" s="796">
        <v>0.1099</v>
      </c>
      <c r="F80" s="897">
        <f t="shared" si="23"/>
        <v>2.857118247707735E-4</v>
      </c>
      <c r="G80" s="895">
        <f>$C$29</f>
        <v>50000000</v>
      </c>
      <c r="H80" s="931">
        <f t="shared" si="24"/>
        <v>30</v>
      </c>
      <c r="I80" s="941">
        <f t="shared" si="26"/>
        <v>428567.74</v>
      </c>
    </row>
    <row r="81" spans="1:9" ht="13.5">
      <c r="A81" s="737">
        <v>9</v>
      </c>
      <c r="B81" s="724">
        <v>44835</v>
      </c>
      <c r="C81" s="724">
        <v>44865</v>
      </c>
      <c r="D81" s="796">
        <v>0</v>
      </c>
      <c r="E81" s="796">
        <v>0.11600000000000001</v>
      </c>
      <c r="F81" s="897">
        <f t="shared" ref="F81:F82" si="27">((1+E81)^(1/365)-1)</f>
        <v>3.0073250947526553E-4</v>
      </c>
      <c r="G81" s="895">
        <f t="shared" si="25"/>
        <v>50000000</v>
      </c>
      <c r="H81" s="931">
        <f t="shared" ref="H81:H85" si="28">+_xlfn.DAYS(C81,B81)+1</f>
        <v>31</v>
      </c>
      <c r="I81" s="941">
        <f t="shared" si="26"/>
        <v>466135.39</v>
      </c>
    </row>
    <row r="82" spans="1:9" ht="13.5">
      <c r="A82" s="737">
        <v>10</v>
      </c>
      <c r="B82" s="724">
        <v>44866</v>
      </c>
      <c r="C82" s="724">
        <v>44895</v>
      </c>
      <c r="D82" s="796">
        <v>0</v>
      </c>
      <c r="E82" s="796">
        <v>0.1221</v>
      </c>
      <c r="F82" s="897">
        <f t="shared" si="27"/>
        <v>3.1567153895184497E-4</v>
      </c>
      <c r="G82" s="895">
        <f>$C$29</f>
        <v>50000000</v>
      </c>
      <c r="H82" s="931">
        <f t="shared" si="28"/>
        <v>30</v>
      </c>
      <c r="I82" s="941">
        <f t="shared" si="26"/>
        <v>473507.31</v>
      </c>
    </row>
    <row r="83" spans="1:9" ht="13.5">
      <c r="A83" s="737">
        <v>11</v>
      </c>
      <c r="B83" s="724">
        <v>44896</v>
      </c>
      <c r="C83" s="724">
        <v>44918</v>
      </c>
      <c r="D83" s="796">
        <v>0</v>
      </c>
      <c r="E83" s="796">
        <v>0.13420000000000001</v>
      </c>
      <c r="F83" s="897">
        <f>((1+E83)^(1/365)-1)</f>
        <v>3.4506652613908173E-4</v>
      </c>
      <c r="G83" s="895">
        <f t="shared" ref="G83:G88" si="29">$C$29</f>
        <v>50000000</v>
      </c>
      <c r="H83" s="931">
        <f t="shared" si="28"/>
        <v>23</v>
      </c>
      <c r="I83" s="941">
        <f t="shared" si="26"/>
        <v>396826.51</v>
      </c>
    </row>
    <row r="84" spans="1:9" ht="13.5">
      <c r="A84" s="737">
        <v>12</v>
      </c>
      <c r="B84" s="724">
        <v>44919</v>
      </c>
      <c r="C84" s="724">
        <v>44926</v>
      </c>
      <c r="D84" s="796">
        <v>0.27639999999999998</v>
      </c>
      <c r="E84" s="796">
        <f>+D84*1.5</f>
        <v>0.41459999999999997</v>
      </c>
      <c r="F84" s="897">
        <f>((1+E84)^(1/365)-1)</f>
        <v>9.5071686592063109E-4</v>
      </c>
      <c r="G84" s="895">
        <f t="shared" si="29"/>
        <v>50000000</v>
      </c>
      <c r="H84" s="931">
        <f t="shared" si="28"/>
        <v>8</v>
      </c>
      <c r="I84" s="941">
        <f t="shared" si="26"/>
        <v>380286.75</v>
      </c>
    </row>
    <row r="85" spans="1:9" ht="13.5">
      <c r="A85" s="737">
        <v>13</v>
      </c>
      <c r="B85" s="724">
        <v>44927</v>
      </c>
      <c r="C85" s="724">
        <v>44957</v>
      </c>
      <c r="D85" s="796">
        <v>0.28839999999999999</v>
      </c>
      <c r="E85" s="796">
        <f>+D85*1.5</f>
        <v>0.43259999999999998</v>
      </c>
      <c r="F85" s="897">
        <f t="shared" ref="F85" si="30">((1+E85)^(1/365)-1)</f>
        <v>9.8539196132163553E-4</v>
      </c>
      <c r="G85" s="895">
        <f t="shared" si="29"/>
        <v>50000000</v>
      </c>
      <c r="H85" s="931">
        <f t="shared" si="28"/>
        <v>31</v>
      </c>
      <c r="I85" s="941">
        <f t="shared" si="26"/>
        <v>1527357.54</v>
      </c>
    </row>
    <row r="86" spans="1:9" ht="13.5">
      <c r="A86" s="737">
        <v>14</v>
      </c>
      <c r="B86" s="724">
        <v>44958</v>
      </c>
      <c r="C86" s="724">
        <v>44985</v>
      </c>
      <c r="D86" s="796">
        <v>0.30180000000000001</v>
      </c>
      <c r="E86" s="796">
        <f>+D86*1.5</f>
        <v>0.45269999999999999</v>
      </c>
      <c r="F86" s="897">
        <f>((1+E86)^(1/365)-1)</f>
        <v>1.0236026853662761E-3</v>
      </c>
      <c r="G86" s="895">
        <f t="shared" si="29"/>
        <v>50000000</v>
      </c>
      <c r="H86" s="931">
        <f t="shared" ref="H86:H88" si="31">+_xlfn.DAYS(C86,B86)+1</f>
        <v>28</v>
      </c>
      <c r="I86" s="941">
        <f t="shared" si="26"/>
        <v>1433043.76</v>
      </c>
    </row>
    <row r="87" spans="1:9" ht="13.5">
      <c r="A87" s="737">
        <v>15</v>
      </c>
      <c r="B87" s="724">
        <v>44986</v>
      </c>
      <c r="C87" s="724">
        <v>45016</v>
      </c>
      <c r="D87" s="796">
        <v>0.30840000000000001</v>
      </c>
      <c r="E87" s="796">
        <f>+D87*1.5</f>
        <v>0.46260000000000001</v>
      </c>
      <c r="F87" s="897">
        <f t="shared" ref="F87:F88" si="32">((1+E87)^(1/365)-1)</f>
        <v>1.0422295217955568E-3</v>
      </c>
      <c r="G87" s="895">
        <f t="shared" si="29"/>
        <v>50000000</v>
      </c>
      <c r="H87" s="931">
        <f t="shared" si="31"/>
        <v>31</v>
      </c>
      <c r="I87" s="941">
        <f t="shared" si="26"/>
        <v>1615455.76</v>
      </c>
    </row>
    <row r="88" spans="1:9" ht="13.5">
      <c r="A88" s="737">
        <v>16</v>
      </c>
      <c r="B88" s="724">
        <v>45017</v>
      </c>
      <c r="C88" s="724">
        <v>45046</v>
      </c>
      <c r="D88" s="796">
        <v>0.31390000000000001</v>
      </c>
      <c r="E88" s="796">
        <f>+D88*1.5</f>
        <v>0.47084999999999999</v>
      </c>
      <c r="F88" s="897">
        <f t="shared" si="32"/>
        <v>1.0576560884423269E-3</v>
      </c>
      <c r="G88" s="895">
        <f t="shared" si="29"/>
        <v>50000000</v>
      </c>
      <c r="H88" s="931">
        <f t="shared" si="31"/>
        <v>30</v>
      </c>
      <c r="I88" s="941">
        <f t="shared" ref="I88" si="33">ROUND(F88*G88*H88,2)</f>
        <v>1586484.13</v>
      </c>
    </row>
    <row r="89" spans="1:9" ht="13.5">
      <c r="A89" s="791"/>
      <c r="G89" s="2847" t="s">
        <v>338</v>
      </c>
      <c r="H89" s="2847"/>
      <c r="I89" s="1077">
        <f>SUM(I73:I88)</f>
        <v>10185657</v>
      </c>
    </row>
    <row r="90" spans="1:9" ht="13.5">
      <c r="A90" s="791"/>
      <c r="G90" s="2109"/>
      <c r="H90" s="2109"/>
      <c r="I90" s="1250"/>
    </row>
    <row r="92" spans="1:9" ht="13.5">
      <c r="B92" s="737" t="s">
        <v>1844</v>
      </c>
      <c r="C92" s="737" t="s">
        <v>1841</v>
      </c>
      <c r="D92" s="1726">
        <v>50</v>
      </c>
      <c r="E92" s="88">
        <f>+D92*$C$10</f>
        <v>50000000</v>
      </c>
    </row>
    <row r="93" spans="1:9" ht="13.5">
      <c r="B93" s="728" t="s">
        <v>143</v>
      </c>
      <c r="C93" s="850">
        <f>+E92</f>
        <v>50000000</v>
      </c>
      <c r="D93" s="2644" t="s">
        <v>172</v>
      </c>
      <c r="E93" s="2645"/>
      <c r="F93" s="2645"/>
      <c r="G93" s="2645"/>
      <c r="H93" s="2645"/>
      <c r="I93" s="2646"/>
    </row>
    <row r="94" spans="1:9" ht="25.5">
      <c r="B94" s="793" t="s">
        <v>337</v>
      </c>
      <c r="C94" s="793" t="s">
        <v>40</v>
      </c>
      <c r="D94" s="2739" t="s">
        <v>822</v>
      </c>
      <c r="E94" s="2740"/>
      <c r="F94" s="794" t="s">
        <v>43</v>
      </c>
      <c r="G94" s="794" t="s">
        <v>129</v>
      </c>
      <c r="H94" s="794" t="s">
        <v>706</v>
      </c>
      <c r="I94" s="893" t="s">
        <v>48</v>
      </c>
    </row>
    <row r="95" spans="1:9" ht="13.5">
      <c r="A95" s="737">
        <v>1</v>
      </c>
      <c r="B95" s="724">
        <v>44615</v>
      </c>
      <c r="C95" s="724">
        <v>44620</v>
      </c>
      <c r="D95" s="796">
        <v>0</v>
      </c>
      <c r="E95" s="796">
        <v>4.3099999999999999E-2</v>
      </c>
      <c r="F95" s="897">
        <f t="shared" ref="F95:F102" si="34">((1+E95)^(1/365)-1)</f>
        <v>1.1561503550527874E-4</v>
      </c>
      <c r="G95" s="895">
        <f>+$C$93</f>
        <v>50000000</v>
      </c>
      <c r="H95" s="931">
        <f t="shared" ref="H95:H102" si="35">+_xlfn.DAYS(C95,B95)+1</f>
        <v>6</v>
      </c>
      <c r="I95" s="941">
        <f t="shared" ref="I95:I110" si="36">ROUND(F95*G95*H95,2)</f>
        <v>34684.51</v>
      </c>
    </row>
    <row r="96" spans="1:9" ht="13.5">
      <c r="A96" s="737">
        <v>2</v>
      </c>
      <c r="B96" s="724">
        <v>44621</v>
      </c>
      <c r="C96" s="724">
        <v>44651</v>
      </c>
      <c r="D96" s="796">
        <v>0</v>
      </c>
      <c r="E96" s="796">
        <v>4.9700000000000001E-2</v>
      </c>
      <c r="F96" s="897">
        <f t="shared" si="34"/>
        <v>1.3289762205070943E-4</v>
      </c>
      <c r="G96" s="895">
        <f t="shared" ref="G96:G104" si="37">+$C$93</f>
        <v>50000000</v>
      </c>
      <c r="H96" s="931">
        <f t="shared" si="35"/>
        <v>31</v>
      </c>
      <c r="I96" s="941">
        <f t="shared" si="36"/>
        <v>205991.31</v>
      </c>
    </row>
    <row r="97" spans="1:9" ht="13.5">
      <c r="A97" s="737">
        <v>3</v>
      </c>
      <c r="B97" s="724">
        <v>44652</v>
      </c>
      <c r="C97" s="724">
        <v>44681</v>
      </c>
      <c r="D97" s="796">
        <v>0</v>
      </c>
      <c r="E97" s="796">
        <v>5.9700000000000003E-2</v>
      </c>
      <c r="F97" s="897">
        <f t="shared" si="34"/>
        <v>1.5887796003677401E-4</v>
      </c>
      <c r="G97" s="895">
        <f t="shared" si="37"/>
        <v>50000000</v>
      </c>
      <c r="H97" s="931">
        <f t="shared" si="35"/>
        <v>30</v>
      </c>
      <c r="I97" s="941">
        <f t="shared" si="36"/>
        <v>238316.94</v>
      </c>
    </row>
    <row r="98" spans="1:9" ht="13.5">
      <c r="A98" s="737">
        <v>4</v>
      </c>
      <c r="B98" s="724">
        <v>44682</v>
      </c>
      <c r="C98" s="724">
        <v>44712</v>
      </c>
      <c r="D98" s="796">
        <v>0</v>
      </c>
      <c r="E98" s="796">
        <v>7.0400000000000004E-2</v>
      </c>
      <c r="F98" s="897">
        <f t="shared" si="34"/>
        <v>1.8640753718313086E-4</v>
      </c>
      <c r="G98" s="895">
        <f t="shared" si="37"/>
        <v>50000000</v>
      </c>
      <c r="H98" s="931">
        <f t="shared" si="35"/>
        <v>31</v>
      </c>
      <c r="I98" s="941">
        <f t="shared" si="36"/>
        <v>288931.68</v>
      </c>
    </row>
    <row r="99" spans="1:9" ht="13.5">
      <c r="A99" s="737">
        <v>5</v>
      </c>
      <c r="B99" s="724">
        <v>44713</v>
      </c>
      <c r="C99" s="724">
        <v>44742</v>
      </c>
      <c r="D99" s="796">
        <v>0</v>
      </c>
      <c r="E99" s="796">
        <v>7.7200000000000005E-2</v>
      </c>
      <c r="F99" s="897">
        <f t="shared" si="34"/>
        <v>2.0376070695582449E-4</v>
      </c>
      <c r="G99" s="895">
        <f t="shared" si="37"/>
        <v>50000000</v>
      </c>
      <c r="H99" s="931">
        <f t="shared" si="35"/>
        <v>30</v>
      </c>
      <c r="I99" s="941">
        <f t="shared" si="36"/>
        <v>305641.06</v>
      </c>
    </row>
    <row r="100" spans="1:9" ht="13.5">
      <c r="A100" s="737">
        <v>6</v>
      </c>
      <c r="B100" s="724">
        <v>44743</v>
      </c>
      <c r="C100" s="724">
        <v>44773</v>
      </c>
      <c r="D100" s="796">
        <v>0</v>
      </c>
      <c r="E100" s="796">
        <v>9.2999999999999999E-2</v>
      </c>
      <c r="F100" s="897">
        <f t="shared" si="34"/>
        <v>2.4366313088708402E-4</v>
      </c>
      <c r="G100" s="895">
        <f t="shared" si="37"/>
        <v>50000000</v>
      </c>
      <c r="H100" s="931">
        <f t="shared" si="35"/>
        <v>31</v>
      </c>
      <c r="I100" s="941">
        <f t="shared" si="36"/>
        <v>377677.85</v>
      </c>
    </row>
    <row r="101" spans="1:9" ht="13.5">
      <c r="A101" s="737">
        <v>7</v>
      </c>
      <c r="B101" s="724">
        <v>44774</v>
      </c>
      <c r="C101" s="724">
        <v>44804</v>
      </c>
      <c r="D101" s="796">
        <v>0</v>
      </c>
      <c r="E101" s="796">
        <v>0.1057</v>
      </c>
      <c r="F101" s="897">
        <f t="shared" si="34"/>
        <v>2.7532178056910439E-4</v>
      </c>
      <c r="G101" s="895">
        <f t="shared" si="37"/>
        <v>50000000</v>
      </c>
      <c r="H101" s="931">
        <f t="shared" si="35"/>
        <v>31</v>
      </c>
      <c r="I101" s="941">
        <f t="shared" si="36"/>
        <v>426748.76</v>
      </c>
    </row>
    <row r="102" spans="1:9" ht="13.5">
      <c r="A102" s="737">
        <v>8</v>
      </c>
      <c r="B102" s="724">
        <v>44805</v>
      </c>
      <c r="C102" s="724">
        <v>44834</v>
      </c>
      <c r="D102" s="796">
        <v>0</v>
      </c>
      <c r="E102" s="796">
        <v>0.1099</v>
      </c>
      <c r="F102" s="897">
        <f t="shared" si="34"/>
        <v>2.857118247707735E-4</v>
      </c>
      <c r="G102" s="895">
        <f t="shared" si="37"/>
        <v>50000000</v>
      </c>
      <c r="H102" s="931">
        <f t="shared" si="35"/>
        <v>30</v>
      </c>
      <c r="I102" s="941">
        <f t="shared" si="36"/>
        <v>428567.74</v>
      </c>
    </row>
    <row r="103" spans="1:9" ht="13.5">
      <c r="A103" s="737">
        <v>9</v>
      </c>
      <c r="B103" s="724">
        <v>44835</v>
      </c>
      <c r="C103" s="724">
        <v>44865</v>
      </c>
      <c r="D103" s="796">
        <v>0</v>
      </c>
      <c r="E103" s="796">
        <v>0.11600000000000001</v>
      </c>
      <c r="F103" s="897">
        <f t="shared" ref="F103:F104" si="38">((1+E103)^(1/365)-1)</f>
        <v>3.0073250947526553E-4</v>
      </c>
      <c r="G103" s="895">
        <f t="shared" si="37"/>
        <v>50000000</v>
      </c>
      <c r="H103" s="931">
        <f t="shared" ref="H103:H107" si="39">+_xlfn.DAYS(C103,B103)+1</f>
        <v>31</v>
      </c>
      <c r="I103" s="941">
        <f t="shared" si="36"/>
        <v>466135.39</v>
      </c>
    </row>
    <row r="104" spans="1:9" ht="13.5">
      <c r="A104" s="737">
        <v>10</v>
      </c>
      <c r="B104" s="724">
        <v>44866</v>
      </c>
      <c r="C104" s="724">
        <v>44895</v>
      </c>
      <c r="D104" s="796">
        <v>0</v>
      </c>
      <c r="E104" s="796">
        <v>0.1263</v>
      </c>
      <c r="F104" s="897">
        <f t="shared" si="38"/>
        <v>3.2591042348917298E-4</v>
      </c>
      <c r="G104" s="895">
        <f t="shared" si="37"/>
        <v>50000000</v>
      </c>
      <c r="H104" s="931">
        <f t="shared" si="39"/>
        <v>30</v>
      </c>
      <c r="I104" s="941">
        <f t="shared" si="36"/>
        <v>488865.64</v>
      </c>
    </row>
    <row r="105" spans="1:9" ht="13.5">
      <c r="A105" s="737">
        <v>11</v>
      </c>
      <c r="B105" s="724">
        <v>44896</v>
      </c>
      <c r="C105" s="724">
        <v>44918</v>
      </c>
      <c r="D105" s="796">
        <v>0</v>
      </c>
      <c r="E105" s="796">
        <v>0.13420000000000001</v>
      </c>
      <c r="F105" s="897">
        <f>((1+E105)^(1/365)-1)</f>
        <v>3.4506652613908173E-4</v>
      </c>
      <c r="G105" s="895">
        <f t="shared" ref="G105:G110" si="40">$C$29</f>
        <v>50000000</v>
      </c>
      <c r="H105" s="931">
        <f t="shared" si="39"/>
        <v>23</v>
      </c>
      <c r="I105" s="941">
        <f t="shared" si="36"/>
        <v>396826.51</v>
      </c>
    </row>
    <row r="106" spans="1:9" ht="13.5">
      <c r="A106" s="737">
        <v>12</v>
      </c>
      <c r="B106" s="724">
        <v>44919</v>
      </c>
      <c r="C106" s="724">
        <v>44926</v>
      </c>
      <c r="D106" s="796">
        <v>0.27639999999999998</v>
      </c>
      <c r="E106" s="796">
        <f>+D106*1.5</f>
        <v>0.41459999999999997</v>
      </c>
      <c r="F106" s="897">
        <f>((1+E106)^(1/365)-1)</f>
        <v>9.5071686592063109E-4</v>
      </c>
      <c r="G106" s="895">
        <f t="shared" si="40"/>
        <v>50000000</v>
      </c>
      <c r="H106" s="931">
        <f t="shared" si="39"/>
        <v>8</v>
      </c>
      <c r="I106" s="941">
        <f t="shared" si="36"/>
        <v>380286.75</v>
      </c>
    </row>
    <row r="107" spans="1:9" ht="13.5">
      <c r="A107" s="737">
        <v>13</v>
      </c>
      <c r="B107" s="724">
        <v>44927</v>
      </c>
      <c r="C107" s="724">
        <v>44957</v>
      </c>
      <c r="D107" s="796">
        <v>0.28839999999999999</v>
      </c>
      <c r="E107" s="796">
        <f>+D107*1.5</f>
        <v>0.43259999999999998</v>
      </c>
      <c r="F107" s="897">
        <f t="shared" ref="F107" si="41">((1+E107)^(1/365)-1)</f>
        <v>9.8539196132163553E-4</v>
      </c>
      <c r="G107" s="895">
        <f t="shared" si="40"/>
        <v>50000000</v>
      </c>
      <c r="H107" s="931">
        <f t="shared" si="39"/>
        <v>31</v>
      </c>
      <c r="I107" s="941">
        <f t="shared" si="36"/>
        <v>1527357.54</v>
      </c>
    </row>
    <row r="108" spans="1:9" ht="13.5">
      <c r="A108" s="737">
        <v>14</v>
      </c>
      <c r="B108" s="724">
        <v>44958</v>
      </c>
      <c r="C108" s="724">
        <v>44985</v>
      </c>
      <c r="D108" s="796">
        <v>0.30180000000000001</v>
      </c>
      <c r="E108" s="796">
        <f>+D108*1.5</f>
        <v>0.45269999999999999</v>
      </c>
      <c r="F108" s="897">
        <f>((1+E108)^(1/365)-1)</f>
        <v>1.0236026853662761E-3</v>
      </c>
      <c r="G108" s="895">
        <f t="shared" si="40"/>
        <v>50000000</v>
      </c>
      <c r="H108" s="931">
        <f t="shared" ref="H108:H109" si="42">+_xlfn.DAYS(C108,B108)+1</f>
        <v>28</v>
      </c>
      <c r="I108" s="941">
        <f t="shared" si="36"/>
        <v>1433043.76</v>
      </c>
    </row>
    <row r="109" spans="1:9" ht="13.5">
      <c r="A109" s="737">
        <v>15</v>
      </c>
      <c r="B109" s="724">
        <v>44986</v>
      </c>
      <c r="C109" s="724">
        <v>45016</v>
      </c>
      <c r="D109" s="796">
        <v>0.30840000000000001</v>
      </c>
      <c r="E109" s="796">
        <f>+D109*1.5</f>
        <v>0.46260000000000001</v>
      </c>
      <c r="F109" s="897">
        <f t="shared" ref="F109" si="43">((1+E109)^(1/365)-1)</f>
        <v>1.0422295217955568E-3</v>
      </c>
      <c r="G109" s="895">
        <f t="shared" si="40"/>
        <v>50000000</v>
      </c>
      <c r="H109" s="931">
        <f t="shared" si="42"/>
        <v>31</v>
      </c>
      <c r="I109" s="941">
        <f t="shared" si="36"/>
        <v>1615455.76</v>
      </c>
    </row>
    <row r="110" spans="1:9" ht="13.5">
      <c r="A110" s="737">
        <v>16</v>
      </c>
      <c r="B110" s="724">
        <v>45017</v>
      </c>
      <c r="C110" s="724">
        <v>45046</v>
      </c>
      <c r="D110" s="796">
        <v>0.31390000000000001</v>
      </c>
      <c r="E110" s="796">
        <f>+D110*1.5</f>
        <v>0.47084999999999999</v>
      </c>
      <c r="F110" s="897">
        <f>((1+E110)^(1/365)-1)</f>
        <v>1.0576560884423269E-3</v>
      </c>
      <c r="G110" s="895">
        <f t="shared" si="40"/>
        <v>50000000</v>
      </c>
      <c r="H110" s="931">
        <f t="shared" ref="H110" si="44">+_xlfn.DAYS(C110,B110)+1</f>
        <v>30</v>
      </c>
      <c r="I110" s="941">
        <f t="shared" si="36"/>
        <v>1586484.13</v>
      </c>
    </row>
    <row r="111" spans="1:9" ht="13.5">
      <c r="G111" s="2847" t="s">
        <v>338</v>
      </c>
      <c r="H111" s="2847"/>
      <c r="I111" s="1077">
        <f>SUM(I95:I110)</f>
        <v>10201015.330000002</v>
      </c>
    </row>
    <row r="113" spans="1:9" ht="13.5">
      <c r="B113" s="737" t="s">
        <v>1845</v>
      </c>
      <c r="C113" s="737" t="s">
        <v>1841</v>
      </c>
      <c r="D113" s="1726">
        <v>50</v>
      </c>
      <c r="E113" s="88">
        <f>+D113*$C$10</f>
        <v>50000000</v>
      </c>
    </row>
    <row r="114" spans="1:9" ht="13.5">
      <c r="B114" s="728" t="s">
        <v>143</v>
      </c>
      <c r="C114" s="850">
        <f>+E113</f>
        <v>50000000</v>
      </c>
      <c r="D114" s="2644" t="s">
        <v>172</v>
      </c>
      <c r="E114" s="2645"/>
      <c r="F114" s="2645"/>
      <c r="G114" s="2645"/>
      <c r="H114" s="2645"/>
      <c r="I114" s="2646"/>
    </row>
    <row r="115" spans="1:9" ht="25.5">
      <c r="B115" s="793" t="s">
        <v>337</v>
      </c>
      <c r="C115" s="793" t="s">
        <v>40</v>
      </c>
      <c r="D115" s="2739" t="s">
        <v>822</v>
      </c>
      <c r="E115" s="2740"/>
      <c r="F115" s="794" t="s">
        <v>43</v>
      </c>
      <c r="G115" s="794" t="s">
        <v>129</v>
      </c>
      <c r="H115" s="794" t="s">
        <v>706</v>
      </c>
      <c r="I115" s="893" t="s">
        <v>48</v>
      </c>
    </row>
    <row r="116" spans="1:9" ht="13.5">
      <c r="A116" s="737">
        <v>1</v>
      </c>
      <c r="B116" s="724">
        <v>44593</v>
      </c>
      <c r="C116" s="724">
        <v>44620</v>
      </c>
      <c r="D116" s="796">
        <v>0</v>
      </c>
      <c r="E116" s="796">
        <v>4.3099999999999999E-2</v>
      </c>
      <c r="F116" s="897">
        <f t="shared" ref="F116:F123" si="45">((1+E116)^(1/365)-1)</f>
        <v>1.1561503550527874E-4</v>
      </c>
      <c r="G116" s="895">
        <f>$E$113</f>
        <v>50000000</v>
      </c>
      <c r="H116" s="931">
        <f t="shared" ref="H116:H123" si="46">+_xlfn.DAYS(C116,B116)+1</f>
        <v>28</v>
      </c>
      <c r="I116" s="941">
        <f t="shared" ref="I116:I131" si="47">ROUND(F116*G116*H116,2)</f>
        <v>161861.04999999999</v>
      </c>
    </row>
    <row r="117" spans="1:9" ht="13.5">
      <c r="A117" s="737">
        <v>2</v>
      </c>
      <c r="B117" s="724">
        <v>44621</v>
      </c>
      <c r="C117" s="724">
        <v>44651</v>
      </c>
      <c r="D117" s="796">
        <v>0</v>
      </c>
      <c r="E117" s="796">
        <v>4.9700000000000001E-2</v>
      </c>
      <c r="F117" s="897">
        <f t="shared" si="45"/>
        <v>1.3289762205070943E-4</v>
      </c>
      <c r="G117" s="895">
        <f t="shared" ref="G117:G125" si="48">$E$113</f>
        <v>50000000</v>
      </c>
      <c r="H117" s="931">
        <f t="shared" si="46"/>
        <v>31</v>
      </c>
      <c r="I117" s="941">
        <f t="shared" si="47"/>
        <v>205991.31</v>
      </c>
    </row>
    <row r="118" spans="1:9" ht="13.5">
      <c r="A118" s="737">
        <v>3</v>
      </c>
      <c r="B118" s="724">
        <v>44652</v>
      </c>
      <c r="C118" s="724">
        <v>44681</v>
      </c>
      <c r="D118" s="796">
        <v>0</v>
      </c>
      <c r="E118" s="796">
        <v>5.9700000000000003E-2</v>
      </c>
      <c r="F118" s="897">
        <f t="shared" si="45"/>
        <v>1.5887796003677401E-4</v>
      </c>
      <c r="G118" s="895">
        <f t="shared" si="48"/>
        <v>50000000</v>
      </c>
      <c r="H118" s="931">
        <f t="shared" si="46"/>
        <v>30</v>
      </c>
      <c r="I118" s="941">
        <f t="shared" si="47"/>
        <v>238316.94</v>
      </c>
    </row>
    <row r="119" spans="1:9" ht="13.5">
      <c r="A119" s="737">
        <v>4</v>
      </c>
      <c r="B119" s="724">
        <v>44682</v>
      </c>
      <c r="C119" s="724">
        <v>44712</v>
      </c>
      <c r="D119" s="796">
        <v>0</v>
      </c>
      <c r="E119" s="796">
        <v>7.0400000000000004E-2</v>
      </c>
      <c r="F119" s="897">
        <f t="shared" si="45"/>
        <v>1.8640753718313086E-4</v>
      </c>
      <c r="G119" s="895">
        <f t="shared" si="48"/>
        <v>50000000</v>
      </c>
      <c r="H119" s="931">
        <f t="shared" si="46"/>
        <v>31</v>
      </c>
      <c r="I119" s="941">
        <f t="shared" si="47"/>
        <v>288931.68</v>
      </c>
    </row>
    <row r="120" spans="1:9" ht="13.5">
      <c r="A120" s="737">
        <v>5</v>
      </c>
      <c r="B120" s="724">
        <v>44713</v>
      </c>
      <c r="C120" s="724">
        <v>44742</v>
      </c>
      <c r="D120" s="796">
        <v>0</v>
      </c>
      <c r="E120" s="796">
        <v>7.7200000000000005E-2</v>
      </c>
      <c r="F120" s="897">
        <f t="shared" si="45"/>
        <v>2.0376070695582449E-4</v>
      </c>
      <c r="G120" s="895">
        <f t="shared" si="48"/>
        <v>50000000</v>
      </c>
      <c r="H120" s="931">
        <f t="shared" si="46"/>
        <v>30</v>
      </c>
      <c r="I120" s="941">
        <f t="shared" si="47"/>
        <v>305641.06</v>
      </c>
    </row>
    <row r="121" spans="1:9" ht="13.5">
      <c r="A121" s="737">
        <v>6</v>
      </c>
      <c r="B121" s="724">
        <v>44743</v>
      </c>
      <c r="C121" s="724">
        <v>44773</v>
      </c>
      <c r="D121" s="796">
        <v>0</v>
      </c>
      <c r="E121" s="796">
        <v>9.2999999999999999E-2</v>
      </c>
      <c r="F121" s="897">
        <f t="shared" si="45"/>
        <v>2.4366313088708402E-4</v>
      </c>
      <c r="G121" s="895">
        <f t="shared" si="48"/>
        <v>50000000</v>
      </c>
      <c r="H121" s="931">
        <f t="shared" si="46"/>
        <v>31</v>
      </c>
      <c r="I121" s="941">
        <f t="shared" si="47"/>
        <v>377677.85</v>
      </c>
    </row>
    <row r="122" spans="1:9" ht="13.5">
      <c r="A122" s="737">
        <v>7</v>
      </c>
      <c r="B122" s="724">
        <v>44774</v>
      </c>
      <c r="C122" s="724">
        <v>44804</v>
      </c>
      <c r="D122" s="796">
        <v>0</v>
      </c>
      <c r="E122" s="796">
        <v>0.1057</v>
      </c>
      <c r="F122" s="897">
        <f t="shared" si="45"/>
        <v>2.7532178056910439E-4</v>
      </c>
      <c r="G122" s="895">
        <f t="shared" si="48"/>
        <v>50000000</v>
      </c>
      <c r="H122" s="931">
        <f t="shared" si="46"/>
        <v>31</v>
      </c>
      <c r="I122" s="941">
        <f t="shared" si="47"/>
        <v>426748.76</v>
      </c>
    </row>
    <row r="123" spans="1:9" ht="13.5">
      <c r="A123" s="737">
        <v>8</v>
      </c>
      <c r="B123" s="724">
        <v>44805</v>
      </c>
      <c r="C123" s="724">
        <v>44834</v>
      </c>
      <c r="D123" s="796">
        <v>0</v>
      </c>
      <c r="E123" s="796">
        <v>0.1099</v>
      </c>
      <c r="F123" s="897">
        <f t="shared" si="45"/>
        <v>2.857118247707735E-4</v>
      </c>
      <c r="G123" s="895">
        <f t="shared" si="48"/>
        <v>50000000</v>
      </c>
      <c r="H123" s="931">
        <f t="shared" si="46"/>
        <v>30</v>
      </c>
      <c r="I123" s="941">
        <f t="shared" si="47"/>
        <v>428567.74</v>
      </c>
    </row>
    <row r="124" spans="1:9" ht="13.5">
      <c r="A124" s="737">
        <v>9</v>
      </c>
      <c r="B124" s="724">
        <v>44835</v>
      </c>
      <c r="C124" s="724">
        <v>44865</v>
      </c>
      <c r="D124" s="796">
        <v>0</v>
      </c>
      <c r="E124" s="796">
        <v>0.11600000000000001</v>
      </c>
      <c r="F124" s="897">
        <f t="shared" ref="F124:F125" si="49">((1+E124)^(1/365)-1)</f>
        <v>3.0073250947526553E-4</v>
      </c>
      <c r="G124" s="895">
        <f t="shared" si="48"/>
        <v>50000000</v>
      </c>
      <c r="H124" s="931">
        <f t="shared" ref="H124:H128" si="50">+_xlfn.DAYS(C124,B124)+1</f>
        <v>31</v>
      </c>
      <c r="I124" s="941">
        <f t="shared" si="47"/>
        <v>466135.39</v>
      </c>
    </row>
    <row r="125" spans="1:9" ht="13.5">
      <c r="A125" s="737">
        <v>10</v>
      </c>
      <c r="B125" s="724">
        <v>44866</v>
      </c>
      <c r="C125" s="724">
        <v>44895</v>
      </c>
      <c r="D125" s="796">
        <v>0</v>
      </c>
      <c r="E125" s="796">
        <v>0.1263</v>
      </c>
      <c r="F125" s="897">
        <f t="shared" si="49"/>
        <v>3.2591042348917298E-4</v>
      </c>
      <c r="G125" s="895">
        <f t="shared" si="48"/>
        <v>50000000</v>
      </c>
      <c r="H125" s="931">
        <f t="shared" si="50"/>
        <v>30</v>
      </c>
      <c r="I125" s="941">
        <f t="shared" si="47"/>
        <v>488865.64</v>
      </c>
    </row>
    <row r="126" spans="1:9" ht="13.5">
      <c r="A126" s="737">
        <v>11</v>
      </c>
      <c r="B126" s="724">
        <v>44896</v>
      </c>
      <c r="C126" s="724">
        <v>44918</v>
      </c>
      <c r="D126" s="796">
        <v>0</v>
      </c>
      <c r="E126" s="796">
        <v>0.13420000000000001</v>
      </c>
      <c r="F126" s="897">
        <f>((1+E126)^(1/365)-1)</f>
        <v>3.4506652613908173E-4</v>
      </c>
      <c r="G126" s="895">
        <f t="shared" ref="G126:G131" si="51">$C$29</f>
        <v>50000000</v>
      </c>
      <c r="H126" s="931">
        <f t="shared" si="50"/>
        <v>23</v>
      </c>
      <c r="I126" s="941">
        <f t="shared" si="47"/>
        <v>396826.51</v>
      </c>
    </row>
    <row r="127" spans="1:9" ht="13.5">
      <c r="A127" s="737">
        <v>12</v>
      </c>
      <c r="B127" s="724">
        <v>44919</v>
      </c>
      <c r="C127" s="724">
        <v>44926</v>
      </c>
      <c r="D127" s="796">
        <v>0.27639999999999998</v>
      </c>
      <c r="E127" s="796">
        <f>+D127*1.5</f>
        <v>0.41459999999999997</v>
      </c>
      <c r="F127" s="897">
        <f>((1+E127)^(1/365)-1)</f>
        <v>9.5071686592063109E-4</v>
      </c>
      <c r="G127" s="895">
        <f t="shared" si="51"/>
        <v>50000000</v>
      </c>
      <c r="H127" s="931">
        <f t="shared" si="50"/>
        <v>8</v>
      </c>
      <c r="I127" s="941">
        <f t="shared" si="47"/>
        <v>380286.75</v>
      </c>
    </row>
    <row r="128" spans="1:9" ht="13.5">
      <c r="A128" s="737">
        <v>13</v>
      </c>
      <c r="B128" s="724">
        <v>44927</v>
      </c>
      <c r="C128" s="724">
        <v>44957</v>
      </c>
      <c r="D128" s="796">
        <v>0.28839999999999999</v>
      </c>
      <c r="E128" s="796">
        <f>+D128*1.5</f>
        <v>0.43259999999999998</v>
      </c>
      <c r="F128" s="897">
        <f t="shared" ref="F128" si="52">((1+E128)^(1/365)-1)</f>
        <v>9.8539196132163553E-4</v>
      </c>
      <c r="G128" s="895">
        <f t="shared" si="51"/>
        <v>50000000</v>
      </c>
      <c r="H128" s="931">
        <f t="shared" si="50"/>
        <v>31</v>
      </c>
      <c r="I128" s="941">
        <f t="shared" si="47"/>
        <v>1527357.54</v>
      </c>
    </row>
    <row r="129" spans="1:9" ht="13.5">
      <c r="A129" s="737">
        <v>14</v>
      </c>
      <c r="B129" s="724">
        <v>44958</v>
      </c>
      <c r="C129" s="724">
        <v>44985</v>
      </c>
      <c r="D129" s="796">
        <v>0.30180000000000001</v>
      </c>
      <c r="E129" s="796">
        <f>+D129*1.5</f>
        <v>0.45269999999999999</v>
      </c>
      <c r="F129" s="897">
        <f>((1+E129)^(1/365)-1)</f>
        <v>1.0236026853662761E-3</v>
      </c>
      <c r="G129" s="895">
        <f t="shared" si="51"/>
        <v>50000000</v>
      </c>
      <c r="H129" s="931">
        <f t="shared" ref="H129:H130" si="53">+_xlfn.DAYS(C129,B129)+1</f>
        <v>28</v>
      </c>
      <c r="I129" s="941">
        <f t="shared" si="47"/>
        <v>1433043.76</v>
      </c>
    </row>
    <row r="130" spans="1:9" ht="13.5">
      <c r="A130" s="737">
        <v>15</v>
      </c>
      <c r="B130" s="724">
        <v>44986</v>
      </c>
      <c r="C130" s="724">
        <v>45016</v>
      </c>
      <c r="D130" s="796">
        <v>0.30840000000000001</v>
      </c>
      <c r="E130" s="796">
        <f>+D130*1.5</f>
        <v>0.46260000000000001</v>
      </c>
      <c r="F130" s="897">
        <f t="shared" ref="F130" si="54">((1+E130)^(1/365)-1)</f>
        <v>1.0422295217955568E-3</v>
      </c>
      <c r="G130" s="895">
        <f t="shared" si="51"/>
        <v>50000000</v>
      </c>
      <c r="H130" s="931">
        <f t="shared" si="53"/>
        <v>31</v>
      </c>
      <c r="I130" s="941">
        <f t="shared" si="47"/>
        <v>1615455.76</v>
      </c>
    </row>
    <row r="131" spans="1:9" ht="13.5">
      <c r="A131" s="737">
        <v>16</v>
      </c>
      <c r="B131" s="724">
        <v>45017</v>
      </c>
      <c r="C131" s="724">
        <v>45046</v>
      </c>
      <c r="D131" s="796">
        <v>0.315</v>
      </c>
      <c r="E131" s="796">
        <f>+D131*1.5</f>
        <v>0.47250000000000003</v>
      </c>
      <c r="F131" s="897">
        <f>((1+E131)^(1/365)-1)</f>
        <v>1.0607310449064489E-3</v>
      </c>
      <c r="G131" s="895">
        <f t="shared" si="51"/>
        <v>50000000</v>
      </c>
      <c r="H131" s="931">
        <f t="shared" ref="H131" si="55">+_xlfn.DAYS(C131,B131)+1</f>
        <v>30</v>
      </c>
      <c r="I131" s="941">
        <f t="shared" si="47"/>
        <v>1591096.57</v>
      </c>
    </row>
    <row r="132" spans="1:9" ht="13.5">
      <c r="G132" s="2847" t="s">
        <v>338</v>
      </c>
      <c r="H132" s="2847"/>
      <c r="I132" s="1077">
        <f>SUM(I116:I131)</f>
        <v>10332804.310000001</v>
      </c>
    </row>
    <row r="133" spans="1:9" ht="13.5">
      <c r="B133" s="737" t="s">
        <v>1846</v>
      </c>
      <c r="C133" s="737" t="s">
        <v>1847</v>
      </c>
      <c r="D133" s="1726">
        <v>25</v>
      </c>
      <c r="E133" s="88">
        <f>+D133*$C$10</f>
        <v>25000000</v>
      </c>
    </row>
    <row r="134" spans="1:9" ht="13.5">
      <c r="B134" s="728" t="s">
        <v>143</v>
      </c>
      <c r="C134" s="850">
        <f>+E133</f>
        <v>25000000</v>
      </c>
      <c r="D134" s="2644" t="s">
        <v>172</v>
      </c>
      <c r="E134" s="2645"/>
      <c r="F134" s="2645"/>
      <c r="G134" s="2645"/>
      <c r="H134" s="2645"/>
      <c r="I134" s="2646"/>
    </row>
    <row r="135" spans="1:9" ht="25.5">
      <c r="B135" s="793" t="s">
        <v>337</v>
      </c>
      <c r="C135" s="793" t="s">
        <v>40</v>
      </c>
      <c r="D135" s="2739" t="s">
        <v>822</v>
      </c>
      <c r="E135" s="2740"/>
      <c r="F135" s="794" t="s">
        <v>43</v>
      </c>
      <c r="G135" s="794" t="s">
        <v>129</v>
      </c>
      <c r="H135" s="794" t="s">
        <v>706</v>
      </c>
      <c r="I135" s="893" t="s">
        <v>48</v>
      </c>
    </row>
    <row r="136" spans="1:9" ht="13.5">
      <c r="A136" s="737">
        <v>1</v>
      </c>
      <c r="B136" s="724">
        <v>44615</v>
      </c>
      <c r="C136" s="724">
        <v>44620</v>
      </c>
      <c r="D136" s="796">
        <v>0</v>
      </c>
      <c r="E136" s="796">
        <v>4.3099999999999999E-2</v>
      </c>
      <c r="F136" s="897">
        <f t="shared" ref="F136:F143" si="56">((1+E136)^(1/365)-1)</f>
        <v>1.1561503550527874E-4</v>
      </c>
      <c r="G136" s="895">
        <f>$C$134</f>
        <v>25000000</v>
      </c>
      <c r="H136" s="931">
        <f t="shared" ref="H136:H143" si="57">+_xlfn.DAYS(C136,B136)+1</f>
        <v>6</v>
      </c>
      <c r="I136" s="941">
        <f t="shared" ref="I136:I150" si="58">ROUND(F136*G136*H136,2)</f>
        <v>17342.259999999998</v>
      </c>
    </row>
    <row r="137" spans="1:9" ht="13.5">
      <c r="A137" s="737">
        <v>2</v>
      </c>
      <c r="B137" s="724">
        <v>44621</v>
      </c>
      <c r="C137" s="724">
        <v>44651</v>
      </c>
      <c r="D137" s="796">
        <v>0</v>
      </c>
      <c r="E137" s="796">
        <v>4.9700000000000001E-2</v>
      </c>
      <c r="F137" s="897">
        <f t="shared" si="56"/>
        <v>1.3289762205070943E-4</v>
      </c>
      <c r="G137" s="895">
        <f t="shared" ref="G137:G145" si="59">$C$134</f>
        <v>25000000</v>
      </c>
      <c r="H137" s="931">
        <f t="shared" si="57"/>
        <v>31</v>
      </c>
      <c r="I137" s="941">
        <f t="shared" si="58"/>
        <v>102995.66</v>
      </c>
    </row>
    <row r="138" spans="1:9" ht="13.5">
      <c r="A138" s="737">
        <v>3</v>
      </c>
      <c r="B138" s="724">
        <v>44652</v>
      </c>
      <c r="C138" s="724">
        <v>44681</v>
      </c>
      <c r="D138" s="796">
        <v>0</v>
      </c>
      <c r="E138" s="796">
        <v>5.9700000000000003E-2</v>
      </c>
      <c r="F138" s="897">
        <f t="shared" si="56"/>
        <v>1.5887796003677401E-4</v>
      </c>
      <c r="G138" s="895">
        <f t="shared" si="59"/>
        <v>25000000</v>
      </c>
      <c r="H138" s="931">
        <f t="shared" si="57"/>
        <v>30</v>
      </c>
      <c r="I138" s="941">
        <f t="shared" si="58"/>
        <v>119158.47</v>
      </c>
    </row>
    <row r="139" spans="1:9" ht="13.5">
      <c r="A139" s="737">
        <v>4</v>
      </c>
      <c r="B139" s="724">
        <v>44682</v>
      </c>
      <c r="C139" s="724">
        <v>44712</v>
      </c>
      <c r="D139" s="796">
        <v>0</v>
      </c>
      <c r="E139" s="796">
        <v>7.0400000000000004E-2</v>
      </c>
      <c r="F139" s="897">
        <f t="shared" si="56"/>
        <v>1.8640753718313086E-4</v>
      </c>
      <c r="G139" s="895">
        <f t="shared" si="59"/>
        <v>25000000</v>
      </c>
      <c r="H139" s="931">
        <f t="shared" si="57"/>
        <v>31</v>
      </c>
      <c r="I139" s="941">
        <f t="shared" si="58"/>
        <v>144465.84</v>
      </c>
    </row>
    <row r="140" spans="1:9" ht="13.5">
      <c r="A140" s="737">
        <v>5</v>
      </c>
      <c r="B140" s="724">
        <v>44713</v>
      </c>
      <c r="C140" s="724">
        <v>44742</v>
      </c>
      <c r="D140" s="796">
        <v>0</v>
      </c>
      <c r="E140" s="796">
        <v>7.7200000000000005E-2</v>
      </c>
      <c r="F140" s="897">
        <f t="shared" si="56"/>
        <v>2.0376070695582449E-4</v>
      </c>
      <c r="G140" s="895">
        <f t="shared" si="59"/>
        <v>25000000</v>
      </c>
      <c r="H140" s="931">
        <f t="shared" si="57"/>
        <v>30</v>
      </c>
      <c r="I140" s="941">
        <f t="shared" si="58"/>
        <v>152820.53</v>
      </c>
    </row>
    <row r="141" spans="1:9" ht="13.5">
      <c r="A141" s="737">
        <v>6</v>
      </c>
      <c r="B141" s="724">
        <v>44743</v>
      </c>
      <c r="C141" s="724">
        <v>44773</v>
      </c>
      <c r="D141" s="796">
        <v>0</v>
      </c>
      <c r="E141" s="796">
        <v>9.2999999999999999E-2</v>
      </c>
      <c r="F141" s="897">
        <f t="shared" si="56"/>
        <v>2.4366313088708402E-4</v>
      </c>
      <c r="G141" s="895">
        <f t="shared" si="59"/>
        <v>25000000</v>
      </c>
      <c r="H141" s="931">
        <f t="shared" si="57"/>
        <v>31</v>
      </c>
      <c r="I141" s="941">
        <f t="shared" si="58"/>
        <v>188838.93</v>
      </c>
    </row>
    <row r="142" spans="1:9" ht="13.5">
      <c r="A142" s="737">
        <v>7</v>
      </c>
      <c r="B142" s="724">
        <v>44774</v>
      </c>
      <c r="C142" s="724">
        <v>44804</v>
      </c>
      <c r="D142" s="796">
        <v>0</v>
      </c>
      <c r="E142" s="796">
        <v>0.1057</v>
      </c>
      <c r="F142" s="897">
        <f t="shared" si="56"/>
        <v>2.7532178056910439E-4</v>
      </c>
      <c r="G142" s="895">
        <f t="shared" si="59"/>
        <v>25000000</v>
      </c>
      <c r="H142" s="931">
        <f t="shared" si="57"/>
        <v>31</v>
      </c>
      <c r="I142" s="941">
        <f t="shared" si="58"/>
        <v>213374.38</v>
      </c>
    </row>
    <row r="143" spans="1:9" ht="13.5">
      <c r="A143" s="737">
        <v>8</v>
      </c>
      <c r="B143" s="724">
        <v>44805</v>
      </c>
      <c r="C143" s="724">
        <v>44834</v>
      </c>
      <c r="D143" s="796">
        <v>0</v>
      </c>
      <c r="E143" s="796">
        <v>0.1099</v>
      </c>
      <c r="F143" s="897">
        <f t="shared" si="56"/>
        <v>2.857118247707735E-4</v>
      </c>
      <c r="G143" s="895">
        <f t="shared" si="59"/>
        <v>25000000</v>
      </c>
      <c r="H143" s="931">
        <f t="shared" si="57"/>
        <v>30</v>
      </c>
      <c r="I143" s="941">
        <f t="shared" si="58"/>
        <v>214283.87</v>
      </c>
    </row>
    <row r="144" spans="1:9" ht="13.5">
      <c r="A144" s="737">
        <v>9</v>
      </c>
      <c r="B144" s="724">
        <v>44835</v>
      </c>
      <c r="C144" s="724">
        <v>44865</v>
      </c>
      <c r="D144" s="796">
        <v>0</v>
      </c>
      <c r="E144" s="796">
        <v>0.11600000000000001</v>
      </c>
      <c r="F144" s="897">
        <f t="shared" ref="F144:F145" si="60">((1+E144)^(1/365)-1)</f>
        <v>3.0073250947526553E-4</v>
      </c>
      <c r="G144" s="895">
        <f t="shared" si="59"/>
        <v>25000000</v>
      </c>
      <c r="H144" s="931">
        <f t="shared" ref="H144:H148" si="61">+_xlfn.DAYS(C144,B144)+1</f>
        <v>31</v>
      </c>
      <c r="I144" s="941">
        <f t="shared" si="58"/>
        <v>233067.69</v>
      </c>
    </row>
    <row r="145" spans="1:9" ht="13.5">
      <c r="A145" s="737">
        <v>10</v>
      </c>
      <c r="B145" s="724">
        <v>44866</v>
      </c>
      <c r="C145" s="724">
        <v>44895</v>
      </c>
      <c r="D145" s="796">
        <v>0</v>
      </c>
      <c r="E145" s="796">
        <v>0.1263</v>
      </c>
      <c r="F145" s="897">
        <f t="shared" si="60"/>
        <v>3.2591042348917298E-4</v>
      </c>
      <c r="G145" s="895">
        <f t="shared" si="59"/>
        <v>25000000</v>
      </c>
      <c r="H145" s="931">
        <f t="shared" si="61"/>
        <v>30</v>
      </c>
      <c r="I145" s="941">
        <f t="shared" si="58"/>
        <v>244432.82</v>
      </c>
    </row>
    <row r="146" spans="1:9" ht="13.5">
      <c r="A146" s="737">
        <v>11</v>
      </c>
      <c r="B146" s="724">
        <v>44896</v>
      </c>
      <c r="C146" s="724">
        <v>44918</v>
      </c>
      <c r="D146" s="796">
        <v>0</v>
      </c>
      <c r="E146" s="796">
        <v>0.13420000000000001</v>
      </c>
      <c r="F146" s="897">
        <f>((1+E146)^(1/365)-1)</f>
        <v>3.4506652613908173E-4</v>
      </c>
      <c r="G146" s="895">
        <f t="shared" ref="G146:G151" si="62">$C$29</f>
        <v>50000000</v>
      </c>
      <c r="H146" s="931">
        <f t="shared" si="61"/>
        <v>23</v>
      </c>
      <c r="I146" s="941">
        <f t="shared" si="58"/>
        <v>396826.51</v>
      </c>
    </row>
    <row r="147" spans="1:9" ht="13.5">
      <c r="A147" s="737">
        <v>12</v>
      </c>
      <c r="B147" s="724">
        <v>44919</v>
      </c>
      <c r="C147" s="724">
        <v>44926</v>
      </c>
      <c r="D147" s="796">
        <v>0.27639999999999998</v>
      </c>
      <c r="E147" s="796">
        <f>+D147*1.5</f>
        <v>0.41459999999999997</v>
      </c>
      <c r="F147" s="897">
        <f>((1+E147)^(1/365)-1)</f>
        <v>9.5071686592063109E-4</v>
      </c>
      <c r="G147" s="895">
        <f t="shared" si="62"/>
        <v>50000000</v>
      </c>
      <c r="H147" s="931">
        <f t="shared" si="61"/>
        <v>8</v>
      </c>
      <c r="I147" s="941">
        <f t="shared" si="58"/>
        <v>380286.75</v>
      </c>
    </row>
    <row r="148" spans="1:9" ht="13.5">
      <c r="A148" s="737">
        <v>13</v>
      </c>
      <c r="B148" s="724">
        <v>44927</v>
      </c>
      <c r="C148" s="724">
        <v>44957</v>
      </c>
      <c r="D148" s="796">
        <v>0.28839999999999999</v>
      </c>
      <c r="E148" s="796">
        <f>+D148*1.5</f>
        <v>0.43259999999999998</v>
      </c>
      <c r="F148" s="897">
        <f t="shared" ref="F148" si="63">((1+E148)^(1/365)-1)</f>
        <v>9.8539196132163553E-4</v>
      </c>
      <c r="G148" s="895">
        <f t="shared" si="62"/>
        <v>50000000</v>
      </c>
      <c r="H148" s="931">
        <f t="shared" si="61"/>
        <v>31</v>
      </c>
      <c r="I148" s="941">
        <f t="shared" si="58"/>
        <v>1527357.54</v>
      </c>
    </row>
    <row r="149" spans="1:9" ht="13.5">
      <c r="A149" s="737">
        <v>14</v>
      </c>
      <c r="B149" s="724">
        <v>44958</v>
      </c>
      <c r="C149" s="724">
        <v>44985</v>
      </c>
      <c r="D149" s="796">
        <v>0.30180000000000001</v>
      </c>
      <c r="E149" s="796">
        <f>+D149*1.5</f>
        <v>0.45269999999999999</v>
      </c>
      <c r="F149" s="897">
        <f>((1+E149)^(1/365)-1)</f>
        <v>1.0236026853662761E-3</v>
      </c>
      <c r="G149" s="895">
        <f t="shared" si="62"/>
        <v>50000000</v>
      </c>
      <c r="H149" s="931">
        <f t="shared" ref="H149:H150" si="64">+_xlfn.DAYS(C149,B149)+1</f>
        <v>28</v>
      </c>
      <c r="I149" s="941">
        <f t="shared" si="58"/>
        <v>1433043.76</v>
      </c>
    </row>
    <row r="150" spans="1:9" ht="13.5">
      <c r="A150" s="737">
        <v>15</v>
      </c>
      <c r="B150" s="724">
        <v>44986</v>
      </c>
      <c r="C150" s="724">
        <v>45016</v>
      </c>
      <c r="D150" s="796">
        <v>0.30840000000000001</v>
      </c>
      <c r="E150" s="796">
        <f>+D150*1.5</f>
        <v>0.46260000000000001</v>
      </c>
      <c r="F150" s="897">
        <f t="shared" ref="F150" si="65">((1+E150)^(1/365)-1)</f>
        <v>1.0422295217955568E-3</v>
      </c>
      <c r="G150" s="895">
        <f t="shared" si="62"/>
        <v>50000000</v>
      </c>
      <c r="H150" s="931">
        <f t="shared" si="64"/>
        <v>31</v>
      </c>
      <c r="I150" s="941">
        <f t="shared" si="58"/>
        <v>1615455.76</v>
      </c>
    </row>
    <row r="151" spans="1:9" ht="13.5">
      <c r="A151" s="737">
        <v>16</v>
      </c>
      <c r="B151" s="724">
        <v>45017</v>
      </c>
      <c r="C151" s="724">
        <v>45046</v>
      </c>
      <c r="D151" s="796">
        <v>0.31390000000000001</v>
      </c>
      <c r="E151" s="796">
        <f>+D151*1.5</f>
        <v>0.47084999999999999</v>
      </c>
      <c r="F151" s="897">
        <f>((1+E151)^(1/365)-1)</f>
        <v>1.0576560884423269E-3</v>
      </c>
      <c r="G151" s="895">
        <f t="shared" si="62"/>
        <v>50000000</v>
      </c>
      <c r="H151" s="931">
        <f t="shared" ref="H151" si="66">+_xlfn.DAYS(C151,B151)+1</f>
        <v>30</v>
      </c>
      <c r="I151" s="941">
        <f>ROUND(F151*G151*H151,2)</f>
        <v>1586484.13</v>
      </c>
    </row>
    <row r="152" spans="1:9" ht="13.5">
      <c r="G152" s="2847" t="s">
        <v>338</v>
      </c>
      <c r="H152" s="2847"/>
      <c r="I152" s="1077">
        <f>SUM(I136:I151)</f>
        <v>8570234.8999999985</v>
      </c>
    </row>
    <row r="154" spans="1:9" ht="13.5">
      <c r="B154" s="737" t="s">
        <v>1848</v>
      </c>
      <c r="C154" s="737" t="s">
        <v>1847</v>
      </c>
      <c r="D154" s="1726">
        <v>25</v>
      </c>
      <c r="E154" s="88">
        <f>+D154*$C$10</f>
        <v>25000000</v>
      </c>
    </row>
    <row r="155" spans="1:9" ht="13.5">
      <c r="B155" s="728" t="s">
        <v>143</v>
      </c>
      <c r="C155" s="850">
        <f>+E154</f>
        <v>25000000</v>
      </c>
      <c r="D155" s="2644" t="s">
        <v>172</v>
      </c>
      <c r="E155" s="2645"/>
      <c r="F155" s="2645"/>
      <c r="G155" s="2645"/>
      <c r="H155" s="2645"/>
      <c r="I155" s="2646"/>
    </row>
    <row r="156" spans="1:9" ht="25.5">
      <c r="B156" s="793" t="s">
        <v>337</v>
      </c>
      <c r="C156" s="793" t="s">
        <v>40</v>
      </c>
      <c r="D156" s="2739" t="s">
        <v>822</v>
      </c>
      <c r="E156" s="2740"/>
      <c r="F156" s="794" t="s">
        <v>43</v>
      </c>
      <c r="G156" s="794" t="s">
        <v>129</v>
      </c>
      <c r="H156" s="794" t="s">
        <v>706</v>
      </c>
      <c r="I156" s="893" t="s">
        <v>48</v>
      </c>
    </row>
    <row r="157" spans="1:9" ht="13.5">
      <c r="A157" s="737">
        <v>1</v>
      </c>
      <c r="B157" s="724">
        <v>44615</v>
      </c>
      <c r="C157" s="724">
        <v>44620</v>
      </c>
      <c r="D157" s="796">
        <v>0</v>
      </c>
      <c r="E157" s="796">
        <v>4.3099999999999999E-2</v>
      </c>
      <c r="F157" s="897">
        <f t="shared" ref="F157:F164" si="67">((1+E157)^(1/365)-1)</f>
        <v>1.1561503550527874E-4</v>
      </c>
      <c r="G157" s="895">
        <f>$C$155</f>
        <v>25000000</v>
      </c>
      <c r="H157" s="931">
        <f t="shared" ref="H157:H164" si="68">+_xlfn.DAYS(C157,B157)+1</f>
        <v>6</v>
      </c>
      <c r="I157" s="941">
        <f>ROUND(F157*G157*H157,2)</f>
        <v>17342.259999999998</v>
      </c>
    </row>
    <row r="158" spans="1:9" ht="13.5">
      <c r="A158" s="737">
        <v>2</v>
      </c>
      <c r="B158" s="724">
        <v>44621</v>
      </c>
      <c r="C158" s="724">
        <v>44651</v>
      </c>
      <c r="D158" s="796">
        <v>0</v>
      </c>
      <c r="E158" s="796">
        <v>4.9700000000000001E-2</v>
      </c>
      <c r="F158" s="897">
        <f t="shared" si="67"/>
        <v>1.3289762205070943E-4</v>
      </c>
      <c r="G158" s="895">
        <f t="shared" ref="G158:G166" si="69">$C$155</f>
        <v>25000000</v>
      </c>
      <c r="H158" s="931">
        <f t="shared" si="68"/>
        <v>31</v>
      </c>
      <c r="I158" s="941">
        <f t="shared" ref="I158:I172" si="70">ROUND(F158*G158*H158,2)</f>
        <v>102995.66</v>
      </c>
    </row>
    <row r="159" spans="1:9" ht="13.5">
      <c r="A159" s="737">
        <v>3</v>
      </c>
      <c r="B159" s="724">
        <v>44652</v>
      </c>
      <c r="C159" s="724">
        <v>44681</v>
      </c>
      <c r="D159" s="796">
        <v>0</v>
      </c>
      <c r="E159" s="796">
        <v>5.9700000000000003E-2</v>
      </c>
      <c r="F159" s="897">
        <f t="shared" si="67"/>
        <v>1.5887796003677401E-4</v>
      </c>
      <c r="G159" s="895">
        <f t="shared" si="69"/>
        <v>25000000</v>
      </c>
      <c r="H159" s="931">
        <f t="shared" si="68"/>
        <v>30</v>
      </c>
      <c r="I159" s="941">
        <f t="shared" si="70"/>
        <v>119158.47</v>
      </c>
    </row>
    <row r="160" spans="1:9" ht="13.5">
      <c r="A160" s="737">
        <v>4</v>
      </c>
      <c r="B160" s="724">
        <v>44682</v>
      </c>
      <c r="C160" s="724">
        <v>44712</v>
      </c>
      <c r="D160" s="796">
        <v>0</v>
      </c>
      <c r="E160" s="796">
        <v>7.0400000000000004E-2</v>
      </c>
      <c r="F160" s="897">
        <f t="shared" si="67"/>
        <v>1.8640753718313086E-4</v>
      </c>
      <c r="G160" s="895">
        <f t="shared" si="69"/>
        <v>25000000</v>
      </c>
      <c r="H160" s="931">
        <f t="shared" si="68"/>
        <v>31</v>
      </c>
      <c r="I160" s="941">
        <f t="shared" si="70"/>
        <v>144465.84</v>
      </c>
    </row>
    <row r="161" spans="1:9" ht="13.5">
      <c r="A161" s="737">
        <v>5</v>
      </c>
      <c r="B161" s="724">
        <v>44713</v>
      </c>
      <c r="C161" s="724">
        <v>44742</v>
      </c>
      <c r="D161" s="796">
        <v>0</v>
      </c>
      <c r="E161" s="796">
        <v>7.7200000000000005E-2</v>
      </c>
      <c r="F161" s="897">
        <f t="shared" si="67"/>
        <v>2.0376070695582449E-4</v>
      </c>
      <c r="G161" s="895">
        <f t="shared" si="69"/>
        <v>25000000</v>
      </c>
      <c r="H161" s="931">
        <f t="shared" si="68"/>
        <v>30</v>
      </c>
      <c r="I161" s="941">
        <f t="shared" si="70"/>
        <v>152820.53</v>
      </c>
    </row>
    <row r="162" spans="1:9" ht="13.5">
      <c r="A162" s="737">
        <v>6</v>
      </c>
      <c r="B162" s="724">
        <v>44743</v>
      </c>
      <c r="C162" s="724">
        <v>44773</v>
      </c>
      <c r="D162" s="796">
        <v>0</v>
      </c>
      <c r="E162" s="796">
        <v>9.2999999999999999E-2</v>
      </c>
      <c r="F162" s="897">
        <f t="shared" si="67"/>
        <v>2.4366313088708402E-4</v>
      </c>
      <c r="G162" s="895">
        <f t="shared" si="69"/>
        <v>25000000</v>
      </c>
      <c r="H162" s="931">
        <f t="shared" si="68"/>
        <v>31</v>
      </c>
      <c r="I162" s="941">
        <f t="shared" si="70"/>
        <v>188838.93</v>
      </c>
    </row>
    <row r="163" spans="1:9" ht="13.5">
      <c r="A163" s="737">
        <v>7</v>
      </c>
      <c r="B163" s="724">
        <v>44774</v>
      </c>
      <c r="C163" s="724">
        <v>44804</v>
      </c>
      <c r="D163" s="796">
        <v>0</v>
      </c>
      <c r="E163" s="796">
        <v>0.1057</v>
      </c>
      <c r="F163" s="897">
        <f t="shared" si="67"/>
        <v>2.7532178056910439E-4</v>
      </c>
      <c r="G163" s="895">
        <f t="shared" si="69"/>
        <v>25000000</v>
      </c>
      <c r="H163" s="931">
        <f t="shared" si="68"/>
        <v>31</v>
      </c>
      <c r="I163" s="941">
        <f t="shared" si="70"/>
        <v>213374.38</v>
      </c>
    </row>
    <row r="164" spans="1:9" ht="13.5">
      <c r="A164" s="737">
        <v>8</v>
      </c>
      <c r="B164" s="724">
        <v>44805</v>
      </c>
      <c r="C164" s="724">
        <v>44834</v>
      </c>
      <c r="D164" s="796">
        <v>0</v>
      </c>
      <c r="E164" s="796">
        <v>0.1099</v>
      </c>
      <c r="F164" s="897">
        <f t="shared" si="67"/>
        <v>2.857118247707735E-4</v>
      </c>
      <c r="G164" s="895">
        <f t="shared" si="69"/>
        <v>25000000</v>
      </c>
      <c r="H164" s="931">
        <f t="shared" si="68"/>
        <v>30</v>
      </c>
      <c r="I164" s="941">
        <f t="shared" si="70"/>
        <v>214283.87</v>
      </c>
    </row>
    <row r="165" spans="1:9" ht="13.5">
      <c r="A165" s="737">
        <v>9</v>
      </c>
      <c r="B165" s="724">
        <v>44835</v>
      </c>
      <c r="C165" s="724">
        <v>44865</v>
      </c>
      <c r="D165" s="796">
        <v>0</v>
      </c>
      <c r="E165" s="796">
        <v>0.11600000000000001</v>
      </c>
      <c r="F165" s="897">
        <f t="shared" ref="F165:F166" si="71">((1+E165)^(1/365)-1)</f>
        <v>3.0073250947526553E-4</v>
      </c>
      <c r="G165" s="895">
        <f t="shared" si="69"/>
        <v>25000000</v>
      </c>
      <c r="H165" s="931">
        <f t="shared" ref="H165:H169" si="72">+_xlfn.DAYS(C165,B165)+1</f>
        <v>31</v>
      </c>
      <c r="I165" s="941">
        <f t="shared" si="70"/>
        <v>233067.69</v>
      </c>
    </row>
    <row r="166" spans="1:9" ht="13.5">
      <c r="A166" s="737">
        <v>10</v>
      </c>
      <c r="B166" s="724">
        <v>44866</v>
      </c>
      <c r="C166" s="724">
        <v>44895</v>
      </c>
      <c r="D166" s="796">
        <v>0</v>
      </c>
      <c r="E166" s="796">
        <v>0.1263</v>
      </c>
      <c r="F166" s="897">
        <f t="shared" si="71"/>
        <v>3.2591042348917298E-4</v>
      </c>
      <c r="G166" s="895">
        <f t="shared" si="69"/>
        <v>25000000</v>
      </c>
      <c r="H166" s="931">
        <f t="shared" si="72"/>
        <v>30</v>
      </c>
      <c r="I166" s="941">
        <f t="shared" si="70"/>
        <v>244432.82</v>
      </c>
    </row>
    <row r="167" spans="1:9" ht="13.5">
      <c r="A167" s="737">
        <v>11</v>
      </c>
      <c r="B167" s="724">
        <v>44896</v>
      </c>
      <c r="C167" s="724">
        <v>44918</v>
      </c>
      <c r="D167" s="796">
        <v>0</v>
      </c>
      <c r="E167" s="796">
        <v>0.13420000000000001</v>
      </c>
      <c r="F167" s="897">
        <f>((1+E167)^(1/365)-1)</f>
        <v>3.4506652613908173E-4</v>
      </c>
      <c r="G167" s="895">
        <f t="shared" ref="G167:G172" si="73">$C$29</f>
        <v>50000000</v>
      </c>
      <c r="H167" s="931">
        <f t="shared" si="72"/>
        <v>23</v>
      </c>
      <c r="I167" s="941">
        <f t="shared" si="70"/>
        <v>396826.51</v>
      </c>
    </row>
    <row r="168" spans="1:9" ht="13.5">
      <c r="A168" s="737">
        <v>12</v>
      </c>
      <c r="B168" s="724">
        <v>44919</v>
      </c>
      <c r="C168" s="724">
        <v>44926</v>
      </c>
      <c r="D168" s="796">
        <v>0.27639999999999998</v>
      </c>
      <c r="E168" s="796">
        <f>+D168*1.5</f>
        <v>0.41459999999999997</v>
      </c>
      <c r="F168" s="897">
        <f>((1+E168)^(1/365)-1)</f>
        <v>9.5071686592063109E-4</v>
      </c>
      <c r="G168" s="895">
        <f t="shared" si="73"/>
        <v>50000000</v>
      </c>
      <c r="H168" s="931">
        <f t="shared" si="72"/>
        <v>8</v>
      </c>
      <c r="I168" s="941">
        <f t="shared" si="70"/>
        <v>380286.75</v>
      </c>
    </row>
    <row r="169" spans="1:9" ht="13.5">
      <c r="A169" s="737">
        <v>13</v>
      </c>
      <c r="B169" s="724">
        <v>44927</v>
      </c>
      <c r="C169" s="724">
        <v>44957</v>
      </c>
      <c r="D169" s="796">
        <v>0.28839999999999999</v>
      </c>
      <c r="E169" s="796">
        <f>+D169*1.5</f>
        <v>0.43259999999999998</v>
      </c>
      <c r="F169" s="897">
        <f t="shared" ref="F169" si="74">((1+E169)^(1/365)-1)</f>
        <v>9.8539196132163553E-4</v>
      </c>
      <c r="G169" s="895">
        <f t="shared" si="73"/>
        <v>50000000</v>
      </c>
      <c r="H169" s="931">
        <f t="shared" si="72"/>
        <v>31</v>
      </c>
      <c r="I169" s="941">
        <f t="shared" si="70"/>
        <v>1527357.54</v>
      </c>
    </row>
    <row r="170" spans="1:9" ht="13.5">
      <c r="A170" s="737">
        <v>14</v>
      </c>
      <c r="B170" s="724">
        <v>44958</v>
      </c>
      <c r="C170" s="724">
        <v>44985</v>
      </c>
      <c r="D170" s="796">
        <v>0.30180000000000001</v>
      </c>
      <c r="E170" s="796">
        <f>+D170*1.5</f>
        <v>0.45269999999999999</v>
      </c>
      <c r="F170" s="897">
        <f>((1+E170)^(1/365)-1)</f>
        <v>1.0236026853662761E-3</v>
      </c>
      <c r="G170" s="895">
        <f t="shared" si="73"/>
        <v>50000000</v>
      </c>
      <c r="H170" s="931">
        <f t="shared" ref="H170:H171" si="75">+_xlfn.DAYS(C170,B170)+1</f>
        <v>28</v>
      </c>
      <c r="I170" s="941">
        <f t="shared" si="70"/>
        <v>1433043.76</v>
      </c>
    </row>
    <row r="171" spans="1:9" ht="13.5">
      <c r="A171" s="737">
        <v>15</v>
      </c>
      <c r="B171" s="724">
        <v>44986</v>
      </c>
      <c r="C171" s="724">
        <v>45016</v>
      </c>
      <c r="D171" s="796">
        <v>0.30840000000000001</v>
      </c>
      <c r="E171" s="796">
        <f>+D171*1.5</f>
        <v>0.46260000000000001</v>
      </c>
      <c r="F171" s="897">
        <f t="shared" ref="F171" si="76">((1+E171)^(1/365)-1)</f>
        <v>1.0422295217955568E-3</v>
      </c>
      <c r="G171" s="895">
        <f t="shared" si="73"/>
        <v>50000000</v>
      </c>
      <c r="H171" s="931">
        <f t="shared" si="75"/>
        <v>31</v>
      </c>
      <c r="I171" s="941">
        <f t="shared" si="70"/>
        <v>1615455.76</v>
      </c>
    </row>
    <row r="172" spans="1:9" ht="13.5">
      <c r="A172" s="737">
        <v>16</v>
      </c>
      <c r="B172" s="724">
        <v>45017</v>
      </c>
      <c r="C172" s="724">
        <v>45046</v>
      </c>
      <c r="D172" s="796">
        <v>0.31390000000000001</v>
      </c>
      <c r="E172" s="796">
        <f>+D172*1.5</f>
        <v>0.47084999999999999</v>
      </c>
      <c r="F172" s="897">
        <f>((1+E172)^(1/365)-1)</f>
        <v>1.0576560884423269E-3</v>
      </c>
      <c r="G172" s="895">
        <f t="shared" si="73"/>
        <v>50000000</v>
      </c>
      <c r="H172" s="931">
        <f t="shared" ref="H172" si="77">+_xlfn.DAYS(C172,B172)+1</f>
        <v>30</v>
      </c>
      <c r="I172" s="941">
        <f t="shared" si="70"/>
        <v>1586484.13</v>
      </c>
    </row>
    <row r="173" spans="1:9" ht="13.5">
      <c r="A173" s="737"/>
      <c r="G173" s="2847" t="s">
        <v>338</v>
      </c>
      <c r="H173" s="2847"/>
      <c r="I173" s="1077">
        <f>SUM(I157:I172)</f>
        <v>8570234.8999999985</v>
      </c>
    </row>
    <row r="174" spans="1:9">
      <c r="I174" t="s">
        <v>254</v>
      </c>
    </row>
    <row r="175" spans="1:9" ht="13.5">
      <c r="B175" s="737" t="s">
        <v>1849</v>
      </c>
      <c r="C175" s="737" t="s">
        <v>1847</v>
      </c>
      <c r="D175" s="1726">
        <v>25</v>
      </c>
      <c r="E175" s="88">
        <f>+D175*$C$10</f>
        <v>25000000</v>
      </c>
    </row>
    <row r="176" spans="1:9" ht="13.5">
      <c r="B176" s="728" t="s">
        <v>143</v>
      </c>
      <c r="C176" s="850">
        <f>+E175</f>
        <v>25000000</v>
      </c>
      <c r="D176" s="2644" t="s">
        <v>172</v>
      </c>
      <c r="E176" s="2645"/>
      <c r="F176" s="2645"/>
      <c r="G176" s="2645"/>
      <c r="H176" s="2645"/>
      <c r="I176" s="2646"/>
    </row>
    <row r="177" spans="1:9" ht="25.5">
      <c r="B177" s="793" t="s">
        <v>337</v>
      </c>
      <c r="C177" s="793" t="s">
        <v>40</v>
      </c>
      <c r="D177" s="2739" t="s">
        <v>822</v>
      </c>
      <c r="E177" s="2740"/>
      <c r="F177" s="794" t="s">
        <v>43</v>
      </c>
      <c r="G177" s="794" t="s">
        <v>129</v>
      </c>
      <c r="H177" s="794" t="s">
        <v>706</v>
      </c>
      <c r="I177" s="893" t="s">
        <v>48</v>
      </c>
    </row>
    <row r="178" spans="1:9" ht="13.5">
      <c r="A178" s="737">
        <v>1</v>
      </c>
      <c r="B178" s="724">
        <v>44615</v>
      </c>
      <c r="C178" s="724">
        <v>44620</v>
      </c>
      <c r="D178" s="796">
        <v>0</v>
      </c>
      <c r="E178" s="796">
        <v>4.3099999999999999E-2</v>
      </c>
      <c r="F178" s="897">
        <f t="shared" ref="F178:F185" si="78">((1+E178)^(1/365)-1)</f>
        <v>1.1561503550527874E-4</v>
      </c>
      <c r="G178" s="895">
        <f>+$C$176</f>
        <v>25000000</v>
      </c>
      <c r="H178" s="931">
        <f t="shared" ref="H178:H185" si="79">+_xlfn.DAYS(C178,B178)+1</f>
        <v>6</v>
      </c>
      <c r="I178" s="941">
        <f t="shared" ref="I178:I193" si="80">ROUND(F178*G178*H178,2)</f>
        <v>17342.259999999998</v>
      </c>
    </row>
    <row r="179" spans="1:9" ht="13.5">
      <c r="A179" s="737">
        <v>2</v>
      </c>
      <c r="B179" s="724">
        <v>44621</v>
      </c>
      <c r="C179" s="724">
        <v>44651</v>
      </c>
      <c r="D179" s="796">
        <v>0</v>
      </c>
      <c r="E179" s="796">
        <v>4.9700000000000001E-2</v>
      </c>
      <c r="F179" s="897">
        <f t="shared" si="78"/>
        <v>1.3289762205070943E-4</v>
      </c>
      <c r="G179" s="895">
        <f t="shared" ref="G179:G187" si="81">+$C$176</f>
        <v>25000000</v>
      </c>
      <c r="H179" s="931">
        <f t="shared" si="79"/>
        <v>31</v>
      </c>
      <c r="I179" s="941">
        <f t="shared" si="80"/>
        <v>102995.66</v>
      </c>
    </row>
    <row r="180" spans="1:9" ht="13.5">
      <c r="A180" s="737">
        <v>3</v>
      </c>
      <c r="B180" s="724">
        <v>44652</v>
      </c>
      <c r="C180" s="724">
        <v>44681</v>
      </c>
      <c r="D180" s="796">
        <v>0</v>
      </c>
      <c r="E180" s="796">
        <v>5.9700000000000003E-2</v>
      </c>
      <c r="F180" s="897">
        <f t="shared" si="78"/>
        <v>1.5887796003677401E-4</v>
      </c>
      <c r="G180" s="895">
        <f t="shared" si="81"/>
        <v>25000000</v>
      </c>
      <c r="H180" s="931">
        <f t="shared" si="79"/>
        <v>30</v>
      </c>
      <c r="I180" s="941">
        <f t="shared" si="80"/>
        <v>119158.47</v>
      </c>
    </row>
    <row r="181" spans="1:9" ht="13.5">
      <c r="A181" s="737">
        <v>4</v>
      </c>
      <c r="B181" s="724">
        <v>44682</v>
      </c>
      <c r="C181" s="724">
        <v>44712</v>
      </c>
      <c r="D181" s="796">
        <v>0</v>
      </c>
      <c r="E181" s="796">
        <v>7.0400000000000004E-2</v>
      </c>
      <c r="F181" s="897">
        <f t="shared" si="78"/>
        <v>1.8640753718313086E-4</v>
      </c>
      <c r="G181" s="895">
        <f t="shared" si="81"/>
        <v>25000000</v>
      </c>
      <c r="H181" s="931">
        <f t="shared" si="79"/>
        <v>31</v>
      </c>
      <c r="I181" s="941">
        <f t="shared" si="80"/>
        <v>144465.84</v>
      </c>
    </row>
    <row r="182" spans="1:9" ht="13.5">
      <c r="A182" s="737">
        <v>5</v>
      </c>
      <c r="B182" s="724">
        <v>44713</v>
      </c>
      <c r="C182" s="724">
        <v>44742</v>
      </c>
      <c r="D182" s="796">
        <v>0</v>
      </c>
      <c r="E182" s="796">
        <v>7.7200000000000005E-2</v>
      </c>
      <c r="F182" s="897">
        <f t="shared" si="78"/>
        <v>2.0376070695582449E-4</v>
      </c>
      <c r="G182" s="895">
        <f t="shared" si="81"/>
        <v>25000000</v>
      </c>
      <c r="H182" s="931">
        <f t="shared" si="79"/>
        <v>30</v>
      </c>
      <c r="I182" s="941">
        <f t="shared" si="80"/>
        <v>152820.53</v>
      </c>
    </row>
    <row r="183" spans="1:9" ht="13.5">
      <c r="A183" s="737">
        <v>6</v>
      </c>
      <c r="B183" s="724">
        <v>44743</v>
      </c>
      <c r="C183" s="724">
        <v>44773</v>
      </c>
      <c r="D183" s="796">
        <v>0</v>
      </c>
      <c r="E183" s="796">
        <v>9.2999999999999999E-2</v>
      </c>
      <c r="F183" s="897">
        <f t="shared" si="78"/>
        <v>2.4366313088708402E-4</v>
      </c>
      <c r="G183" s="895">
        <f t="shared" si="81"/>
        <v>25000000</v>
      </c>
      <c r="H183" s="931">
        <f t="shared" si="79"/>
        <v>31</v>
      </c>
      <c r="I183" s="941">
        <f t="shared" si="80"/>
        <v>188838.93</v>
      </c>
    </row>
    <row r="184" spans="1:9" ht="13.5">
      <c r="A184" s="737">
        <v>7</v>
      </c>
      <c r="B184" s="724">
        <v>44774</v>
      </c>
      <c r="C184" s="724">
        <v>44804</v>
      </c>
      <c r="D184" s="796">
        <v>0</v>
      </c>
      <c r="E184" s="796">
        <v>0.1057</v>
      </c>
      <c r="F184" s="897">
        <f t="shared" si="78"/>
        <v>2.7532178056910439E-4</v>
      </c>
      <c r="G184" s="895">
        <f t="shared" si="81"/>
        <v>25000000</v>
      </c>
      <c r="H184" s="931">
        <f t="shared" si="79"/>
        <v>31</v>
      </c>
      <c r="I184" s="941">
        <f t="shared" si="80"/>
        <v>213374.38</v>
      </c>
    </row>
    <row r="185" spans="1:9" ht="13.5">
      <c r="A185" s="737">
        <v>8</v>
      </c>
      <c r="B185" s="724">
        <v>44805</v>
      </c>
      <c r="C185" s="724">
        <v>44834</v>
      </c>
      <c r="D185" s="796">
        <v>0</v>
      </c>
      <c r="E185" s="796">
        <v>0.1099</v>
      </c>
      <c r="F185" s="897">
        <f t="shared" si="78"/>
        <v>2.857118247707735E-4</v>
      </c>
      <c r="G185" s="895">
        <f t="shared" si="81"/>
        <v>25000000</v>
      </c>
      <c r="H185" s="931">
        <f t="shared" si="79"/>
        <v>30</v>
      </c>
      <c r="I185" s="941">
        <f t="shared" si="80"/>
        <v>214283.87</v>
      </c>
    </row>
    <row r="186" spans="1:9" ht="13.5">
      <c r="A186" s="737">
        <v>9</v>
      </c>
      <c r="B186" s="724">
        <v>44835</v>
      </c>
      <c r="C186" s="724">
        <v>44865</v>
      </c>
      <c r="D186" s="796">
        <v>0</v>
      </c>
      <c r="E186" s="796">
        <v>0.11600000000000001</v>
      </c>
      <c r="F186" s="897">
        <f t="shared" ref="F186:F187" si="82">((1+E186)^(1/365)-1)</f>
        <v>3.0073250947526553E-4</v>
      </c>
      <c r="G186" s="895">
        <f t="shared" si="81"/>
        <v>25000000</v>
      </c>
      <c r="H186" s="931">
        <f t="shared" ref="H186:H190" si="83">+_xlfn.DAYS(C186,B186)+1</f>
        <v>31</v>
      </c>
      <c r="I186" s="941">
        <f t="shared" si="80"/>
        <v>233067.69</v>
      </c>
    </row>
    <row r="187" spans="1:9" ht="13.5">
      <c r="A187" s="737">
        <v>10</v>
      </c>
      <c r="B187" s="724">
        <v>44866</v>
      </c>
      <c r="C187" s="724">
        <v>44895</v>
      </c>
      <c r="D187" s="796">
        <v>0</v>
      </c>
      <c r="E187" s="796">
        <v>0.1263</v>
      </c>
      <c r="F187" s="897">
        <f t="shared" si="82"/>
        <v>3.2591042348917298E-4</v>
      </c>
      <c r="G187" s="895">
        <f t="shared" si="81"/>
        <v>25000000</v>
      </c>
      <c r="H187" s="931">
        <f t="shared" si="83"/>
        <v>30</v>
      </c>
      <c r="I187" s="941">
        <f t="shared" si="80"/>
        <v>244432.82</v>
      </c>
    </row>
    <row r="188" spans="1:9" ht="13.5">
      <c r="A188" s="737">
        <v>11</v>
      </c>
      <c r="B188" s="724">
        <v>44896</v>
      </c>
      <c r="C188" s="724">
        <v>44918</v>
      </c>
      <c r="D188" s="796">
        <v>0</v>
      </c>
      <c r="E188" s="796">
        <v>0.13420000000000001</v>
      </c>
      <c r="F188" s="897">
        <f>((1+E188)^(1/365)-1)</f>
        <v>3.4506652613908173E-4</v>
      </c>
      <c r="G188" s="895">
        <f t="shared" ref="G188:G193" si="84">$C$29</f>
        <v>50000000</v>
      </c>
      <c r="H188" s="931">
        <f t="shared" si="83"/>
        <v>23</v>
      </c>
      <c r="I188" s="941">
        <f t="shared" si="80"/>
        <v>396826.51</v>
      </c>
    </row>
    <row r="189" spans="1:9" ht="13.5">
      <c r="A189" s="737">
        <v>12</v>
      </c>
      <c r="B189" s="724">
        <v>44919</v>
      </c>
      <c r="C189" s="724">
        <v>44926</v>
      </c>
      <c r="D189" s="796">
        <v>0.27639999999999998</v>
      </c>
      <c r="E189" s="796">
        <f>+D189*1.5</f>
        <v>0.41459999999999997</v>
      </c>
      <c r="F189" s="897">
        <f>((1+E189)^(1/365)-1)</f>
        <v>9.5071686592063109E-4</v>
      </c>
      <c r="G189" s="895">
        <f t="shared" si="84"/>
        <v>50000000</v>
      </c>
      <c r="H189" s="931">
        <f t="shared" si="83"/>
        <v>8</v>
      </c>
      <c r="I189" s="941">
        <f t="shared" si="80"/>
        <v>380286.75</v>
      </c>
    </row>
    <row r="190" spans="1:9" ht="13.5">
      <c r="A190" s="737">
        <v>13</v>
      </c>
      <c r="B190" s="724">
        <v>44927</v>
      </c>
      <c r="C190" s="724">
        <v>44957</v>
      </c>
      <c r="D190" s="796">
        <v>0.28839999999999999</v>
      </c>
      <c r="E190" s="796">
        <f>+D190*1.5</f>
        <v>0.43259999999999998</v>
      </c>
      <c r="F190" s="897">
        <f t="shared" ref="F190" si="85">((1+E190)^(1/365)-1)</f>
        <v>9.8539196132163553E-4</v>
      </c>
      <c r="G190" s="895">
        <f t="shared" si="84"/>
        <v>50000000</v>
      </c>
      <c r="H190" s="931">
        <f t="shared" si="83"/>
        <v>31</v>
      </c>
      <c r="I190" s="941">
        <f t="shared" si="80"/>
        <v>1527357.54</v>
      </c>
    </row>
    <row r="191" spans="1:9" ht="13.5">
      <c r="A191" s="737">
        <v>14</v>
      </c>
      <c r="B191" s="724">
        <v>44958</v>
      </c>
      <c r="C191" s="724">
        <v>44985</v>
      </c>
      <c r="D191" s="796">
        <v>0.30180000000000001</v>
      </c>
      <c r="E191" s="796">
        <f>+D191*1.5</f>
        <v>0.45269999999999999</v>
      </c>
      <c r="F191" s="897">
        <f>((1+E191)^(1/365)-1)</f>
        <v>1.0236026853662761E-3</v>
      </c>
      <c r="G191" s="895">
        <f t="shared" si="84"/>
        <v>50000000</v>
      </c>
      <c r="H191" s="931">
        <f t="shared" ref="H191:H192" si="86">+_xlfn.DAYS(C191,B191)+1</f>
        <v>28</v>
      </c>
      <c r="I191" s="941">
        <f t="shared" si="80"/>
        <v>1433043.76</v>
      </c>
    </row>
    <row r="192" spans="1:9" ht="13.5">
      <c r="A192" s="737">
        <v>15</v>
      </c>
      <c r="B192" s="724">
        <v>44986</v>
      </c>
      <c r="C192" s="724">
        <v>45016</v>
      </c>
      <c r="D192" s="796">
        <v>0.30840000000000001</v>
      </c>
      <c r="E192" s="796">
        <f>+D192*1.5</f>
        <v>0.46260000000000001</v>
      </c>
      <c r="F192" s="897">
        <f t="shared" ref="F192" si="87">((1+E192)^(1/365)-1)</f>
        <v>1.0422295217955568E-3</v>
      </c>
      <c r="G192" s="895">
        <f t="shared" si="84"/>
        <v>50000000</v>
      </c>
      <c r="H192" s="931">
        <f t="shared" si="86"/>
        <v>31</v>
      </c>
      <c r="I192" s="941">
        <f t="shared" si="80"/>
        <v>1615455.76</v>
      </c>
    </row>
    <row r="193" spans="1:9" ht="13.5">
      <c r="A193" s="737">
        <v>16</v>
      </c>
      <c r="B193" s="724">
        <v>45017</v>
      </c>
      <c r="C193" s="724">
        <v>45046</v>
      </c>
      <c r="D193" s="796">
        <v>0.31390000000000001</v>
      </c>
      <c r="E193" s="796">
        <f>+D193*1.5</f>
        <v>0.47084999999999999</v>
      </c>
      <c r="F193" s="897">
        <f>((1+E193)^(1/365)-1)</f>
        <v>1.0576560884423269E-3</v>
      </c>
      <c r="G193" s="895">
        <f t="shared" si="84"/>
        <v>50000000</v>
      </c>
      <c r="H193" s="931">
        <f t="shared" ref="H193" si="88">+_xlfn.DAYS(C193,B193)+1</f>
        <v>30</v>
      </c>
      <c r="I193" s="941">
        <f t="shared" si="80"/>
        <v>1586484.13</v>
      </c>
    </row>
    <row r="194" spans="1:9" ht="13.5">
      <c r="G194" s="2847" t="s">
        <v>338</v>
      </c>
      <c r="H194" s="2847"/>
      <c r="I194" s="1077">
        <f>SUM(I178:I193)</f>
        <v>8570234.8999999985</v>
      </c>
    </row>
    <row r="196" spans="1:9" ht="13.5">
      <c r="B196" s="737" t="s">
        <v>1850</v>
      </c>
      <c r="C196" s="737" t="s">
        <v>1847</v>
      </c>
      <c r="D196" s="1726">
        <v>25</v>
      </c>
      <c r="E196" s="88">
        <f>+D196*$C$10</f>
        <v>25000000</v>
      </c>
    </row>
    <row r="197" spans="1:9" ht="13.5">
      <c r="B197" s="728" t="s">
        <v>143</v>
      </c>
      <c r="C197" s="850">
        <f>+E196</f>
        <v>25000000</v>
      </c>
      <c r="D197" s="2644" t="s">
        <v>172</v>
      </c>
      <c r="E197" s="2645"/>
      <c r="F197" s="2645"/>
      <c r="G197" s="2645"/>
      <c r="H197" s="2645"/>
      <c r="I197" s="2646"/>
    </row>
    <row r="198" spans="1:9" ht="25.5">
      <c r="B198" s="793" t="s">
        <v>337</v>
      </c>
      <c r="C198" s="793" t="s">
        <v>40</v>
      </c>
      <c r="D198" s="2739" t="s">
        <v>822</v>
      </c>
      <c r="E198" s="2740"/>
      <c r="F198" s="794" t="s">
        <v>43</v>
      </c>
      <c r="G198" s="794" t="s">
        <v>129</v>
      </c>
      <c r="H198" s="794" t="s">
        <v>706</v>
      </c>
      <c r="I198" s="893" t="s">
        <v>48</v>
      </c>
    </row>
    <row r="199" spans="1:9" ht="13.5">
      <c r="A199" s="737">
        <v>1</v>
      </c>
      <c r="B199" s="724">
        <v>44615</v>
      </c>
      <c r="C199" s="724">
        <v>44620</v>
      </c>
      <c r="D199" s="796">
        <v>0</v>
      </c>
      <c r="E199" s="796">
        <v>4.3099999999999999E-2</v>
      </c>
      <c r="F199" s="897">
        <f t="shared" ref="F199:F206" si="89">((1+E199)^(1/365)-1)</f>
        <v>1.1561503550527874E-4</v>
      </c>
      <c r="G199" s="895">
        <f>$C$197</f>
        <v>25000000</v>
      </c>
      <c r="H199" s="931">
        <f t="shared" ref="H199:H206" si="90">+_xlfn.DAYS(C199,B199)+1</f>
        <v>6</v>
      </c>
      <c r="I199" s="941">
        <f t="shared" ref="I199:I214" si="91">ROUND(F199*G199*H199,2)</f>
        <v>17342.259999999998</v>
      </c>
    </row>
    <row r="200" spans="1:9" ht="13.5">
      <c r="A200" s="737">
        <v>2</v>
      </c>
      <c r="B200" s="724">
        <v>44621</v>
      </c>
      <c r="C200" s="724">
        <v>44651</v>
      </c>
      <c r="D200" s="796">
        <v>0</v>
      </c>
      <c r="E200" s="796">
        <v>4.9700000000000001E-2</v>
      </c>
      <c r="F200" s="897">
        <f t="shared" si="89"/>
        <v>1.3289762205070943E-4</v>
      </c>
      <c r="G200" s="895">
        <f t="shared" ref="G200:G208" si="92">$C$197</f>
        <v>25000000</v>
      </c>
      <c r="H200" s="931">
        <f t="shared" si="90"/>
        <v>31</v>
      </c>
      <c r="I200" s="941">
        <f t="shared" si="91"/>
        <v>102995.66</v>
      </c>
    </row>
    <row r="201" spans="1:9" ht="13.5">
      <c r="A201" s="737">
        <v>3</v>
      </c>
      <c r="B201" s="724">
        <v>44652</v>
      </c>
      <c r="C201" s="724">
        <v>44681</v>
      </c>
      <c r="D201" s="796">
        <v>0</v>
      </c>
      <c r="E201" s="796">
        <v>5.9700000000000003E-2</v>
      </c>
      <c r="F201" s="897">
        <f t="shared" si="89"/>
        <v>1.5887796003677401E-4</v>
      </c>
      <c r="G201" s="895">
        <f t="shared" si="92"/>
        <v>25000000</v>
      </c>
      <c r="H201" s="931">
        <f t="shared" si="90"/>
        <v>30</v>
      </c>
      <c r="I201" s="941">
        <f t="shared" si="91"/>
        <v>119158.47</v>
      </c>
    </row>
    <row r="202" spans="1:9" ht="13.5">
      <c r="A202" s="737">
        <v>4</v>
      </c>
      <c r="B202" s="724">
        <v>44682</v>
      </c>
      <c r="C202" s="724">
        <v>44712</v>
      </c>
      <c r="D202" s="796">
        <v>0</v>
      </c>
      <c r="E202" s="796">
        <v>7.0400000000000004E-2</v>
      </c>
      <c r="F202" s="897">
        <f t="shared" si="89"/>
        <v>1.8640753718313086E-4</v>
      </c>
      <c r="G202" s="895">
        <f t="shared" si="92"/>
        <v>25000000</v>
      </c>
      <c r="H202" s="931">
        <f t="shared" si="90"/>
        <v>31</v>
      </c>
      <c r="I202" s="941">
        <f t="shared" si="91"/>
        <v>144465.84</v>
      </c>
    </row>
    <row r="203" spans="1:9" ht="13.5">
      <c r="A203" s="737">
        <v>5</v>
      </c>
      <c r="B203" s="724">
        <v>44713</v>
      </c>
      <c r="C203" s="724">
        <v>44742</v>
      </c>
      <c r="D203" s="796">
        <v>0</v>
      </c>
      <c r="E203" s="796">
        <v>7.7200000000000005E-2</v>
      </c>
      <c r="F203" s="897">
        <f t="shared" si="89"/>
        <v>2.0376070695582449E-4</v>
      </c>
      <c r="G203" s="895">
        <f t="shared" si="92"/>
        <v>25000000</v>
      </c>
      <c r="H203" s="931">
        <f t="shared" si="90"/>
        <v>30</v>
      </c>
      <c r="I203" s="941">
        <f t="shared" si="91"/>
        <v>152820.53</v>
      </c>
    </row>
    <row r="204" spans="1:9" ht="13.5">
      <c r="A204" s="737">
        <v>6</v>
      </c>
      <c r="B204" s="724">
        <v>44743</v>
      </c>
      <c r="C204" s="724">
        <v>44773</v>
      </c>
      <c r="D204" s="796">
        <v>0</v>
      </c>
      <c r="E204" s="796">
        <v>9.2999999999999999E-2</v>
      </c>
      <c r="F204" s="897">
        <f t="shared" si="89"/>
        <v>2.4366313088708402E-4</v>
      </c>
      <c r="G204" s="895">
        <f t="shared" si="92"/>
        <v>25000000</v>
      </c>
      <c r="H204" s="931">
        <f t="shared" si="90"/>
        <v>31</v>
      </c>
      <c r="I204" s="941">
        <f t="shared" si="91"/>
        <v>188838.93</v>
      </c>
    </row>
    <row r="205" spans="1:9" ht="13.5">
      <c r="A205" s="737">
        <v>7</v>
      </c>
      <c r="B205" s="724">
        <v>44774</v>
      </c>
      <c r="C205" s="724">
        <v>44804</v>
      </c>
      <c r="D205" s="796">
        <v>0</v>
      </c>
      <c r="E205" s="796">
        <v>0.1057</v>
      </c>
      <c r="F205" s="897">
        <f t="shared" si="89"/>
        <v>2.7532178056910439E-4</v>
      </c>
      <c r="G205" s="895">
        <f t="shared" si="92"/>
        <v>25000000</v>
      </c>
      <c r="H205" s="931">
        <f t="shared" si="90"/>
        <v>31</v>
      </c>
      <c r="I205" s="941">
        <f t="shared" si="91"/>
        <v>213374.38</v>
      </c>
    </row>
    <row r="206" spans="1:9" ht="13.5">
      <c r="A206" s="737">
        <v>8</v>
      </c>
      <c r="B206" s="724">
        <v>44805</v>
      </c>
      <c r="C206" s="724">
        <v>44834</v>
      </c>
      <c r="D206" s="796">
        <v>0</v>
      </c>
      <c r="E206" s="796">
        <v>0.1099</v>
      </c>
      <c r="F206" s="897">
        <f t="shared" si="89"/>
        <v>2.857118247707735E-4</v>
      </c>
      <c r="G206" s="895">
        <f t="shared" si="92"/>
        <v>25000000</v>
      </c>
      <c r="H206" s="931">
        <f t="shared" si="90"/>
        <v>30</v>
      </c>
      <c r="I206" s="941">
        <f t="shared" si="91"/>
        <v>214283.87</v>
      </c>
    </row>
    <row r="207" spans="1:9" ht="13.5">
      <c r="A207" s="737">
        <v>9</v>
      </c>
      <c r="B207" s="724">
        <v>44835</v>
      </c>
      <c r="C207" s="724">
        <v>44865</v>
      </c>
      <c r="D207" s="796">
        <v>0</v>
      </c>
      <c r="E207" s="796">
        <v>0.11600000000000001</v>
      </c>
      <c r="F207" s="897">
        <f t="shared" ref="F207:F208" si="93">((1+E207)^(1/365)-1)</f>
        <v>3.0073250947526553E-4</v>
      </c>
      <c r="G207" s="895">
        <f t="shared" si="92"/>
        <v>25000000</v>
      </c>
      <c r="H207" s="931">
        <f t="shared" ref="H207:H211" si="94">+_xlfn.DAYS(C207,B207)+1</f>
        <v>31</v>
      </c>
      <c r="I207" s="941">
        <f t="shared" si="91"/>
        <v>233067.69</v>
      </c>
    </row>
    <row r="208" spans="1:9" ht="13.5">
      <c r="A208" s="737">
        <v>10</v>
      </c>
      <c r="B208" s="724">
        <v>44866</v>
      </c>
      <c r="C208" s="724">
        <v>44895</v>
      </c>
      <c r="D208" s="796">
        <v>0</v>
      </c>
      <c r="E208" s="796">
        <v>0.1263</v>
      </c>
      <c r="F208" s="897">
        <f t="shared" si="93"/>
        <v>3.2591042348917298E-4</v>
      </c>
      <c r="G208" s="895">
        <f t="shared" si="92"/>
        <v>25000000</v>
      </c>
      <c r="H208" s="931">
        <f t="shared" si="94"/>
        <v>30</v>
      </c>
      <c r="I208" s="941">
        <f t="shared" si="91"/>
        <v>244432.82</v>
      </c>
    </row>
    <row r="209" spans="1:9" ht="13.5">
      <c r="A209" s="737">
        <v>11</v>
      </c>
      <c r="B209" s="724">
        <v>44896</v>
      </c>
      <c r="C209" s="724">
        <v>44918</v>
      </c>
      <c r="D209" s="796">
        <v>0</v>
      </c>
      <c r="E209" s="796">
        <v>0.13420000000000001</v>
      </c>
      <c r="F209" s="897">
        <f>((1+E209)^(1/365)-1)</f>
        <v>3.4506652613908173E-4</v>
      </c>
      <c r="G209" s="895">
        <f t="shared" ref="G209:G214" si="95">$C$29</f>
        <v>50000000</v>
      </c>
      <c r="H209" s="931">
        <f t="shared" si="94"/>
        <v>23</v>
      </c>
      <c r="I209" s="941">
        <f t="shared" si="91"/>
        <v>396826.51</v>
      </c>
    </row>
    <row r="210" spans="1:9" ht="13.5">
      <c r="A210" s="737">
        <v>12</v>
      </c>
      <c r="B210" s="724">
        <v>44919</v>
      </c>
      <c r="C210" s="724">
        <v>44926</v>
      </c>
      <c r="D210" s="796">
        <v>0.27639999999999998</v>
      </c>
      <c r="E210" s="796">
        <f>+D210*1.5</f>
        <v>0.41459999999999997</v>
      </c>
      <c r="F210" s="897">
        <f>((1+E210)^(1/365)-1)</f>
        <v>9.5071686592063109E-4</v>
      </c>
      <c r="G210" s="895">
        <f t="shared" si="95"/>
        <v>50000000</v>
      </c>
      <c r="H210" s="931">
        <f t="shared" si="94"/>
        <v>8</v>
      </c>
      <c r="I210" s="941">
        <f t="shared" si="91"/>
        <v>380286.75</v>
      </c>
    </row>
    <row r="211" spans="1:9" ht="13.5">
      <c r="A211" s="737">
        <v>13</v>
      </c>
      <c r="B211" s="724">
        <v>44927</v>
      </c>
      <c r="C211" s="724">
        <v>44957</v>
      </c>
      <c r="D211" s="796">
        <v>0.28839999999999999</v>
      </c>
      <c r="E211" s="796">
        <f>+D211*1.5</f>
        <v>0.43259999999999998</v>
      </c>
      <c r="F211" s="897">
        <f t="shared" ref="F211" si="96">((1+E211)^(1/365)-1)</f>
        <v>9.8539196132163553E-4</v>
      </c>
      <c r="G211" s="895">
        <f t="shared" si="95"/>
        <v>50000000</v>
      </c>
      <c r="H211" s="931">
        <f t="shared" si="94"/>
        <v>31</v>
      </c>
      <c r="I211" s="941">
        <f t="shared" si="91"/>
        <v>1527357.54</v>
      </c>
    </row>
    <row r="212" spans="1:9" ht="13.5">
      <c r="A212" s="737">
        <v>14</v>
      </c>
      <c r="B212" s="724">
        <v>44958</v>
      </c>
      <c r="C212" s="724">
        <v>44985</v>
      </c>
      <c r="D212" s="796">
        <v>0.30180000000000001</v>
      </c>
      <c r="E212" s="796">
        <f>+D212*1.5</f>
        <v>0.45269999999999999</v>
      </c>
      <c r="F212" s="897">
        <f>((1+E212)^(1/365)-1)</f>
        <v>1.0236026853662761E-3</v>
      </c>
      <c r="G212" s="895">
        <f t="shared" si="95"/>
        <v>50000000</v>
      </c>
      <c r="H212" s="931">
        <f t="shared" ref="H212:H213" si="97">+_xlfn.DAYS(C212,B212)+1</f>
        <v>28</v>
      </c>
      <c r="I212" s="941">
        <f t="shared" si="91"/>
        <v>1433043.76</v>
      </c>
    </row>
    <row r="213" spans="1:9" ht="13.5">
      <c r="A213" s="737">
        <v>15</v>
      </c>
      <c r="B213" s="724">
        <v>44986</v>
      </c>
      <c r="C213" s="724">
        <v>45016</v>
      </c>
      <c r="D213" s="796">
        <v>0.30840000000000001</v>
      </c>
      <c r="E213" s="796">
        <f>+D213*1.5</f>
        <v>0.46260000000000001</v>
      </c>
      <c r="F213" s="897">
        <f t="shared" ref="F213" si="98">((1+E213)^(1/365)-1)</f>
        <v>1.0422295217955568E-3</v>
      </c>
      <c r="G213" s="895">
        <f t="shared" si="95"/>
        <v>50000000</v>
      </c>
      <c r="H213" s="931">
        <f t="shared" si="97"/>
        <v>31</v>
      </c>
      <c r="I213" s="941">
        <f t="shared" si="91"/>
        <v>1615455.76</v>
      </c>
    </row>
    <row r="214" spans="1:9" ht="13.5">
      <c r="A214" s="737">
        <v>16</v>
      </c>
      <c r="B214" s="724">
        <v>45017</v>
      </c>
      <c r="C214" s="724">
        <v>45046</v>
      </c>
      <c r="D214" s="796">
        <v>0.31390000000000001</v>
      </c>
      <c r="E214" s="796">
        <f>+D214*1.5</f>
        <v>0.47084999999999999</v>
      </c>
      <c r="F214" s="897">
        <f>((1+E214)^(1/365)-1)</f>
        <v>1.0576560884423269E-3</v>
      </c>
      <c r="G214" s="895">
        <f t="shared" si="95"/>
        <v>50000000</v>
      </c>
      <c r="H214" s="931">
        <f t="shared" ref="H214" si="99">+_xlfn.DAYS(C214,B214)+1</f>
        <v>30</v>
      </c>
      <c r="I214" s="941">
        <f t="shared" si="91"/>
        <v>1586484.13</v>
      </c>
    </row>
    <row r="215" spans="1:9" ht="13.5">
      <c r="G215" s="2847" t="s">
        <v>338</v>
      </c>
      <c r="H215" s="2847"/>
      <c r="I215" s="1077">
        <f>SUM(I199:I214)</f>
        <v>8570234.8999999985</v>
      </c>
    </row>
    <row r="217" spans="1:9" ht="13.5">
      <c r="B217" s="737" t="s">
        <v>1851</v>
      </c>
      <c r="C217" s="737" t="s">
        <v>1847</v>
      </c>
      <c r="D217" s="1726">
        <v>25</v>
      </c>
      <c r="E217" s="88">
        <f>+D217*$C$10</f>
        <v>25000000</v>
      </c>
    </row>
    <row r="218" spans="1:9" ht="13.5">
      <c r="B218" s="728" t="s">
        <v>143</v>
      </c>
      <c r="C218" s="850">
        <f>+E217</f>
        <v>25000000</v>
      </c>
      <c r="D218" s="2644" t="s">
        <v>172</v>
      </c>
      <c r="E218" s="2645"/>
      <c r="F218" s="2645"/>
      <c r="G218" s="2645"/>
      <c r="H218" s="2645"/>
      <c r="I218" s="2646"/>
    </row>
    <row r="219" spans="1:9" ht="25.5">
      <c r="B219" s="793" t="s">
        <v>337</v>
      </c>
      <c r="C219" s="793" t="s">
        <v>40</v>
      </c>
      <c r="D219" s="2739" t="s">
        <v>822</v>
      </c>
      <c r="E219" s="2740"/>
      <c r="F219" s="794" t="s">
        <v>43</v>
      </c>
      <c r="G219" s="794" t="s">
        <v>129</v>
      </c>
      <c r="H219" s="794" t="s">
        <v>706</v>
      </c>
      <c r="I219" s="893" t="s">
        <v>48</v>
      </c>
    </row>
    <row r="220" spans="1:9" ht="13.5">
      <c r="A220" s="737">
        <v>1</v>
      </c>
      <c r="B220" s="724">
        <v>44615</v>
      </c>
      <c r="C220" s="724">
        <v>44620</v>
      </c>
      <c r="D220" s="796">
        <v>0</v>
      </c>
      <c r="E220" s="796">
        <v>4.3099999999999999E-2</v>
      </c>
      <c r="F220" s="897">
        <f t="shared" ref="F220:F227" si="100">((1+E220)^(1/365)-1)</f>
        <v>1.1561503550527874E-4</v>
      </c>
      <c r="G220" s="895">
        <f>$C$218</f>
        <v>25000000</v>
      </c>
      <c r="H220" s="931">
        <f t="shared" ref="H220:H227" si="101">+_xlfn.DAYS(C220,B220)+1</f>
        <v>6</v>
      </c>
      <c r="I220" s="941">
        <f t="shared" ref="I220:I235" si="102">ROUND(F220*G220*H220,2)</f>
        <v>17342.259999999998</v>
      </c>
    </row>
    <row r="221" spans="1:9" ht="13.5">
      <c r="A221" s="737">
        <v>2</v>
      </c>
      <c r="B221" s="724">
        <v>44621</v>
      </c>
      <c r="C221" s="724">
        <v>44651</v>
      </c>
      <c r="D221" s="796">
        <v>0</v>
      </c>
      <c r="E221" s="796">
        <v>4.9700000000000001E-2</v>
      </c>
      <c r="F221" s="897">
        <f t="shared" si="100"/>
        <v>1.3289762205070943E-4</v>
      </c>
      <c r="G221" s="895">
        <f t="shared" ref="G221:G229" si="103">$C$218</f>
        <v>25000000</v>
      </c>
      <c r="H221" s="931">
        <f t="shared" si="101"/>
        <v>31</v>
      </c>
      <c r="I221" s="941">
        <f t="shared" si="102"/>
        <v>102995.66</v>
      </c>
    </row>
    <row r="222" spans="1:9" ht="13.5">
      <c r="A222" s="737">
        <v>3</v>
      </c>
      <c r="B222" s="724">
        <v>44652</v>
      </c>
      <c r="C222" s="724">
        <v>44681</v>
      </c>
      <c r="D222" s="796">
        <v>0</v>
      </c>
      <c r="E222" s="796">
        <v>5.9700000000000003E-2</v>
      </c>
      <c r="F222" s="897">
        <f t="shared" si="100"/>
        <v>1.5887796003677401E-4</v>
      </c>
      <c r="G222" s="895">
        <f t="shared" si="103"/>
        <v>25000000</v>
      </c>
      <c r="H222" s="931">
        <f t="shared" si="101"/>
        <v>30</v>
      </c>
      <c r="I222" s="941">
        <f t="shared" si="102"/>
        <v>119158.47</v>
      </c>
    </row>
    <row r="223" spans="1:9" ht="13.5">
      <c r="A223" s="737">
        <v>4</v>
      </c>
      <c r="B223" s="724">
        <v>44682</v>
      </c>
      <c r="C223" s="724">
        <v>44712</v>
      </c>
      <c r="D223" s="796">
        <v>0</v>
      </c>
      <c r="E223" s="796">
        <v>7.0400000000000004E-2</v>
      </c>
      <c r="F223" s="897">
        <f t="shared" si="100"/>
        <v>1.8640753718313086E-4</v>
      </c>
      <c r="G223" s="895">
        <f t="shared" si="103"/>
        <v>25000000</v>
      </c>
      <c r="H223" s="931">
        <f t="shared" si="101"/>
        <v>31</v>
      </c>
      <c r="I223" s="941">
        <f t="shared" si="102"/>
        <v>144465.84</v>
      </c>
    </row>
    <row r="224" spans="1:9" ht="13.5">
      <c r="A224" s="737">
        <v>5</v>
      </c>
      <c r="B224" s="724">
        <v>44713</v>
      </c>
      <c r="C224" s="724">
        <v>44742</v>
      </c>
      <c r="D224" s="796">
        <v>0</v>
      </c>
      <c r="E224" s="796">
        <v>7.7200000000000005E-2</v>
      </c>
      <c r="F224" s="897">
        <f t="shared" si="100"/>
        <v>2.0376070695582449E-4</v>
      </c>
      <c r="G224" s="895">
        <f t="shared" si="103"/>
        <v>25000000</v>
      </c>
      <c r="H224" s="931">
        <f t="shared" si="101"/>
        <v>30</v>
      </c>
      <c r="I224" s="941">
        <f t="shared" si="102"/>
        <v>152820.53</v>
      </c>
    </row>
    <row r="225" spans="1:9" ht="13.5">
      <c r="A225" s="737">
        <v>6</v>
      </c>
      <c r="B225" s="724">
        <v>44743</v>
      </c>
      <c r="C225" s="724">
        <v>44773</v>
      </c>
      <c r="D225" s="796">
        <v>0</v>
      </c>
      <c r="E225" s="796">
        <v>9.2999999999999999E-2</v>
      </c>
      <c r="F225" s="897">
        <f t="shared" si="100"/>
        <v>2.4366313088708402E-4</v>
      </c>
      <c r="G225" s="895">
        <f t="shared" si="103"/>
        <v>25000000</v>
      </c>
      <c r="H225" s="931">
        <f t="shared" si="101"/>
        <v>31</v>
      </c>
      <c r="I225" s="941">
        <f t="shared" si="102"/>
        <v>188838.93</v>
      </c>
    </row>
    <row r="226" spans="1:9" ht="13.5">
      <c r="A226" s="737">
        <v>7</v>
      </c>
      <c r="B226" s="724">
        <v>44774</v>
      </c>
      <c r="C226" s="724">
        <v>44804</v>
      </c>
      <c r="D226" s="796">
        <v>0</v>
      </c>
      <c r="E226" s="796">
        <v>0.1057</v>
      </c>
      <c r="F226" s="897">
        <f t="shared" si="100"/>
        <v>2.7532178056910439E-4</v>
      </c>
      <c r="G226" s="895">
        <f t="shared" si="103"/>
        <v>25000000</v>
      </c>
      <c r="H226" s="931">
        <f t="shared" si="101"/>
        <v>31</v>
      </c>
      <c r="I226" s="941">
        <f t="shared" si="102"/>
        <v>213374.38</v>
      </c>
    </row>
    <row r="227" spans="1:9" ht="13.5">
      <c r="A227" s="737">
        <v>8</v>
      </c>
      <c r="B227" s="724">
        <v>44805</v>
      </c>
      <c r="C227" s="724">
        <v>44834</v>
      </c>
      <c r="D227" s="796">
        <v>0</v>
      </c>
      <c r="E227" s="796">
        <v>0.1099</v>
      </c>
      <c r="F227" s="897">
        <f t="shared" si="100"/>
        <v>2.857118247707735E-4</v>
      </c>
      <c r="G227" s="895">
        <f t="shared" si="103"/>
        <v>25000000</v>
      </c>
      <c r="H227" s="931">
        <f t="shared" si="101"/>
        <v>30</v>
      </c>
      <c r="I227" s="941">
        <f t="shared" si="102"/>
        <v>214283.87</v>
      </c>
    </row>
    <row r="228" spans="1:9" ht="13.5">
      <c r="A228" s="737">
        <v>9</v>
      </c>
      <c r="B228" s="724">
        <v>44835</v>
      </c>
      <c r="C228" s="724">
        <v>44865</v>
      </c>
      <c r="D228" s="796">
        <v>0</v>
      </c>
      <c r="E228" s="796">
        <v>0.11600000000000001</v>
      </c>
      <c r="F228" s="897">
        <f t="shared" ref="F228:F229" si="104">((1+E228)^(1/365)-1)</f>
        <v>3.0073250947526553E-4</v>
      </c>
      <c r="G228" s="895">
        <f t="shared" si="103"/>
        <v>25000000</v>
      </c>
      <c r="H228" s="931">
        <f t="shared" ref="H228:H232" si="105">+_xlfn.DAYS(C228,B228)+1</f>
        <v>31</v>
      </c>
      <c r="I228" s="941">
        <f t="shared" si="102"/>
        <v>233067.69</v>
      </c>
    </row>
    <row r="229" spans="1:9" ht="13.5">
      <c r="A229" s="737">
        <v>10</v>
      </c>
      <c r="B229" s="724">
        <v>44866</v>
      </c>
      <c r="C229" s="724">
        <v>44895</v>
      </c>
      <c r="D229" s="796">
        <v>0</v>
      </c>
      <c r="E229" s="796">
        <v>0.1263</v>
      </c>
      <c r="F229" s="897">
        <f t="shared" si="104"/>
        <v>3.2591042348917298E-4</v>
      </c>
      <c r="G229" s="895">
        <f t="shared" si="103"/>
        <v>25000000</v>
      </c>
      <c r="H229" s="931">
        <f t="shared" si="105"/>
        <v>30</v>
      </c>
      <c r="I229" s="941">
        <f t="shared" si="102"/>
        <v>244432.82</v>
      </c>
    </row>
    <row r="230" spans="1:9" ht="13.5">
      <c r="A230" s="737">
        <v>11</v>
      </c>
      <c r="B230" s="724">
        <v>44896</v>
      </c>
      <c r="C230" s="724">
        <v>44918</v>
      </c>
      <c r="D230" s="796">
        <v>0</v>
      </c>
      <c r="E230" s="796">
        <v>0.13420000000000001</v>
      </c>
      <c r="F230" s="897">
        <f>((1+E230)^(1/365)-1)</f>
        <v>3.4506652613908173E-4</v>
      </c>
      <c r="G230" s="895">
        <f t="shared" ref="G230:G235" si="106">$C$29</f>
        <v>50000000</v>
      </c>
      <c r="H230" s="931">
        <f t="shared" si="105"/>
        <v>23</v>
      </c>
      <c r="I230" s="941">
        <f t="shared" si="102"/>
        <v>396826.51</v>
      </c>
    </row>
    <row r="231" spans="1:9" ht="13.5">
      <c r="A231" s="737">
        <v>12</v>
      </c>
      <c r="B231" s="724">
        <v>44919</v>
      </c>
      <c r="C231" s="724">
        <v>44926</v>
      </c>
      <c r="D231" s="796">
        <v>0.27639999999999998</v>
      </c>
      <c r="E231" s="796">
        <f>+D231*1.5</f>
        <v>0.41459999999999997</v>
      </c>
      <c r="F231" s="897">
        <f>((1+E231)^(1/365)-1)</f>
        <v>9.5071686592063109E-4</v>
      </c>
      <c r="G231" s="895">
        <f t="shared" si="106"/>
        <v>50000000</v>
      </c>
      <c r="H231" s="931">
        <f t="shared" si="105"/>
        <v>8</v>
      </c>
      <c r="I231" s="941">
        <f t="shared" si="102"/>
        <v>380286.75</v>
      </c>
    </row>
    <row r="232" spans="1:9" ht="13.5">
      <c r="A232" s="737">
        <v>13</v>
      </c>
      <c r="B232" s="724">
        <v>44927</v>
      </c>
      <c r="C232" s="724">
        <v>44957</v>
      </c>
      <c r="D232" s="796">
        <v>0.28839999999999999</v>
      </c>
      <c r="E232" s="796">
        <f>+D232*1.5</f>
        <v>0.43259999999999998</v>
      </c>
      <c r="F232" s="897">
        <f t="shared" ref="F232" si="107">((1+E232)^(1/365)-1)</f>
        <v>9.8539196132163553E-4</v>
      </c>
      <c r="G232" s="895">
        <f t="shared" si="106"/>
        <v>50000000</v>
      </c>
      <c r="H232" s="931">
        <f t="shared" si="105"/>
        <v>31</v>
      </c>
      <c r="I232" s="941">
        <f t="shared" si="102"/>
        <v>1527357.54</v>
      </c>
    </row>
    <row r="233" spans="1:9" ht="13.5">
      <c r="A233" s="737">
        <v>14</v>
      </c>
      <c r="B233" s="724">
        <v>44958</v>
      </c>
      <c r="C233" s="724">
        <v>44985</v>
      </c>
      <c r="D233" s="796">
        <v>0.30180000000000001</v>
      </c>
      <c r="E233" s="796">
        <v>0.13420000000000001</v>
      </c>
      <c r="F233" s="897">
        <f>((1+E233)^(1/365)-1)</f>
        <v>3.4506652613908173E-4</v>
      </c>
      <c r="G233" s="895">
        <f t="shared" si="106"/>
        <v>50000000</v>
      </c>
      <c r="H233" s="931">
        <f t="shared" ref="H233:H234" si="108">+_xlfn.DAYS(C233,B233)+1</f>
        <v>28</v>
      </c>
      <c r="I233" s="941">
        <f t="shared" si="102"/>
        <v>483093.14</v>
      </c>
    </row>
    <row r="234" spans="1:9" ht="13.5">
      <c r="A234" s="737">
        <v>15</v>
      </c>
      <c r="B234" s="724">
        <v>44986</v>
      </c>
      <c r="C234" s="724">
        <v>45016</v>
      </c>
      <c r="D234" s="796">
        <v>0.30840000000000001</v>
      </c>
      <c r="E234" s="796">
        <f>+D234*1.5</f>
        <v>0.46260000000000001</v>
      </c>
      <c r="F234" s="897">
        <f t="shared" ref="F234" si="109">((1+E234)^(1/365)-1)</f>
        <v>1.0422295217955568E-3</v>
      </c>
      <c r="G234" s="895">
        <f t="shared" si="106"/>
        <v>50000000</v>
      </c>
      <c r="H234" s="931">
        <f t="shared" si="108"/>
        <v>31</v>
      </c>
      <c r="I234" s="941">
        <f t="shared" si="102"/>
        <v>1615455.76</v>
      </c>
    </row>
    <row r="235" spans="1:9" ht="13.5">
      <c r="A235" s="737">
        <v>16</v>
      </c>
      <c r="B235" s="724">
        <v>45017</v>
      </c>
      <c r="C235" s="724">
        <v>45046</v>
      </c>
      <c r="D235" s="796">
        <v>0.31390000000000001</v>
      </c>
      <c r="E235" s="796">
        <v>0.13420000000000001</v>
      </c>
      <c r="F235" s="897">
        <f>((1+E235)^(1/365)-1)</f>
        <v>3.4506652613908173E-4</v>
      </c>
      <c r="G235" s="895">
        <f t="shared" si="106"/>
        <v>50000000</v>
      </c>
      <c r="H235" s="931">
        <f t="shared" ref="H235" si="110">+_xlfn.DAYS(C235,B235)+1</f>
        <v>30</v>
      </c>
      <c r="I235" s="941">
        <f t="shared" si="102"/>
        <v>517599.79</v>
      </c>
    </row>
    <row r="236" spans="1:9" ht="13.5">
      <c r="G236" s="2847" t="s">
        <v>338</v>
      </c>
      <c r="H236" s="2847"/>
      <c r="I236" s="1077">
        <f>SUM(I220:I235)</f>
        <v>6551399.9399999995</v>
      </c>
    </row>
    <row r="238" spans="1:9" ht="13.5">
      <c r="B238" s="737" t="s">
        <v>1852</v>
      </c>
      <c r="C238" s="737" t="s">
        <v>1847</v>
      </c>
      <c r="D238" s="1726">
        <v>25</v>
      </c>
      <c r="E238" s="88">
        <f>+D238*$C$10</f>
        <v>25000000</v>
      </c>
    </row>
    <row r="239" spans="1:9" ht="13.5">
      <c r="B239" s="728" t="s">
        <v>143</v>
      </c>
      <c r="C239" s="850">
        <f>+E238</f>
        <v>25000000</v>
      </c>
      <c r="D239" s="2644" t="s">
        <v>172</v>
      </c>
      <c r="E239" s="2645"/>
      <c r="F239" s="2645"/>
      <c r="G239" s="2645"/>
      <c r="H239" s="2645"/>
      <c r="I239" s="2646"/>
    </row>
    <row r="240" spans="1:9" ht="25.5">
      <c r="B240" s="793" t="s">
        <v>337</v>
      </c>
      <c r="C240" s="793" t="s">
        <v>40</v>
      </c>
      <c r="D240" s="2739" t="s">
        <v>822</v>
      </c>
      <c r="E240" s="2740"/>
      <c r="F240" s="794" t="s">
        <v>43</v>
      </c>
      <c r="G240" s="794" t="s">
        <v>129</v>
      </c>
      <c r="H240" s="794" t="s">
        <v>706</v>
      </c>
      <c r="I240" s="893" t="s">
        <v>48</v>
      </c>
    </row>
    <row r="241" spans="1:9" ht="13.5">
      <c r="A241" s="737">
        <v>1</v>
      </c>
      <c r="B241" s="724">
        <v>44615</v>
      </c>
      <c r="C241" s="724">
        <v>44620</v>
      </c>
      <c r="D241" s="796">
        <v>0</v>
      </c>
      <c r="E241" s="796">
        <v>4.3099999999999999E-2</v>
      </c>
      <c r="F241" s="897">
        <f t="shared" ref="F241:F248" si="111">((1+E241)^(1/365)-1)</f>
        <v>1.1561503550527874E-4</v>
      </c>
      <c r="G241" s="895">
        <f>+$C$239</f>
        <v>25000000</v>
      </c>
      <c r="H241" s="931">
        <f t="shared" ref="H241:H248" si="112">+_xlfn.DAYS(C241,B241)+1</f>
        <v>6</v>
      </c>
      <c r="I241" s="941">
        <f t="shared" ref="I241:I255" si="113">ROUND(F241*G241*H241,2)</f>
        <v>17342.259999999998</v>
      </c>
    </row>
    <row r="242" spans="1:9" ht="13.5">
      <c r="A242" s="737">
        <v>2</v>
      </c>
      <c r="B242" s="724">
        <v>44621</v>
      </c>
      <c r="C242" s="724">
        <v>44651</v>
      </c>
      <c r="D242" s="796">
        <v>0</v>
      </c>
      <c r="E242" s="796">
        <v>4.9700000000000001E-2</v>
      </c>
      <c r="F242" s="897">
        <f t="shared" si="111"/>
        <v>1.3289762205070943E-4</v>
      </c>
      <c r="G242" s="895">
        <f t="shared" ref="G242:G250" si="114">+$C$239</f>
        <v>25000000</v>
      </c>
      <c r="H242" s="931">
        <f t="shared" si="112"/>
        <v>31</v>
      </c>
      <c r="I242" s="941">
        <f t="shared" si="113"/>
        <v>102995.66</v>
      </c>
    </row>
    <row r="243" spans="1:9" ht="13.5">
      <c r="A243" s="737">
        <v>3</v>
      </c>
      <c r="B243" s="724">
        <v>44652</v>
      </c>
      <c r="C243" s="724">
        <v>44681</v>
      </c>
      <c r="D243" s="796">
        <v>0</v>
      </c>
      <c r="E243" s="796">
        <v>5.9700000000000003E-2</v>
      </c>
      <c r="F243" s="897">
        <f t="shared" si="111"/>
        <v>1.5887796003677401E-4</v>
      </c>
      <c r="G243" s="895">
        <f t="shared" si="114"/>
        <v>25000000</v>
      </c>
      <c r="H243" s="931">
        <f t="shared" si="112"/>
        <v>30</v>
      </c>
      <c r="I243" s="941">
        <f t="shared" si="113"/>
        <v>119158.47</v>
      </c>
    </row>
    <row r="244" spans="1:9" ht="13.5">
      <c r="A244" s="737">
        <v>4</v>
      </c>
      <c r="B244" s="724">
        <v>44682</v>
      </c>
      <c r="C244" s="724">
        <v>44712</v>
      </c>
      <c r="D244" s="796">
        <v>0</v>
      </c>
      <c r="E244" s="796">
        <v>7.0400000000000004E-2</v>
      </c>
      <c r="F244" s="897">
        <f t="shared" si="111"/>
        <v>1.8640753718313086E-4</v>
      </c>
      <c r="G244" s="895">
        <f t="shared" si="114"/>
        <v>25000000</v>
      </c>
      <c r="H244" s="931">
        <f t="shared" si="112"/>
        <v>31</v>
      </c>
      <c r="I244" s="941">
        <f t="shared" si="113"/>
        <v>144465.84</v>
      </c>
    </row>
    <row r="245" spans="1:9" ht="13.5">
      <c r="A245" s="737">
        <v>5</v>
      </c>
      <c r="B245" s="724">
        <v>44713</v>
      </c>
      <c r="C245" s="724">
        <v>44742</v>
      </c>
      <c r="D245" s="796">
        <v>0</v>
      </c>
      <c r="E245" s="796">
        <v>7.7200000000000005E-2</v>
      </c>
      <c r="F245" s="897">
        <f t="shared" si="111"/>
        <v>2.0376070695582449E-4</v>
      </c>
      <c r="G245" s="895">
        <f t="shared" si="114"/>
        <v>25000000</v>
      </c>
      <c r="H245" s="931">
        <f t="shared" si="112"/>
        <v>30</v>
      </c>
      <c r="I245" s="941">
        <f t="shared" si="113"/>
        <v>152820.53</v>
      </c>
    </row>
    <row r="246" spans="1:9" ht="13.5">
      <c r="A246" s="737">
        <v>6</v>
      </c>
      <c r="B246" s="724">
        <v>44743</v>
      </c>
      <c r="C246" s="724">
        <v>44773</v>
      </c>
      <c r="D246" s="796">
        <v>0</v>
      </c>
      <c r="E246" s="796">
        <v>9.2999999999999999E-2</v>
      </c>
      <c r="F246" s="897">
        <f t="shared" si="111"/>
        <v>2.4366313088708402E-4</v>
      </c>
      <c r="G246" s="895">
        <f t="shared" si="114"/>
        <v>25000000</v>
      </c>
      <c r="H246" s="931">
        <f t="shared" si="112"/>
        <v>31</v>
      </c>
      <c r="I246" s="941">
        <f t="shared" si="113"/>
        <v>188838.93</v>
      </c>
    </row>
    <row r="247" spans="1:9" ht="13.5">
      <c r="A247" s="737">
        <v>7</v>
      </c>
      <c r="B247" s="724">
        <v>44774</v>
      </c>
      <c r="C247" s="724">
        <v>44804</v>
      </c>
      <c r="D247" s="796">
        <v>0</v>
      </c>
      <c r="E247" s="796">
        <v>0.1057</v>
      </c>
      <c r="F247" s="897">
        <f t="shared" si="111"/>
        <v>2.7532178056910439E-4</v>
      </c>
      <c r="G247" s="895">
        <f t="shared" si="114"/>
        <v>25000000</v>
      </c>
      <c r="H247" s="931">
        <f t="shared" si="112"/>
        <v>31</v>
      </c>
      <c r="I247" s="941">
        <f t="shared" si="113"/>
        <v>213374.38</v>
      </c>
    </row>
    <row r="248" spans="1:9" ht="13.5">
      <c r="A248" s="737">
        <v>8</v>
      </c>
      <c r="B248" s="724">
        <v>44805</v>
      </c>
      <c r="C248" s="724">
        <v>44834</v>
      </c>
      <c r="D248" s="796">
        <v>0</v>
      </c>
      <c r="E248" s="796">
        <v>0.1099</v>
      </c>
      <c r="F248" s="897">
        <f t="shared" si="111"/>
        <v>2.857118247707735E-4</v>
      </c>
      <c r="G248" s="895">
        <f t="shared" si="114"/>
        <v>25000000</v>
      </c>
      <c r="H248" s="931">
        <f t="shared" si="112"/>
        <v>30</v>
      </c>
      <c r="I248" s="941">
        <f t="shared" si="113"/>
        <v>214283.87</v>
      </c>
    </row>
    <row r="249" spans="1:9" ht="13.5">
      <c r="A249" s="737">
        <v>9</v>
      </c>
      <c r="B249" s="724">
        <v>44835</v>
      </c>
      <c r="C249" s="724">
        <v>44865</v>
      </c>
      <c r="D249" s="796">
        <v>0</v>
      </c>
      <c r="E249" s="796">
        <v>0.11600000000000001</v>
      </c>
      <c r="F249" s="897">
        <f t="shared" ref="F249:F250" si="115">((1+E249)^(1/365)-1)</f>
        <v>3.0073250947526553E-4</v>
      </c>
      <c r="G249" s="895">
        <f t="shared" si="114"/>
        <v>25000000</v>
      </c>
      <c r="H249" s="931">
        <f t="shared" ref="H249:H253" si="116">+_xlfn.DAYS(C249,B249)+1</f>
        <v>31</v>
      </c>
      <c r="I249" s="941">
        <f t="shared" si="113"/>
        <v>233067.69</v>
      </c>
    </row>
    <row r="250" spans="1:9" ht="13.5">
      <c r="A250" s="737">
        <v>10</v>
      </c>
      <c r="B250" s="724">
        <v>44866</v>
      </c>
      <c r="C250" s="724">
        <v>44895</v>
      </c>
      <c r="D250" s="796">
        <v>0</v>
      </c>
      <c r="E250" s="796">
        <v>0.1263</v>
      </c>
      <c r="F250" s="897">
        <f t="shared" si="115"/>
        <v>3.2591042348917298E-4</v>
      </c>
      <c r="G250" s="895">
        <f t="shared" si="114"/>
        <v>25000000</v>
      </c>
      <c r="H250" s="931">
        <f t="shared" si="116"/>
        <v>30</v>
      </c>
      <c r="I250" s="941">
        <f t="shared" si="113"/>
        <v>244432.82</v>
      </c>
    </row>
    <row r="251" spans="1:9" ht="13.5">
      <c r="A251" s="737">
        <v>11</v>
      </c>
      <c r="B251" s="724">
        <v>44896</v>
      </c>
      <c r="C251" s="724">
        <v>44918</v>
      </c>
      <c r="D251" s="796">
        <v>0</v>
      </c>
      <c r="E251" s="796">
        <v>0.13420000000000001</v>
      </c>
      <c r="F251" s="897">
        <f>((1+E251)^(1/365)-1)</f>
        <v>3.4506652613908173E-4</v>
      </c>
      <c r="G251" s="895">
        <f t="shared" ref="G251:G256" si="117">$C$29</f>
        <v>50000000</v>
      </c>
      <c r="H251" s="931">
        <f t="shared" si="116"/>
        <v>23</v>
      </c>
      <c r="I251" s="941">
        <f t="shared" si="113"/>
        <v>396826.51</v>
      </c>
    </row>
    <row r="252" spans="1:9" ht="13.5">
      <c r="A252" s="737">
        <v>12</v>
      </c>
      <c r="B252" s="724">
        <v>44919</v>
      </c>
      <c r="C252" s="724">
        <v>44926</v>
      </c>
      <c r="D252" s="796">
        <v>0.27639999999999998</v>
      </c>
      <c r="E252" s="796">
        <f>+D252*1.5</f>
        <v>0.41459999999999997</v>
      </c>
      <c r="F252" s="897">
        <f>((1+E252)^(1/365)-1)</f>
        <v>9.5071686592063109E-4</v>
      </c>
      <c r="G252" s="895">
        <f t="shared" si="117"/>
        <v>50000000</v>
      </c>
      <c r="H252" s="931">
        <f t="shared" si="116"/>
        <v>8</v>
      </c>
      <c r="I252" s="941">
        <f t="shared" si="113"/>
        <v>380286.75</v>
      </c>
    </row>
    <row r="253" spans="1:9" ht="13.5">
      <c r="A253" s="737">
        <v>13</v>
      </c>
      <c r="B253" s="724">
        <v>44927</v>
      </c>
      <c r="C253" s="724">
        <v>44957</v>
      </c>
      <c r="D253" s="796">
        <v>0.28839999999999999</v>
      </c>
      <c r="E253" s="796">
        <f>+D253*1.5</f>
        <v>0.43259999999999998</v>
      </c>
      <c r="F253" s="897">
        <f t="shared" ref="F253" si="118">((1+E253)^(1/365)-1)</f>
        <v>9.8539196132163553E-4</v>
      </c>
      <c r="G253" s="895">
        <f t="shared" si="117"/>
        <v>50000000</v>
      </c>
      <c r="H253" s="931">
        <f t="shared" si="116"/>
        <v>31</v>
      </c>
      <c r="I253" s="941">
        <f t="shared" si="113"/>
        <v>1527357.54</v>
      </c>
    </row>
    <row r="254" spans="1:9" ht="13.5">
      <c r="A254" s="737">
        <v>14</v>
      </c>
      <c r="B254" s="724">
        <v>44958</v>
      </c>
      <c r="C254" s="724">
        <v>44985</v>
      </c>
      <c r="D254" s="796">
        <v>0.30180000000000001</v>
      </c>
      <c r="E254" s="796">
        <f>+D254*1.5</f>
        <v>0.45269999999999999</v>
      </c>
      <c r="F254" s="897">
        <f t="shared" ref="F254:F255" si="119">((1+E254)^(1/365)-1)</f>
        <v>1.0236026853662761E-3</v>
      </c>
      <c r="G254" s="895">
        <f t="shared" si="117"/>
        <v>50000000</v>
      </c>
      <c r="H254" s="931">
        <f t="shared" ref="H254:H255" si="120">+_xlfn.DAYS(C254,B254)+1</f>
        <v>28</v>
      </c>
      <c r="I254" s="941">
        <f t="shared" si="113"/>
        <v>1433043.76</v>
      </c>
    </row>
    <row r="255" spans="1:9" ht="13.5">
      <c r="A255" s="737">
        <v>15</v>
      </c>
      <c r="B255" s="724">
        <v>44986</v>
      </c>
      <c r="C255" s="724">
        <v>45016</v>
      </c>
      <c r="D255" s="796">
        <v>0.30840000000000001</v>
      </c>
      <c r="E255" s="796">
        <f>+D255*1.5</f>
        <v>0.46260000000000001</v>
      </c>
      <c r="F255" s="897">
        <f t="shared" si="119"/>
        <v>1.0422295217955568E-3</v>
      </c>
      <c r="G255" s="895">
        <f t="shared" si="117"/>
        <v>50000000</v>
      </c>
      <c r="H255" s="931">
        <f t="shared" si="120"/>
        <v>31</v>
      </c>
      <c r="I255" s="941">
        <f t="shared" si="113"/>
        <v>1615455.76</v>
      </c>
    </row>
    <row r="256" spans="1:9" ht="13.5">
      <c r="A256" s="737">
        <v>16</v>
      </c>
      <c r="B256" s="724">
        <v>45017</v>
      </c>
      <c r="C256" s="724">
        <v>45046</v>
      </c>
      <c r="D256" s="796">
        <v>0.31390000000000001</v>
      </c>
      <c r="E256" s="796">
        <f>+D256*1.5</f>
        <v>0.47084999999999999</v>
      </c>
      <c r="F256" s="897">
        <f t="shared" ref="F256" si="121">((1+E256)^(1/365)-1)</f>
        <v>1.0576560884423269E-3</v>
      </c>
      <c r="G256" s="895">
        <f t="shared" si="117"/>
        <v>50000000</v>
      </c>
      <c r="H256" s="931">
        <f t="shared" ref="H256" si="122">+_xlfn.DAYS(C256,B256)+1</f>
        <v>30</v>
      </c>
      <c r="I256" s="941">
        <f t="shared" ref="I256" si="123">ROUND(F256*G256*H256,2)</f>
        <v>1586484.13</v>
      </c>
    </row>
    <row r="257" spans="1:9" ht="13.5">
      <c r="G257" s="2847" t="s">
        <v>338</v>
      </c>
      <c r="H257" s="2847"/>
      <c r="I257" s="1077">
        <f>SUM(I241:I256)</f>
        <v>8570234.8999999985</v>
      </c>
    </row>
    <row r="259" spans="1:9" ht="13.5">
      <c r="B259" s="737" t="s">
        <v>1853</v>
      </c>
      <c r="C259" s="737" t="s">
        <v>1847</v>
      </c>
      <c r="D259" s="1726">
        <v>25</v>
      </c>
      <c r="E259" s="88">
        <f>+D259*$C$10</f>
        <v>25000000</v>
      </c>
    </row>
    <row r="260" spans="1:9" ht="13.5">
      <c r="B260" s="728" t="s">
        <v>143</v>
      </c>
      <c r="C260" s="850">
        <f>+E259</f>
        <v>25000000</v>
      </c>
      <c r="D260" s="2644" t="s">
        <v>172</v>
      </c>
      <c r="E260" s="2645"/>
      <c r="F260" s="2645"/>
      <c r="G260" s="2645"/>
      <c r="H260" s="2645"/>
      <c r="I260" s="2646"/>
    </row>
    <row r="261" spans="1:9" ht="25.5">
      <c r="B261" s="793" t="s">
        <v>337</v>
      </c>
      <c r="C261" s="793" t="s">
        <v>40</v>
      </c>
      <c r="D261" s="2739" t="s">
        <v>822</v>
      </c>
      <c r="E261" s="2740"/>
      <c r="F261" s="794" t="s">
        <v>43</v>
      </c>
      <c r="G261" s="794" t="s">
        <v>129</v>
      </c>
      <c r="H261" s="794" t="s">
        <v>706</v>
      </c>
      <c r="I261" s="893" t="s">
        <v>48</v>
      </c>
    </row>
    <row r="262" spans="1:9" ht="13.5">
      <c r="A262" s="737">
        <v>1</v>
      </c>
      <c r="B262" s="724">
        <v>44615</v>
      </c>
      <c r="C262" s="724">
        <v>44620</v>
      </c>
      <c r="D262" s="796">
        <v>0</v>
      </c>
      <c r="E262" s="796">
        <v>4.3099999999999999E-2</v>
      </c>
      <c r="F262" s="897">
        <f t="shared" ref="F262:F269" si="124">((1+E262)^(1/365)-1)</f>
        <v>1.1561503550527874E-4</v>
      </c>
      <c r="G262" s="895">
        <f>+$C$260</f>
        <v>25000000</v>
      </c>
      <c r="H262" s="931">
        <f t="shared" ref="H262:H269" si="125">+_xlfn.DAYS(C262,B262)+1</f>
        <v>6</v>
      </c>
      <c r="I262" s="941">
        <f t="shared" ref="I262:I277" si="126">ROUND(F262*G262*H262,2)</f>
        <v>17342.259999999998</v>
      </c>
    </row>
    <row r="263" spans="1:9" ht="13.5">
      <c r="A263" s="737">
        <v>2</v>
      </c>
      <c r="B263" s="724">
        <v>44621</v>
      </c>
      <c r="C263" s="724">
        <v>44651</v>
      </c>
      <c r="D263" s="796">
        <v>0</v>
      </c>
      <c r="E263" s="796">
        <v>4.9700000000000001E-2</v>
      </c>
      <c r="F263" s="897">
        <f t="shared" si="124"/>
        <v>1.3289762205070943E-4</v>
      </c>
      <c r="G263" s="895">
        <f t="shared" ref="G263:G271" si="127">+$C$260</f>
        <v>25000000</v>
      </c>
      <c r="H263" s="931">
        <f t="shared" si="125"/>
        <v>31</v>
      </c>
      <c r="I263" s="941">
        <f t="shared" si="126"/>
        <v>102995.66</v>
      </c>
    </row>
    <row r="264" spans="1:9" ht="13.5">
      <c r="A264" s="737">
        <v>3</v>
      </c>
      <c r="B264" s="724">
        <v>44652</v>
      </c>
      <c r="C264" s="724">
        <v>44681</v>
      </c>
      <c r="D264" s="796">
        <v>0</v>
      </c>
      <c r="E264" s="796">
        <v>5.9700000000000003E-2</v>
      </c>
      <c r="F264" s="897">
        <f t="shared" si="124"/>
        <v>1.5887796003677401E-4</v>
      </c>
      <c r="G264" s="895">
        <f t="shared" si="127"/>
        <v>25000000</v>
      </c>
      <c r="H264" s="931">
        <f t="shared" si="125"/>
        <v>30</v>
      </c>
      <c r="I264" s="941">
        <f t="shared" si="126"/>
        <v>119158.47</v>
      </c>
    </row>
    <row r="265" spans="1:9" ht="13.5">
      <c r="A265" s="737">
        <v>4</v>
      </c>
      <c r="B265" s="724">
        <v>44682</v>
      </c>
      <c r="C265" s="724">
        <v>44712</v>
      </c>
      <c r="D265" s="796">
        <v>0</v>
      </c>
      <c r="E265" s="796">
        <v>7.0400000000000004E-2</v>
      </c>
      <c r="F265" s="897">
        <f t="shared" si="124"/>
        <v>1.8640753718313086E-4</v>
      </c>
      <c r="G265" s="895">
        <f t="shared" si="127"/>
        <v>25000000</v>
      </c>
      <c r="H265" s="931">
        <f t="shared" si="125"/>
        <v>31</v>
      </c>
      <c r="I265" s="941">
        <f t="shared" si="126"/>
        <v>144465.84</v>
      </c>
    </row>
    <row r="266" spans="1:9" ht="13.5">
      <c r="A266" s="737">
        <v>5</v>
      </c>
      <c r="B266" s="724">
        <v>44713</v>
      </c>
      <c r="C266" s="724">
        <v>44742</v>
      </c>
      <c r="D266" s="796">
        <v>0</v>
      </c>
      <c r="E266" s="796">
        <v>7.7200000000000005E-2</v>
      </c>
      <c r="F266" s="897">
        <f t="shared" si="124"/>
        <v>2.0376070695582449E-4</v>
      </c>
      <c r="G266" s="895">
        <f t="shared" si="127"/>
        <v>25000000</v>
      </c>
      <c r="H266" s="931">
        <f t="shared" si="125"/>
        <v>30</v>
      </c>
      <c r="I266" s="941">
        <f t="shared" si="126"/>
        <v>152820.53</v>
      </c>
    </row>
    <row r="267" spans="1:9" ht="13.5">
      <c r="A267" s="737">
        <v>6</v>
      </c>
      <c r="B267" s="724">
        <v>44743</v>
      </c>
      <c r="C267" s="724">
        <v>44773</v>
      </c>
      <c r="D267" s="796">
        <v>0</v>
      </c>
      <c r="E267" s="796">
        <v>9.2999999999999999E-2</v>
      </c>
      <c r="F267" s="897">
        <f t="shared" si="124"/>
        <v>2.4366313088708402E-4</v>
      </c>
      <c r="G267" s="895">
        <f t="shared" si="127"/>
        <v>25000000</v>
      </c>
      <c r="H267" s="931">
        <f t="shared" si="125"/>
        <v>31</v>
      </c>
      <c r="I267" s="941">
        <f t="shared" si="126"/>
        <v>188838.93</v>
      </c>
    </row>
    <row r="268" spans="1:9" ht="13.5">
      <c r="A268" s="737">
        <v>7</v>
      </c>
      <c r="B268" s="724">
        <v>44774</v>
      </c>
      <c r="C268" s="724">
        <v>44804</v>
      </c>
      <c r="D268" s="796">
        <v>0</v>
      </c>
      <c r="E268" s="796">
        <v>0.1057</v>
      </c>
      <c r="F268" s="897">
        <f t="shared" si="124"/>
        <v>2.7532178056910439E-4</v>
      </c>
      <c r="G268" s="895">
        <f t="shared" si="127"/>
        <v>25000000</v>
      </c>
      <c r="H268" s="931">
        <f t="shared" si="125"/>
        <v>31</v>
      </c>
      <c r="I268" s="941">
        <f t="shared" si="126"/>
        <v>213374.38</v>
      </c>
    </row>
    <row r="269" spans="1:9" ht="13.5">
      <c r="A269" s="737">
        <v>8</v>
      </c>
      <c r="B269" s="724">
        <v>44805</v>
      </c>
      <c r="C269" s="724">
        <v>44834</v>
      </c>
      <c r="D269" s="796">
        <v>0</v>
      </c>
      <c r="E269" s="796">
        <v>0.1099</v>
      </c>
      <c r="F269" s="897">
        <f t="shared" si="124"/>
        <v>2.857118247707735E-4</v>
      </c>
      <c r="G269" s="895">
        <f t="shared" si="127"/>
        <v>25000000</v>
      </c>
      <c r="H269" s="931">
        <f t="shared" si="125"/>
        <v>30</v>
      </c>
      <c r="I269" s="941">
        <f t="shared" si="126"/>
        <v>214283.87</v>
      </c>
    </row>
    <row r="270" spans="1:9" ht="13.5">
      <c r="A270" s="737">
        <v>9</v>
      </c>
      <c r="B270" s="724">
        <v>44835</v>
      </c>
      <c r="C270" s="724">
        <v>44865</v>
      </c>
      <c r="D270" s="796">
        <v>0</v>
      </c>
      <c r="E270" s="796">
        <v>0.11600000000000001</v>
      </c>
      <c r="F270" s="897">
        <f t="shared" ref="F270:F271" si="128">((1+E270)^(1/365)-1)</f>
        <v>3.0073250947526553E-4</v>
      </c>
      <c r="G270" s="895">
        <f t="shared" si="127"/>
        <v>25000000</v>
      </c>
      <c r="H270" s="931">
        <f t="shared" ref="H270:H274" si="129">+_xlfn.DAYS(C270,B270)+1</f>
        <v>31</v>
      </c>
      <c r="I270" s="941">
        <f t="shared" si="126"/>
        <v>233067.69</v>
      </c>
    </row>
    <row r="271" spans="1:9" ht="13.5">
      <c r="A271" s="737">
        <v>10</v>
      </c>
      <c r="B271" s="724">
        <v>44866</v>
      </c>
      <c r="C271" s="724">
        <v>44895</v>
      </c>
      <c r="D271" s="796">
        <v>0</v>
      </c>
      <c r="E271" s="796">
        <v>0.1263</v>
      </c>
      <c r="F271" s="897">
        <f t="shared" si="128"/>
        <v>3.2591042348917298E-4</v>
      </c>
      <c r="G271" s="895">
        <f t="shared" si="127"/>
        <v>25000000</v>
      </c>
      <c r="H271" s="931">
        <f t="shared" si="129"/>
        <v>30</v>
      </c>
      <c r="I271" s="941">
        <f t="shared" si="126"/>
        <v>244432.82</v>
      </c>
    </row>
    <row r="272" spans="1:9" ht="13.5">
      <c r="A272" s="737">
        <v>11</v>
      </c>
      <c r="B272" s="724">
        <v>44896</v>
      </c>
      <c r="C272" s="724">
        <v>44918</v>
      </c>
      <c r="D272" s="796">
        <v>0</v>
      </c>
      <c r="E272" s="796">
        <v>0.13420000000000001</v>
      </c>
      <c r="F272" s="897">
        <f>((1+E272)^(1/365)-1)</f>
        <v>3.4506652613908173E-4</v>
      </c>
      <c r="G272" s="895">
        <f t="shared" ref="G272:G277" si="130">$C$29</f>
        <v>50000000</v>
      </c>
      <c r="H272" s="931">
        <f t="shared" si="129"/>
        <v>23</v>
      </c>
      <c r="I272" s="941">
        <f t="shared" si="126"/>
        <v>396826.51</v>
      </c>
    </row>
    <row r="273" spans="1:9" ht="13.5">
      <c r="A273" s="737">
        <v>12</v>
      </c>
      <c r="B273" s="724">
        <v>44919</v>
      </c>
      <c r="C273" s="724">
        <v>44926</v>
      </c>
      <c r="D273" s="796">
        <v>0.27639999999999998</v>
      </c>
      <c r="E273" s="796">
        <f>+D273*1.5</f>
        <v>0.41459999999999997</v>
      </c>
      <c r="F273" s="897">
        <f>((1+E273)^(1/365)-1)</f>
        <v>9.5071686592063109E-4</v>
      </c>
      <c r="G273" s="895">
        <f t="shared" si="130"/>
        <v>50000000</v>
      </c>
      <c r="H273" s="931">
        <f t="shared" si="129"/>
        <v>8</v>
      </c>
      <c r="I273" s="941">
        <f t="shared" si="126"/>
        <v>380286.75</v>
      </c>
    </row>
    <row r="274" spans="1:9" ht="13.5">
      <c r="A274" s="737">
        <v>13</v>
      </c>
      <c r="B274" s="724">
        <v>44927</v>
      </c>
      <c r="C274" s="724">
        <v>44957</v>
      </c>
      <c r="D274" s="796">
        <v>0.28839999999999999</v>
      </c>
      <c r="E274" s="796">
        <f>+D274*1.5</f>
        <v>0.43259999999999998</v>
      </c>
      <c r="F274" s="897">
        <f t="shared" ref="F274" si="131">((1+E274)^(1/365)-1)</f>
        <v>9.8539196132163553E-4</v>
      </c>
      <c r="G274" s="895">
        <f t="shared" si="130"/>
        <v>50000000</v>
      </c>
      <c r="H274" s="931">
        <f t="shared" si="129"/>
        <v>31</v>
      </c>
      <c r="I274" s="941">
        <f t="shared" si="126"/>
        <v>1527357.54</v>
      </c>
    </row>
    <row r="275" spans="1:9" ht="13.5">
      <c r="A275" s="737">
        <v>14</v>
      </c>
      <c r="B275" s="724">
        <v>44958</v>
      </c>
      <c r="C275" s="724">
        <v>44985</v>
      </c>
      <c r="D275" s="796">
        <v>0.30180000000000001</v>
      </c>
      <c r="E275" s="796">
        <f>+D275*1.5</f>
        <v>0.45269999999999999</v>
      </c>
      <c r="F275" s="897">
        <f>((1+E275)^(1/365)-1)</f>
        <v>1.0236026853662761E-3</v>
      </c>
      <c r="G275" s="895">
        <f t="shared" si="130"/>
        <v>50000000</v>
      </c>
      <c r="H275" s="931">
        <f t="shared" ref="H275:H277" si="132">+_xlfn.DAYS(C275,B275)+1</f>
        <v>28</v>
      </c>
      <c r="I275" s="941">
        <f t="shared" si="126"/>
        <v>1433043.76</v>
      </c>
    </row>
    <row r="276" spans="1:9" ht="13.5">
      <c r="A276" s="737">
        <v>15</v>
      </c>
      <c r="B276" s="724">
        <v>44986</v>
      </c>
      <c r="C276" s="724">
        <v>45016</v>
      </c>
      <c r="D276" s="796">
        <v>0.30840000000000001</v>
      </c>
      <c r="E276" s="796">
        <f>+D276*1.5</f>
        <v>0.46260000000000001</v>
      </c>
      <c r="F276" s="897">
        <f>((1+E276)^(1/365)-1)</f>
        <v>1.0422295217955568E-3</v>
      </c>
      <c r="G276" s="895">
        <f t="shared" si="130"/>
        <v>50000000</v>
      </c>
      <c r="H276" s="931">
        <f t="shared" si="132"/>
        <v>31</v>
      </c>
      <c r="I276" s="941">
        <f t="shared" si="126"/>
        <v>1615455.76</v>
      </c>
    </row>
    <row r="277" spans="1:9" ht="13.5">
      <c r="A277" s="737">
        <v>16</v>
      </c>
      <c r="B277" s="724">
        <v>45017</v>
      </c>
      <c r="C277" s="724">
        <v>45046</v>
      </c>
      <c r="D277" s="796">
        <v>0.31390000000000001</v>
      </c>
      <c r="E277" s="796">
        <f>+D277*1.5</f>
        <v>0.47084999999999999</v>
      </c>
      <c r="F277" s="897">
        <f t="shared" ref="F277" si="133">((1+E277)^(1/365)-1)</f>
        <v>1.0576560884423269E-3</v>
      </c>
      <c r="G277" s="895">
        <f t="shared" si="130"/>
        <v>50000000</v>
      </c>
      <c r="H277" s="931">
        <f t="shared" si="132"/>
        <v>30</v>
      </c>
      <c r="I277" s="941">
        <f t="shared" si="126"/>
        <v>1586484.13</v>
      </c>
    </row>
    <row r="278" spans="1:9" ht="13.5">
      <c r="G278" s="2847" t="s">
        <v>338</v>
      </c>
      <c r="H278" s="2847"/>
      <c r="I278" s="1077">
        <f>SUM(I262:I277)</f>
        <v>8570234.8999999985</v>
      </c>
    </row>
    <row r="280" spans="1:9" ht="13.5">
      <c r="B280" s="737" t="s">
        <v>1854</v>
      </c>
      <c r="C280" s="737" t="s">
        <v>1847</v>
      </c>
      <c r="D280" s="1726">
        <v>25</v>
      </c>
      <c r="E280" s="88">
        <f>+D280*$C$10</f>
        <v>25000000</v>
      </c>
    </row>
    <row r="281" spans="1:9" ht="13.5">
      <c r="B281" s="728" t="s">
        <v>143</v>
      </c>
      <c r="C281" s="850">
        <f>+E280</f>
        <v>25000000</v>
      </c>
      <c r="D281" s="2644" t="s">
        <v>172</v>
      </c>
      <c r="E281" s="2645"/>
      <c r="F281" s="2645"/>
      <c r="G281" s="2645"/>
      <c r="H281" s="2645"/>
      <c r="I281" s="2646"/>
    </row>
    <row r="282" spans="1:9" ht="25.5">
      <c r="B282" s="793" t="s">
        <v>337</v>
      </c>
      <c r="C282" s="793" t="s">
        <v>40</v>
      </c>
      <c r="D282" s="2739" t="s">
        <v>822</v>
      </c>
      <c r="E282" s="2740"/>
      <c r="F282" s="794" t="s">
        <v>43</v>
      </c>
      <c r="G282" s="794" t="s">
        <v>129</v>
      </c>
      <c r="H282" s="794" t="s">
        <v>706</v>
      </c>
      <c r="I282" s="893" t="s">
        <v>48</v>
      </c>
    </row>
    <row r="283" spans="1:9" ht="13.5">
      <c r="A283" s="737">
        <v>1</v>
      </c>
      <c r="B283" s="724">
        <v>44615</v>
      </c>
      <c r="C283" s="724">
        <v>44620</v>
      </c>
      <c r="D283" s="796">
        <v>0</v>
      </c>
      <c r="E283" s="796">
        <v>4.3099999999999999E-2</v>
      </c>
      <c r="F283" s="897">
        <f t="shared" ref="F283:F290" si="134">((1+E283)^(1/365)-1)</f>
        <v>1.1561503550527874E-4</v>
      </c>
      <c r="G283" s="895">
        <f>$C$281</f>
        <v>25000000</v>
      </c>
      <c r="H283" s="931">
        <f t="shared" ref="H283:H290" si="135">+_xlfn.DAYS(C283,B283)+1</f>
        <v>6</v>
      </c>
      <c r="I283" s="941">
        <f t="shared" ref="I283:I300" si="136">ROUND(F283*G283*H283,2)</f>
        <v>17342.259999999998</v>
      </c>
    </row>
    <row r="284" spans="1:9" ht="13.5">
      <c r="A284" s="737">
        <v>2</v>
      </c>
      <c r="B284" s="724">
        <v>44621</v>
      </c>
      <c r="C284" s="724">
        <v>44651</v>
      </c>
      <c r="D284" s="796">
        <v>0</v>
      </c>
      <c r="E284" s="796">
        <v>4.9700000000000001E-2</v>
      </c>
      <c r="F284" s="897">
        <f t="shared" si="134"/>
        <v>1.3289762205070943E-4</v>
      </c>
      <c r="G284" s="895">
        <f t="shared" ref="G284:G292" si="137">$C$281</f>
        <v>25000000</v>
      </c>
      <c r="H284" s="931">
        <f t="shared" si="135"/>
        <v>31</v>
      </c>
      <c r="I284" s="941">
        <f t="shared" si="136"/>
        <v>102995.66</v>
      </c>
    </row>
    <row r="285" spans="1:9" ht="13.5">
      <c r="A285" s="737">
        <v>3</v>
      </c>
      <c r="B285" s="724">
        <v>44652</v>
      </c>
      <c r="C285" s="724">
        <v>44681</v>
      </c>
      <c r="D285" s="796">
        <v>0</v>
      </c>
      <c r="E285" s="796">
        <v>5.9700000000000003E-2</v>
      </c>
      <c r="F285" s="897">
        <f t="shared" si="134"/>
        <v>1.5887796003677401E-4</v>
      </c>
      <c r="G285" s="895">
        <f t="shared" si="137"/>
        <v>25000000</v>
      </c>
      <c r="H285" s="931">
        <f t="shared" si="135"/>
        <v>30</v>
      </c>
      <c r="I285" s="941">
        <f t="shared" si="136"/>
        <v>119158.47</v>
      </c>
    </row>
    <row r="286" spans="1:9" ht="13.5">
      <c r="A286" s="737">
        <v>4</v>
      </c>
      <c r="B286" s="724">
        <v>44682</v>
      </c>
      <c r="C286" s="724">
        <v>44712</v>
      </c>
      <c r="D286" s="796">
        <v>0</v>
      </c>
      <c r="E286" s="796">
        <v>7.0400000000000004E-2</v>
      </c>
      <c r="F286" s="897">
        <f t="shared" si="134"/>
        <v>1.8640753718313086E-4</v>
      </c>
      <c r="G286" s="895">
        <f t="shared" si="137"/>
        <v>25000000</v>
      </c>
      <c r="H286" s="931">
        <f t="shared" si="135"/>
        <v>31</v>
      </c>
      <c r="I286" s="941">
        <f t="shared" si="136"/>
        <v>144465.84</v>
      </c>
    </row>
    <row r="287" spans="1:9" ht="13.5">
      <c r="A287" s="737">
        <v>5</v>
      </c>
      <c r="B287" s="724">
        <v>44713</v>
      </c>
      <c r="C287" s="724">
        <v>44742</v>
      </c>
      <c r="D287" s="796">
        <v>0</v>
      </c>
      <c r="E287" s="796">
        <v>7.7200000000000005E-2</v>
      </c>
      <c r="F287" s="897">
        <f t="shared" si="134"/>
        <v>2.0376070695582449E-4</v>
      </c>
      <c r="G287" s="895">
        <f t="shared" si="137"/>
        <v>25000000</v>
      </c>
      <c r="H287" s="931">
        <f t="shared" si="135"/>
        <v>30</v>
      </c>
      <c r="I287" s="941">
        <f t="shared" si="136"/>
        <v>152820.53</v>
      </c>
    </row>
    <row r="288" spans="1:9" ht="13.5">
      <c r="A288" s="737">
        <v>6</v>
      </c>
      <c r="B288" s="724">
        <v>44743</v>
      </c>
      <c r="C288" s="724">
        <v>44773</v>
      </c>
      <c r="D288" s="796">
        <v>0</v>
      </c>
      <c r="E288" s="796">
        <v>9.2999999999999999E-2</v>
      </c>
      <c r="F288" s="897">
        <f t="shared" si="134"/>
        <v>2.4366313088708402E-4</v>
      </c>
      <c r="G288" s="895">
        <f t="shared" si="137"/>
        <v>25000000</v>
      </c>
      <c r="H288" s="931">
        <f t="shared" si="135"/>
        <v>31</v>
      </c>
      <c r="I288" s="941">
        <f t="shared" si="136"/>
        <v>188838.93</v>
      </c>
    </row>
    <row r="289" spans="1:9" ht="13.5">
      <c r="A289" s="737">
        <v>7</v>
      </c>
      <c r="B289" s="724">
        <v>44774</v>
      </c>
      <c r="C289" s="724">
        <v>44804</v>
      </c>
      <c r="D289" s="796">
        <v>0</v>
      </c>
      <c r="E289" s="796">
        <v>0.1057</v>
      </c>
      <c r="F289" s="897">
        <f t="shared" si="134"/>
        <v>2.7532178056910439E-4</v>
      </c>
      <c r="G289" s="895">
        <f t="shared" si="137"/>
        <v>25000000</v>
      </c>
      <c r="H289" s="931">
        <f t="shared" si="135"/>
        <v>31</v>
      </c>
      <c r="I289" s="941">
        <f t="shared" si="136"/>
        <v>213374.38</v>
      </c>
    </row>
    <row r="290" spans="1:9" ht="13.5">
      <c r="A290" s="737">
        <v>8</v>
      </c>
      <c r="B290" s="724">
        <v>44805</v>
      </c>
      <c r="C290" s="724">
        <v>44834</v>
      </c>
      <c r="D290" s="796">
        <v>0</v>
      </c>
      <c r="E290" s="796">
        <v>0.1099</v>
      </c>
      <c r="F290" s="897">
        <f t="shared" si="134"/>
        <v>2.857118247707735E-4</v>
      </c>
      <c r="G290" s="895">
        <f t="shared" si="137"/>
        <v>25000000</v>
      </c>
      <c r="H290" s="931">
        <f t="shared" si="135"/>
        <v>30</v>
      </c>
      <c r="I290" s="941">
        <f t="shared" si="136"/>
        <v>214283.87</v>
      </c>
    </row>
    <row r="291" spans="1:9" ht="13.5">
      <c r="A291" s="737">
        <v>9</v>
      </c>
      <c r="B291" s="724">
        <v>44835</v>
      </c>
      <c r="C291" s="724">
        <v>44865</v>
      </c>
      <c r="D291" s="796">
        <v>0</v>
      </c>
      <c r="E291" s="796">
        <v>0.11600000000000001</v>
      </c>
      <c r="F291" s="897">
        <f t="shared" ref="F291:F292" si="138">((1+E291)^(1/365)-1)</f>
        <v>3.0073250947526553E-4</v>
      </c>
      <c r="G291" s="895">
        <f t="shared" si="137"/>
        <v>25000000</v>
      </c>
      <c r="H291" s="931">
        <f t="shared" ref="H291:H295" si="139">+_xlfn.DAYS(C291,B291)+1</f>
        <v>31</v>
      </c>
      <c r="I291" s="941">
        <f t="shared" si="136"/>
        <v>233067.69</v>
      </c>
    </row>
    <row r="292" spans="1:9" ht="13.5">
      <c r="A292" s="737">
        <v>10</v>
      </c>
      <c r="B292" s="724">
        <v>44866</v>
      </c>
      <c r="C292" s="724">
        <v>44895</v>
      </c>
      <c r="D292" s="796">
        <v>0</v>
      </c>
      <c r="E292" s="796">
        <v>0.1263</v>
      </c>
      <c r="F292" s="897">
        <f t="shared" si="138"/>
        <v>3.2591042348917298E-4</v>
      </c>
      <c r="G292" s="895">
        <f t="shared" si="137"/>
        <v>25000000</v>
      </c>
      <c r="H292" s="931">
        <f t="shared" si="139"/>
        <v>30</v>
      </c>
      <c r="I292" s="941">
        <f t="shared" si="136"/>
        <v>244432.82</v>
      </c>
    </row>
    <row r="293" spans="1:9" ht="13.5">
      <c r="A293" s="737">
        <v>11</v>
      </c>
      <c r="B293" s="724">
        <v>44896</v>
      </c>
      <c r="C293" s="724">
        <v>44918</v>
      </c>
      <c r="D293" s="796">
        <v>0</v>
      </c>
      <c r="E293" s="796">
        <v>0.13420000000000001</v>
      </c>
      <c r="F293" s="897">
        <f>((1+E293)^(1/365)-1)</f>
        <v>3.4506652613908173E-4</v>
      </c>
      <c r="G293" s="895">
        <f t="shared" ref="G293:G300" si="140">$C$29</f>
        <v>50000000</v>
      </c>
      <c r="H293" s="931">
        <f t="shared" si="139"/>
        <v>23</v>
      </c>
      <c r="I293" s="941">
        <f t="shared" si="136"/>
        <v>396826.51</v>
      </c>
    </row>
    <row r="294" spans="1:9" ht="13.5">
      <c r="A294" s="737">
        <v>12</v>
      </c>
      <c r="B294" s="724">
        <v>44919</v>
      </c>
      <c r="C294" s="724">
        <v>44926</v>
      </c>
      <c r="D294" s="796">
        <v>0.27639999999999998</v>
      </c>
      <c r="E294" s="796">
        <f t="shared" ref="E294:E299" si="141">+D294*1.5</f>
        <v>0.41459999999999997</v>
      </c>
      <c r="F294" s="897">
        <f>((1+E294)^(1/365)-1)</f>
        <v>9.5071686592063109E-4</v>
      </c>
      <c r="G294" s="895">
        <f t="shared" si="140"/>
        <v>50000000</v>
      </c>
      <c r="H294" s="931">
        <f t="shared" si="139"/>
        <v>8</v>
      </c>
      <c r="I294" s="941">
        <f t="shared" si="136"/>
        <v>380286.75</v>
      </c>
    </row>
    <row r="295" spans="1:9" ht="13.5">
      <c r="A295" s="737">
        <v>13</v>
      </c>
      <c r="B295" s="724">
        <v>44927</v>
      </c>
      <c r="C295" s="724">
        <v>44957</v>
      </c>
      <c r="D295" s="796">
        <v>0.28839999999999999</v>
      </c>
      <c r="E295" s="796">
        <f t="shared" si="141"/>
        <v>0.43259999999999998</v>
      </c>
      <c r="F295" s="897">
        <f t="shared" ref="F295" si="142">((1+E295)^(1/365)-1)</f>
        <v>9.8539196132163553E-4</v>
      </c>
      <c r="G295" s="895">
        <f t="shared" si="140"/>
        <v>50000000</v>
      </c>
      <c r="H295" s="931">
        <f t="shared" si="139"/>
        <v>31</v>
      </c>
      <c r="I295" s="941">
        <f t="shared" si="136"/>
        <v>1527357.54</v>
      </c>
    </row>
    <row r="296" spans="1:9" ht="13.5">
      <c r="A296" s="737">
        <v>14</v>
      </c>
      <c r="B296" s="724">
        <v>44896</v>
      </c>
      <c r="C296" s="724">
        <v>44926</v>
      </c>
      <c r="D296" s="796">
        <v>0.27639999999999998</v>
      </c>
      <c r="E296" s="796">
        <f t="shared" si="141"/>
        <v>0.41459999999999997</v>
      </c>
      <c r="F296" s="897">
        <f>((1+E296)^(1/365)-1)</f>
        <v>9.5071686592063109E-4</v>
      </c>
      <c r="G296" s="895">
        <f t="shared" si="140"/>
        <v>50000000</v>
      </c>
      <c r="H296" s="931">
        <f t="shared" ref="H296:H298" si="143">+_xlfn.DAYS(C296,B296)+1</f>
        <v>31</v>
      </c>
      <c r="I296" s="941">
        <f t="shared" si="136"/>
        <v>1473611.14</v>
      </c>
    </row>
    <row r="297" spans="1:9" ht="13.5">
      <c r="A297" s="737">
        <v>15</v>
      </c>
      <c r="B297" s="724">
        <v>44927</v>
      </c>
      <c r="C297" s="724">
        <v>44957</v>
      </c>
      <c r="D297" s="796">
        <v>0.28839999999999999</v>
      </c>
      <c r="E297" s="796">
        <f t="shared" si="141"/>
        <v>0.43259999999999998</v>
      </c>
      <c r="F297" s="897">
        <f>((1+E297)^(1/365)-1)</f>
        <v>9.8539196132163553E-4</v>
      </c>
      <c r="G297" s="895">
        <f t="shared" si="140"/>
        <v>50000000</v>
      </c>
      <c r="H297" s="931">
        <f t="shared" si="143"/>
        <v>31</v>
      </c>
      <c r="I297" s="941">
        <f t="shared" si="136"/>
        <v>1527357.54</v>
      </c>
    </row>
    <row r="298" spans="1:9" ht="13.5">
      <c r="A298" s="737">
        <v>16</v>
      </c>
      <c r="B298" s="724">
        <v>44958</v>
      </c>
      <c r="C298" s="724">
        <v>44985</v>
      </c>
      <c r="D298" s="796">
        <v>0.30180000000000001</v>
      </c>
      <c r="E298" s="796">
        <f t="shared" si="141"/>
        <v>0.45269999999999999</v>
      </c>
      <c r="F298" s="897">
        <f t="shared" ref="F298" si="144">((1+E298)^(1/365)-1)</f>
        <v>1.0236026853662761E-3</v>
      </c>
      <c r="G298" s="895">
        <f t="shared" si="140"/>
        <v>50000000</v>
      </c>
      <c r="H298" s="931">
        <f t="shared" si="143"/>
        <v>28</v>
      </c>
      <c r="I298" s="941">
        <f t="shared" si="136"/>
        <v>1433043.76</v>
      </c>
    </row>
    <row r="299" spans="1:9" ht="13.5">
      <c r="A299" s="737">
        <v>17</v>
      </c>
      <c r="B299" s="724">
        <v>44986</v>
      </c>
      <c r="C299" s="724">
        <v>45016</v>
      </c>
      <c r="D299" s="796">
        <v>0.30840000000000001</v>
      </c>
      <c r="E299" s="796">
        <f t="shared" si="141"/>
        <v>0.46260000000000001</v>
      </c>
      <c r="F299" s="897">
        <f>((1+E299)^(1/365)-1)</f>
        <v>1.0422295217955568E-3</v>
      </c>
      <c r="G299" s="895">
        <f t="shared" si="140"/>
        <v>50000000</v>
      </c>
      <c r="H299" s="931">
        <f t="shared" ref="H299:H300" si="145">+_xlfn.DAYS(C299,B299)+1</f>
        <v>31</v>
      </c>
      <c r="I299" s="941">
        <f t="shared" si="136"/>
        <v>1615455.76</v>
      </c>
    </row>
    <row r="300" spans="1:9" ht="13.5">
      <c r="A300" s="737">
        <v>18</v>
      </c>
      <c r="B300" s="724">
        <v>45017</v>
      </c>
      <c r="C300" s="724">
        <v>45046</v>
      </c>
      <c r="D300" s="796">
        <v>0.31390000000000001</v>
      </c>
      <c r="E300" s="796">
        <f t="shared" ref="E300" si="146">+D300*1.5</f>
        <v>0.47084999999999999</v>
      </c>
      <c r="F300" s="897">
        <f>((1+E300)^(1/365)-1)</f>
        <v>1.0576560884423269E-3</v>
      </c>
      <c r="G300" s="895">
        <f t="shared" si="140"/>
        <v>50000000</v>
      </c>
      <c r="H300" s="931">
        <f t="shared" si="145"/>
        <v>30</v>
      </c>
      <c r="I300" s="941">
        <f t="shared" si="136"/>
        <v>1586484.13</v>
      </c>
    </row>
    <row r="301" spans="1:9" ht="13.5">
      <c r="G301" s="2847" t="s">
        <v>338</v>
      </c>
      <c r="H301" s="2847"/>
      <c r="I301" s="1077">
        <f>SUM(I283:I300)</f>
        <v>11571203.579999998</v>
      </c>
    </row>
    <row r="304" spans="1:9" ht="13.5">
      <c r="B304" s="2591" t="s">
        <v>55</v>
      </c>
      <c r="C304" s="2591"/>
      <c r="D304" s="2591"/>
    </row>
    <row r="305" spans="2:5" ht="13.5">
      <c r="B305" s="2583" t="s">
        <v>1041</v>
      </c>
      <c r="C305" s="2584"/>
      <c r="D305" s="1620">
        <f>+C29+C50+C71+C93+C114+C134+C155+C176+C197+C218+C239+C281+C260</f>
        <v>450000000</v>
      </c>
    </row>
    <row r="306" spans="2:5" ht="13.5">
      <c r="B306" s="2583" t="s">
        <v>1042</v>
      </c>
      <c r="C306" s="2584"/>
      <c r="D306" s="1121">
        <f>+I47+I68+I89+I111+I132+I152+I173+I194+I215+I236+I257+I278+I301</f>
        <v>120665520.22000001</v>
      </c>
    </row>
    <row r="307" spans="2:5" ht="13.5">
      <c r="B307" s="741" t="s">
        <v>1043</v>
      </c>
      <c r="C307" s="741"/>
      <c r="D307" s="1121">
        <f>SUM(D305:D306)</f>
        <v>570665520.22000003</v>
      </c>
      <c r="E307" s="46"/>
    </row>
  </sheetData>
  <mergeCells count="43">
    <mergeCell ref="B304:D304"/>
    <mergeCell ref="B305:C305"/>
    <mergeCell ref="B306:C306"/>
    <mergeCell ref="D261:E261"/>
    <mergeCell ref="G278:H278"/>
    <mergeCell ref="D281:I281"/>
    <mergeCell ref="D282:E282"/>
    <mergeCell ref="G301:H301"/>
    <mergeCell ref="G236:H236"/>
    <mergeCell ref="D239:I239"/>
    <mergeCell ref="D240:E240"/>
    <mergeCell ref="G257:H257"/>
    <mergeCell ref="D260:I260"/>
    <mergeCell ref="D197:I197"/>
    <mergeCell ref="D198:E198"/>
    <mergeCell ref="G215:H215"/>
    <mergeCell ref="D218:I218"/>
    <mergeCell ref="D219:E219"/>
    <mergeCell ref="D156:E156"/>
    <mergeCell ref="G173:H173"/>
    <mergeCell ref="D176:I176"/>
    <mergeCell ref="D177:E177"/>
    <mergeCell ref="G194:H194"/>
    <mergeCell ref="G132:H132"/>
    <mergeCell ref="D134:I134"/>
    <mergeCell ref="D135:E135"/>
    <mergeCell ref="G152:H152"/>
    <mergeCell ref="D155:I155"/>
    <mergeCell ref="D93:I93"/>
    <mergeCell ref="D94:E94"/>
    <mergeCell ref="G111:H111"/>
    <mergeCell ref="D114:I114"/>
    <mergeCell ref="D115:E115"/>
    <mergeCell ref="D51:E51"/>
    <mergeCell ref="G68:H68"/>
    <mergeCell ref="D71:I71"/>
    <mergeCell ref="D72:E72"/>
    <mergeCell ref="G89:H89"/>
    <mergeCell ref="D29:I29"/>
    <mergeCell ref="D30:E30"/>
    <mergeCell ref="G47:H47"/>
    <mergeCell ref="C26:D26"/>
    <mergeCell ref="D50:I50"/>
  </mergeCells>
  <conditionalFormatting sqref="B30:C30">
    <cfRule type="duplicateValues" dxfId="14" priority="13"/>
  </conditionalFormatting>
  <conditionalFormatting sqref="B51:C51">
    <cfRule type="duplicateValues" dxfId="13" priority="12"/>
  </conditionalFormatting>
  <conditionalFormatting sqref="B72:C72">
    <cfRule type="duplicateValues" dxfId="12" priority="11"/>
  </conditionalFormatting>
  <conditionalFormatting sqref="B94:C94">
    <cfRule type="duplicateValues" dxfId="11" priority="10"/>
  </conditionalFormatting>
  <conditionalFormatting sqref="B115:C115">
    <cfRule type="duplicateValues" dxfId="10" priority="9"/>
  </conditionalFormatting>
  <conditionalFormatting sqref="B135:C135">
    <cfRule type="duplicateValues" dxfId="9" priority="8"/>
  </conditionalFormatting>
  <conditionalFormatting sqref="B156:C156">
    <cfRule type="duplicateValues" dxfId="8" priority="7"/>
  </conditionalFormatting>
  <conditionalFormatting sqref="B177:C177">
    <cfRule type="duplicateValues" dxfId="7" priority="6"/>
  </conditionalFormatting>
  <conditionalFormatting sqref="B198:C198">
    <cfRule type="duplicateValues" dxfId="6" priority="5"/>
  </conditionalFormatting>
  <conditionalFormatting sqref="B219:C219">
    <cfRule type="duplicateValues" dxfId="5" priority="4"/>
  </conditionalFormatting>
  <conditionalFormatting sqref="B240:C240">
    <cfRule type="duplicateValues" dxfId="4" priority="3"/>
  </conditionalFormatting>
  <conditionalFormatting sqref="B261:C261">
    <cfRule type="duplicateValues" dxfId="3" priority="2"/>
  </conditionalFormatting>
  <conditionalFormatting sqref="B282:C282">
    <cfRule type="duplicateValues" dxfId="2" priority="1"/>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41DAB-5589-4021-942F-8D8B0FD1AB5F}">
  <sheetPr codeName="Hoja33"/>
  <dimension ref="A1:K153"/>
  <sheetViews>
    <sheetView topLeftCell="A16" zoomScaleNormal="100" workbookViewId="0">
      <selection activeCell="C4" sqref="C4"/>
    </sheetView>
  </sheetViews>
  <sheetFormatPr defaultColWidth="9.140625" defaultRowHeight="12.75"/>
  <cols>
    <col min="1" max="1" width="3.28515625" customWidth="1"/>
    <col min="2" max="2" width="16" customWidth="1"/>
    <col min="3" max="3" width="14.42578125" customWidth="1"/>
    <col min="4" max="4" width="9.7109375" customWidth="1"/>
    <col min="5" max="5" width="15.140625" customWidth="1"/>
    <col min="6" max="6" width="16.85546875" customWidth="1"/>
    <col min="7" max="7" width="17.7109375" customWidth="1"/>
    <col min="8" max="8" width="12.28515625" bestFit="1" customWidth="1"/>
    <col min="9" max="9" width="12.85546875" customWidth="1"/>
    <col min="10" max="228" width="11.42578125" customWidth="1"/>
  </cols>
  <sheetData>
    <row r="1" spans="2:7">
      <c r="G1" s="7"/>
    </row>
    <row r="2" spans="2:7" ht="24">
      <c r="B2" s="17" t="s">
        <v>285</v>
      </c>
      <c r="C2" s="1756" t="s">
        <v>286</v>
      </c>
      <c r="D2" s="4"/>
      <c r="G2" s="276"/>
    </row>
    <row r="3" spans="2:7">
      <c r="B3" s="66" t="s">
        <v>67</v>
      </c>
      <c r="C3" s="398">
        <f>3750000/5</f>
        <v>750000</v>
      </c>
      <c r="D3" s="4"/>
      <c r="G3" s="7"/>
    </row>
    <row r="4" spans="2:7">
      <c r="B4" s="66" t="s">
        <v>287</v>
      </c>
      <c r="C4" s="598">
        <v>42761</v>
      </c>
      <c r="D4" s="598" t="s">
        <v>288</v>
      </c>
      <c r="G4" s="7"/>
    </row>
    <row r="5" spans="2:7" ht="60.75" customHeight="1">
      <c r="B5" s="599" t="s">
        <v>69</v>
      </c>
      <c r="C5" s="600" t="s">
        <v>289</v>
      </c>
      <c r="G5" s="7"/>
    </row>
    <row r="6" spans="2:7">
      <c r="B6" s="3" t="s">
        <v>290</v>
      </c>
      <c r="C6" s="598">
        <v>43131</v>
      </c>
      <c r="G6" s="7"/>
    </row>
    <row r="7" spans="2:7">
      <c r="B7" s="3" t="s">
        <v>291</v>
      </c>
      <c r="C7" s="598" t="s">
        <v>292</v>
      </c>
      <c r="G7" s="7"/>
    </row>
    <row r="8" spans="2:7">
      <c r="B8" s="188" t="s">
        <v>293</v>
      </c>
    </row>
    <row r="9" spans="2:7">
      <c r="B9" t="s">
        <v>294</v>
      </c>
      <c r="C9" s="93" t="s">
        <v>295</v>
      </c>
    </row>
    <row r="10" spans="2:7">
      <c r="B10" t="s">
        <v>296</v>
      </c>
      <c r="C10" s="471">
        <v>38995</v>
      </c>
    </row>
    <row r="11" spans="2:7">
      <c r="B11" t="s">
        <v>297</v>
      </c>
      <c r="C11" s="471">
        <v>39361</v>
      </c>
    </row>
    <row r="12" spans="2:7">
      <c r="B12" s="188" t="s">
        <v>298</v>
      </c>
      <c r="C12" s="21">
        <v>750000</v>
      </c>
    </row>
    <row r="13" spans="2:7">
      <c r="B13" t="s">
        <v>299</v>
      </c>
      <c r="C13" s="32">
        <v>360</v>
      </c>
      <c r="D13" s="8"/>
      <c r="E13" s="8"/>
    </row>
    <row r="14" spans="2:7">
      <c r="D14" s="8"/>
      <c r="E14" s="8"/>
    </row>
    <row r="15" spans="2:7" ht="36">
      <c r="B15" s="375" t="s">
        <v>300</v>
      </c>
      <c r="C15" s="21">
        <v>750000</v>
      </c>
      <c r="D15" s="8"/>
      <c r="E15" s="8"/>
    </row>
    <row r="16" spans="2:7" ht="72">
      <c r="B16" s="375" t="s">
        <v>301</v>
      </c>
      <c r="C16" s="21">
        <v>408000</v>
      </c>
    </row>
    <row r="19" spans="2:11">
      <c r="B19" t="s">
        <v>302</v>
      </c>
    </row>
    <row r="20" spans="2:11">
      <c r="C20" s="16" t="s">
        <v>288</v>
      </c>
      <c r="D20" s="1"/>
    </row>
    <row r="21" spans="2:11">
      <c r="B21" t="s">
        <v>303</v>
      </c>
      <c r="C21" s="46">
        <f>($C$12*C13)/360</f>
        <v>750000</v>
      </c>
    </row>
    <row r="22" spans="2:11">
      <c r="B22" t="s">
        <v>32</v>
      </c>
      <c r="C22" s="46">
        <f>+(C21*C13*0.12)/360</f>
        <v>90000</v>
      </c>
    </row>
    <row r="23" spans="2:11">
      <c r="B23" t="s">
        <v>304</v>
      </c>
      <c r="C23" s="46">
        <f>(C12*C13)/360</f>
        <v>750000</v>
      </c>
    </row>
    <row r="24" spans="2:11">
      <c r="B24" t="s">
        <v>104</v>
      </c>
      <c r="C24" s="46">
        <f>(C12*C13)/720</f>
        <v>375000</v>
      </c>
    </row>
    <row r="27" spans="2:11">
      <c r="B27" s="188" t="s">
        <v>305</v>
      </c>
    </row>
    <row r="28" spans="2:11">
      <c r="B28" s="188" t="s">
        <v>306</v>
      </c>
    </row>
    <row r="29" spans="2:11">
      <c r="B29" s="1"/>
    </row>
    <row r="30" spans="2:11" ht="24">
      <c r="B30" s="914" t="s">
        <v>307</v>
      </c>
      <c r="C30" s="16">
        <v>42766</v>
      </c>
      <c r="D30" s="1859">
        <v>94.07</v>
      </c>
      <c r="K30" s="32"/>
    </row>
    <row r="31" spans="2:11">
      <c r="K31" s="32"/>
    </row>
    <row r="32" spans="2:11" ht="33.75">
      <c r="B32" s="601" t="s">
        <v>308</v>
      </c>
      <c r="C32" s="388">
        <v>750000</v>
      </c>
      <c r="D32" s="391" t="s">
        <v>309</v>
      </c>
      <c r="E32" s="228" t="s">
        <v>77</v>
      </c>
      <c r="F32" s="229" t="s">
        <v>253</v>
      </c>
      <c r="K32" s="32"/>
    </row>
    <row r="33" spans="2:11">
      <c r="B33" s="2" t="s">
        <v>303</v>
      </c>
      <c r="C33" s="377">
        <v>750000</v>
      </c>
      <c r="D33" s="1859">
        <v>64.819999999999993</v>
      </c>
      <c r="E33" s="233">
        <f>+$D$30/D33</f>
        <v>1.451249614316569</v>
      </c>
      <c r="F33" s="377">
        <f>+C33*E33</f>
        <v>1088437.2107374268</v>
      </c>
      <c r="K33" s="32"/>
    </row>
    <row r="34" spans="2:11">
      <c r="B34" s="2" t="s">
        <v>32</v>
      </c>
      <c r="C34" s="377">
        <v>90000</v>
      </c>
      <c r="D34" s="232">
        <v>64.819999999999993</v>
      </c>
      <c r="E34" s="233">
        <f t="shared" ref="E34:E40" si="0">+$D$30/D34</f>
        <v>1.451249614316569</v>
      </c>
      <c r="F34" s="377">
        <f t="shared" ref="F34:F40" si="1">+C34*E34</f>
        <v>130612.46528849121</v>
      </c>
      <c r="K34" s="32"/>
    </row>
    <row r="35" spans="2:11">
      <c r="B35" s="2" t="s">
        <v>304</v>
      </c>
      <c r="C35" s="377">
        <v>750000</v>
      </c>
      <c r="D35" s="232">
        <v>64.819999999999993</v>
      </c>
      <c r="E35" s="233">
        <f t="shared" si="0"/>
        <v>1.451249614316569</v>
      </c>
      <c r="F35" s="377">
        <f t="shared" si="1"/>
        <v>1088437.2107374268</v>
      </c>
      <c r="K35" s="32"/>
    </row>
    <row r="36" spans="2:11">
      <c r="B36" s="2" t="s">
        <v>104</v>
      </c>
      <c r="C36" s="159">
        <v>375000</v>
      </c>
      <c r="D36" s="232">
        <v>64.819999999999993</v>
      </c>
      <c r="E36" s="233">
        <f t="shared" si="0"/>
        <v>1.451249614316569</v>
      </c>
      <c r="F36" s="377">
        <f t="shared" si="1"/>
        <v>544218.60536871338</v>
      </c>
      <c r="K36" s="32"/>
    </row>
    <row r="37" spans="2:11">
      <c r="B37" s="371" t="s">
        <v>310</v>
      </c>
      <c r="C37" s="159">
        <v>375884</v>
      </c>
      <c r="D37" s="232">
        <v>64.819999999999993</v>
      </c>
      <c r="E37" s="233">
        <f t="shared" si="0"/>
        <v>1.451249614316569</v>
      </c>
      <c r="F37" s="377">
        <f t="shared" si="1"/>
        <v>545501.51002776925</v>
      </c>
      <c r="K37" s="32"/>
    </row>
    <row r="38" spans="2:11">
      <c r="B38" s="371" t="s">
        <v>311</v>
      </c>
      <c r="C38" s="159">
        <v>220012</v>
      </c>
      <c r="D38" s="232">
        <v>64.819999999999993</v>
      </c>
      <c r="E38" s="233">
        <f t="shared" si="0"/>
        <v>1.451249614316569</v>
      </c>
      <c r="F38" s="377">
        <f t="shared" si="1"/>
        <v>319292.33014501695</v>
      </c>
      <c r="K38" s="32"/>
    </row>
    <row r="39" spans="2:11">
      <c r="B39" s="371" t="s">
        <v>312</v>
      </c>
      <c r="C39" s="159">
        <v>35512</v>
      </c>
      <c r="D39" s="232">
        <v>64.819999999999993</v>
      </c>
      <c r="E39" s="233">
        <f t="shared" si="0"/>
        <v>1.451249614316569</v>
      </c>
      <c r="F39" s="377">
        <f t="shared" si="1"/>
        <v>51536.77630361</v>
      </c>
      <c r="K39" s="32"/>
    </row>
    <row r="40" spans="2:11">
      <c r="B40" s="196" t="s">
        <v>313</v>
      </c>
      <c r="C40" s="159">
        <v>50800</v>
      </c>
      <c r="D40" s="232">
        <v>64.819999999999993</v>
      </c>
      <c r="E40" s="233">
        <f t="shared" si="0"/>
        <v>1.451249614316569</v>
      </c>
      <c r="F40" s="377">
        <f t="shared" si="1"/>
        <v>73723.480407281706</v>
      </c>
      <c r="K40" s="32"/>
    </row>
    <row r="41" spans="2:11">
      <c r="B41" s="234"/>
      <c r="C41" s="376"/>
      <c r="D41" s="376"/>
      <c r="E41" s="233" t="s">
        <v>97</v>
      </c>
      <c r="F41" s="377">
        <f>SUM(F33:F40)</f>
        <v>3841759.5890157358</v>
      </c>
      <c r="K41" s="32"/>
    </row>
    <row r="42" spans="2:11">
      <c r="B42" s="234"/>
      <c r="C42" s="235"/>
      <c r="D42" s="376"/>
      <c r="E42" s="234"/>
      <c r="F42" s="235"/>
      <c r="K42" s="32"/>
    </row>
    <row r="43" spans="2:11">
      <c r="B43" s="236" t="s">
        <v>245</v>
      </c>
      <c r="C43" s="235"/>
      <c r="D43" s="376"/>
      <c r="E43" s="234"/>
      <c r="F43" s="235"/>
      <c r="K43" s="32"/>
    </row>
    <row r="44" spans="2:11">
      <c r="B44" s="547"/>
      <c r="C44" s="623"/>
      <c r="D44" s="624"/>
      <c r="E44" s="547"/>
      <c r="F44" s="623"/>
      <c r="G44" s="156"/>
      <c r="H44" s="156"/>
      <c r="K44" s="32"/>
    </row>
    <row r="45" spans="2:11" ht="24">
      <c r="B45" s="1860" t="s">
        <v>314</v>
      </c>
      <c r="C45" s="625">
        <v>408000</v>
      </c>
      <c r="D45" s="156"/>
      <c r="E45" s="156"/>
      <c r="F45" s="1862" t="s">
        <v>315</v>
      </c>
      <c r="G45" s="50">
        <v>42766</v>
      </c>
      <c r="H45" s="627">
        <f>+D30</f>
        <v>94.07</v>
      </c>
      <c r="K45" s="32"/>
    </row>
    <row r="46" spans="2:11" ht="24">
      <c r="B46" s="628" t="s">
        <v>206</v>
      </c>
      <c r="C46" s="628" t="s">
        <v>10</v>
      </c>
      <c r="D46" s="1861" t="s">
        <v>251</v>
      </c>
      <c r="E46" s="629" t="s">
        <v>252</v>
      </c>
      <c r="F46" s="628" t="s">
        <v>76</v>
      </c>
      <c r="G46" s="628" t="s">
        <v>77</v>
      </c>
      <c r="H46" s="628" t="s">
        <v>253</v>
      </c>
      <c r="K46" s="32"/>
    </row>
    <row r="47" spans="2:11">
      <c r="B47" s="50">
        <v>38995</v>
      </c>
      <c r="C47" s="50">
        <v>39021</v>
      </c>
      <c r="D47" s="625">
        <f>+($C$45*8%)</f>
        <v>32640</v>
      </c>
      <c r="E47" s="625">
        <f>+$C$45*11.63%</f>
        <v>47450.400000000009</v>
      </c>
      <c r="F47" s="627">
        <v>61.05</v>
      </c>
      <c r="G47" s="399">
        <f>+$H$45/F47</f>
        <v>1.5408681408681408</v>
      </c>
      <c r="H47" s="625">
        <f>+(D47+E47)*G47</f>
        <v>123408.74574938577</v>
      </c>
      <c r="K47" s="32"/>
    </row>
    <row r="48" spans="2:11">
      <c r="B48" s="50">
        <v>39022</v>
      </c>
      <c r="C48" s="50">
        <v>39051</v>
      </c>
      <c r="D48" s="625">
        <f>+($C$45*8%)</f>
        <v>32640</v>
      </c>
      <c r="E48" s="625">
        <f>+$C$45*11.63%</f>
        <v>47450.400000000009</v>
      </c>
      <c r="F48" s="627">
        <v>61.19</v>
      </c>
      <c r="G48" s="399">
        <f>+$H$45/F48</f>
        <v>1.5373427030560549</v>
      </c>
      <c r="H48" s="625">
        <f t="shared" ref="H48:H58" si="2">+(D48+E48)*G48</f>
        <v>123126.39202484068</v>
      </c>
      <c r="K48" s="32"/>
    </row>
    <row r="49" spans="1:11">
      <c r="B49" s="50">
        <v>39052</v>
      </c>
      <c r="C49" s="50">
        <v>39082</v>
      </c>
      <c r="D49" s="625">
        <f>+($C$45*8%)</f>
        <v>32640</v>
      </c>
      <c r="E49" s="625">
        <f>+$C$45*11.63%</f>
        <v>47450.400000000009</v>
      </c>
      <c r="F49" s="627">
        <v>61.33</v>
      </c>
      <c r="G49" s="399">
        <f>+$H$45/F49</f>
        <v>1.5338333605087233</v>
      </c>
      <c r="H49" s="625">
        <f t="shared" si="2"/>
        <v>122845.32737648787</v>
      </c>
      <c r="K49" s="32"/>
    </row>
    <row r="50" spans="1:11">
      <c r="B50" s="50">
        <v>39083</v>
      </c>
      <c r="C50" s="50">
        <v>39113</v>
      </c>
      <c r="D50" s="625">
        <f>+($C$45*8.5%)</f>
        <v>34680</v>
      </c>
      <c r="E50" s="625">
        <f>+$C$45*11.63%</f>
        <v>47450.400000000009</v>
      </c>
      <c r="F50" s="627">
        <v>61.8</v>
      </c>
      <c r="G50" s="399">
        <f t="shared" ref="G50:G59" si="3">+$H$45/F50</f>
        <v>1.5221682847896441</v>
      </c>
      <c r="H50" s="625">
        <f t="shared" si="2"/>
        <v>125016.29009708739</v>
      </c>
      <c r="K50" s="32"/>
    </row>
    <row r="51" spans="1:11">
      <c r="B51" s="50">
        <v>39114</v>
      </c>
      <c r="C51" s="50">
        <v>39141</v>
      </c>
      <c r="D51" s="625">
        <f t="shared" ref="D51:D58" si="4">+($C$45*8.5%)</f>
        <v>34680</v>
      </c>
      <c r="E51" s="625">
        <f t="shared" ref="E51:E58" si="5">+$C$45*11.63%</f>
        <v>47450.400000000009</v>
      </c>
      <c r="F51" s="627">
        <v>62.53</v>
      </c>
      <c r="G51" s="399">
        <f t="shared" si="3"/>
        <v>1.5043978890132734</v>
      </c>
      <c r="H51" s="625">
        <f t="shared" si="2"/>
        <v>123556.80038381576</v>
      </c>
      <c r="K51" s="32"/>
    </row>
    <row r="52" spans="1:11">
      <c r="B52" s="50">
        <v>39142</v>
      </c>
      <c r="C52" s="50">
        <v>39172</v>
      </c>
      <c r="D52" s="625">
        <f t="shared" si="4"/>
        <v>34680</v>
      </c>
      <c r="E52" s="625">
        <f t="shared" si="5"/>
        <v>47450.400000000009</v>
      </c>
      <c r="F52" s="627">
        <v>63.29</v>
      </c>
      <c r="G52" s="399">
        <f t="shared" si="3"/>
        <v>1.4863327539895717</v>
      </c>
      <c r="H52" s="625">
        <f t="shared" si="2"/>
        <v>122073.10361826513</v>
      </c>
      <c r="K52" s="32"/>
    </row>
    <row r="53" spans="1:11">
      <c r="B53" s="50">
        <v>39173</v>
      </c>
      <c r="C53" s="50">
        <v>39202</v>
      </c>
      <c r="D53" s="625">
        <f t="shared" si="4"/>
        <v>34680</v>
      </c>
      <c r="E53" s="625">
        <f t="shared" si="5"/>
        <v>47450.400000000009</v>
      </c>
      <c r="F53" s="627">
        <v>63.85</v>
      </c>
      <c r="G53" s="399">
        <f t="shared" si="3"/>
        <v>1.473296789350039</v>
      </c>
      <c r="H53" s="625">
        <f t="shared" si="2"/>
        <v>121002.45462803447</v>
      </c>
      <c r="K53" s="32"/>
    </row>
    <row r="54" spans="1:11">
      <c r="B54" s="50">
        <v>39203</v>
      </c>
      <c r="C54" s="50">
        <v>39233</v>
      </c>
      <c r="D54" s="625">
        <f t="shared" si="4"/>
        <v>34680</v>
      </c>
      <c r="E54" s="625">
        <f t="shared" si="5"/>
        <v>47450.400000000009</v>
      </c>
      <c r="F54" s="627">
        <v>64.05</v>
      </c>
      <c r="G54" s="399">
        <f t="shared" si="3"/>
        <v>1.4686963309914129</v>
      </c>
      <c r="H54" s="625">
        <f t="shared" si="2"/>
        <v>120624.61714285715</v>
      </c>
      <c r="K54" s="32"/>
    </row>
    <row r="55" spans="1:11">
      <c r="B55" s="50">
        <v>39234</v>
      </c>
      <c r="C55" s="50">
        <v>39263</v>
      </c>
      <c r="D55" s="625">
        <f t="shared" si="4"/>
        <v>34680</v>
      </c>
      <c r="E55" s="625">
        <f t="shared" si="5"/>
        <v>47450.400000000009</v>
      </c>
      <c r="F55" s="627">
        <v>64.12</v>
      </c>
      <c r="G55" s="399">
        <f t="shared" si="3"/>
        <v>1.4670929507174046</v>
      </c>
      <c r="H55" s="625">
        <f t="shared" si="2"/>
        <v>120492.93087960074</v>
      </c>
      <c r="K55" s="32"/>
    </row>
    <row r="56" spans="1:11">
      <c r="B56" s="50">
        <v>39264</v>
      </c>
      <c r="C56" s="50">
        <v>39294</v>
      </c>
      <c r="D56" s="625">
        <f t="shared" si="4"/>
        <v>34680</v>
      </c>
      <c r="E56" s="625">
        <f t="shared" si="5"/>
        <v>47450.400000000009</v>
      </c>
      <c r="F56" s="627">
        <v>64.23</v>
      </c>
      <c r="G56" s="399">
        <f t="shared" si="3"/>
        <v>1.464580414136696</v>
      </c>
      <c r="H56" s="625">
        <f t="shared" si="2"/>
        <v>120286.57524521252</v>
      </c>
      <c r="K56" s="32"/>
    </row>
    <row r="57" spans="1:11">
      <c r="B57" s="50">
        <v>39295</v>
      </c>
      <c r="C57" s="50">
        <v>39325</v>
      </c>
      <c r="D57" s="625">
        <f t="shared" si="4"/>
        <v>34680</v>
      </c>
      <c r="E57" s="625">
        <f t="shared" si="5"/>
        <v>47450.400000000009</v>
      </c>
      <c r="F57" s="627">
        <v>64.14</v>
      </c>
      <c r="G57" s="399">
        <f t="shared" si="3"/>
        <v>1.4666354848768317</v>
      </c>
      <c r="H57" s="625">
        <f t="shared" si="2"/>
        <v>120455.35902712816</v>
      </c>
      <c r="K57" s="32"/>
    </row>
    <row r="58" spans="1:11">
      <c r="B58" s="50">
        <v>39326</v>
      </c>
      <c r="C58" s="50">
        <v>39355</v>
      </c>
      <c r="D58" s="625">
        <f t="shared" si="4"/>
        <v>34680</v>
      </c>
      <c r="E58" s="625">
        <f t="shared" si="5"/>
        <v>47450.400000000009</v>
      </c>
      <c r="F58" s="627">
        <v>64.2</v>
      </c>
      <c r="G58" s="399">
        <f t="shared" si="3"/>
        <v>1.4652647975077879</v>
      </c>
      <c r="H58" s="625">
        <f t="shared" si="2"/>
        <v>120342.78392523364</v>
      </c>
      <c r="K58" s="32"/>
    </row>
    <row r="59" spans="1:11">
      <c r="B59" s="50">
        <v>39356</v>
      </c>
      <c r="C59" s="50">
        <v>39386</v>
      </c>
      <c r="D59" s="625">
        <f>+($C$45*8.5%)</f>
        <v>34680</v>
      </c>
      <c r="E59" s="625">
        <f>+$C$45*11.63%</f>
        <v>47450.400000000009</v>
      </c>
      <c r="F59" s="627">
        <v>64.2</v>
      </c>
      <c r="G59" s="399">
        <f t="shared" si="3"/>
        <v>1.4652647975077879</v>
      </c>
      <c r="H59" s="625">
        <f>+(D59+E59)*G59</f>
        <v>120342.78392523364</v>
      </c>
      <c r="K59" s="32"/>
    </row>
    <row r="60" spans="1:11" ht="13.5" thickBot="1">
      <c r="B60" s="547"/>
      <c r="C60" s="623"/>
      <c r="D60" s="380"/>
      <c r="E60" s="547"/>
      <c r="F60" s="235"/>
      <c r="G60" s="394" t="s">
        <v>316</v>
      </c>
      <c r="H60" s="626">
        <f>SUM(H47:H59)</f>
        <v>1583574.1640231831</v>
      </c>
      <c r="K60" s="32"/>
    </row>
    <row r="61" spans="1:11" ht="14.25" thickTop="1" thickBot="1">
      <c r="B61" s="234"/>
      <c r="C61" s="235"/>
      <c r="D61" s="235"/>
      <c r="E61" s="234"/>
      <c r="F61" s="235"/>
      <c r="G61" s="55"/>
      <c r="H61" s="56">
        <f>+F41+H60</f>
        <v>5425333.7530389186</v>
      </c>
      <c r="I61" s="104"/>
      <c r="K61" s="32"/>
    </row>
    <row r="62" spans="1:11" ht="13.5" thickTop="1">
      <c r="B62" s="234"/>
      <c r="C62" s="235"/>
      <c r="D62" s="376"/>
      <c r="E62" s="234"/>
      <c r="F62" s="235"/>
      <c r="K62" s="32"/>
    </row>
    <row r="63" spans="1:11">
      <c r="A63" s="156"/>
      <c r="B63" s="354" t="s">
        <v>317</v>
      </c>
      <c r="C63" s="235"/>
      <c r="D63" s="376"/>
      <c r="E63" s="234"/>
      <c r="F63" s="235"/>
      <c r="G63" s="147"/>
      <c r="H63" s="147"/>
      <c r="I63" s="147"/>
      <c r="K63" s="32"/>
    </row>
    <row r="64" spans="1:11">
      <c r="A64" s="156"/>
      <c r="B64" s="354" t="s">
        <v>180</v>
      </c>
      <c r="C64" s="1178">
        <v>42395</v>
      </c>
      <c r="D64" s="147" t="s">
        <v>318</v>
      </c>
      <c r="E64" s="161"/>
      <c r="F64" s="147"/>
      <c r="G64" s="147"/>
      <c r="H64" s="147"/>
      <c r="I64" s="147"/>
    </row>
    <row r="65" spans="1:9">
      <c r="A65" s="156"/>
      <c r="B65" s="354" t="s">
        <v>319</v>
      </c>
      <c r="C65" s="1178"/>
      <c r="D65" s="147"/>
      <c r="E65" s="161"/>
      <c r="F65" s="147"/>
      <c r="G65" s="147"/>
      <c r="H65" s="147"/>
      <c r="I65" s="147"/>
    </row>
    <row r="66" spans="1:9">
      <c r="A66" s="156"/>
      <c r="B66" s="2569" t="s">
        <v>84</v>
      </c>
      <c r="C66" s="2569"/>
      <c r="D66" s="2569"/>
      <c r="E66" s="2569"/>
      <c r="F66" s="2569"/>
      <c r="G66" s="2569"/>
      <c r="H66" s="2569"/>
      <c r="I66" s="147"/>
    </row>
    <row r="67" spans="1:9">
      <c r="A67" s="156"/>
      <c r="B67" s="351" t="s">
        <v>206</v>
      </c>
      <c r="C67" s="351" t="s">
        <v>10</v>
      </c>
      <c r="D67" s="1179" t="s">
        <v>279</v>
      </c>
      <c r="E67" s="226" t="s">
        <v>129</v>
      </c>
      <c r="F67" s="1180" t="s">
        <v>320</v>
      </c>
      <c r="G67" s="1181" t="s">
        <v>321</v>
      </c>
      <c r="H67" s="67" t="s">
        <v>43</v>
      </c>
      <c r="I67" s="226" t="s">
        <v>253</v>
      </c>
    </row>
    <row r="68" spans="1:9">
      <c r="A68" s="4">
        <v>1</v>
      </c>
      <c r="B68" s="16">
        <v>42396</v>
      </c>
      <c r="C68" s="16">
        <v>42400</v>
      </c>
      <c r="D68" s="1182">
        <f t="shared" ref="D68:D74" si="6">_xlfn.DAYS(C68,B68)+1</f>
        <v>5</v>
      </c>
      <c r="E68" s="377">
        <f>+$H$61</f>
        <v>5425333.7530389186</v>
      </c>
      <c r="F68" s="1016">
        <v>0.1968</v>
      </c>
      <c r="G68" s="491">
        <f>+F68*1.5</f>
        <v>0.29520000000000002</v>
      </c>
      <c r="H68" s="160">
        <f>((1+G68)^(1/365)-1)</f>
        <v>7.0892273793354832E-4</v>
      </c>
      <c r="I68" s="377">
        <f>+E68*H68*D68</f>
        <v>19230.712292038217</v>
      </c>
    </row>
    <row r="69" spans="1:9">
      <c r="A69" s="4">
        <v>2</v>
      </c>
      <c r="B69" s="16">
        <v>42401</v>
      </c>
      <c r="C69" s="16">
        <v>42429</v>
      </c>
      <c r="D69" s="1182">
        <f t="shared" si="6"/>
        <v>29</v>
      </c>
      <c r="E69" s="377">
        <f t="shared" ref="E69:E74" si="7">+$H$61</f>
        <v>5425333.7530389186</v>
      </c>
      <c r="F69" s="1016">
        <v>0.1968</v>
      </c>
      <c r="G69" s="491">
        <f t="shared" ref="G69:G93" si="8">+F69*1.5</f>
        <v>0.29520000000000002</v>
      </c>
      <c r="H69" s="160">
        <f t="shared" ref="H69:H93" si="9">((1+G69)^(1/365)-1)</f>
        <v>7.0892273793354832E-4</v>
      </c>
      <c r="I69" s="377">
        <f>+E69*H69*D69</f>
        <v>111538.13129382166</v>
      </c>
    </row>
    <row r="70" spans="1:9">
      <c r="A70" s="4">
        <v>3</v>
      </c>
      <c r="B70" s="16">
        <v>42430</v>
      </c>
      <c r="C70" s="16">
        <v>42460</v>
      </c>
      <c r="D70" s="1182">
        <f t="shared" si="6"/>
        <v>31</v>
      </c>
      <c r="E70" s="377">
        <f t="shared" si="7"/>
        <v>5425333.7530389186</v>
      </c>
      <c r="F70" s="1016">
        <v>0.1968</v>
      </c>
      <c r="G70" s="491">
        <f t="shared" si="8"/>
        <v>0.29520000000000002</v>
      </c>
      <c r="H70" s="160">
        <f t="shared" si="9"/>
        <v>7.0892273793354832E-4</v>
      </c>
      <c r="I70" s="377">
        <f>+E70*H70*D70</f>
        <v>119230.41621063695</v>
      </c>
    </row>
    <row r="71" spans="1:9">
      <c r="A71" s="4">
        <v>4</v>
      </c>
      <c r="B71" s="16">
        <v>42461</v>
      </c>
      <c r="C71" s="16">
        <v>42490</v>
      </c>
      <c r="D71" s="1182">
        <f>_xlfn.DAYS(C71,B71)+1</f>
        <v>30</v>
      </c>
      <c r="E71" s="377">
        <f t="shared" si="7"/>
        <v>5425333.7530389186</v>
      </c>
      <c r="F71" s="1016">
        <v>0.2054</v>
      </c>
      <c r="G71" s="491">
        <f t="shared" si="8"/>
        <v>0.30809999999999998</v>
      </c>
      <c r="H71" s="160">
        <f t="shared" si="9"/>
        <v>7.3609462782320279E-4</v>
      </c>
      <c r="I71" s="377">
        <f t="shared" ref="I71:I92" si="10">+E71*H71*D71</f>
        <v>119806.77089279529</v>
      </c>
    </row>
    <row r="72" spans="1:9">
      <c r="A72" s="4">
        <v>5</v>
      </c>
      <c r="B72" s="16">
        <v>42491</v>
      </c>
      <c r="C72" s="186">
        <v>42521</v>
      </c>
      <c r="D72" s="1182">
        <f t="shared" si="6"/>
        <v>31</v>
      </c>
      <c r="E72" s="377">
        <f t="shared" si="7"/>
        <v>5425333.7530389186</v>
      </c>
      <c r="F72" s="1016">
        <v>0.2054</v>
      </c>
      <c r="G72" s="491">
        <f t="shared" si="8"/>
        <v>0.30809999999999998</v>
      </c>
      <c r="H72" s="160">
        <f t="shared" si="9"/>
        <v>7.3609462782320279E-4</v>
      </c>
      <c r="I72" s="377">
        <f t="shared" si="10"/>
        <v>123800.32992255513</v>
      </c>
    </row>
    <row r="73" spans="1:9">
      <c r="A73" s="4">
        <v>6</v>
      </c>
      <c r="B73" s="16">
        <v>42522</v>
      </c>
      <c r="C73" s="186">
        <v>42551</v>
      </c>
      <c r="D73" s="1182">
        <f t="shared" si="6"/>
        <v>30</v>
      </c>
      <c r="E73" s="377">
        <f t="shared" si="7"/>
        <v>5425333.7530389186</v>
      </c>
      <c r="F73" s="1016">
        <v>0.2054</v>
      </c>
      <c r="G73" s="491">
        <f t="shared" si="8"/>
        <v>0.30809999999999998</v>
      </c>
      <c r="H73" s="160">
        <f t="shared" si="9"/>
        <v>7.3609462782320279E-4</v>
      </c>
      <c r="I73" s="377">
        <f t="shared" si="10"/>
        <v>119806.77089279529</v>
      </c>
    </row>
    <row r="74" spans="1:9">
      <c r="A74" s="4">
        <v>7</v>
      </c>
      <c r="B74" s="16">
        <v>42552</v>
      </c>
      <c r="C74" s="186">
        <v>42578</v>
      </c>
      <c r="D74" s="1182">
        <f t="shared" si="6"/>
        <v>27</v>
      </c>
      <c r="E74" s="377">
        <f t="shared" si="7"/>
        <v>5425333.7530389186</v>
      </c>
      <c r="F74" s="1016">
        <v>0.21340000000000001</v>
      </c>
      <c r="G74" s="491">
        <f t="shared" si="8"/>
        <v>0.3201</v>
      </c>
      <c r="H74" s="160">
        <f t="shared" si="9"/>
        <v>7.6113195596128058E-4</v>
      </c>
      <c r="I74" s="377">
        <f t="shared" si="10"/>
        <v>111493.66206221822</v>
      </c>
    </row>
    <row r="75" spans="1:9">
      <c r="A75" s="4">
        <v>8</v>
      </c>
      <c r="B75" s="16">
        <v>42579</v>
      </c>
      <c r="C75" s="186">
        <v>42582</v>
      </c>
      <c r="D75" s="1182">
        <v>0</v>
      </c>
      <c r="E75" s="377">
        <v>0</v>
      </c>
      <c r="F75" s="1016">
        <v>0</v>
      </c>
      <c r="G75" s="491">
        <f t="shared" si="8"/>
        <v>0</v>
      </c>
      <c r="H75" s="160">
        <f t="shared" si="9"/>
        <v>0</v>
      </c>
      <c r="I75" s="377">
        <f t="shared" si="10"/>
        <v>0</v>
      </c>
    </row>
    <row r="76" spans="1:9">
      <c r="A76" s="4">
        <v>9</v>
      </c>
      <c r="B76" s="16">
        <v>42583</v>
      </c>
      <c r="C76" s="186">
        <v>42613</v>
      </c>
      <c r="D76" s="1182">
        <v>0</v>
      </c>
      <c r="E76" s="377">
        <v>0</v>
      </c>
      <c r="F76" s="1016">
        <v>0</v>
      </c>
      <c r="G76" s="491">
        <f t="shared" si="8"/>
        <v>0</v>
      </c>
      <c r="H76" s="160">
        <f t="shared" si="9"/>
        <v>0</v>
      </c>
      <c r="I76" s="377">
        <f t="shared" si="10"/>
        <v>0</v>
      </c>
    </row>
    <row r="77" spans="1:9">
      <c r="A77" s="4">
        <v>10</v>
      </c>
      <c r="B77" s="16">
        <v>42614</v>
      </c>
      <c r="C77" s="186">
        <v>42643</v>
      </c>
      <c r="D77" s="1182">
        <v>0</v>
      </c>
      <c r="E77" s="377">
        <v>0</v>
      </c>
      <c r="F77" s="1016">
        <v>0</v>
      </c>
      <c r="G77" s="491">
        <f t="shared" si="8"/>
        <v>0</v>
      </c>
      <c r="H77" s="160">
        <f t="shared" si="9"/>
        <v>0</v>
      </c>
      <c r="I77" s="377">
        <f t="shared" si="10"/>
        <v>0</v>
      </c>
    </row>
    <row r="78" spans="1:9">
      <c r="A78" s="4">
        <v>11</v>
      </c>
      <c r="B78" s="16">
        <v>42644</v>
      </c>
      <c r="C78" s="186">
        <v>42674</v>
      </c>
      <c r="D78" s="1182">
        <v>0</v>
      </c>
      <c r="E78" s="377">
        <v>0</v>
      </c>
      <c r="F78" s="1016">
        <v>0</v>
      </c>
      <c r="G78" s="491">
        <f t="shared" si="8"/>
        <v>0</v>
      </c>
      <c r="H78" s="160">
        <f t="shared" si="9"/>
        <v>0</v>
      </c>
      <c r="I78" s="377">
        <f t="shared" si="10"/>
        <v>0</v>
      </c>
    </row>
    <row r="79" spans="1:9">
      <c r="A79" s="4">
        <v>12</v>
      </c>
      <c r="B79" s="16">
        <v>42675</v>
      </c>
      <c r="C79" s="186">
        <v>42704</v>
      </c>
      <c r="D79" s="1182">
        <v>0</v>
      </c>
      <c r="E79" s="377">
        <v>0</v>
      </c>
      <c r="F79" s="1016">
        <v>0</v>
      </c>
      <c r="G79" s="491">
        <f t="shared" si="8"/>
        <v>0</v>
      </c>
      <c r="H79" s="160">
        <f t="shared" si="9"/>
        <v>0</v>
      </c>
      <c r="I79" s="377">
        <f t="shared" si="10"/>
        <v>0</v>
      </c>
    </row>
    <row r="80" spans="1:9">
      <c r="A80" s="4">
        <v>13</v>
      </c>
      <c r="B80" s="16">
        <v>42705</v>
      </c>
      <c r="C80" s="186">
        <v>42735</v>
      </c>
      <c r="D80" s="1182">
        <v>0</v>
      </c>
      <c r="E80" s="377">
        <v>0</v>
      </c>
      <c r="F80" s="1016">
        <v>0</v>
      </c>
      <c r="G80" s="491">
        <f t="shared" si="8"/>
        <v>0</v>
      </c>
      <c r="H80" s="160">
        <f t="shared" si="9"/>
        <v>0</v>
      </c>
      <c r="I80" s="377">
        <f t="shared" si="10"/>
        <v>0</v>
      </c>
    </row>
    <row r="81" spans="1:9">
      <c r="A81" s="4">
        <v>14</v>
      </c>
      <c r="B81" s="16">
        <v>42736</v>
      </c>
      <c r="C81" s="186">
        <v>42766</v>
      </c>
      <c r="D81" s="1182">
        <v>0</v>
      </c>
      <c r="E81" s="377">
        <v>0</v>
      </c>
      <c r="F81" s="1016">
        <v>0</v>
      </c>
      <c r="G81" s="491">
        <f t="shared" si="8"/>
        <v>0</v>
      </c>
      <c r="H81" s="160">
        <f t="shared" si="9"/>
        <v>0</v>
      </c>
      <c r="I81" s="377">
        <f t="shared" si="10"/>
        <v>0</v>
      </c>
    </row>
    <row r="82" spans="1:9">
      <c r="A82" s="4">
        <v>15</v>
      </c>
      <c r="B82" s="16">
        <v>42767</v>
      </c>
      <c r="C82" s="186">
        <v>42794</v>
      </c>
      <c r="D82" s="1182">
        <v>0</v>
      </c>
      <c r="E82" s="377">
        <v>0</v>
      </c>
      <c r="F82" s="1016">
        <v>0</v>
      </c>
      <c r="G82" s="491">
        <f t="shared" si="8"/>
        <v>0</v>
      </c>
      <c r="H82" s="160">
        <f t="shared" si="9"/>
        <v>0</v>
      </c>
      <c r="I82" s="377">
        <f t="shared" si="10"/>
        <v>0</v>
      </c>
    </row>
    <row r="83" spans="1:9">
      <c r="A83" s="4">
        <v>16</v>
      </c>
      <c r="B83" s="16">
        <v>42795</v>
      </c>
      <c r="C83" s="186">
        <v>42825</v>
      </c>
      <c r="D83" s="1182">
        <v>0</v>
      </c>
      <c r="E83" s="377">
        <v>0</v>
      </c>
      <c r="F83" s="1016">
        <v>0</v>
      </c>
      <c r="G83" s="491">
        <f t="shared" si="8"/>
        <v>0</v>
      </c>
      <c r="H83" s="160">
        <f t="shared" si="9"/>
        <v>0</v>
      </c>
      <c r="I83" s="377">
        <f t="shared" si="10"/>
        <v>0</v>
      </c>
    </row>
    <row r="84" spans="1:9">
      <c r="A84" s="4">
        <v>17</v>
      </c>
      <c r="B84" s="16">
        <v>42826</v>
      </c>
      <c r="C84" s="186">
        <v>42855</v>
      </c>
      <c r="D84" s="1182">
        <v>0</v>
      </c>
      <c r="E84" s="377">
        <v>0</v>
      </c>
      <c r="F84" s="1016">
        <v>0</v>
      </c>
      <c r="G84" s="491">
        <f t="shared" si="8"/>
        <v>0</v>
      </c>
      <c r="H84" s="160">
        <f t="shared" si="9"/>
        <v>0</v>
      </c>
      <c r="I84" s="377">
        <f t="shared" si="10"/>
        <v>0</v>
      </c>
    </row>
    <row r="85" spans="1:9">
      <c r="A85" s="4">
        <v>18</v>
      </c>
      <c r="B85" s="16">
        <v>42856</v>
      </c>
      <c r="C85" s="186">
        <v>42886</v>
      </c>
      <c r="D85" s="1182">
        <v>0</v>
      </c>
      <c r="E85" s="377">
        <v>0</v>
      </c>
      <c r="F85" s="1016">
        <v>0</v>
      </c>
      <c r="G85" s="491">
        <f t="shared" si="8"/>
        <v>0</v>
      </c>
      <c r="H85" s="160">
        <f t="shared" si="9"/>
        <v>0</v>
      </c>
      <c r="I85" s="377">
        <f t="shared" si="10"/>
        <v>0</v>
      </c>
    </row>
    <row r="86" spans="1:9">
      <c r="A86" s="4">
        <v>19</v>
      </c>
      <c r="B86" s="16">
        <v>42887</v>
      </c>
      <c r="C86" s="186">
        <v>42916</v>
      </c>
      <c r="D86" s="1182">
        <v>0</v>
      </c>
      <c r="E86" s="377">
        <v>0</v>
      </c>
      <c r="F86" s="1016">
        <v>0</v>
      </c>
      <c r="G86" s="491">
        <f t="shared" si="8"/>
        <v>0</v>
      </c>
      <c r="H86" s="160">
        <f t="shared" si="9"/>
        <v>0</v>
      </c>
      <c r="I86" s="377">
        <f t="shared" si="10"/>
        <v>0</v>
      </c>
    </row>
    <row r="87" spans="1:9">
      <c r="A87" s="4">
        <v>20</v>
      </c>
      <c r="B87" s="16">
        <v>42917</v>
      </c>
      <c r="C87" s="186">
        <v>42947</v>
      </c>
      <c r="D87" s="1182">
        <v>0</v>
      </c>
      <c r="E87" s="377">
        <v>0</v>
      </c>
      <c r="F87" s="1016">
        <v>0</v>
      </c>
      <c r="G87" s="491">
        <f t="shared" si="8"/>
        <v>0</v>
      </c>
      <c r="H87" s="160">
        <f t="shared" si="9"/>
        <v>0</v>
      </c>
      <c r="I87" s="377">
        <f t="shared" si="10"/>
        <v>0</v>
      </c>
    </row>
    <row r="88" spans="1:9">
      <c r="A88" s="4">
        <v>21</v>
      </c>
      <c r="B88" s="16">
        <v>42948</v>
      </c>
      <c r="C88" s="186">
        <v>42978</v>
      </c>
      <c r="D88" s="1182">
        <v>0</v>
      </c>
      <c r="E88" s="377">
        <v>0</v>
      </c>
      <c r="F88" s="1016">
        <v>0</v>
      </c>
      <c r="G88" s="491">
        <f t="shared" si="8"/>
        <v>0</v>
      </c>
      <c r="H88" s="160">
        <f t="shared" si="9"/>
        <v>0</v>
      </c>
      <c r="I88" s="377">
        <f t="shared" si="10"/>
        <v>0</v>
      </c>
    </row>
    <row r="89" spans="1:9">
      <c r="A89" s="4">
        <v>22</v>
      </c>
      <c r="B89" s="16">
        <v>42979</v>
      </c>
      <c r="C89" s="186">
        <v>43008</v>
      </c>
      <c r="D89" s="1182">
        <v>0</v>
      </c>
      <c r="E89" s="377">
        <v>0</v>
      </c>
      <c r="F89" s="1016">
        <v>0</v>
      </c>
      <c r="G89" s="491">
        <f t="shared" si="8"/>
        <v>0</v>
      </c>
      <c r="H89" s="160">
        <f t="shared" si="9"/>
        <v>0</v>
      </c>
      <c r="I89" s="377">
        <f t="shared" si="10"/>
        <v>0</v>
      </c>
    </row>
    <row r="90" spans="1:9">
      <c r="A90" s="4">
        <v>23</v>
      </c>
      <c r="B90" s="16">
        <v>43009</v>
      </c>
      <c r="C90" s="186">
        <v>43039</v>
      </c>
      <c r="D90" s="1182">
        <v>0</v>
      </c>
      <c r="E90" s="377">
        <v>0</v>
      </c>
      <c r="F90" s="1016">
        <v>0</v>
      </c>
      <c r="G90" s="491">
        <f t="shared" si="8"/>
        <v>0</v>
      </c>
      <c r="H90" s="160">
        <f t="shared" si="9"/>
        <v>0</v>
      </c>
      <c r="I90" s="377">
        <f t="shared" si="10"/>
        <v>0</v>
      </c>
    </row>
    <row r="91" spans="1:9">
      <c r="A91" s="4">
        <v>24</v>
      </c>
      <c r="B91" s="16">
        <v>43040</v>
      </c>
      <c r="C91" s="186">
        <v>43069</v>
      </c>
      <c r="D91" s="1182">
        <v>0</v>
      </c>
      <c r="E91" s="377">
        <v>0</v>
      </c>
      <c r="F91" s="1016">
        <v>0</v>
      </c>
      <c r="G91" s="491">
        <f t="shared" si="8"/>
        <v>0</v>
      </c>
      <c r="H91" s="160">
        <f t="shared" si="9"/>
        <v>0</v>
      </c>
      <c r="I91" s="377">
        <f t="shared" si="10"/>
        <v>0</v>
      </c>
    </row>
    <row r="92" spans="1:9">
      <c r="A92" s="4">
        <v>25</v>
      </c>
      <c r="B92" s="16">
        <v>43070</v>
      </c>
      <c r="C92" s="186">
        <v>43100</v>
      </c>
      <c r="D92" s="1182">
        <v>0</v>
      </c>
      <c r="E92" s="377">
        <v>0</v>
      </c>
      <c r="F92" s="1016">
        <v>0</v>
      </c>
      <c r="G92" s="491">
        <f t="shared" si="8"/>
        <v>0</v>
      </c>
      <c r="H92" s="160">
        <f t="shared" si="9"/>
        <v>0</v>
      </c>
      <c r="I92" s="377">
        <f t="shared" si="10"/>
        <v>0</v>
      </c>
    </row>
    <row r="93" spans="1:9">
      <c r="A93" s="4">
        <v>26</v>
      </c>
      <c r="B93" s="16">
        <v>43101</v>
      </c>
      <c r="C93" s="186">
        <v>43130</v>
      </c>
      <c r="D93" s="1182">
        <v>0</v>
      </c>
      <c r="E93" s="377">
        <v>0</v>
      </c>
      <c r="F93" s="1016">
        <v>0</v>
      </c>
      <c r="G93" s="491">
        <f t="shared" si="8"/>
        <v>0</v>
      </c>
      <c r="H93" s="160">
        <f t="shared" si="9"/>
        <v>0</v>
      </c>
      <c r="I93" s="377">
        <v>0</v>
      </c>
    </row>
    <row r="94" spans="1:9">
      <c r="A94" s="4">
        <v>27</v>
      </c>
      <c r="B94" s="16">
        <v>43131</v>
      </c>
      <c r="C94" s="186">
        <v>43131</v>
      </c>
      <c r="D94" s="1182">
        <v>1</v>
      </c>
      <c r="E94" s="377">
        <f t="shared" ref="E94:E141" si="11">+$H$61</f>
        <v>5425333.7530389186</v>
      </c>
      <c r="F94" s="1016">
        <v>0.2069</v>
      </c>
      <c r="G94" s="491">
        <f>+F94*1.5</f>
        <v>0.31035000000000001</v>
      </c>
      <c r="H94" s="160">
        <f>((1+G94)^(1/365)-1)</f>
        <v>7.4080652774299871E-4</v>
      </c>
      <c r="I94" s="377">
        <f t="shared" ref="I94:I141" si="12">+E94*H94*D94</f>
        <v>4019.1226594356531</v>
      </c>
    </row>
    <row r="95" spans="1:9">
      <c r="A95" s="4">
        <v>28</v>
      </c>
      <c r="B95" s="16">
        <v>43132</v>
      </c>
      <c r="C95" s="186">
        <v>43159</v>
      </c>
      <c r="D95" s="1182">
        <f t="shared" ref="D95:D141" si="13">_xlfn.DAYS(C95,B95)+1</f>
        <v>28</v>
      </c>
      <c r="E95" s="377">
        <f t="shared" si="11"/>
        <v>5425333.7530389186</v>
      </c>
      <c r="F95" s="1016">
        <v>0.21010000000000001</v>
      </c>
      <c r="G95" s="491">
        <f t="shared" ref="G95:G139" si="14">+F95*1.5</f>
        <v>0.31515000000000004</v>
      </c>
      <c r="H95" s="160">
        <f t="shared" ref="H95:H141" si="15">((1+G95)^(1/365)-1)</f>
        <v>7.5083167162115494E-4</v>
      </c>
      <c r="I95" s="377">
        <f t="shared" si="12"/>
        <v>114058.34750511279</v>
      </c>
    </row>
    <row r="96" spans="1:9">
      <c r="A96" s="4">
        <v>29</v>
      </c>
      <c r="B96" s="16">
        <v>43160</v>
      </c>
      <c r="C96" s="186">
        <v>43190</v>
      </c>
      <c r="D96" s="1182">
        <f t="shared" si="13"/>
        <v>31</v>
      </c>
      <c r="E96" s="377">
        <f t="shared" si="11"/>
        <v>5425333.7530389186</v>
      </c>
      <c r="F96" s="1016">
        <v>0.20680000000000001</v>
      </c>
      <c r="G96" s="491">
        <f t="shared" si="14"/>
        <v>0.31020000000000003</v>
      </c>
      <c r="H96" s="160">
        <f t="shared" si="15"/>
        <v>7.4049265219700011E-4</v>
      </c>
      <c r="I96" s="377">
        <f t="shared" si="12"/>
        <v>124540.01317509249</v>
      </c>
    </row>
    <row r="97" spans="1:9">
      <c r="A97" s="4">
        <v>30</v>
      </c>
      <c r="B97" s="16">
        <v>43191</v>
      </c>
      <c r="C97" s="186">
        <v>43220</v>
      </c>
      <c r="D97" s="1182">
        <f t="shared" si="13"/>
        <v>30</v>
      </c>
      <c r="E97" s="377">
        <f t="shared" si="11"/>
        <v>5425333.7530389186</v>
      </c>
      <c r="F97" s="1016">
        <v>0.20480000000000001</v>
      </c>
      <c r="G97" s="491">
        <f t="shared" si="14"/>
        <v>0.30720000000000003</v>
      </c>
      <c r="H97" s="160">
        <f t="shared" si="15"/>
        <v>7.34207604366377E-4</v>
      </c>
      <c r="I97" s="377">
        <f t="shared" si="12"/>
        <v>119499.63893120248</v>
      </c>
    </row>
    <row r="98" spans="1:9">
      <c r="A98" s="4">
        <v>31</v>
      </c>
      <c r="B98" s="16">
        <v>43221</v>
      </c>
      <c r="C98" s="186">
        <v>43251</v>
      </c>
      <c r="D98" s="1182">
        <f t="shared" si="13"/>
        <v>31</v>
      </c>
      <c r="E98" s="377">
        <f t="shared" si="11"/>
        <v>5425333.7530389186</v>
      </c>
      <c r="F98" s="1016">
        <v>0.2044</v>
      </c>
      <c r="G98" s="491">
        <f t="shared" si="14"/>
        <v>0.30659999999999998</v>
      </c>
      <c r="H98" s="160">
        <f t="shared" si="15"/>
        <v>7.3294886878794152E-4</v>
      </c>
      <c r="I98" s="377">
        <f t="shared" si="12"/>
        <v>123271.25934969429</v>
      </c>
    </row>
    <row r="99" spans="1:9">
      <c r="A99" s="4">
        <v>32</v>
      </c>
      <c r="B99" s="16">
        <v>43252</v>
      </c>
      <c r="C99" s="186">
        <v>43281</v>
      </c>
      <c r="D99" s="1182">
        <f t="shared" si="13"/>
        <v>30</v>
      </c>
      <c r="E99" s="377">
        <f t="shared" si="11"/>
        <v>5425333.7530389186</v>
      </c>
      <c r="F99" s="1016">
        <v>0.20280000000000001</v>
      </c>
      <c r="G99" s="491">
        <f t="shared" si="14"/>
        <v>0.30420000000000003</v>
      </c>
      <c r="H99" s="160">
        <f t="shared" si="15"/>
        <v>7.2790815549184096E-4</v>
      </c>
      <c r="I99" s="377">
        <f t="shared" si="12"/>
        <v>118474.34055306559</v>
      </c>
    </row>
    <row r="100" spans="1:9">
      <c r="A100" s="4">
        <v>33</v>
      </c>
      <c r="B100" s="16">
        <v>43282</v>
      </c>
      <c r="C100" s="186">
        <v>43312</v>
      </c>
      <c r="D100" s="1182">
        <f t="shared" si="13"/>
        <v>31</v>
      </c>
      <c r="E100" s="377">
        <f t="shared" si="11"/>
        <v>5425333.7530389186</v>
      </c>
      <c r="F100" s="1016">
        <v>0.20030000000000001</v>
      </c>
      <c r="G100" s="491">
        <f t="shared" si="14"/>
        <v>0.30044999999999999</v>
      </c>
      <c r="H100" s="160">
        <f t="shared" si="15"/>
        <v>7.2001349197825526E-4</v>
      </c>
      <c r="I100" s="377">
        <f t="shared" si="12"/>
        <v>121095.71852086439</v>
      </c>
    </row>
    <row r="101" spans="1:9">
      <c r="A101" s="4">
        <v>34</v>
      </c>
      <c r="B101" s="16">
        <v>43313</v>
      </c>
      <c r="C101" s="186">
        <v>43343</v>
      </c>
      <c r="D101" s="1182">
        <f t="shared" si="13"/>
        <v>31</v>
      </c>
      <c r="E101" s="377">
        <f t="shared" si="11"/>
        <v>5425333.7530389186</v>
      </c>
      <c r="F101" s="1016">
        <v>0.19939999999999999</v>
      </c>
      <c r="G101" s="491">
        <f t="shared" si="14"/>
        <v>0.29909999999999998</v>
      </c>
      <c r="H101" s="160">
        <f t="shared" si="15"/>
        <v>7.1716585429704161E-4</v>
      </c>
      <c r="I101" s="377">
        <f t="shared" si="12"/>
        <v>120616.78759118666</v>
      </c>
    </row>
    <row r="102" spans="1:9">
      <c r="A102" s="4">
        <v>35</v>
      </c>
      <c r="B102" s="16">
        <v>43344</v>
      </c>
      <c r="C102" s="186">
        <v>43373</v>
      </c>
      <c r="D102" s="1182">
        <f t="shared" si="13"/>
        <v>30</v>
      </c>
      <c r="E102" s="377">
        <f t="shared" si="11"/>
        <v>5425333.7530389186</v>
      </c>
      <c r="F102" s="1016">
        <v>0.1981</v>
      </c>
      <c r="G102" s="491">
        <f t="shared" si="14"/>
        <v>0.29715000000000003</v>
      </c>
      <c r="H102" s="160">
        <f t="shared" si="15"/>
        <v>7.1304738558919389E-4</v>
      </c>
      <c r="I102" s="377">
        <f t="shared" si="12"/>
        <v>116055.6014565963</v>
      </c>
    </row>
    <row r="103" spans="1:9">
      <c r="A103" s="4">
        <v>36</v>
      </c>
      <c r="B103" s="16">
        <v>43374</v>
      </c>
      <c r="C103" s="186">
        <v>43404</v>
      </c>
      <c r="D103" s="1182">
        <f t="shared" si="13"/>
        <v>31</v>
      </c>
      <c r="E103" s="377">
        <f t="shared" si="11"/>
        <v>5425333.7530389186</v>
      </c>
      <c r="F103" s="1016">
        <v>0.1963</v>
      </c>
      <c r="G103" s="491">
        <f t="shared" si="14"/>
        <v>0.29444999999999999</v>
      </c>
      <c r="H103" s="160">
        <f t="shared" si="15"/>
        <v>7.073346857742191E-4</v>
      </c>
      <c r="I103" s="377">
        <f t="shared" si="12"/>
        <v>118963.3291082075</v>
      </c>
    </row>
    <row r="104" spans="1:9">
      <c r="A104" s="4">
        <v>37</v>
      </c>
      <c r="B104" s="16">
        <v>43405</v>
      </c>
      <c r="C104" s="186">
        <v>43434</v>
      </c>
      <c r="D104" s="1182">
        <f t="shared" si="13"/>
        <v>30</v>
      </c>
      <c r="E104" s="377">
        <f t="shared" si="11"/>
        <v>5425333.7530389186</v>
      </c>
      <c r="F104" s="1016">
        <v>0.19489999999999999</v>
      </c>
      <c r="G104" s="491">
        <f t="shared" si="14"/>
        <v>0.29235</v>
      </c>
      <c r="H104" s="160">
        <f t="shared" si="15"/>
        <v>7.0288325333756063E-4</v>
      </c>
      <c r="I104" s="377">
        <f t="shared" si="12"/>
        <v>114401.28716334219</v>
      </c>
    </row>
    <row r="105" spans="1:9">
      <c r="A105" s="4">
        <v>38</v>
      </c>
      <c r="B105" s="16">
        <v>43435</v>
      </c>
      <c r="C105" s="186">
        <v>43465</v>
      </c>
      <c r="D105" s="1182">
        <f t="shared" si="13"/>
        <v>31</v>
      </c>
      <c r="E105" s="377">
        <f t="shared" si="11"/>
        <v>5425333.7530389186</v>
      </c>
      <c r="F105" s="1016">
        <v>0.19400000000000001</v>
      </c>
      <c r="G105" s="491">
        <f t="shared" si="14"/>
        <v>0.29100000000000004</v>
      </c>
      <c r="H105" s="160">
        <f t="shared" si="15"/>
        <v>7.0001780740103214E-4</v>
      </c>
      <c r="I105" s="377">
        <f t="shared" si="12"/>
        <v>117732.73738485463</v>
      </c>
    </row>
    <row r="106" spans="1:9">
      <c r="A106" s="4">
        <v>39</v>
      </c>
      <c r="B106" s="16">
        <v>43466</v>
      </c>
      <c r="C106" s="186">
        <v>43496</v>
      </c>
      <c r="D106" s="1182">
        <f t="shared" si="13"/>
        <v>31</v>
      </c>
      <c r="E106" s="377">
        <f t="shared" si="11"/>
        <v>5425333.7530389186</v>
      </c>
      <c r="F106" s="1016">
        <v>0.19159999999999999</v>
      </c>
      <c r="G106" s="491">
        <f t="shared" si="14"/>
        <v>0.28739999999999999</v>
      </c>
      <c r="H106" s="160">
        <f t="shared" si="15"/>
        <v>6.9236198468725085E-4</v>
      </c>
      <c r="I106" s="377">
        <f t="shared" si="12"/>
        <v>116445.14019018746</v>
      </c>
    </row>
    <row r="107" spans="1:9">
      <c r="A107" s="4">
        <v>40</v>
      </c>
      <c r="B107" s="16">
        <v>43497</v>
      </c>
      <c r="C107" s="186">
        <v>43524</v>
      </c>
      <c r="D107" s="1182">
        <f t="shared" si="13"/>
        <v>28</v>
      </c>
      <c r="E107" s="377">
        <f t="shared" si="11"/>
        <v>5425333.7530389186</v>
      </c>
      <c r="F107" s="1016">
        <v>0.19700000000000001</v>
      </c>
      <c r="G107" s="491">
        <f t="shared" si="14"/>
        <v>0.29549999999999998</v>
      </c>
      <c r="H107" s="160">
        <f t="shared" si="15"/>
        <v>7.0955770203506852E-4</v>
      </c>
      <c r="I107" s="377">
        <f t="shared" si="12"/>
        <v>107788.44581622849</v>
      </c>
    </row>
    <row r="108" spans="1:9">
      <c r="A108" s="4">
        <v>41</v>
      </c>
      <c r="B108" s="16">
        <v>43525</v>
      </c>
      <c r="C108" s="186">
        <v>43555</v>
      </c>
      <c r="D108" s="1182">
        <f t="shared" si="13"/>
        <v>31</v>
      </c>
      <c r="E108" s="377">
        <f t="shared" si="11"/>
        <v>5425333.7530389186</v>
      </c>
      <c r="F108" s="1016">
        <v>0.19370000000000001</v>
      </c>
      <c r="G108" s="491">
        <f t="shared" si="14"/>
        <v>0.29055000000000003</v>
      </c>
      <c r="H108" s="160">
        <f t="shared" si="15"/>
        <v>6.9906199467517638E-4</v>
      </c>
      <c r="I108" s="377">
        <f t="shared" si="12"/>
        <v>117571.98369051637</v>
      </c>
    </row>
    <row r="109" spans="1:9">
      <c r="A109" s="4">
        <v>42</v>
      </c>
      <c r="B109" s="16">
        <v>43556</v>
      </c>
      <c r="C109" s="186">
        <v>43585</v>
      </c>
      <c r="D109" s="1182">
        <f t="shared" si="13"/>
        <v>30</v>
      </c>
      <c r="E109" s="377">
        <f t="shared" si="11"/>
        <v>5425333.7530389186</v>
      </c>
      <c r="F109" s="1016">
        <v>0.19320000000000001</v>
      </c>
      <c r="G109" s="491">
        <f t="shared" si="14"/>
        <v>0.2898</v>
      </c>
      <c r="H109" s="160">
        <f t="shared" si="15"/>
        <v>6.9746823462724095E-4</v>
      </c>
      <c r="I109" s="377">
        <f t="shared" si="12"/>
        <v>113519.93864986915</v>
      </c>
    </row>
    <row r="110" spans="1:9">
      <c r="A110" s="4">
        <v>43</v>
      </c>
      <c r="B110" s="16">
        <v>43586</v>
      </c>
      <c r="C110" s="186">
        <v>43616</v>
      </c>
      <c r="D110" s="1182">
        <f t="shared" si="13"/>
        <v>31</v>
      </c>
      <c r="E110" s="377">
        <f t="shared" si="11"/>
        <v>5425333.7530389186</v>
      </c>
      <c r="F110" s="1016">
        <v>0.19339999999999999</v>
      </c>
      <c r="G110" s="491">
        <f t="shared" si="14"/>
        <v>0.29009999999999997</v>
      </c>
      <c r="H110" s="160">
        <f t="shared" si="15"/>
        <v>6.9810584952367805E-4</v>
      </c>
      <c r="I110" s="377">
        <f t="shared" si="12"/>
        <v>117411.17408705628</v>
      </c>
    </row>
    <row r="111" spans="1:9">
      <c r="A111" s="4">
        <v>44</v>
      </c>
      <c r="B111" s="16">
        <v>43617</v>
      </c>
      <c r="C111" s="186">
        <v>43646</v>
      </c>
      <c r="D111" s="1182">
        <f t="shared" si="13"/>
        <v>30</v>
      </c>
      <c r="E111" s="377">
        <f t="shared" si="11"/>
        <v>5425333.7530389186</v>
      </c>
      <c r="F111" s="1016">
        <v>0.193</v>
      </c>
      <c r="G111" s="491">
        <f t="shared" si="14"/>
        <v>0.28949999999999998</v>
      </c>
      <c r="H111" s="160">
        <f t="shared" si="15"/>
        <v>6.9683047181468005E-4</v>
      </c>
      <c r="I111" s="377">
        <f t="shared" si="12"/>
        <v>113416.13636646656</v>
      </c>
    </row>
    <row r="112" spans="1:9">
      <c r="A112" s="4">
        <v>45</v>
      </c>
      <c r="B112" s="16">
        <v>43647</v>
      </c>
      <c r="C112" s="186">
        <v>43677</v>
      </c>
      <c r="D112" s="1182">
        <f t="shared" si="13"/>
        <v>31</v>
      </c>
      <c r="E112" s="377">
        <f t="shared" si="11"/>
        <v>5425333.7530389186</v>
      </c>
      <c r="F112" s="1016">
        <v>0.1928</v>
      </c>
      <c r="G112" s="491">
        <f t="shared" si="14"/>
        <v>0.28920000000000001</v>
      </c>
      <c r="H112" s="160">
        <f t="shared" si="15"/>
        <v>6.9619256101671745E-4</v>
      </c>
      <c r="I112" s="377">
        <f t="shared" si="12"/>
        <v>117089.38699685672</v>
      </c>
    </row>
    <row r="113" spans="1:9">
      <c r="A113" s="4">
        <v>46</v>
      </c>
      <c r="B113" s="16">
        <v>43678</v>
      </c>
      <c r="C113" s="186">
        <v>43708</v>
      </c>
      <c r="D113" s="1182">
        <f t="shared" si="13"/>
        <v>31</v>
      </c>
      <c r="E113" s="377">
        <f t="shared" si="11"/>
        <v>5425333.7530389186</v>
      </c>
      <c r="F113" s="1016">
        <v>0.19320000000000001</v>
      </c>
      <c r="G113" s="491">
        <f t="shared" si="14"/>
        <v>0.2898</v>
      </c>
      <c r="H113" s="160">
        <f t="shared" si="15"/>
        <v>6.9746823462724095E-4</v>
      </c>
      <c r="I113" s="377">
        <f t="shared" si="12"/>
        <v>117303.93660486479</v>
      </c>
    </row>
    <row r="114" spans="1:9">
      <c r="A114" s="4">
        <v>47</v>
      </c>
      <c r="B114" s="16">
        <v>43709</v>
      </c>
      <c r="C114" s="186">
        <v>43738</v>
      </c>
      <c r="D114" s="1182">
        <f t="shared" si="13"/>
        <v>30</v>
      </c>
      <c r="E114" s="377">
        <f t="shared" si="11"/>
        <v>5425333.7530389186</v>
      </c>
      <c r="F114" s="1016">
        <v>0.19320000000000001</v>
      </c>
      <c r="G114" s="491">
        <f t="shared" si="14"/>
        <v>0.2898</v>
      </c>
      <c r="H114" s="160">
        <f t="shared" si="15"/>
        <v>6.9746823462724095E-4</v>
      </c>
      <c r="I114" s="377">
        <f t="shared" si="12"/>
        <v>113519.93864986915</v>
      </c>
    </row>
    <row r="115" spans="1:9">
      <c r="A115" s="4">
        <v>48</v>
      </c>
      <c r="B115" s="16">
        <v>43739</v>
      </c>
      <c r="C115" s="186">
        <v>43769</v>
      </c>
      <c r="D115" s="1182">
        <f t="shared" si="13"/>
        <v>31</v>
      </c>
      <c r="E115" s="377">
        <f t="shared" si="11"/>
        <v>5425333.7530389186</v>
      </c>
      <c r="F115" s="1016">
        <v>0.191</v>
      </c>
      <c r="G115" s="491">
        <f t="shared" si="14"/>
        <v>0.28649999999999998</v>
      </c>
      <c r="H115" s="160">
        <f t="shared" si="15"/>
        <v>6.9044469314105683E-4</v>
      </c>
      <c r="I115" s="377">
        <f t="shared" si="12"/>
        <v>116122.679847448</v>
      </c>
    </row>
    <row r="116" spans="1:9">
      <c r="A116" s="4">
        <v>49</v>
      </c>
      <c r="B116" s="16">
        <v>43770</v>
      </c>
      <c r="C116" s="186">
        <v>43799</v>
      </c>
      <c r="D116" s="1182">
        <f t="shared" si="13"/>
        <v>30</v>
      </c>
      <c r="E116" s="377">
        <f t="shared" si="11"/>
        <v>5425333.7530389186</v>
      </c>
      <c r="F116" s="1016">
        <v>0.1903</v>
      </c>
      <c r="G116" s="491">
        <f t="shared" si="14"/>
        <v>0.28544999999999998</v>
      </c>
      <c r="H116" s="160">
        <f t="shared" si="15"/>
        <v>6.8820616169262827E-4</v>
      </c>
      <c r="I116" s="377">
        <f t="shared" si="12"/>
        <v>112012.44354241127</v>
      </c>
    </row>
    <row r="117" spans="1:9">
      <c r="A117" s="4">
        <v>50</v>
      </c>
      <c r="B117" s="16">
        <v>43800</v>
      </c>
      <c r="C117" s="186">
        <v>43830</v>
      </c>
      <c r="D117" s="1182">
        <f t="shared" si="13"/>
        <v>31</v>
      </c>
      <c r="E117" s="377">
        <f t="shared" si="11"/>
        <v>5425333.7530389186</v>
      </c>
      <c r="F117" s="1016">
        <v>0.18909999999999999</v>
      </c>
      <c r="G117" s="491">
        <f t="shared" si="14"/>
        <v>0.28364999999999996</v>
      </c>
      <c r="H117" s="160">
        <f t="shared" si="15"/>
        <v>6.8436443340047504E-4</v>
      </c>
      <c r="I117" s="377">
        <f t="shared" si="12"/>
        <v>115100.06925711552</v>
      </c>
    </row>
    <row r="118" spans="1:9">
      <c r="A118" s="4">
        <v>51</v>
      </c>
      <c r="B118" s="16">
        <v>43831</v>
      </c>
      <c r="C118" s="186">
        <v>43861</v>
      </c>
      <c r="D118" s="1182">
        <f t="shared" si="13"/>
        <v>31</v>
      </c>
      <c r="E118" s="377">
        <f t="shared" si="11"/>
        <v>5425333.7530389186</v>
      </c>
      <c r="F118" s="1016">
        <v>0.18770000000000001</v>
      </c>
      <c r="G118" s="491">
        <f t="shared" si="14"/>
        <v>0.28155000000000002</v>
      </c>
      <c r="H118" s="160">
        <f t="shared" si="15"/>
        <v>6.7987562124560696E-4</v>
      </c>
      <c r="I118" s="377">
        <f t="shared" si="12"/>
        <v>114345.11683017494</v>
      </c>
    </row>
    <row r="119" spans="1:9">
      <c r="A119" s="4">
        <v>52</v>
      </c>
      <c r="B119" s="16">
        <v>43862</v>
      </c>
      <c r="C119" s="186">
        <v>43890</v>
      </c>
      <c r="D119" s="1182">
        <f t="shared" si="13"/>
        <v>29</v>
      </c>
      <c r="E119" s="377">
        <f t="shared" si="11"/>
        <v>5425333.7530389186</v>
      </c>
      <c r="F119" s="1016">
        <v>0.19059999999999999</v>
      </c>
      <c r="G119" s="491">
        <f t="shared" si="14"/>
        <v>0.28589999999999999</v>
      </c>
      <c r="H119" s="160">
        <f t="shared" si="15"/>
        <v>6.8916575551658532E-4</v>
      </c>
      <c r="I119" s="377">
        <f t="shared" si="12"/>
        <v>108429.67281043823</v>
      </c>
    </row>
    <row r="120" spans="1:9">
      <c r="A120" s="4">
        <v>53</v>
      </c>
      <c r="B120" s="16">
        <v>43891</v>
      </c>
      <c r="C120" s="186">
        <v>43921</v>
      </c>
      <c r="D120" s="1182">
        <f t="shared" si="13"/>
        <v>31</v>
      </c>
      <c r="E120" s="377">
        <f t="shared" si="11"/>
        <v>5425333.7530389186</v>
      </c>
      <c r="F120" s="1016">
        <v>0.1895</v>
      </c>
      <c r="G120" s="491">
        <f t="shared" si="14"/>
        <v>0.28425</v>
      </c>
      <c r="H120" s="160">
        <f t="shared" si="15"/>
        <v>6.8564560609574166E-4</v>
      </c>
      <c r="I120" s="377">
        <f t="shared" si="12"/>
        <v>115315.54373059567</v>
      </c>
    </row>
    <row r="121" spans="1:9">
      <c r="A121" s="4">
        <v>54</v>
      </c>
      <c r="B121" s="16">
        <v>43922</v>
      </c>
      <c r="C121" s="186">
        <v>43951</v>
      </c>
      <c r="D121" s="1182">
        <f t="shared" si="13"/>
        <v>30</v>
      </c>
      <c r="E121" s="377">
        <f t="shared" si="11"/>
        <v>5425333.7530389186</v>
      </c>
      <c r="F121" s="1016">
        <v>0.18690000000000001</v>
      </c>
      <c r="G121" s="491">
        <f t="shared" si="14"/>
        <v>0.28034999999999999</v>
      </c>
      <c r="H121" s="160">
        <f t="shared" si="15"/>
        <v>6.7730729113191224E-4</v>
      </c>
      <c r="I121" s="377">
        <f t="shared" si="12"/>
        <v>110238.54323271963</v>
      </c>
    </row>
    <row r="122" spans="1:9">
      <c r="A122" s="4">
        <v>55</v>
      </c>
      <c r="B122" s="16">
        <v>43952</v>
      </c>
      <c r="C122" s="186">
        <v>43982</v>
      </c>
      <c r="D122" s="1182">
        <f t="shared" si="13"/>
        <v>31</v>
      </c>
      <c r="E122" s="377">
        <f t="shared" si="11"/>
        <v>5425333.7530389186</v>
      </c>
      <c r="F122" s="1016">
        <v>0.18190000000000001</v>
      </c>
      <c r="G122" s="491">
        <f t="shared" si="14"/>
        <v>0.27285000000000004</v>
      </c>
      <c r="H122" s="160">
        <f t="shared" si="15"/>
        <v>6.6120063584418354E-4</v>
      </c>
      <c r="I122" s="377">
        <f t="shared" si="12"/>
        <v>111204.25794246355</v>
      </c>
    </row>
    <row r="123" spans="1:9">
      <c r="A123" s="4">
        <v>56</v>
      </c>
      <c r="B123" s="16">
        <v>43983</v>
      </c>
      <c r="C123" s="186">
        <v>44012</v>
      </c>
      <c r="D123" s="1182">
        <f t="shared" si="13"/>
        <v>30</v>
      </c>
      <c r="E123" s="377">
        <f t="shared" si="11"/>
        <v>5425333.7530389186</v>
      </c>
      <c r="F123" s="1016">
        <v>0.1812</v>
      </c>
      <c r="G123" s="491">
        <f t="shared" si="14"/>
        <v>0.27179999999999999</v>
      </c>
      <c r="H123" s="160">
        <f t="shared" si="15"/>
        <v>6.5893815469997286E-4</v>
      </c>
      <c r="I123" s="377">
        <f t="shared" si="12"/>
        <v>107248.7823557683</v>
      </c>
    </row>
    <row r="124" spans="1:9">
      <c r="A124" s="4">
        <v>57</v>
      </c>
      <c r="B124" s="16">
        <v>44013</v>
      </c>
      <c r="C124" s="186">
        <v>44043</v>
      </c>
      <c r="D124" s="1182">
        <f t="shared" si="13"/>
        <v>31</v>
      </c>
      <c r="E124" s="377">
        <f t="shared" si="11"/>
        <v>5425333.7530389186</v>
      </c>
      <c r="F124" s="1016">
        <v>0.1812</v>
      </c>
      <c r="G124" s="491">
        <f t="shared" si="14"/>
        <v>0.27179999999999999</v>
      </c>
      <c r="H124" s="160">
        <f t="shared" si="15"/>
        <v>6.5893815469997286E-4</v>
      </c>
      <c r="I124" s="377">
        <f t="shared" si="12"/>
        <v>110823.74176762725</v>
      </c>
    </row>
    <row r="125" spans="1:9">
      <c r="A125" s="4">
        <v>58</v>
      </c>
      <c r="B125" s="16">
        <v>44044</v>
      </c>
      <c r="C125" s="186">
        <v>44074</v>
      </c>
      <c r="D125" s="1182">
        <f t="shared" si="13"/>
        <v>31</v>
      </c>
      <c r="E125" s="377">
        <f t="shared" si="11"/>
        <v>5425333.7530389186</v>
      </c>
      <c r="F125" s="1016">
        <v>0.18290000000000001</v>
      </c>
      <c r="G125" s="491">
        <f t="shared" si="14"/>
        <v>0.27434999999999998</v>
      </c>
      <c r="H125" s="160">
        <f t="shared" si="15"/>
        <v>6.6442952514544906E-4</v>
      </c>
      <c r="I125" s="377">
        <f t="shared" si="12"/>
        <v>111747.30980790399</v>
      </c>
    </row>
    <row r="126" spans="1:9">
      <c r="A126" s="4">
        <v>59</v>
      </c>
      <c r="B126" s="16">
        <v>44075</v>
      </c>
      <c r="C126" s="186">
        <v>44104</v>
      </c>
      <c r="D126" s="1182">
        <f t="shared" si="13"/>
        <v>30</v>
      </c>
      <c r="E126" s="377">
        <f t="shared" si="11"/>
        <v>5425333.7530389186</v>
      </c>
      <c r="F126" s="1016">
        <v>0.1835</v>
      </c>
      <c r="G126" s="491">
        <f t="shared" si="14"/>
        <v>0.27524999999999999</v>
      </c>
      <c r="H126" s="160">
        <f t="shared" si="15"/>
        <v>6.6636503991857055E-4</v>
      </c>
      <c r="I126" s="377">
        <f t="shared" si="12"/>
        <v>108457.58228746041</v>
      </c>
    </row>
    <row r="127" spans="1:9">
      <c r="A127" s="4">
        <v>60</v>
      </c>
      <c r="B127" s="16">
        <v>44105</v>
      </c>
      <c r="C127" s="186">
        <v>44135</v>
      </c>
      <c r="D127" s="1182">
        <f t="shared" si="13"/>
        <v>31</v>
      </c>
      <c r="E127" s="377">
        <f t="shared" si="11"/>
        <v>5425333.7530389186</v>
      </c>
      <c r="F127" s="1016">
        <v>0.18090000000000001</v>
      </c>
      <c r="G127" s="491">
        <f t="shared" si="14"/>
        <v>0.27134999999999998</v>
      </c>
      <c r="H127" s="160">
        <f t="shared" si="15"/>
        <v>6.5796794962613703E-4</v>
      </c>
      <c r="I127" s="377">
        <f t="shared" si="12"/>
        <v>110660.56749125925</v>
      </c>
    </row>
    <row r="128" spans="1:9">
      <c r="A128" s="4">
        <v>61</v>
      </c>
      <c r="B128" s="16">
        <v>44136</v>
      </c>
      <c r="C128" s="186">
        <v>44165</v>
      </c>
      <c r="D128" s="1182">
        <f t="shared" si="13"/>
        <v>30</v>
      </c>
      <c r="E128" s="377">
        <f t="shared" si="11"/>
        <v>5425333.7530389186</v>
      </c>
      <c r="F128" s="1016">
        <v>0.1784</v>
      </c>
      <c r="G128" s="491">
        <f t="shared" si="14"/>
        <v>0.2676</v>
      </c>
      <c r="H128" s="160">
        <f t="shared" si="15"/>
        <v>6.4986956374091243E-4</v>
      </c>
      <c r="I128" s="377">
        <f t="shared" si="12"/>
        <v>105772.77837708748</v>
      </c>
    </row>
    <row r="129" spans="1:10">
      <c r="A129" s="4">
        <v>62</v>
      </c>
      <c r="B129" s="16">
        <v>44166</v>
      </c>
      <c r="C129" s="186">
        <v>44196</v>
      </c>
      <c r="D129" s="1182">
        <f t="shared" si="13"/>
        <v>31</v>
      </c>
      <c r="E129" s="377">
        <f t="shared" si="11"/>
        <v>5425333.7530389186</v>
      </c>
      <c r="F129" s="1016">
        <v>0.17460000000000001</v>
      </c>
      <c r="G129" s="491">
        <f t="shared" si="14"/>
        <v>0.26190000000000002</v>
      </c>
      <c r="H129" s="160">
        <f t="shared" si="15"/>
        <v>6.3751414410861962E-4</v>
      </c>
      <c r="I129" s="377">
        <f t="shared" si="12"/>
        <v>107220.53712623856</v>
      </c>
    </row>
    <row r="130" spans="1:10">
      <c r="A130" s="4">
        <v>63</v>
      </c>
      <c r="B130" s="16">
        <v>44197</v>
      </c>
      <c r="C130" s="186">
        <v>44227</v>
      </c>
      <c r="D130" s="1182">
        <f t="shared" si="13"/>
        <v>31</v>
      </c>
      <c r="E130" s="377">
        <f t="shared" si="11"/>
        <v>5425333.7530389186</v>
      </c>
      <c r="F130" s="1016">
        <v>0.17319999999999999</v>
      </c>
      <c r="G130" s="491">
        <f t="shared" si="14"/>
        <v>0.25979999999999998</v>
      </c>
      <c r="H130" s="160">
        <f t="shared" si="15"/>
        <v>6.3294811266723094E-4</v>
      </c>
      <c r="I130" s="377">
        <f t="shared" si="12"/>
        <v>106452.59754685007</v>
      </c>
    </row>
    <row r="131" spans="1:10">
      <c r="A131" s="4">
        <v>64</v>
      </c>
      <c r="B131" s="16">
        <v>44228</v>
      </c>
      <c r="C131" s="186">
        <v>44255</v>
      </c>
      <c r="D131" s="1182">
        <f t="shared" si="13"/>
        <v>28</v>
      </c>
      <c r="E131" s="377">
        <f t="shared" si="11"/>
        <v>5425333.7530389186</v>
      </c>
      <c r="F131" s="1016">
        <v>0.1754</v>
      </c>
      <c r="G131" s="491">
        <f t="shared" si="14"/>
        <v>0.2631</v>
      </c>
      <c r="H131" s="160">
        <f t="shared" si="15"/>
        <v>6.4011990387169426E-4</v>
      </c>
      <c r="I131" s="377">
        <f t="shared" si="12"/>
        <v>97240.195373079667</v>
      </c>
    </row>
    <row r="132" spans="1:10">
      <c r="A132" s="4">
        <v>65</v>
      </c>
      <c r="B132" s="16">
        <v>44256</v>
      </c>
      <c r="C132" s="186">
        <v>44286</v>
      </c>
      <c r="D132" s="1182">
        <f t="shared" si="13"/>
        <v>31</v>
      </c>
      <c r="E132" s="377">
        <f t="shared" si="11"/>
        <v>5425333.7530389186</v>
      </c>
      <c r="F132" s="1016">
        <v>0.1741</v>
      </c>
      <c r="G132" s="491">
        <f t="shared" si="14"/>
        <v>0.26114999999999999</v>
      </c>
      <c r="H132" s="160">
        <f t="shared" si="15"/>
        <v>6.3588428907812578E-4</v>
      </c>
      <c r="I132" s="377">
        <f t="shared" si="12"/>
        <v>106946.4193934441</v>
      </c>
    </row>
    <row r="133" spans="1:10">
      <c r="A133" s="4">
        <v>66</v>
      </c>
      <c r="B133" s="16">
        <v>44287</v>
      </c>
      <c r="C133" s="186">
        <v>44316</v>
      </c>
      <c r="D133" s="1182">
        <f t="shared" si="13"/>
        <v>30</v>
      </c>
      <c r="E133" s="377">
        <f t="shared" si="11"/>
        <v>5425333.7530389186</v>
      </c>
      <c r="F133" s="1016">
        <v>0.1731</v>
      </c>
      <c r="G133" s="491">
        <f t="shared" si="14"/>
        <v>0.25964999999999999</v>
      </c>
      <c r="H133" s="160">
        <f t="shared" si="15"/>
        <v>6.326216771728177E-4</v>
      </c>
      <c r="I133" s="377">
        <f t="shared" si="12"/>
        <v>102965.51214209336</v>
      </c>
    </row>
    <row r="134" spans="1:10">
      <c r="A134" s="4">
        <v>67</v>
      </c>
      <c r="B134" s="16">
        <v>44317</v>
      </c>
      <c r="C134" s="186">
        <v>44347</v>
      </c>
      <c r="D134" s="1182">
        <f t="shared" si="13"/>
        <v>31</v>
      </c>
      <c r="E134" s="377">
        <f t="shared" si="11"/>
        <v>5425333.7530389186</v>
      </c>
      <c r="F134" s="1016">
        <v>0.17219999999999999</v>
      </c>
      <c r="G134" s="491">
        <f t="shared" si="14"/>
        <v>0.25829999999999997</v>
      </c>
      <c r="H134" s="160">
        <f t="shared" si="15"/>
        <v>6.2968201205726437E-4</v>
      </c>
      <c r="I134" s="377">
        <f t="shared" si="12"/>
        <v>105903.28728456781</v>
      </c>
    </row>
    <row r="135" spans="1:10" ht="15" customHeight="1">
      <c r="A135" s="4">
        <v>68</v>
      </c>
      <c r="B135" s="16">
        <v>44348</v>
      </c>
      <c r="C135" s="186">
        <v>44377</v>
      </c>
      <c r="D135" s="1182">
        <f t="shared" si="13"/>
        <v>30</v>
      </c>
      <c r="E135" s="377">
        <f t="shared" si="11"/>
        <v>5425333.7530389186</v>
      </c>
      <c r="F135" s="1016">
        <v>0.1721</v>
      </c>
      <c r="G135" s="491">
        <f t="shared" si="14"/>
        <v>0.25814999999999999</v>
      </c>
      <c r="H135" s="160">
        <f t="shared" si="15"/>
        <v>6.2935518846773952E-4</v>
      </c>
      <c r="I135" s="377">
        <f t="shared" si="12"/>
        <v>102433.85839932592</v>
      </c>
    </row>
    <row r="136" spans="1:10" ht="16.5" customHeight="1">
      <c r="A136" s="4">
        <v>69</v>
      </c>
      <c r="B136" s="16">
        <v>44378</v>
      </c>
      <c r="C136" s="186">
        <v>44408</v>
      </c>
      <c r="D136" s="1182">
        <f t="shared" si="13"/>
        <v>31</v>
      </c>
      <c r="E136" s="377">
        <f t="shared" si="11"/>
        <v>5425333.7530389186</v>
      </c>
      <c r="F136" s="1016">
        <v>0.17180000000000001</v>
      </c>
      <c r="G136" s="491">
        <f t="shared" si="14"/>
        <v>0.25770000000000004</v>
      </c>
      <c r="H136" s="160">
        <f t="shared" si="15"/>
        <v>6.2837448450037137E-4</v>
      </c>
      <c r="I136" s="377">
        <f t="shared" si="12"/>
        <v>105683.38030955716</v>
      </c>
    </row>
    <row r="137" spans="1:10" s="188" customFormat="1" ht="16.5" customHeight="1">
      <c r="A137" s="4">
        <v>70</v>
      </c>
      <c r="B137" s="16">
        <v>44409</v>
      </c>
      <c r="C137" s="186">
        <v>44439</v>
      </c>
      <c r="D137" s="1182">
        <f t="shared" si="13"/>
        <v>31</v>
      </c>
      <c r="E137" s="377">
        <f t="shared" si="11"/>
        <v>5425333.7530389186</v>
      </c>
      <c r="F137" s="1016">
        <v>0.1724</v>
      </c>
      <c r="G137" s="491">
        <f t="shared" si="14"/>
        <v>0.2586</v>
      </c>
      <c r="H137" s="160">
        <f t="shared" si="15"/>
        <v>6.3033554269220637E-4</v>
      </c>
      <c r="I137" s="377">
        <f t="shared" si="12"/>
        <v>106013.20156075207</v>
      </c>
      <c r="J137"/>
    </row>
    <row r="138" spans="1:10" ht="16.5" customHeight="1">
      <c r="A138" s="4">
        <v>71</v>
      </c>
      <c r="B138" s="16">
        <v>44440</v>
      </c>
      <c r="C138" s="186">
        <v>44469</v>
      </c>
      <c r="D138" s="1182">
        <f t="shared" si="13"/>
        <v>30</v>
      </c>
      <c r="E138" s="377">
        <f t="shared" si="11"/>
        <v>5425333.7530389186</v>
      </c>
      <c r="F138" s="1016">
        <v>0.1719</v>
      </c>
      <c r="G138" s="491">
        <f t="shared" si="14"/>
        <v>0.25785000000000002</v>
      </c>
      <c r="H138" s="160">
        <f t="shared" si="15"/>
        <v>6.2870142469861889E-4</v>
      </c>
      <c r="I138" s="377">
        <f t="shared" si="12"/>
        <v>102327.45180003218</v>
      </c>
    </row>
    <row r="139" spans="1:10" ht="16.5" customHeight="1">
      <c r="A139" s="4">
        <v>72</v>
      </c>
      <c r="B139" s="16">
        <v>44470</v>
      </c>
      <c r="C139" s="186">
        <v>44500</v>
      </c>
      <c r="D139" s="1182">
        <f t="shared" si="13"/>
        <v>31</v>
      </c>
      <c r="E139" s="377">
        <f t="shared" si="11"/>
        <v>5425333.7530389186</v>
      </c>
      <c r="F139" s="1016">
        <v>0.17080000000000001</v>
      </c>
      <c r="G139" s="491">
        <f t="shared" si="14"/>
        <v>0.25619999999999998</v>
      </c>
      <c r="H139" s="160">
        <f t="shared" si="15"/>
        <v>6.2510294214179751E-4</v>
      </c>
      <c r="I139" s="377">
        <f t="shared" si="12"/>
        <v>105133.15482490067</v>
      </c>
    </row>
    <row r="140" spans="1:10" ht="16.5" customHeight="1">
      <c r="A140" s="4">
        <v>73</v>
      </c>
      <c r="B140" s="16">
        <v>44501</v>
      </c>
      <c r="C140" s="186">
        <v>44530</v>
      </c>
      <c r="D140" s="1182">
        <f t="shared" si="13"/>
        <v>30</v>
      </c>
      <c r="E140" s="377">
        <f t="shared" si="11"/>
        <v>5425333.7530389186</v>
      </c>
      <c r="F140" s="1016">
        <v>0.17269999999999999</v>
      </c>
      <c r="G140" s="491">
        <f>+F140*1.5</f>
        <v>0.25905</v>
      </c>
      <c r="H140" s="160">
        <f t="shared" si="15"/>
        <v>6.3131554742335005E-4</v>
      </c>
      <c r="I140" s="377">
        <f t="shared" si="12"/>
        <v>102752.9264476243</v>
      </c>
    </row>
    <row r="141" spans="1:10" ht="16.5" customHeight="1">
      <c r="A141" s="4">
        <v>74</v>
      </c>
      <c r="B141" s="16">
        <v>44531</v>
      </c>
      <c r="C141" s="186">
        <v>44540</v>
      </c>
      <c r="D141" s="1182">
        <f t="shared" si="13"/>
        <v>10</v>
      </c>
      <c r="E141" s="377">
        <f t="shared" si="11"/>
        <v>5425333.7530389186</v>
      </c>
      <c r="F141" s="1016">
        <v>0.17460000000000001</v>
      </c>
      <c r="G141" s="491">
        <f>+F141*1.5</f>
        <v>0.26190000000000002</v>
      </c>
      <c r="H141" s="160">
        <f t="shared" si="15"/>
        <v>6.3751414410861962E-4</v>
      </c>
      <c r="I141" s="377">
        <f t="shared" si="12"/>
        <v>34587.270040722113</v>
      </c>
    </row>
    <row r="142" spans="1:10" ht="16.5" customHeight="1" thickBot="1">
      <c r="A142" s="156"/>
      <c r="B142" s="79"/>
      <c r="C142" s="79"/>
      <c r="D142" s="1183"/>
      <c r="E142" s="1184"/>
      <c r="F142" s="147"/>
      <c r="G142" s="1185" t="s">
        <v>322</v>
      </c>
      <c r="H142" s="1185"/>
      <c r="I142" s="1186">
        <f>SUM(I68:I141)</f>
        <v>5914839.9395470936</v>
      </c>
    </row>
    <row r="143" spans="1:10" ht="13.5" thickTop="1">
      <c r="B143" s="147"/>
      <c r="C143" s="147"/>
      <c r="D143" s="147"/>
      <c r="E143" s="147"/>
      <c r="F143" s="147"/>
      <c r="G143" s="147"/>
      <c r="H143" s="147"/>
      <c r="I143" s="147"/>
    </row>
    <row r="144" spans="1:10" ht="13.5">
      <c r="B144" s="2559" t="s">
        <v>55</v>
      </c>
      <c r="C144" s="2559"/>
    </row>
    <row r="145" spans="2:5" ht="13.5">
      <c r="B145" s="1187" t="s">
        <v>276</v>
      </c>
      <c r="C145" s="895">
        <f>+H61</f>
        <v>5425333.7530389186</v>
      </c>
    </row>
    <row r="146" spans="2:5" ht="25.5">
      <c r="B146" s="977" t="s">
        <v>322</v>
      </c>
      <c r="C146" s="895">
        <f>+I142</f>
        <v>5914839.9395470936</v>
      </c>
    </row>
    <row r="147" spans="2:5" ht="25.5">
      <c r="B147" s="893" t="s">
        <v>323</v>
      </c>
      <c r="C147" s="895">
        <f>+C145+C146</f>
        <v>11340173.692586012</v>
      </c>
      <c r="E147" s="46"/>
    </row>
    <row r="148" spans="2:5" ht="13.5">
      <c r="B148" s="900" t="s">
        <v>62</v>
      </c>
      <c r="C148" s="791"/>
    </row>
    <row r="149" spans="2:5" ht="13.5">
      <c r="B149" s="814"/>
      <c r="C149" s="791"/>
    </row>
    <row r="150" spans="2:5" ht="13.5">
      <c r="B150" s="814"/>
      <c r="C150" s="791"/>
    </row>
    <row r="151" spans="2:5" ht="13.5">
      <c r="B151" s="818" t="s">
        <v>63</v>
      </c>
      <c r="C151" s="791"/>
    </row>
    <row r="152" spans="2:5" ht="13.5">
      <c r="B152" s="818" t="s">
        <v>64</v>
      </c>
      <c r="C152" s="791"/>
    </row>
    <row r="153" spans="2:5" ht="13.5">
      <c r="B153" s="900" t="s">
        <v>65</v>
      </c>
      <c r="C153" s="791"/>
    </row>
  </sheetData>
  <mergeCells count="2">
    <mergeCell ref="B66:H66"/>
    <mergeCell ref="B144:C144"/>
  </mergeCells>
  <pageMargins left="0.7" right="0.7" top="0.75" bottom="0.75" header="0.3" footer="0.3"/>
  <pageSetup paperSize="135" scale="75"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44C30-DE75-4C94-9233-F53B1F16C0EB}">
  <sheetPr codeName="Hoja112"/>
  <dimension ref="A3:H29"/>
  <sheetViews>
    <sheetView topLeftCell="A19" zoomScaleNormal="100" workbookViewId="0">
      <selection activeCell="H18" sqref="H18"/>
    </sheetView>
  </sheetViews>
  <sheetFormatPr defaultColWidth="11.42578125" defaultRowHeight="12.75"/>
  <cols>
    <col min="1" max="1" width="2.5703125" customWidth="1"/>
    <col min="2" max="2" width="17.5703125" customWidth="1"/>
    <col min="3" max="3" width="21.140625" customWidth="1"/>
    <col min="4" max="4" width="12.140625" bestFit="1" customWidth="1"/>
    <col min="5" max="5" width="7.5703125" customWidth="1"/>
    <col min="7" max="7" width="13.85546875" customWidth="1"/>
    <col min="8" max="8" width="12.7109375" customWidth="1"/>
  </cols>
  <sheetData>
    <row r="3" spans="1:8" ht="13.5">
      <c r="B3" s="1697" t="s">
        <v>508</v>
      </c>
      <c r="C3" s="4" t="s">
        <v>1855</v>
      </c>
    </row>
    <row r="4" spans="1:8" ht="13.5">
      <c r="B4" s="1697" t="s">
        <v>814</v>
      </c>
      <c r="C4" s="4" t="s">
        <v>1057</v>
      </c>
    </row>
    <row r="5" spans="1:8" ht="13.5">
      <c r="B5" s="1697" t="s">
        <v>220</v>
      </c>
      <c r="C5" s="2089" t="s">
        <v>1856</v>
      </c>
      <c r="D5" s="32"/>
      <c r="E5" s="32"/>
    </row>
    <row r="6" spans="1:8" ht="13.5">
      <c r="B6" s="1697" t="s">
        <v>1338</v>
      </c>
      <c r="C6" s="752">
        <v>44784</v>
      </c>
    </row>
    <row r="7" spans="1:8" ht="13.5">
      <c r="B7" s="1697" t="s">
        <v>700</v>
      </c>
      <c r="C7" s="2092" t="s">
        <v>820</v>
      </c>
    </row>
    <row r="8" spans="1:8" ht="27">
      <c r="B8" s="1875" t="s">
        <v>1002</v>
      </c>
      <c r="C8" s="752">
        <v>44791</v>
      </c>
    </row>
    <row r="9" spans="1:8" ht="13.5">
      <c r="B9" s="1697" t="s">
        <v>164</v>
      </c>
      <c r="C9" s="2088">
        <v>219545704.31</v>
      </c>
    </row>
    <row r="12" spans="1:8" ht="13.5">
      <c r="B12" s="728" t="s">
        <v>143</v>
      </c>
      <c r="C12" s="790">
        <f>+C9</f>
        <v>219545704.31</v>
      </c>
      <c r="D12" s="2644" t="s">
        <v>172</v>
      </c>
      <c r="E12" s="2645"/>
      <c r="F12" s="2645"/>
      <c r="G12" s="2645"/>
      <c r="H12" s="2646"/>
    </row>
    <row r="13" spans="1:8" ht="25.5">
      <c r="B13" s="793" t="s">
        <v>337</v>
      </c>
      <c r="C13" s="793" t="s">
        <v>40</v>
      </c>
      <c r="D13" s="2739" t="s">
        <v>822</v>
      </c>
      <c r="E13" s="2740"/>
      <c r="F13" s="794" t="s">
        <v>43</v>
      </c>
      <c r="G13" s="794" t="s">
        <v>706</v>
      </c>
      <c r="H13" s="921" t="s">
        <v>48</v>
      </c>
    </row>
    <row r="14" spans="1:8" ht="13.5">
      <c r="A14" s="2">
        <v>1</v>
      </c>
      <c r="B14" s="752">
        <v>44792</v>
      </c>
      <c r="C14" s="752">
        <v>44804</v>
      </c>
      <c r="D14" s="2806">
        <v>0.1057</v>
      </c>
      <c r="E14" s="2807"/>
      <c r="F14" s="897">
        <f t="shared" ref="F14:F21" si="0">((1+D14)^(1/365)-1)</f>
        <v>2.7532178056910439E-4</v>
      </c>
      <c r="G14" s="931">
        <f t="shared" ref="G14:G21" si="1">(C14-B14)+1</f>
        <v>13</v>
      </c>
      <c r="H14" s="2090">
        <f>ROUND($C$9*F14*G14,2)</f>
        <v>785794.28</v>
      </c>
    </row>
    <row r="15" spans="1:8" ht="13.5">
      <c r="A15" s="2">
        <v>2</v>
      </c>
      <c r="B15" s="752">
        <v>44805</v>
      </c>
      <c r="C15" s="752">
        <v>44834</v>
      </c>
      <c r="D15" s="2806">
        <v>0.1099</v>
      </c>
      <c r="E15" s="2807"/>
      <c r="F15" s="897">
        <f t="shared" si="0"/>
        <v>2.857118247707735E-4</v>
      </c>
      <c r="G15" s="931">
        <f t="shared" si="1"/>
        <v>30</v>
      </c>
      <c r="H15" s="2090">
        <f t="shared" ref="H15:H21" si="2">ROUND($C$9*F15*G15,2)</f>
        <v>1881804.11</v>
      </c>
    </row>
    <row r="16" spans="1:8" ht="13.5">
      <c r="A16" s="2">
        <v>3</v>
      </c>
      <c r="B16" s="752">
        <v>44835</v>
      </c>
      <c r="C16" s="752">
        <v>44865</v>
      </c>
      <c r="D16" s="2806">
        <v>0.11600000000000001</v>
      </c>
      <c r="E16" s="2807"/>
      <c r="F16" s="897">
        <f t="shared" si="0"/>
        <v>3.0073250947526553E-4</v>
      </c>
      <c r="G16" s="931">
        <f t="shared" si="1"/>
        <v>31</v>
      </c>
      <c r="H16" s="2090">
        <f t="shared" si="2"/>
        <v>2046760.45</v>
      </c>
    </row>
    <row r="17" spans="1:8" ht="13.5">
      <c r="A17" s="2">
        <v>4</v>
      </c>
      <c r="B17" s="752">
        <v>44866</v>
      </c>
      <c r="C17" s="752">
        <v>44895</v>
      </c>
      <c r="D17" s="2806">
        <v>0.1263</v>
      </c>
      <c r="E17" s="2807"/>
      <c r="F17" s="897">
        <f t="shared" si="0"/>
        <v>3.2591042348917298E-4</v>
      </c>
      <c r="G17" s="931">
        <f t="shared" si="1"/>
        <v>30</v>
      </c>
      <c r="H17" s="2090">
        <f t="shared" si="2"/>
        <v>2146567</v>
      </c>
    </row>
    <row r="18" spans="1:8" ht="13.5">
      <c r="A18" s="2">
        <v>5</v>
      </c>
      <c r="B18" s="752">
        <v>44896</v>
      </c>
      <c r="C18" s="752">
        <v>44926</v>
      </c>
      <c r="D18" s="2806">
        <v>0.13420000000000001</v>
      </c>
      <c r="E18" s="2807"/>
      <c r="F18" s="897">
        <f t="shared" si="0"/>
        <v>3.4506652613908173E-4</v>
      </c>
      <c r="G18" s="931">
        <f t="shared" si="1"/>
        <v>31</v>
      </c>
      <c r="H18" s="2090">
        <f t="shared" si="2"/>
        <v>2348494.08</v>
      </c>
    </row>
    <row r="19" spans="1:8" ht="13.5">
      <c r="A19" s="2">
        <v>6</v>
      </c>
      <c r="B19" s="752">
        <v>44927</v>
      </c>
      <c r="C19" s="752">
        <v>44957</v>
      </c>
      <c r="D19" s="2806">
        <v>0.1391</v>
      </c>
      <c r="E19" s="2807"/>
      <c r="F19" s="897">
        <f t="shared" si="0"/>
        <v>3.5688141202028234E-4</v>
      </c>
      <c r="G19" s="931">
        <f t="shared" si="1"/>
        <v>31</v>
      </c>
      <c r="H19" s="2090">
        <f t="shared" si="2"/>
        <v>2428905.21</v>
      </c>
    </row>
    <row r="20" spans="1:8" ht="13.5">
      <c r="A20" s="2">
        <v>7</v>
      </c>
      <c r="B20" s="752">
        <v>44958</v>
      </c>
      <c r="C20" s="752">
        <v>44985</v>
      </c>
      <c r="D20" s="2806">
        <v>0.1439</v>
      </c>
      <c r="E20" s="2807"/>
      <c r="F20" s="897">
        <f t="shared" si="0"/>
        <v>3.6840613679478551E-4</v>
      </c>
      <c r="G20" s="931">
        <f t="shared" si="1"/>
        <v>28</v>
      </c>
      <c r="H20" s="2090">
        <f t="shared" si="2"/>
        <v>2264695.5699999998</v>
      </c>
    </row>
    <row r="21" spans="1:8" ht="13.5">
      <c r="A21" s="2">
        <v>8</v>
      </c>
      <c r="B21" s="752">
        <v>44986</v>
      </c>
      <c r="C21" s="752">
        <v>45016</v>
      </c>
      <c r="D21" s="2806">
        <v>0.1331</v>
      </c>
      <c r="E21" s="2807"/>
      <c r="F21" s="897">
        <f t="shared" si="0"/>
        <v>3.424072090780772E-4</v>
      </c>
      <c r="G21" s="931">
        <f t="shared" si="1"/>
        <v>31</v>
      </c>
      <c r="H21" s="2090">
        <f t="shared" si="2"/>
        <v>2330394.9900000002</v>
      </c>
    </row>
    <row r="22" spans="1:8">
      <c r="D22" s="32"/>
      <c r="E22" s="32"/>
      <c r="G22" s="793" t="s">
        <v>93</v>
      </c>
      <c r="H22" s="2090">
        <f>SUM(H14:H21)</f>
        <v>16233415.689999999</v>
      </c>
    </row>
    <row r="23" spans="1:8">
      <c r="D23" s="32"/>
      <c r="E23" s="32"/>
    </row>
    <row r="24" spans="1:8" ht="13.5">
      <c r="B24" s="2591" t="s">
        <v>55</v>
      </c>
      <c r="C24" s="2591"/>
      <c r="D24" s="2591"/>
      <c r="E24" s="32"/>
    </row>
    <row r="25" spans="1:8" ht="13.5">
      <c r="B25" s="2583" t="s">
        <v>1041</v>
      </c>
      <c r="C25" s="2584"/>
      <c r="D25" s="2091">
        <f>+C9</f>
        <v>219545704.31</v>
      </c>
    </row>
    <row r="26" spans="1:8" ht="13.5">
      <c r="B26" s="2583" t="s">
        <v>1042</v>
      </c>
      <c r="C26" s="2584"/>
      <c r="D26" s="1616">
        <f>+H22</f>
        <v>16233415.689999999</v>
      </c>
    </row>
    <row r="27" spans="1:8" ht="13.5">
      <c r="B27" s="2583" t="s">
        <v>1469</v>
      </c>
      <c r="C27" s="2584"/>
      <c r="D27" s="1616">
        <v>15368199</v>
      </c>
    </row>
    <row r="28" spans="1:8" ht="13.5">
      <c r="B28" s="741" t="s">
        <v>1043</v>
      </c>
      <c r="C28" s="741"/>
      <c r="D28" s="1616">
        <f>SUM(D25:D27)</f>
        <v>251147319</v>
      </c>
    </row>
    <row r="29" spans="1:8">
      <c r="D29" s="8"/>
    </row>
  </sheetData>
  <mergeCells count="14">
    <mergeCell ref="B27:C27"/>
    <mergeCell ref="D12:H12"/>
    <mergeCell ref="D13:E13"/>
    <mergeCell ref="D14:E14"/>
    <mergeCell ref="D15:E15"/>
    <mergeCell ref="D16:E16"/>
    <mergeCell ref="D17:E17"/>
    <mergeCell ref="D18:E18"/>
    <mergeCell ref="D19:E19"/>
    <mergeCell ref="B24:D24"/>
    <mergeCell ref="B25:C25"/>
    <mergeCell ref="B26:C26"/>
    <mergeCell ref="D20:E20"/>
    <mergeCell ref="D21:E21"/>
  </mergeCells>
  <conditionalFormatting sqref="B13:C13">
    <cfRule type="duplicateValues" dxfId="1" priority="2"/>
  </conditionalFormatting>
  <conditionalFormatting sqref="G22">
    <cfRule type="duplicateValues" dxfId="0" priority="1"/>
  </conditionalFormatting>
  <pageMargins left="0.7" right="0.7" top="0.75" bottom="0.75" header="0.3" footer="0.3"/>
  <pageSetup paperSize="9" scale="90"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EDA5F-412B-4DE3-A25B-125EB86322D2}">
  <sheetPr codeName="Hoja113"/>
  <dimension ref="A3:I143"/>
  <sheetViews>
    <sheetView topLeftCell="A3" zoomScale="120" zoomScaleNormal="120" workbookViewId="0">
      <selection activeCell="G130" sqref="G130"/>
    </sheetView>
  </sheetViews>
  <sheetFormatPr defaultColWidth="11.42578125" defaultRowHeight="12.75"/>
  <cols>
    <col min="1" max="1" width="17.5703125" style="1927" bestFit="1" customWidth="1"/>
    <col min="2" max="2" width="11.42578125" style="1927"/>
    <col min="3" max="3" width="11.5703125" style="1927" customWidth="1"/>
    <col min="4" max="5" width="15.28515625" style="1927" customWidth="1"/>
    <col min="6" max="6" width="13.85546875" style="1927" bestFit="1" customWidth="1"/>
    <col min="7" max="7" width="14.140625" style="1927" bestFit="1" customWidth="1"/>
    <col min="8" max="8" width="14.42578125" style="1927" bestFit="1" customWidth="1"/>
    <col min="9" max="16384" width="11.42578125" style="1927"/>
  </cols>
  <sheetData>
    <row r="3" spans="1:9">
      <c r="A3" s="1926" t="s">
        <v>254</v>
      </c>
      <c r="B3" s="1329" t="s">
        <v>1440</v>
      </c>
    </row>
    <row r="4" spans="1:9">
      <c r="A4" s="1926" t="s">
        <v>814</v>
      </c>
      <c r="B4" s="1329" t="s">
        <v>128</v>
      </c>
    </row>
    <row r="5" spans="1:9">
      <c r="A5" s="1926" t="s">
        <v>220</v>
      </c>
      <c r="B5" s="1329" t="s">
        <v>1441</v>
      </c>
    </row>
    <row r="6" spans="1:9">
      <c r="A6" s="1926" t="s">
        <v>1338</v>
      </c>
      <c r="B6" s="2412"/>
    </row>
    <row r="7" spans="1:9">
      <c r="A7" s="1926" t="s">
        <v>700</v>
      </c>
      <c r="B7" s="1329" t="s">
        <v>820</v>
      </c>
    </row>
    <row r="8" spans="1:9" ht="25.5">
      <c r="A8" s="1928" t="s">
        <v>1002</v>
      </c>
      <c r="B8" s="2412"/>
    </row>
    <row r="11" spans="1:9">
      <c r="A11" s="2803" t="s">
        <v>1442</v>
      </c>
      <c r="B11" s="2803"/>
      <c r="C11" s="2803"/>
      <c r="D11" s="2803"/>
      <c r="E11" s="2803"/>
      <c r="F11" s="2803"/>
      <c r="G11" s="1437">
        <v>261067617</v>
      </c>
    </row>
    <row r="12" spans="1:9" ht="38.25" customHeight="1">
      <c r="A12" s="2558" t="s">
        <v>1443</v>
      </c>
      <c r="B12" s="2558"/>
      <c r="C12" s="2727" t="s">
        <v>1435</v>
      </c>
      <c r="D12" s="2727" t="s">
        <v>1444</v>
      </c>
      <c r="E12" s="2727" t="s">
        <v>1445</v>
      </c>
      <c r="F12" s="2727" t="s">
        <v>1446</v>
      </c>
      <c r="G12" s="2727" t="s">
        <v>1447</v>
      </c>
    </row>
    <row r="13" spans="1:9">
      <c r="A13" s="793" t="s">
        <v>1448</v>
      </c>
      <c r="B13" s="793" t="s">
        <v>963</v>
      </c>
      <c r="C13" s="2727"/>
      <c r="D13" s="2727"/>
      <c r="E13" s="2727"/>
      <c r="F13" s="2727"/>
      <c r="G13" s="2727"/>
    </row>
    <row r="14" spans="1:9">
      <c r="A14" s="1331">
        <v>41856</v>
      </c>
      <c r="B14" s="1331">
        <v>41912</v>
      </c>
      <c r="C14" s="931">
        <f>+_xlfn.DAYS(B14,A14)+1</f>
        <v>57</v>
      </c>
      <c r="D14" s="1876">
        <v>0.1933</v>
      </c>
      <c r="E14" s="1876">
        <f>D14*1.5</f>
        <v>0.28994999999999999</v>
      </c>
      <c r="F14" s="1877">
        <f>((1+E14)^(1/365)-1)</f>
        <v>6.9778706056067286E-4</v>
      </c>
      <c r="G14" s="1356">
        <f>ROUND(C14*$G$11*F14,2)</f>
        <v>10383667.49</v>
      </c>
      <c r="I14" s="1929"/>
    </row>
    <row r="15" spans="1:9">
      <c r="A15" s="1331">
        <v>41913</v>
      </c>
      <c r="B15" s="1331">
        <v>42004</v>
      </c>
      <c r="C15" s="931">
        <f>+_xlfn.DAYS(B15,A15)+1</f>
        <v>92</v>
      </c>
      <c r="D15" s="1876">
        <v>0.19170000000000001</v>
      </c>
      <c r="E15" s="1876">
        <f t="shared" ref="E15:E27" si="0">D15*1.5</f>
        <v>0.28755000000000003</v>
      </c>
      <c r="F15" s="1877">
        <f t="shared" ref="F15:F27" si="1">((1+E15)^(1/365)-1)</f>
        <v>6.9268140331879557E-4</v>
      </c>
      <c r="G15" s="1356">
        <f>ROUND(C15*$G$11*F15,2)</f>
        <v>16636974.859999999</v>
      </c>
    </row>
    <row r="16" spans="1:9">
      <c r="A16" s="1331">
        <v>42005</v>
      </c>
      <c r="B16" s="1331">
        <v>42094</v>
      </c>
      <c r="C16" s="931">
        <f t="shared" ref="C16:C27" si="2">+_xlfn.DAYS(B16,A16)+1</f>
        <v>90</v>
      </c>
      <c r="D16" s="1876">
        <v>0.19209999999999999</v>
      </c>
      <c r="E16" s="1876">
        <f t="shared" si="0"/>
        <v>0.28815000000000002</v>
      </c>
      <c r="F16" s="1877">
        <f>((1+E16)^(1/365)-1)</f>
        <v>6.9395870684818561E-4</v>
      </c>
      <c r="G16" s="1356">
        <f>ROUND(C16*$G$11*F16,2)</f>
        <v>16305313.130000001</v>
      </c>
    </row>
    <row r="17" spans="1:8">
      <c r="A17" s="1331">
        <v>42095</v>
      </c>
      <c r="B17" s="1331">
        <v>42185</v>
      </c>
      <c r="C17" s="931">
        <f t="shared" si="2"/>
        <v>91</v>
      </c>
      <c r="D17" s="1876">
        <v>0.19370000000000001</v>
      </c>
      <c r="E17" s="1876">
        <f t="shared" si="0"/>
        <v>0.29055000000000003</v>
      </c>
      <c r="F17" s="1877">
        <f>((1+E17)^(1/365)-1)</f>
        <v>6.9906199467517638E-4</v>
      </c>
      <c r="G17" s="1356">
        <f t="shared" ref="G17:G27" si="3">ROUND(C17*$G$11*F17,2)</f>
        <v>16607722.869999999</v>
      </c>
    </row>
    <row r="18" spans="1:8">
      <c r="A18" s="1331">
        <v>42186</v>
      </c>
      <c r="B18" s="1331">
        <v>42277</v>
      </c>
      <c r="C18" s="931">
        <f t="shared" si="2"/>
        <v>92</v>
      </c>
      <c r="D18" s="1876">
        <v>0.19259999999999999</v>
      </c>
      <c r="E18" s="2170">
        <f t="shared" si="0"/>
        <v>0.28889999999999999</v>
      </c>
      <c r="F18" s="1877">
        <f t="shared" si="1"/>
        <v>6.9555450216518544E-4</v>
      </c>
      <c r="G18" s="1356">
        <f t="shared" si="3"/>
        <v>16705981.59</v>
      </c>
    </row>
    <row r="19" spans="1:8">
      <c r="A19" s="1331">
        <v>42278</v>
      </c>
      <c r="B19" s="1331">
        <v>42369</v>
      </c>
      <c r="C19" s="931">
        <f t="shared" si="2"/>
        <v>92</v>
      </c>
      <c r="D19" s="1876">
        <v>0.1933</v>
      </c>
      <c r="E19" s="2168">
        <f t="shared" si="0"/>
        <v>0.28994999999999999</v>
      </c>
      <c r="F19" s="2169">
        <f t="shared" si="1"/>
        <v>6.9778706056067286E-4</v>
      </c>
      <c r="G19" s="1356">
        <f t="shared" si="3"/>
        <v>16759603.67</v>
      </c>
    </row>
    <row r="20" spans="1:8">
      <c r="A20" s="1331">
        <v>42370</v>
      </c>
      <c r="B20" s="1331">
        <v>42460</v>
      </c>
      <c r="C20" s="931">
        <f t="shared" si="2"/>
        <v>91</v>
      </c>
      <c r="D20" s="1876">
        <v>0.1968</v>
      </c>
      <c r="E20" s="2168">
        <f t="shared" si="0"/>
        <v>0.29520000000000002</v>
      </c>
      <c r="F20" s="2169">
        <f t="shared" si="1"/>
        <v>7.0892273793354832E-4</v>
      </c>
      <c r="G20" s="1356">
        <f t="shared" si="3"/>
        <v>16841986.050000001</v>
      </c>
    </row>
    <row r="21" spans="1:8">
      <c r="A21" s="1331">
        <v>42461</v>
      </c>
      <c r="B21" s="1331">
        <v>42551</v>
      </c>
      <c r="C21" s="931">
        <f t="shared" si="2"/>
        <v>91</v>
      </c>
      <c r="D21" s="1876">
        <v>0.2054</v>
      </c>
      <c r="E21" s="2168">
        <f t="shared" si="0"/>
        <v>0.30809999999999998</v>
      </c>
      <c r="F21" s="2169">
        <f t="shared" si="1"/>
        <v>7.3609462782320279E-4</v>
      </c>
      <c r="G21" s="1356">
        <f t="shared" si="3"/>
        <v>17487512.800000001</v>
      </c>
    </row>
    <row r="22" spans="1:8">
      <c r="A22" s="1331">
        <v>42552</v>
      </c>
      <c r="B22" s="1331">
        <v>42643</v>
      </c>
      <c r="C22" s="931">
        <f t="shared" si="2"/>
        <v>92</v>
      </c>
      <c r="D22" s="1876">
        <v>0.21340000000000001</v>
      </c>
      <c r="E22" s="2168">
        <f t="shared" si="0"/>
        <v>0.3201</v>
      </c>
      <c r="F22" s="2169">
        <f t="shared" si="1"/>
        <v>7.6113195596128058E-4</v>
      </c>
      <c r="G22" s="1356">
        <f t="shared" si="3"/>
        <v>18281035.350000001</v>
      </c>
    </row>
    <row r="23" spans="1:8">
      <c r="A23" s="1331">
        <v>42644</v>
      </c>
      <c r="B23" s="1331">
        <v>42735</v>
      </c>
      <c r="C23" s="931">
        <f t="shared" si="2"/>
        <v>92</v>
      </c>
      <c r="D23" s="1876">
        <v>0.21990000000000001</v>
      </c>
      <c r="E23" s="2168">
        <f t="shared" si="0"/>
        <v>0.32985000000000003</v>
      </c>
      <c r="F23" s="2169">
        <f t="shared" si="1"/>
        <v>7.8130822380240161E-4</v>
      </c>
      <c r="G23" s="1356">
        <f t="shared" si="3"/>
        <v>18765633.399999999</v>
      </c>
    </row>
    <row r="24" spans="1:8">
      <c r="A24" s="1331">
        <v>42736</v>
      </c>
      <c r="B24" s="1331">
        <v>42825</v>
      </c>
      <c r="C24" s="931">
        <f t="shared" si="2"/>
        <v>90</v>
      </c>
      <c r="D24" s="1876">
        <v>0.22339999999999999</v>
      </c>
      <c r="E24" s="2168">
        <f t="shared" si="0"/>
        <v>0.33509999999999995</v>
      </c>
      <c r="F24" s="2169">
        <f t="shared" si="1"/>
        <v>7.9211135028089963E-4</v>
      </c>
      <c r="G24" s="1356">
        <f t="shared" si="3"/>
        <v>18611516.039999999</v>
      </c>
    </row>
    <row r="25" spans="1:8">
      <c r="A25" s="1331">
        <v>42826</v>
      </c>
      <c r="B25" s="1331">
        <v>42916</v>
      </c>
      <c r="C25" s="931">
        <f t="shared" si="2"/>
        <v>91</v>
      </c>
      <c r="D25" s="1876">
        <v>0.2233</v>
      </c>
      <c r="E25" s="2168">
        <f t="shared" si="0"/>
        <v>0.33494999999999997</v>
      </c>
      <c r="F25" s="2169">
        <f t="shared" si="1"/>
        <v>7.9180327787309324E-4</v>
      </c>
      <c r="G25" s="1356">
        <f t="shared" si="3"/>
        <v>18810991.73</v>
      </c>
    </row>
    <row r="26" spans="1:8">
      <c r="A26" s="1331">
        <v>42917</v>
      </c>
      <c r="B26" s="1331">
        <v>43008</v>
      </c>
      <c r="C26" s="931">
        <f t="shared" si="2"/>
        <v>92</v>
      </c>
      <c r="D26" s="1876">
        <v>0.2198</v>
      </c>
      <c r="E26" s="2168">
        <f t="shared" si="0"/>
        <v>0.32969999999999999</v>
      </c>
      <c r="F26" s="2169">
        <f t="shared" si="1"/>
        <v>7.8099893845218205E-4</v>
      </c>
      <c r="G26" s="1356">
        <f t="shared" si="3"/>
        <v>18758204.920000002</v>
      </c>
    </row>
    <row r="27" spans="1:8">
      <c r="A27" s="1331">
        <v>43009</v>
      </c>
      <c r="B27" s="1331">
        <v>43100</v>
      </c>
      <c r="C27" s="931">
        <f t="shared" si="2"/>
        <v>92</v>
      </c>
      <c r="D27" s="1876">
        <v>0.21479999999999999</v>
      </c>
      <c r="E27" s="2168">
        <f t="shared" si="0"/>
        <v>0.32219999999999999</v>
      </c>
      <c r="F27" s="2169">
        <f t="shared" si="1"/>
        <v>7.6549014202820231E-4</v>
      </c>
      <c r="G27" s="1356">
        <f t="shared" si="3"/>
        <v>18385711.219999999</v>
      </c>
    </row>
    <row r="28" spans="1:8">
      <c r="A28" s="2165"/>
      <c r="B28" s="2166"/>
      <c r="C28" s="2167"/>
      <c r="D28" s="2168"/>
      <c r="E28" s="2168"/>
      <c r="F28" s="2169"/>
      <c r="G28" s="1356"/>
    </row>
    <row r="29" spans="1:8">
      <c r="A29" s="2165"/>
      <c r="B29" s="2166"/>
      <c r="C29" s="2167"/>
      <c r="D29" s="2168"/>
      <c r="E29" s="2168"/>
      <c r="F29" s="2169"/>
      <c r="G29" s="1356"/>
    </row>
    <row r="30" spans="1:8">
      <c r="A30" s="2165"/>
      <c r="B30" s="2166"/>
      <c r="C30" s="2167"/>
      <c r="D30" s="2168"/>
      <c r="E30" s="2168"/>
      <c r="F30" s="2169"/>
      <c r="G30" s="1356"/>
    </row>
    <row r="31" spans="1:8">
      <c r="A31" s="2165"/>
      <c r="B31" s="2166"/>
      <c r="C31" s="2167"/>
      <c r="D31" s="2168"/>
      <c r="E31" s="2168"/>
      <c r="F31" s="2169"/>
      <c r="G31" s="1356"/>
    </row>
    <row r="32" spans="1:8">
      <c r="A32" s="2799" t="s">
        <v>254</v>
      </c>
      <c r="B32" s="2800"/>
      <c r="C32" s="2800"/>
      <c r="D32" s="2800"/>
      <c r="E32" s="2800"/>
      <c r="F32" s="2801"/>
      <c r="G32" s="952">
        <f>SUM(G14:G27)</f>
        <v>239341855.11999997</v>
      </c>
      <c r="H32" s="1930"/>
    </row>
    <row r="33" spans="1:8">
      <c r="A33" s="2799" t="s">
        <v>1192</v>
      </c>
      <c r="B33" s="2800"/>
      <c r="C33" s="2800"/>
      <c r="D33" s="2800"/>
      <c r="E33" s="2800"/>
      <c r="F33" s="2801"/>
      <c r="G33" s="952">
        <f>G11+G32</f>
        <v>500409472.12</v>
      </c>
    </row>
    <row r="34" spans="1:8">
      <c r="A34" s="2799" t="s">
        <v>1450</v>
      </c>
      <c r="B34" s="2800"/>
      <c r="C34" s="2800"/>
      <c r="D34" s="2800"/>
      <c r="E34" s="2800"/>
      <c r="F34" s="2801"/>
      <c r="G34" s="952">
        <v>216674090</v>
      </c>
    </row>
    <row r="35" spans="1:8">
      <c r="A35" s="2799" t="s">
        <v>1451</v>
      </c>
      <c r="B35" s="2800"/>
      <c r="C35" s="2800"/>
      <c r="D35" s="2800"/>
      <c r="E35" s="2800"/>
      <c r="F35" s="2801"/>
      <c r="G35" s="952">
        <f>G33-G34</f>
        <v>283735382.12</v>
      </c>
      <c r="H35" s="1931"/>
    </row>
    <row r="38" spans="1:8">
      <c r="A38" s="2802" t="s">
        <v>1442</v>
      </c>
      <c r="B38" s="2802"/>
      <c r="C38" s="2802"/>
      <c r="D38" s="2802"/>
      <c r="E38" s="2802"/>
      <c r="F38" s="2802"/>
      <c r="G38" s="829">
        <v>258919444</v>
      </c>
    </row>
    <row r="39" spans="1:8">
      <c r="A39" s="2558" t="s">
        <v>1443</v>
      </c>
      <c r="B39" s="2558"/>
      <c r="C39" s="2727" t="s">
        <v>1435</v>
      </c>
      <c r="D39" s="2727" t="s">
        <v>1444</v>
      </c>
      <c r="E39" s="2727" t="s">
        <v>1445</v>
      </c>
      <c r="F39" s="2727" t="s">
        <v>1446</v>
      </c>
      <c r="G39" s="2727" t="s">
        <v>1447</v>
      </c>
    </row>
    <row r="40" spans="1:8" ht="21.75" customHeight="1">
      <c r="A40" s="793" t="s">
        <v>1448</v>
      </c>
      <c r="B40" s="793" t="s">
        <v>963</v>
      </c>
      <c r="C40" s="2727"/>
      <c r="D40" s="2727"/>
      <c r="E40" s="2727"/>
      <c r="F40" s="2727"/>
      <c r="G40" s="2727"/>
    </row>
    <row r="41" spans="1:8">
      <c r="A41" s="1331">
        <v>42217</v>
      </c>
      <c r="B41" s="1331">
        <v>42277</v>
      </c>
      <c r="C41" s="931">
        <f t="shared" ref="C41:C47" si="4">+_xlfn.DAYS(B41,A41)+1</f>
        <v>61</v>
      </c>
      <c r="D41" s="1876">
        <v>0.19259999999999999</v>
      </c>
      <c r="E41" s="1876">
        <f>D41*1.5</f>
        <v>0.28889999999999999</v>
      </c>
      <c r="F41" s="1877">
        <f t="shared" ref="F41:F47" si="5">((1+E41)^(1/365)-1)</f>
        <v>6.9555450216518544E-4</v>
      </c>
      <c r="G41" s="1356">
        <f t="shared" ref="G41:G47" si="6">ROUND(C41*$G$38*F41,2)</f>
        <v>10985647.68</v>
      </c>
    </row>
    <row r="42" spans="1:8">
      <c r="A42" s="1331">
        <v>42278</v>
      </c>
      <c r="B42" s="1331">
        <v>42369</v>
      </c>
      <c r="C42" s="931">
        <f t="shared" si="4"/>
        <v>92</v>
      </c>
      <c r="D42" s="1876">
        <v>0.1933</v>
      </c>
      <c r="E42" s="1876">
        <f t="shared" ref="E42:E47" si="7">D42*1.5</f>
        <v>0.28994999999999999</v>
      </c>
      <c r="F42" s="1877">
        <f t="shared" si="5"/>
        <v>6.9778706056067286E-4</v>
      </c>
      <c r="G42" s="1356">
        <f t="shared" si="6"/>
        <v>16621698.67</v>
      </c>
    </row>
    <row r="43" spans="1:8">
      <c r="A43" s="1331">
        <v>42370</v>
      </c>
      <c r="B43" s="1331">
        <v>42460</v>
      </c>
      <c r="C43" s="931">
        <f t="shared" si="4"/>
        <v>91</v>
      </c>
      <c r="D43" s="1876">
        <v>0.1968</v>
      </c>
      <c r="E43" s="1876">
        <f t="shared" si="7"/>
        <v>0.29520000000000002</v>
      </c>
      <c r="F43" s="1877">
        <f t="shared" si="5"/>
        <v>7.0892273793354832E-4</v>
      </c>
      <c r="G43" s="1356">
        <f t="shared" si="6"/>
        <v>16703403.18</v>
      </c>
    </row>
    <row r="44" spans="1:8">
      <c r="A44" s="1331">
        <v>42461</v>
      </c>
      <c r="B44" s="1331">
        <v>42551</v>
      </c>
      <c r="C44" s="931">
        <f t="shared" si="4"/>
        <v>91</v>
      </c>
      <c r="D44" s="1876">
        <v>0.2054</v>
      </c>
      <c r="E44" s="1876">
        <f t="shared" si="7"/>
        <v>0.30809999999999998</v>
      </c>
      <c r="F44" s="1877">
        <f t="shared" si="5"/>
        <v>7.3609462782320279E-4</v>
      </c>
      <c r="G44" s="1356">
        <f t="shared" si="6"/>
        <v>17343618.27</v>
      </c>
    </row>
    <row r="45" spans="1:8">
      <c r="A45" s="1331">
        <v>42552</v>
      </c>
      <c r="B45" s="1331">
        <v>42643</v>
      </c>
      <c r="C45" s="931">
        <f t="shared" si="4"/>
        <v>92</v>
      </c>
      <c r="D45" s="1876">
        <v>0.21340000000000001</v>
      </c>
      <c r="E45" s="1876">
        <f t="shared" si="7"/>
        <v>0.3201</v>
      </c>
      <c r="F45" s="1877">
        <f t="shared" si="5"/>
        <v>7.6113195596128058E-4</v>
      </c>
      <c r="G45" s="1356">
        <f t="shared" si="6"/>
        <v>18130611.379999999</v>
      </c>
    </row>
    <row r="46" spans="1:8">
      <c r="A46" s="1331">
        <v>42644</v>
      </c>
      <c r="B46" s="1331">
        <v>42735</v>
      </c>
      <c r="C46" s="931">
        <f t="shared" si="4"/>
        <v>92</v>
      </c>
      <c r="D46" s="1876">
        <v>0.21990000000000001</v>
      </c>
      <c r="E46" s="1876">
        <f t="shared" si="7"/>
        <v>0.32985000000000003</v>
      </c>
      <c r="F46" s="1877">
        <f t="shared" si="5"/>
        <v>7.8130822380240161E-4</v>
      </c>
      <c r="G46" s="1356">
        <f t="shared" si="6"/>
        <v>18611221.960000001</v>
      </c>
    </row>
    <row r="47" spans="1:8">
      <c r="A47" s="1331">
        <v>42736</v>
      </c>
      <c r="B47" s="1331">
        <v>42794</v>
      </c>
      <c r="C47" s="931">
        <f t="shared" si="4"/>
        <v>59</v>
      </c>
      <c r="D47" s="1876">
        <v>0.22339999999999999</v>
      </c>
      <c r="E47" s="1876">
        <f t="shared" si="7"/>
        <v>0.33509999999999995</v>
      </c>
      <c r="F47" s="1877">
        <f t="shared" si="5"/>
        <v>7.9211135028089963E-4</v>
      </c>
      <c r="G47" s="1356">
        <f t="shared" si="6"/>
        <v>12100488.789999999</v>
      </c>
    </row>
    <row r="48" spans="1:8">
      <c r="A48" s="2799" t="s">
        <v>1449</v>
      </c>
      <c r="B48" s="2800"/>
      <c r="C48" s="2800"/>
      <c r="D48" s="2800"/>
      <c r="E48" s="2800"/>
      <c r="F48" s="2801"/>
      <c r="G48" s="1356">
        <f>SUM(G41:G47)</f>
        <v>110496689.92999998</v>
      </c>
    </row>
    <row r="49" spans="1:7">
      <c r="A49" s="2799" t="s">
        <v>1192</v>
      </c>
      <c r="B49" s="2800"/>
      <c r="C49" s="2800"/>
      <c r="D49" s="2800"/>
      <c r="E49" s="2800"/>
      <c r="F49" s="2801"/>
      <c r="G49" s="1356">
        <f>G38+G48</f>
        <v>369416133.92999995</v>
      </c>
    </row>
    <row r="50" spans="1:7">
      <c r="A50" s="2799" t="s">
        <v>1452</v>
      </c>
      <c r="B50" s="2800"/>
      <c r="C50" s="2800"/>
      <c r="D50" s="2800"/>
      <c r="E50" s="2800"/>
      <c r="F50" s="2801"/>
      <c r="G50" s="1356">
        <v>8577078</v>
      </c>
    </row>
    <row r="51" spans="1:7">
      <c r="A51" s="2799" t="s">
        <v>1453</v>
      </c>
      <c r="B51" s="2800"/>
      <c r="C51" s="2800"/>
      <c r="D51" s="2800"/>
      <c r="E51" s="2800"/>
      <c r="F51" s="2801"/>
      <c r="G51" s="1356">
        <f>G49-G50</f>
        <v>360839055.92999995</v>
      </c>
    </row>
    <row r="54" spans="1:7">
      <c r="A54" s="2148" t="s">
        <v>1454</v>
      </c>
      <c r="G54" s="829">
        <v>258919444</v>
      </c>
    </row>
    <row r="55" spans="1:7">
      <c r="A55" s="2558" t="s">
        <v>1443</v>
      </c>
      <c r="B55" s="2558"/>
      <c r="C55" s="2727" t="s">
        <v>1435</v>
      </c>
      <c r="D55" s="2727" t="s">
        <v>1444</v>
      </c>
      <c r="E55" s="2727" t="s">
        <v>1445</v>
      </c>
      <c r="F55" s="2727" t="s">
        <v>1455</v>
      </c>
      <c r="G55" s="2727" t="s">
        <v>1447</v>
      </c>
    </row>
    <row r="56" spans="1:7">
      <c r="A56" s="793" t="s">
        <v>1448</v>
      </c>
      <c r="B56" s="793" t="s">
        <v>963</v>
      </c>
      <c r="C56" s="2727"/>
      <c r="D56" s="2727"/>
      <c r="E56" s="2727"/>
      <c r="F56" s="2727"/>
      <c r="G56" s="2727"/>
    </row>
    <row r="57" spans="1:7">
      <c r="A57" s="1927" t="s">
        <v>1456</v>
      </c>
      <c r="G57" s="952">
        <v>101919612</v>
      </c>
    </row>
    <row r="58" spans="1:7">
      <c r="A58" s="1331">
        <v>42795</v>
      </c>
      <c r="B58" s="1331">
        <v>42825</v>
      </c>
      <c r="C58" s="931">
        <v>30</v>
      </c>
      <c r="D58" s="1876">
        <v>0.22339999999999999</v>
      </c>
      <c r="E58" s="1876">
        <f t="shared" ref="E58:E121" si="8">D58*1.5</f>
        <v>0.33509999999999995</v>
      </c>
      <c r="F58" s="1877">
        <f t="shared" ref="F58:F68" si="9">((1+E58)^(1/365)-1)</f>
        <v>7.9211135028089963E-4</v>
      </c>
      <c r="G58" s="1356">
        <f t="shared" ref="G58:G121" si="10">ROUND(C58*$G$54*F58,2)</f>
        <v>6152790.9100000001</v>
      </c>
    </row>
    <row r="59" spans="1:7">
      <c r="A59" s="1331">
        <v>42826</v>
      </c>
      <c r="B59" s="1331">
        <v>42916</v>
      </c>
      <c r="C59" s="931">
        <f t="shared" ref="C59:C121" si="11">+_xlfn.DAYS(B59,A59)+1</f>
        <v>91</v>
      </c>
      <c r="D59" s="1876">
        <v>0.2233</v>
      </c>
      <c r="E59" s="1876">
        <f t="shared" si="8"/>
        <v>0.33494999999999997</v>
      </c>
      <c r="F59" s="1877">
        <f t="shared" si="9"/>
        <v>7.9180327787309324E-4</v>
      </c>
      <c r="G59" s="1356">
        <f t="shared" si="10"/>
        <v>18656207.07</v>
      </c>
    </row>
    <row r="60" spans="1:7">
      <c r="A60" s="1331">
        <v>42917</v>
      </c>
      <c r="B60" s="1331">
        <v>42978</v>
      </c>
      <c r="C60" s="931">
        <f t="shared" si="11"/>
        <v>62</v>
      </c>
      <c r="D60" s="1876">
        <v>0.2198</v>
      </c>
      <c r="E60" s="1876">
        <f t="shared" si="8"/>
        <v>0.32969999999999999</v>
      </c>
      <c r="F60" s="1877">
        <f t="shared" si="9"/>
        <v>7.8099893845218205E-4</v>
      </c>
      <c r="G60" s="1356">
        <f t="shared" si="10"/>
        <v>12537380.279999999</v>
      </c>
    </row>
    <row r="61" spans="1:7">
      <c r="A61" s="1331">
        <v>42979</v>
      </c>
      <c r="B61" s="1331">
        <v>43008</v>
      </c>
      <c r="C61" s="931">
        <f t="shared" si="11"/>
        <v>30</v>
      </c>
      <c r="D61" s="1876">
        <v>0.21479999999999999</v>
      </c>
      <c r="E61" s="1876">
        <f t="shared" si="8"/>
        <v>0.32219999999999999</v>
      </c>
      <c r="F61" s="1877">
        <f t="shared" si="9"/>
        <v>7.6549014202820231E-4</v>
      </c>
      <c r="G61" s="1356">
        <f t="shared" si="10"/>
        <v>5946008.46</v>
      </c>
    </row>
    <row r="62" spans="1:7">
      <c r="A62" s="1331">
        <v>43009</v>
      </c>
      <c r="B62" s="1331">
        <v>43039</v>
      </c>
      <c r="C62" s="931">
        <f t="shared" si="11"/>
        <v>31</v>
      </c>
      <c r="D62" s="1876">
        <v>0.21149999999999999</v>
      </c>
      <c r="E62" s="1876">
        <f t="shared" si="8"/>
        <v>0.31724999999999998</v>
      </c>
      <c r="F62" s="1877">
        <f t="shared" si="9"/>
        <v>7.5520620308799913E-4</v>
      </c>
      <c r="G62" s="1356">
        <f t="shared" si="10"/>
        <v>6061664.6799999997</v>
      </c>
    </row>
    <row r="63" spans="1:7">
      <c r="A63" s="1331">
        <v>43040</v>
      </c>
      <c r="B63" s="1331">
        <v>43069</v>
      </c>
      <c r="C63" s="931">
        <f t="shared" si="11"/>
        <v>30</v>
      </c>
      <c r="D63" s="1876">
        <v>0.20960000000000001</v>
      </c>
      <c r="E63" s="1876">
        <f t="shared" si="8"/>
        <v>0.31440000000000001</v>
      </c>
      <c r="F63" s="1877">
        <f t="shared" si="9"/>
        <v>7.4926765057248268E-4</v>
      </c>
      <c r="G63" s="1356">
        <f t="shared" si="10"/>
        <v>5819998.9000000004</v>
      </c>
    </row>
    <row r="64" spans="1:7">
      <c r="A64" s="1331">
        <v>43070</v>
      </c>
      <c r="B64" s="1331">
        <v>43100</v>
      </c>
      <c r="C64" s="931">
        <f t="shared" si="11"/>
        <v>31</v>
      </c>
      <c r="D64" s="1876">
        <v>0.2077</v>
      </c>
      <c r="E64" s="1876">
        <f t="shared" si="8"/>
        <v>0.31154999999999999</v>
      </c>
      <c r="F64" s="1877">
        <f t="shared" si="9"/>
        <v>7.4331624292400811E-4</v>
      </c>
      <c r="G64" s="1356">
        <f t="shared" si="10"/>
        <v>5966229.8799999999</v>
      </c>
    </row>
    <row r="65" spans="1:7">
      <c r="A65" s="1331">
        <v>43101</v>
      </c>
      <c r="B65" s="1331">
        <v>43131</v>
      </c>
      <c r="C65" s="931">
        <f t="shared" si="11"/>
        <v>31</v>
      </c>
      <c r="D65" s="1876">
        <v>0.2069</v>
      </c>
      <c r="E65" s="1876">
        <f t="shared" si="8"/>
        <v>0.31035000000000001</v>
      </c>
      <c r="F65" s="1877">
        <f t="shared" si="9"/>
        <v>7.4080652774299871E-4</v>
      </c>
      <c r="G65" s="1356">
        <f t="shared" si="10"/>
        <v>5946085.6399999997</v>
      </c>
    </row>
    <row r="66" spans="1:7">
      <c r="A66" s="1331">
        <v>43132</v>
      </c>
      <c r="B66" s="1331">
        <v>43159</v>
      </c>
      <c r="C66" s="931">
        <f t="shared" si="11"/>
        <v>28</v>
      </c>
      <c r="D66" s="1876">
        <v>0.21010000000000001</v>
      </c>
      <c r="E66" s="1876">
        <f t="shared" si="8"/>
        <v>0.31515000000000004</v>
      </c>
      <c r="F66" s="1877">
        <f t="shared" si="9"/>
        <v>7.5083167162115494E-4</v>
      </c>
      <c r="G66" s="1356">
        <f t="shared" si="10"/>
        <v>5443337.7300000004</v>
      </c>
    </row>
    <row r="67" spans="1:7">
      <c r="A67" s="1331">
        <v>43160</v>
      </c>
      <c r="B67" s="1331">
        <v>43190</v>
      </c>
      <c r="C67" s="931">
        <f t="shared" si="11"/>
        <v>31</v>
      </c>
      <c r="D67" s="1876">
        <v>0.20680000000000001</v>
      </c>
      <c r="E67" s="1876">
        <f t="shared" si="8"/>
        <v>0.31020000000000003</v>
      </c>
      <c r="F67" s="1877">
        <f t="shared" si="9"/>
        <v>7.4049265219700011E-4</v>
      </c>
      <c r="G67" s="1356">
        <f t="shared" si="10"/>
        <v>5943566.3200000003</v>
      </c>
    </row>
    <row r="68" spans="1:7">
      <c r="A68" s="1331">
        <v>43191</v>
      </c>
      <c r="B68" s="1331">
        <v>43220</v>
      </c>
      <c r="C68" s="931">
        <f t="shared" si="11"/>
        <v>30</v>
      </c>
      <c r="D68" s="1876">
        <v>0.20480000000000001</v>
      </c>
      <c r="E68" s="1876">
        <f t="shared" si="8"/>
        <v>0.30720000000000003</v>
      </c>
      <c r="F68" s="1877">
        <f t="shared" si="9"/>
        <v>7.34207604366377E-4</v>
      </c>
      <c r="G68" s="1356">
        <f t="shared" si="10"/>
        <v>5703018.7400000002</v>
      </c>
    </row>
    <row r="69" spans="1:7">
      <c r="A69" s="1331">
        <v>43221</v>
      </c>
      <c r="B69" s="1331">
        <v>43251</v>
      </c>
      <c r="C69" s="931">
        <f t="shared" si="11"/>
        <v>31</v>
      </c>
      <c r="D69" s="1876">
        <v>0.2044</v>
      </c>
      <c r="E69" s="1876">
        <f t="shared" si="8"/>
        <v>0.30659999999999998</v>
      </c>
      <c r="F69" s="1877">
        <f>((1+E69)^(1/365)-1)</f>
        <v>7.3294886878794152E-4</v>
      </c>
      <c r="G69" s="1356">
        <f t="shared" si="10"/>
        <v>5883016.1200000001</v>
      </c>
    </row>
    <row r="70" spans="1:7">
      <c r="A70" s="1331">
        <v>43252</v>
      </c>
      <c r="B70" s="1331">
        <v>43281</v>
      </c>
      <c r="C70" s="931">
        <f t="shared" si="11"/>
        <v>30</v>
      </c>
      <c r="D70" s="1876">
        <v>0.20280000000000001</v>
      </c>
      <c r="E70" s="1876">
        <f t="shared" si="8"/>
        <v>0.30420000000000003</v>
      </c>
      <c r="F70" s="1877">
        <f t="shared" ref="F70:F121" si="12">((1+E70)^(1/365)-1)</f>
        <v>7.2790815549184096E-4</v>
      </c>
      <c r="G70" s="1356">
        <f t="shared" si="10"/>
        <v>5654087.25</v>
      </c>
    </row>
    <row r="71" spans="1:7">
      <c r="A71" s="1331">
        <v>43282</v>
      </c>
      <c r="B71" s="1331">
        <v>43312</v>
      </c>
      <c r="C71" s="931">
        <f t="shared" si="11"/>
        <v>31</v>
      </c>
      <c r="D71" s="1876">
        <v>0.20030000000000001</v>
      </c>
      <c r="E71" s="1876">
        <f t="shared" si="8"/>
        <v>0.30044999999999999</v>
      </c>
      <c r="F71" s="1877">
        <f t="shared" si="12"/>
        <v>7.2001349197825526E-4</v>
      </c>
      <c r="G71" s="1356">
        <f t="shared" si="10"/>
        <v>5779190.2800000003</v>
      </c>
    </row>
    <row r="72" spans="1:7">
      <c r="A72" s="1331">
        <v>43313</v>
      </c>
      <c r="B72" s="1331">
        <v>43343</v>
      </c>
      <c r="C72" s="931">
        <f t="shared" si="11"/>
        <v>31</v>
      </c>
      <c r="D72" s="1876">
        <v>0.19939999999999999</v>
      </c>
      <c r="E72" s="1876">
        <f t="shared" si="8"/>
        <v>0.29909999999999998</v>
      </c>
      <c r="F72" s="1877">
        <f t="shared" si="12"/>
        <v>7.1716585429704161E-4</v>
      </c>
      <c r="G72" s="1356">
        <f t="shared" si="10"/>
        <v>5756333.71</v>
      </c>
    </row>
    <row r="73" spans="1:7">
      <c r="A73" s="1331">
        <v>43344</v>
      </c>
      <c r="B73" s="1331">
        <v>43373</v>
      </c>
      <c r="C73" s="931">
        <f t="shared" si="11"/>
        <v>30</v>
      </c>
      <c r="D73" s="1876">
        <v>0.1981</v>
      </c>
      <c r="E73" s="1876">
        <f t="shared" si="8"/>
        <v>0.29715000000000003</v>
      </c>
      <c r="F73" s="1877">
        <f t="shared" si="12"/>
        <v>7.1304738558919389E-4</v>
      </c>
      <c r="G73" s="1356">
        <f t="shared" si="10"/>
        <v>5538654.9800000004</v>
      </c>
    </row>
    <row r="74" spans="1:7">
      <c r="A74" s="1331">
        <v>43374</v>
      </c>
      <c r="B74" s="1331">
        <v>43404</v>
      </c>
      <c r="C74" s="931">
        <f t="shared" si="11"/>
        <v>31</v>
      </c>
      <c r="D74" s="1876">
        <v>0.1963</v>
      </c>
      <c r="E74" s="1876">
        <f t="shared" si="8"/>
        <v>0.29444999999999999</v>
      </c>
      <c r="F74" s="1877">
        <f t="shared" si="12"/>
        <v>7.073346857742191E-4</v>
      </c>
      <c r="G74" s="1356">
        <f t="shared" si="10"/>
        <v>5677423.8099999996</v>
      </c>
    </row>
    <row r="75" spans="1:7">
      <c r="A75" s="1331">
        <v>43405</v>
      </c>
      <c r="B75" s="1331">
        <v>43434</v>
      </c>
      <c r="C75" s="931">
        <f t="shared" si="11"/>
        <v>30</v>
      </c>
      <c r="D75" s="1876">
        <v>0.19489999999999999</v>
      </c>
      <c r="E75" s="1876">
        <f t="shared" si="8"/>
        <v>0.29235</v>
      </c>
      <c r="F75" s="1877">
        <f t="shared" si="12"/>
        <v>7.0288325333756063E-4</v>
      </c>
      <c r="G75" s="1356">
        <f t="shared" si="10"/>
        <v>5459704.2300000004</v>
      </c>
    </row>
    <row r="76" spans="1:7">
      <c r="A76" s="1331">
        <v>43435</v>
      </c>
      <c r="B76" s="1331">
        <v>43465</v>
      </c>
      <c r="C76" s="931">
        <f t="shared" si="11"/>
        <v>31</v>
      </c>
      <c r="D76" s="1876">
        <v>0.19400000000000001</v>
      </c>
      <c r="E76" s="1876">
        <f t="shared" si="8"/>
        <v>0.29100000000000004</v>
      </c>
      <c r="F76" s="1877">
        <f t="shared" si="12"/>
        <v>7.0001780740103214E-4</v>
      </c>
      <c r="G76" s="1356">
        <f t="shared" si="10"/>
        <v>5618694.8700000001</v>
      </c>
    </row>
    <row r="77" spans="1:7">
      <c r="A77" s="1331">
        <v>43466</v>
      </c>
      <c r="B77" s="1331">
        <v>43496</v>
      </c>
      <c r="C77" s="931">
        <f t="shared" si="11"/>
        <v>31</v>
      </c>
      <c r="D77" s="1876">
        <v>0.19159999999999999</v>
      </c>
      <c r="E77" s="1876">
        <f t="shared" si="8"/>
        <v>0.28739999999999999</v>
      </c>
      <c r="F77" s="1877">
        <f t="shared" si="12"/>
        <v>6.9236198468725085E-4</v>
      </c>
      <c r="G77" s="1356">
        <f t="shared" si="10"/>
        <v>5557245.3799999999</v>
      </c>
    </row>
    <row r="78" spans="1:7">
      <c r="A78" s="1331">
        <v>43497</v>
      </c>
      <c r="B78" s="1331">
        <v>43524</v>
      </c>
      <c r="C78" s="931">
        <f t="shared" si="11"/>
        <v>28</v>
      </c>
      <c r="D78" s="1876">
        <v>0.19700000000000001</v>
      </c>
      <c r="E78" s="1876">
        <f t="shared" si="8"/>
        <v>0.29549999999999998</v>
      </c>
      <c r="F78" s="1877">
        <f t="shared" si="12"/>
        <v>7.0955770203506852E-4</v>
      </c>
      <c r="G78" s="1356">
        <f t="shared" si="10"/>
        <v>5144112</v>
      </c>
    </row>
    <row r="79" spans="1:7">
      <c r="A79" s="1331">
        <v>43525</v>
      </c>
      <c r="B79" s="1331">
        <v>43555</v>
      </c>
      <c r="C79" s="931">
        <f t="shared" si="11"/>
        <v>31</v>
      </c>
      <c r="D79" s="1876">
        <v>0.19370000000000001</v>
      </c>
      <c r="E79" s="1876">
        <f t="shared" si="8"/>
        <v>0.29055000000000003</v>
      </c>
      <c r="F79" s="1877">
        <f t="shared" si="12"/>
        <v>6.9906199467517638E-4</v>
      </c>
      <c r="G79" s="1356">
        <f t="shared" si="10"/>
        <v>5611023.0300000003</v>
      </c>
    </row>
    <row r="80" spans="1:7">
      <c r="A80" s="1331">
        <v>43556</v>
      </c>
      <c r="B80" s="1331">
        <v>43585</v>
      </c>
      <c r="C80" s="931">
        <f t="shared" si="11"/>
        <v>30</v>
      </c>
      <c r="D80" s="1876">
        <v>0.19320000000000001</v>
      </c>
      <c r="E80" s="1876">
        <f t="shared" si="8"/>
        <v>0.2898</v>
      </c>
      <c r="F80" s="1877">
        <f t="shared" si="12"/>
        <v>6.9746823462724095E-4</v>
      </c>
      <c r="G80" s="1356">
        <f t="shared" si="10"/>
        <v>5417642.6299999999</v>
      </c>
    </row>
    <row r="81" spans="1:8">
      <c r="A81" s="1331">
        <v>43586</v>
      </c>
      <c r="B81" s="1331">
        <v>43616</v>
      </c>
      <c r="C81" s="931">
        <f t="shared" si="11"/>
        <v>31</v>
      </c>
      <c r="D81" s="1876">
        <v>0.19339999999999999</v>
      </c>
      <c r="E81" s="1876">
        <f t="shared" si="8"/>
        <v>0.29009999999999997</v>
      </c>
      <c r="F81" s="1877">
        <f t="shared" si="12"/>
        <v>6.9810584952367805E-4</v>
      </c>
      <c r="G81" s="1356">
        <f t="shared" si="10"/>
        <v>5603348.5300000003</v>
      </c>
    </row>
    <row r="82" spans="1:8">
      <c r="A82" s="1331">
        <v>43617</v>
      </c>
      <c r="B82" s="1331">
        <v>43646</v>
      </c>
      <c r="C82" s="931">
        <f t="shared" si="11"/>
        <v>30</v>
      </c>
      <c r="D82" s="1876">
        <v>0.193</v>
      </c>
      <c r="E82" s="1876">
        <f t="shared" si="8"/>
        <v>0.28949999999999998</v>
      </c>
      <c r="F82" s="1877">
        <f t="shared" si="12"/>
        <v>6.9683047181468005E-4</v>
      </c>
      <c r="G82" s="1356">
        <f t="shared" si="10"/>
        <v>5412688.75</v>
      </c>
    </row>
    <row r="83" spans="1:8">
      <c r="A83" s="1331">
        <v>43647</v>
      </c>
      <c r="B83" s="1331">
        <v>43677</v>
      </c>
      <c r="C83" s="931">
        <f t="shared" si="11"/>
        <v>31</v>
      </c>
      <c r="D83" s="1876">
        <v>0.1928</v>
      </c>
      <c r="E83" s="1876">
        <f t="shared" si="8"/>
        <v>0.28920000000000001</v>
      </c>
      <c r="F83" s="1877">
        <f t="shared" si="12"/>
        <v>6.9619256101671745E-4</v>
      </c>
      <c r="G83" s="1356">
        <f t="shared" si="10"/>
        <v>5587991.5199999996</v>
      </c>
    </row>
    <row r="84" spans="1:8">
      <c r="A84" s="1331">
        <v>43678</v>
      </c>
      <c r="B84" s="1331">
        <v>43708</v>
      </c>
      <c r="C84" s="931">
        <f t="shared" si="11"/>
        <v>31</v>
      </c>
      <c r="D84" s="1876">
        <v>0.19320000000000001</v>
      </c>
      <c r="E84" s="1876">
        <f t="shared" si="8"/>
        <v>0.2898</v>
      </c>
      <c r="F84" s="1877">
        <f t="shared" si="12"/>
        <v>6.9746823462724095E-4</v>
      </c>
      <c r="G84" s="1356">
        <f t="shared" si="10"/>
        <v>5598230.71</v>
      </c>
    </row>
    <row r="85" spans="1:8">
      <c r="A85" s="1331">
        <v>43709</v>
      </c>
      <c r="B85" s="1331">
        <v>43738</v>
      </c>
      <c r="C85" s="931">
        <f t="shared" si="11"/>
        <v>30</v>
      </c>
      <c r="D85" s="1876">
        <v>0.19320000000000001</v>
      </c>
      <c r="E85" s="1876">
        <f t="shared" si="8"/>
        <v>0.2898</v>
      </c>
      <c r="F85" s="1877">
        <f t="shared" si="12"/>
        <v>6.9746823462724095E-4</v>
      </c>
      <c r="G85" s="1356">
        <f t="shared" si="10"/>
        <v>5417642.6299999999</v>
      </c>
    </row>
    <row r="86" spans="1:8">
      <c r="A86" s="1331">
        <v>43739</v>
      </c>
      <c r="B86" s="1331">
        <v>43769</v>
      </c>
      <c r="C86" s="931">
        <f t="shared" si="11"/>
        <v>31</v>
      </c>
      <c r="D86" s="1876">
        <v>0.191</v>
      </c>
      <c r="E86" s="1876">
        <f t="shared" si="8"/>
        <v>0.28649999999999998</v>
      </c>
      <c r="F86" s="1877">
        <f t="shared" si="12"/>
        <v>6.9044469314105683E-4</v>
      </c>
      <c r="G86" s="1356">
        <f t="shared" si="10"/>
        <v>5541856.2400000002</v>
      </c>
    </row>
    <row r="87" spans="1:8">
      <c r="A87" s="1331">
        <v>43770</v>
      </c>
      <c r="B87" s="1331">
        <v>43799</v>
      </c>
      <c r="C87" s="931">
        <f t="shared" si="11"/>
        <v>30</v>
      </c>
      <c r="D87" s="1876">
        <v>0.1903</v>
      </c>
      <c r="E87" s="1876">
        <f t="shared" si="8"/>
        <v>0.28544999999999998</v>
      </c>
      <c r="F87" s="1877">
        <f t="shared" si="12"/>
        <v>6.8820616169262827E-4</v>
      </c>
      <c r="G87" s="1356">
        <f t="shared" si="10"/>
        <v>5345698.7</v>
      </c>
    </row>
    <row r="88" spans="1:8">
      <c r="A88" s="1331">
        <v>43800</v>
      </c>
      <c r="B88" s="1331">
        <v>43830</v>
      </c>
      <c r="C88" s="931">
        <f t="shared" si="11"/>
        <v>31</v>
      </c>
      <c r="D88" s="1876">
        <v>0.18909999999999999</v>
      </c>
      <c r="E88" s="1876">
        <f t="shared" si="8"/>
        <v>0.28364999999999996</v>
      </c>
      <c r="F88" s="1877">
        <f t="shared" si="12"/>
        <v>6.8436443340047504E-4</v>
      </c>
      <c r="G88" s="1356">
        <f t="shared" si="10"/>
        <v>5493053.0199999996</v>
      </c>
    </row>
    <row r="89" spans="1:8">
      <c r="A89" s="1331">
        <v>43831</v>
      </c>
      <c r="B89" s="1331">
        <v>43861</v>
      </c>
      <c r="C89" s="931">
        <f t="shared" si="11"/>
        <v>31</v>
      </c>
      <c r="D89" s="1876">
        <v>0.18770000000000001</v>
      </c>
      <c r="E89" s="1876">
        <f t="shared" si="8"/>
        <v>0.28155000000000002</v>
      </c>
      <c r="F89" s="1877">
        <f t="shared" si="12"/>
        <v>6.7987562124560696E-4</v>
      </c>
      <c r="G89" s="1356">
        <f t="shared" si="10"/>
        <v>5457023.5499999998</v>
      </c>
    </row>
    <row r="90" spans="1:8">
      <c r="A90" s="1331">
        <v>43862</v>
      </c>
      <c r="B90" s="1331">
        <v>43890</v>
      </c>
      <c r="C90" s="931">
        <f t="shared" si="11"/>
        <v>29</v>
      </c>
      <c r="D90" s="1876">
        <v>0.19059999999999999</v>
      </c>
      <c r="E90" s="1876">
        <f t="shared" si="8"/>
        <v>0.28589999999999999</v>
      </c>
      <c r="F90" s="1877">
        <f t="shared" si="12"/>
        <v>6.8916575551658532E-4</v>
      </c>
      <c r="G90" s="1356">
        <f t="shared" si="10"/>
        <v>5174714.01</v>
      </c>
      <c r="H90" s="1727">
        <f>+G57</f>
        <v>101919612</v>
      </c>
    </row>
    <row r="91" spans="1:8">
      <c r="A91" s="1331">
        <v>43891</v>
      </c>
      <c r="B91" s="1331">
        <v>43921</v>
      </c>
      <c r="C91" s="931">
        <f t="shared" si="11"/>
        <v>31</v>
      </c>
      <c r="D91" s="1876">
        <v>0.1895</v>
      </c>
      <c r="E91" s="1876">
        <f t="shared" si="8"/>
        <v>0.28425</v>
      </c>
      <c r="F91" s="1877">
        <f t="shared" si="12"/>
        <v>6.8564560609574166E-4</v>
      </c>
      <c r="G91" s="1356">
        <f t="shared" si="10"/>
        <v>5503336.3499999996</v>
      </c>
      <c r="H91" s="1727">
        <f>SUM(G58:G89)</f>
        <v>200730950.55000004</v>
      </c>
    </row>
    <row r="92" spans="1:8">
      <c r="A92" s="1331">
        <v>43922</v>
      </c>
      <c r="B92" s="1331">
        <v>43951</v>
      </c>
      <c r="C92" s="931">
        <f t="shared" si="11"/>
        <v>30</v>
      </c>
      <c r="D92" s="1876">
        <v>0.18690000000000001</v>
      </c>
      <c r="E92" s="1876">
        <f t="shared" si="8"/>
        <v>0.28034999999999999</v>
      </c>
      <c r="F92" s="1877">
        <f t="shared" si="12"/>
        <v>6.7730729113191224E-4</v>
      </c>
      <c r="G92" s="1356">
        <f t="shared" si="10"/>
        <v>5261040.82</v>
      </c>
      <c r="H92" s="1727">
        <f>+H90+H91</f>
        <v>302650562.55000007</v>
      </c>
    </row>
    <row r="93" spans="1:8">
      <c r="A93" s="1331">
        <v>43952</v>
      </c>
      <c r="B93" s="1331">
        <v>43982</v>
      </c>
      <c r="C93" s="931">
        <f t="shared" si="11"/>
        <v>31</v>
      </c>
      <c r="D93" s="1876">
        <v>0.18190000000000001</v>
      </c>
      <c r="E93" s="1876">
        <f t="shared" si="8"/>
        <v>0.27285000000000004</v>
      </c>
      <c r="F93" s="1877">
        <f t="shared" si="12"/>
        <v>6.6120063584418354E-4</v>
      </c>
      <c r="G93" s="1356">
        <f t="shared" si="10"/>
        <v>5307128.7300000004</v>
      </c>
    </row>
    <row r="94" spans="1:8">
      <c r="A94" s="1331">
        <v>43983</v>
      </c>
      <c r="B94" s="1331">
        <v>44012</v>
      </c>
      <c r="C94" s="931">
        <f t="shared" si="11"/>
        <v>30</v>
      </c>
      <c r="D94" s="1876">
        <v>0.1812</v>
      </c>
      <c r="E94" s="1876">
        <f t="shared" si="8"/>
        <v>0.27179999999999999</v>
      </c>
      <c r="F94" s="1877">
        <f t="shared" si="12"/>
        <v>6.5893815469997286E-4</v>
      </c>
      <c r="G94" s="1356">
        <f t="shared" si="10"/>
        <v>5118357.0199999996</v>
      </c>
    </row>
    <row r="95" spans="1:8">
      <c r="A95" s="1331">
        <v>44013</v>
      </c>
      <c r="B95" s="1331">
        <v>44043</v>
      </c>
      <c r="C95" s="931">
        <f t="shared" si="11"/>
        <v>31</v>
      </c>
      <c r="D95" s="1876">
        <v>0.1812</v>
      </c>
      <c r="E95" s="1876">
        <f t="shared" si="8"/>
        <v>0.27179999999999999</v>
      </c>
      <c r="F95" s="1877">
        <f t="shared" si="12"/>
        <v>6.5893815469997286E-4</v>
      </c>
      <c r="G95" s="1356">
        <f t="shared" si="10"/>
        <v>5288968.92</v>
      </c>
    </row>
    <row r="96" spans="1:8">
      <c r="A96" s="1331">
        <v>44044</v>
      </c>
      <c r="B96" s="1331">
        <v>44074</v>
      </c>
      <c r="C96" s="931">
        <f t="shared" si="11"/>
        <v>31</v>
      </c>
      <c r="D96" s="1876">
        <v>0.18290000000000001</v>
      </c>
      <c r="E96" s="1876">
        <f t="shared" si="8"/>
        <v>0.27434999999999998</v>
      </c>
      <c r="F96" s="1877">
        <f t="shared" si="12"/>
        <v>6.6442952514544906E-4</v>
      </c>
      <c r="G96" s="1356">
        <f t="shared" si="10"/>
        <v>5333045.42</v>
      </c>
    </row>
    <row r="97" spans="1:7">
      <c r="A97" s="1331">
        <v>44075</v>
      </c>
      <c r="B97" s="1331">
        <v>44104</v>
      </c>
      <c r="C97" s="931">
        <f t="shared" si="11"/>
        <v>30</v>
      </c>
      <c r="D97" s="1876">
        <v>0.1835</v>
      </c>
      <c r="E97" s="1876">
        <f t="shared" si="8"/>
        <v>0.27524999999999999</v>
      </c>
      <c r="F97" s="1877">
        <f t="shared" si="12"/>
        <v>6.6636503991857055E-4</v>
      </c>
      <c r="G97" s="1356">
        <f t="shared" si="10"/>
        <v>5176045.97</v>
      </c>
    </row>
    <row r="98" spans="1:7">
      <c r="A98" s="1331">
        <v>44105</v>
      </c>
      <c r="B98" s="1331">
        <v>44135</v>
      </c>
      <c r="C98" s="931">
        <f t="shared" si="11"/>
        <v>31</v>
      </c>
      <c r="D98" s="1876">
        <v>0.18090000000000001</v>
      </c>
      <c r="E98" s="1876">
        <f t="shared" si="8"/>
        <v>0.27134999999999998</v>
      </c>
      <c r="F98" s="1877">
        <f t="shared" si="12"/>
        <v>6.5796794962613703E-4</v>
      </c>
      <c r="G98" s="1356">
        <f t="shared" si="10"/>
        <v>5281181.57</v>
      </c>
    </row>
    <row r="99" spans="1:7">
      <c r="A99" s="1331">
        <v>44136</v>
      </c>
      <c r="B99" s="1331">
        <v>44165</v>
      </c>
      <c r="C99" s="931">
        <f t="shared" si="11"/>
        <v>30</v>
      </c>
      <c r="D99" s="1876">
        <v>0.1784</v>
      </c>
      <c r="E99" s="1876">
        <f t="shared" si="8"/>
        <v>0.2676</v>
      </c>
      <c r="F99" s="1877">
        <f t="shared" si="12"/>
        <v>6.4986956374091243E-4</v>
      </c>
      <c r="G99" s="1356">
        <f t="shared" si="10"/>
        <v>5047915.9800000004</v>
      </c>
    </row>
    <row r="100" spans="1:7">
      <c r="A100" s="1331">
        <v>44166</v>
      </c>
      <c r="B100" s="1331">
        <v>44196</v>
      </c>
      <c r="C100" s="931">
        <f t="shared" si="11"/>
        <v>31</v>
      </c>
      <c r="D100" s="1876">
        <v>0.17460000000000001</v>
      </c>
      <c r="E100" s="1876">
        <f t="shared" si="8"/>
        <v>0.26190000000000002</v>
      </c>
      <c r="F100" s="1877">
        <f t="shared" si="12"/>
        <v>6.3751414410861962E-4</v>
      </c>
      <c r="G100" s="1356">
        <f t="shared" si="10"/>
        <v>5117009.04</v>
      </c>
    </row>
    <row r="101" spans="1:7">
      <c r="A101" s="1331">
        <v>44197</v>
      </c>
      <c r="B101" s="1331">
        <v>44227</v>
      </c>
      <c r="C101" s="931">
        <f t="shared" si="11"/>
        <v>31</v>
      </c>
      <c r="D101" s="1876">
        <v>0.17319999999999999</v>
      </c>
      <c r="E101" s="1876">
        <f t="shared" si="8"/>
        <v>0.25979999999999998</v>
      </c>
      <c r="F101" s="1877">
        <f t="shared" si="12"/>
        <v>6.3294811266723094E-4</v>
      </c>
      <c r="G101" s="1356">
        <f t="shared" si="10"/>
        <v>5080359.78</v>
      </c>
    </row>
    <row r="102" spans="1:7">
      <c r="A102" s="1331">
        <v>44228</v>
      </c>
      <c r="B102" s="1331">
        <v>44255</v>
      </c>
      <c r="C102" s="931">
        <f t="shared" si="11"/>
        <v>28</v>
      </c>
      <c r="D102" s="1876">
        <v>0.1754</v>
      </c>
      <c r="E102" s="1876">
        <f t="shared" si="8"/>
        <v>0.2631</v>
      </c>
      <c r="F102" s="1877">
        <f t="shared" si="12"/>
        <v>6.4011990387169426E-4</v>
      </c>
      <c r="G102" s="1356">
        <f t="shared" si="10"/>
        <v>4640705.71</v>
      </c>
    </row>
    <row r="103" spans="1:7">
      <c r="A103" s="1331">
        <v>44256</v>
      </c>
      <c r="B103" s="1331">
        <v>44286</v>
      </c>
      <c r="C103" s="931">
        <f t="shared" si="11"/>
        <v>31</v>
      </c>
      <c r="D103" s="1876">
        <v>0.1741</v>
      </c>
      <c r="E103" s="1876">
        <f t="shared" si="8"/>
        <v>0.26114999999999999</v>
      </c>
      <c r="F103" s="1877">
        <f t="shared" si="12"/>
        <v>6.3588428907812578E-4</v>
      </c>
      <c r="G103" s="1356">
        <f t="shared" si="10"/>
        <v>5103927</v>
      </c>
    </row>
    <row r="104" spans="1:7">
      <c r="A104" s="1331">
        <v>44287</v>
      </c>
      <c r="B104" s="1331">
        <v>44316</v>
      </c>
      <c r="C104" s="931">
        <f t="shared" si="11"/>
        <v>30</v>
      </c>
      <c r="D104" s="1876">
        <v>0.1731</v>
      </c>
      <c r="E104" s="1876">
        <f t="shared" si="8"/>
        <v>0.25964999999999999</v>
      </c>
      <c r="F104" s="1877">
        <f t="shared" si="12"/>
        <v>6.326216771728177E-4</v>
      </c>
      <c r="G104" s="1356">
        <f t="shared" si="10"/>
        <v>4913941.59</v>
      </c>
    </row>
    <row r="105" spans="1:7">
      <c r="A105" s="1331">
        <v>44317</v>
      </c>
      <c r="B105" s="1331">
        <v>44347</v>
      </c>
      <c r="C105" s="931">
        <f t="shared" si="11"/>
        <v>31</v>
      </c>
      <c r="D105" s="1876">
        <v>0.17219999999999999</v>
      </c>
      <c r="E105" s="1876">
        <f t="shared" si="8"/>
        <v>0.25829999999999997</v>
      </c>
      <c r="F105" s="1877">
        <f t="shared" si="12"/>
        <v>6.2968201205726437E-4</v>
      </c>
      <c r="G105" s="1356">
        <f t="shared" si="10"/>
        <v>5054144.41</v>
      </c>
    </row>
    <row r="106" spans="1:7">
      <c r="A106" s="1331">
        <v>44348</v>
      </c>
      <c r="B106" s="1331">
        <v>44377</v>
      </c>
      <c r="C106" s="931">
        <f t="shared" si="11"/>
        <v>30</v>
      </c>
      <c r="D106" s="1876">
        <v>0.1721</v>
      </c>
      <c r="E106" s="1876">
        <f t="shared" si="8"/>
        <v>0.25814999999999999</v>
      </c>
      <c r="F106" s="1877">
        <f t="shared" si="12"/>
        <v>6.2935518846773952E-4</v>
      </c>
      <c r="G106" s="1356">
        <f t="shared" si="10"/>
        <v>4888568.8600000003</v>
      </c>
    </row>
    <row r="107" spans="1:7">
      <c r="A107" s="1331">
        <v>44378</v>
      </c>
      <c r="B107" s="1331">
        <v>44408</v>
      </c>
      <c r="C107" s="931">
        <f t="shared" si="11"/>
        <v>31</v>
      </c>
      <c r="D107" s="1876">
        <v>0.17180000000000001</v>
      </c>
      <c r="E107" s="1876">
        <f t="shared" si="8"/>
        <v>0.25770000000000004</v>
      </c>
      <c r="F107" s="1877">
        <f t="shared" si="12"/>
        <v>6.2837448450037137E-4</v>
      </c>
      <c r="G107" s="1356">
        <f t="shared" si="10"/>
        <v>5043649.54</v>
      </c>
    </row>
    <row r="108" spans="1:7">
      <c r="A108" s="1331">
        <v>44409</v>
      </c>
      <c r="B108" s="1331">
        <v>44439</v>
      </c>
      <c r="C108" s="931">
        <f t="shared" si="11"/>
        <v>31</v>
      </c>
      <c r="D108" s="1876">
        <v>0.1724</v>
      </c>
      <c r="E108" s="1876">
        <f t="shared" si="8"/>
        <v>0.2586</v>
      </c>
      <c r="F108" s="1877">
        <f t="shared" si="12"/>
        <v>6.3033554269220637E-4</v>
      </c>
      <c r="G108" s="1356">
        <f t="shared" si="10"/>
        <v>5059389.9800000004</v>
      </c>
    </row>
    <row r="109" spans="1:7">
      <c r="A109" s="1331">
        <v>44440</v>
      </c>
      <c r="B109" s="1331">
        <v>44469</v>
      </c>
      <c r="C109" s="931">
        <f t="shared" si="11"/>
        <v>30</v>
      </c>
      <c r="D109" s="1876">
        <v>0.1719</v>
      </c>
      <c r="E109" s="1876">
        <f t="shared" si="8"/>
        <v>0.25785000000000002</v>
      </c>
      <c r="F109" s="1877">
        <f t="shared" si="12"/>
        <v>6.2870142469861889E-4</v>
      </c>
      <c r="G109" s="1356">
        <f t="shared" si="10"/>
        <v>4883490.7</v>
      </c>
    </row>
    <row r="110" spans="1:7">
      <c r="A110" s="1331">
        <v>44470</v>
      </c>
      <c r="B110" s="1331">
        <v>44500</v>
      </c>
      <c r="C110" s="931">
        <f t="shared" si="11"/>
        <v>31</v>
      </c>
      <c r="D110" s="1876">
        <v>0.17080000000000001</v>
      </c>
      <c r="E110" s="1876">
        <f t="shared" si="8"/>
        <v>0.25619999999999998</v>
      </c>
      <c r="F110" s="1877">
        <f t="shared" si="12"/>
        <v>6.2510294214179751E-4</v>
      </c>
      <c r="G110" s="1356">
        <f t="shared" si="10"/>
        <v>5017390.49</v>
      </c>
    </row>
    <row r="111" spans="1:7">
      <c r="A111" s="1331">
        <v>44501</v>
      </c>
      <c r="B111" s="1331">
        <v>44530</v>
      </c>
      <c r="C111" s="931">
        <f t="shared" si="11"/>
        <v>30</v>
      </c>
      <c r="D111" s="1876">
        <v>0.17269999999999999</v>
      </c>
      <c r="E111" s="1876">
        <f t="shared" si="8"/>
        <v>0.25905</v>
      </c>
      <c r="F111" s="1877">
        <f t="shared" si="12"/>
        <v>6.3131554742335005E-4</v>
      </c>
      <c r="G111" s="1356">
        <f t="shared" si="10"/>
        <v>4903796.12</v>
      </c>
    </row>
    <row r="112" spans="1:7">
      <c r="A112" s="1331">
        <v>44531</v>
      </c>
      <c r="B112" s="1331">
        <v>44561</v>
      </c>
      <c r="C112" s="931">
        <f t="shared" si="11"/>
        <v>31</v>
      </c>
      <c r="D112" s="1876">
        <v>0.17460000000000001</v>
      </c>
      <c r="E112" s="1876">
        <f t="shared" si="8"/>
        <v>0.26190000000000002</v>
      </c>
      <c r="F112" s="1877">
        <f t="shared" si="12"/>
        <v>6.3751414410861962E-4</v>
      </c>
      <c r="G112" s="1356">
        <f t="shared" si="10"/>
        <v>5117009.04</v>
      </c>
    </row>
    <row r="113" spans="1:7">
      <c r="A113" s="1331">
        <v>44562</v>
      </c>
      <c r="B113" s="1331">
        <v>44592</v>
      </c>
      <c r="C113" s="931">
        <f t="shared" si="11"/>
        <v>31</v>
      </c>
      <c r="D113" s="1876">
        <v>0.17660000000000001</v>
      </c>
      <c r="E113" s="1876">
        <f t="shared" si="8"/>
        <v>0.26490000000000002</v>
      </c>
      <c r="F113" s="1877">
        <f t="shared" si="12"/>
        <v>6.4402391816376081E-4</v>
      </c>
      <c r="G113" s="1356">
        <f t="shared" si="10"/>
        <v>5169259.76</v>
      </c>
    </row>
    <row r="114" spans="1:7">
      <c r="A114" s="1331">
        <v>44593</v>
      </c>
      <c r="B114" s="1331">
        <v>44620</v>
      </c>
      <c r="C114" s="931">
        <f t="shared" si="11"/>
        <v>28</v>
      </c>
      <c r="D114" s="1876">
        <v>0.183</v>
      </c>
      <c r="E114" s="1876">
        <f t="shared" si="8"/>
        <v>0.27449999999999997</v>
      </c>
      <c r="F114" s="1877">
        <f t="shared" si="12"/>
        <v>6.6475220558892545E-4</v>
      </c>
      <c r="G114" s="1356">
        <f t="shared" si="10"/>
        <v>4819283.5999999996</v>
      </c>
    </row>
    <row r="115" spans="1:7">
      <c r="A115" s="1331">
        <v>44621</v>
      </c>
      <c r="B115" s="1331">
        <v>44651</v>
      </c>
      <c r="C115" s="931">
        <f t="shared" si="11"/>
        <v>31</v>
      </c>
      <c r="D115" s="1876">
        <v>0.1847</v>
      </c>
      <c r="E115" s="1876">
        <f t="shared" si="8"/>
        <v>0.27705000000000002</v>
      </c>
      <c r="F115" s="1877">
        <f t="shared" si="12"/>
        <v>6.7023198611315671E-4</v>
      </c>
      <c r="G115" s="1356">
        <f t="shared" si="10"/>
        <v>5379618.8899999997</v>
      </c>
    </row>
    <row r="116" spans="1:7">
      <c r="A116" s="1331">
        <v>44652</v>
      </c>
      <c r="B116" s="1331">
        <v>44681</v>
      </c>
      <c r="C116" s="931">
        <f t="shared" si="11"/>
        <v>30</v>
      </c>
      <c r="D116" s="1876">
        <v>0.1905</v>
      </c>
      <c r="E116" s="1876">
        <f t="shared" si="8"/>
        <v>0.28575</v>
      </c>
      <c r="F116" s="1877">
        <f t="shared" si="12"/>
        <v>6.8884592812357148E-4</v>
      </c>
      <c r="G116" s="1356">
        <f t="shared" si="10"/>
        <v>5350668.1399999997</v>
      </c>
    </row>
    <row r="117" spans="1:7">
      <c r="A117" s="1331">
        <v>44682</v>
      </c>
      <c r="B117" s="1331">
        <v>44712</v>
      </c>
      <c r="C117" s="931">
        <f t="shared" si="11"/>
        <v>31</v>
      </c>
      <c r="D117" s="1876">
        <v>0.1971</v>
      </c>
      <c r="E117" s="1876">
        <f t="shared" si="8"/>
        <v>0.29564999999999997</v>
      </c>
      <c r="F117" s="1877">
        <f t="shared" si="12"/>
        <v>7.0987512909947981E-4</v>
      </c>
      <c r="G117" s="1356">
        <f t="shared" si="10"/>
        <v>5697814.6900000004</v>
      </c>
    </row>
    <row r="118" spans="1:7" ht="13.5">
      <c r="A118" s="1331">
        <v>44713</v>
      </c>
      <c r="B118" s="1331">
        <v>44742</v>
      </c>
      <c r="C118" s="931">
        <f t="shared" si="11"/>
        <v>30</v>
      </c>
      <c r="D118" s="1923">
        <v>0.20399999999999999</v>
      </c>
      <c r="E118" s="1876">
        <f t="shared" si="8"/>
        <v>0.30599999999999999</v>
      </c>
      <c r="F118" s="1877">
        <f t="shared" si="12"/>
        <v>7.3168955664093538E-4</v>
      </c>
      <c r="G118" s="1356">
        <f t="shared" si="10"/>
        <v>5683459.5999999996</v>
      </c>
    </row>
    <row r="119" spans="1:7" ht="13.5">
      <c r="A119" s="1331">
        <v>44743</v>
      </c>
      <c r="B119" s="1331">
        <v>44773</v>
      </c>
      <c r="C119" s="931">
        <f t="shared" si="11"/>
        <v>31</v>
      </c>
      <c r="D119" s="1923">
        <v>0.21279999999999999</v>
      </c>
      <c r="E119" s="1876">
        <f t="shared" si="8"/>
        <v>0.31919999999999998</v>
      </c>
      <c r="F119" s="1877">
        <f t="shared" si="12"/>
        <v>7.5926204501630679E-4</v>
      </c>
      <c r="G119" s="1356">
        <f t="shared" si="10"/>
        <v>6094218.9000000004</v>
      </c>
    </row>
    <row r="120" spans="1:7" ht="13.5">
      <c r="A120" s="1331">
        <v>44774</v>
      </c>
      <c r="B120" s="1331">
        <v>44804</v>
      </c>
      <c r="C120" s="931">
        <f t="shared" si="11"/>
        <v>31</v>
      </c>
      <c r="D120" s="1923">
        <v>0.22209999999999999</v>
      </c>
      <c r="E120" s="1876">
        <f t="shared" si="8"/>
        <v>0.33315</v>
      </c>
      <c r="F120" s="1877">
        <f t="shared" si="12"/>
        <v>7.8810371394433254E-4</v>
      </c>
      <c r="G120" s="1356">
        <f t="shared" si="10"/>
        <v>6325716.6399999997</v>
      </c>
    </row>
    <row r="121" spans="1:7" ht="13.5">
      <c r="A121" s="1331">
        <v>44805</v>
      </c>
      <c r="B121" s="1331">
        <v>44834</v>
      </c>
      <c r="C121" s="931">
        <f t="shared" si="11"/>
        <v>30</v>
      </c>
      <c r="D121" s="1923">
        <v>0.23499999999999999</v>
      </c>
      <c r="E121" s="1876">
        <f t="shared" si="8"/>
        <v>0.35249999999999998</v>
      </c>
      <c r="F121" s="1877">
        <f t="shared" si="12"/>
        <v>8.2761552252574866E-4</v>
      </c>
      <c r="G121" s="1356">
        <f t="shared" si="10"/>
        <v>6428572.5300000003</v>
      </c>
    </row>
    <row r="122" spans="1:7" ht="13.5">
      <c r="A122" s="1331">
        <v>44835</v>
      </c>
      <c r="B122" s="1331">
        <v>44865</v>
      </c>
      <c r="C122" s="931">
        <f t="shared" ref="C122:C124" si="13">+_xlfn.DAYS(B122,A122)+1</f>
        <v>31</v>
      </c>
      <c r="D122" s="1923">
        <v>0.24610000000000001</v>
      </c>
      <c r="E122" s="1876">
        <f t="shared" ref="E122:E124" si="14">D122*1.5</f>
        <v>0.36915000000000003</v>
      </c>
      <c r="F122" s="1877">
        <f t="shared" ref="F122:F124" si="15">((1+E122)^(1/365)-1)</f>
        <v>8.611654102768096E-4</v>
      </c>
      <c r="G122" s="1356">
        <f t="shared" ref="G122:G124" si="16">ROUND(C122*$G$54*F122,2)</f>
        <v>6912146.5499999998</v>
      </c>
    </row>
    <row r="123" spans="1:7" ht="13.5">
      <c r="A123" s="1331">
        <v>44866</v>
      </c>
      <c r="B123" s="1331">
        <v>44895</v>
      </c>
      <c r="C123" s="931">
        <f t="shared" si="13"/>
        <v>30</v>
      </c>
      <c r="D123" s="1923">
        <v>0.25779999999999997</v>
      </c>
      <c r="E123" s="1876">
        <f t="shared" si="14"/>
        <v>0.38669999999999993</v>
      </c>
      <c r="F123" s="1877">
        <f t="shared" si="15"/>
        <v>8.9609117817124329E-4</v>
      </c>
      <c r="G123" s="1356">
        <f t="shared" si="16"/>
        <v>6960462.8899999997</v>
      </c>
    </row>
    <row r="124" spans="1:7" ht="13.5">
      <c r="A124" s="1331">
        <v>44896</v>
      </c>
      <c r="B124" s="1331">
        <v>44926</v>
      </c>
      <c r="C124" s="931">
        <f t="shared" si="13"/>
        <v>31</v>
      </c>
      <c r="D124" s="1923">
        <v>0.27639999999999998</v>
      </c>
      <c r="E124" s="1876">
        <f t="shared" si="14"/>
        <v>0.41459999999999997</v>
      </c>
      <c r="F124" s="1877">
        <f t="shared" si="15"/>
        <v>9.5071686592063109E-4</v>
      </c>
      <c r="G124" s="1356">
        <f t="shared" si="16"/>
        <v>7630931.5499999998</v>
      </c>
    </row>
    <row r="125" spans="1:7" ht="13.5">
      <c r="A125" s="1331">
        <v>44927</v>
      </c>
      <c r="B125" s="1331">
        <v>44957</v>
      </c>
      <c r="C125" s="931">
        <f t="shared" ref="C125:C127" si="17">+_xlfn.DAYS(B125,A125)+1</f>
        <v>31</v>
      </c>
      <c r="D125" s="1923">
        <v>0.28839999999999999</v>
      </c>
      <c r="E125" s="1876">
        <f t="shared" ref="E125:E127" si="18">D125*1.5</f>
        <v>0.43259999999999998</v>
      </c>
      <c r="F125" s="1877">
        <f t="shared" ref="F125:F127" si="19">((1+E125)^(1/365)-1)</f>
        <v>9.8539196132163553E-4</v>
      </c>
      <c r="G125" s="1356">
        <f t="shared" ref="G125:G127" si="20">ROUND(C125*$G$54*F125,2)</f>
        <v>7909251.2999999998</v>
      </c>
    </row>
    <row r="126" spans="1:7" ht="12.75" customHeight="1">
      <c r="A126" s="1331">
        <v>44958</v>
      </c>
      <c r="B126" s="1331">
        <v>44985</v>
      </c>
      <c r="C126" s="931">
        <f t="shared" si="17"/>
        <v>28</v>
      </c>
      <c r="D126" s="1923">
        <v>0.30180000000000001</v>
      </c>
      <c r="E126" s="1876">
        <f t="shared" si="18"/>
        <v>0.45269999999999999</v>
      </c>
      <c r="F126" s="1877">
        <f t="shared" si="19"/>
        <v>1.0236026853662761E-3</v>
      </c>
      <c r="G126" s="1356">
        <f t="shared" si="20"/>
        <v>7420857.8700000001</v>
      </c>
    </row>
    <row r="127" spans="1:7" ht="12.75" customHeight="1">
      <c r="A127" s="1331">
        <v>44986</v>
      </c>
      <c r="B127" s="1331">
        <v>45016</v>
      </c>
      <c r="C127" s="931">
        <f t="shared" si="17"/>
        <v>31</v>
      </c>
      <c r="D127" s="1923">
        <v>0.30840000000000001</v>
      </c>
      <c r="E127" s="1876">
        <f t="shared" si="18"/>
        <v>0.46260000000000001</v>
      </c>
      <c r="F127" s="1877">
        <f t="shared" si="19"/>
        <v>1.0422295217955568E-3</v>
      </c>
      <c r="G127" s="1356">
        <f t="shared" si="20"/>
        <v>8365458.1399999997</v>
      </c>
    </row>
    <row r="128" spans="1:7" ht="12.75" customHeight="1">
      <c r="A128" s="1331">
        <v>45017</v>
      </c>
      <c r="B128" s="1331">
        <v>45046</v>
      </c>
      <c r="C128" s="931">
        <f t="shared" ref="C128" si="21">+_xlfn.DAYS(B128,A128)+1</f>
        <v>30</v>
      </c>
      <c r="D128" s="1923">
        <v>0.31390000000000001</v>
      </c>
      <c r="E128" s="1876">
        <f t="shared" ref="E128" si="22">D128*1.5</f>
        <v>0.47084999999999999</v>
      </c>
      <c r="F128" s="1877">
        <f t="shared" ref="F128" si="23">((1+E128)^(1/365)-1)</f>
        <v>1.0576560884423269E-3</v>
      </c>
      <c r="G128" s="1356">
        <f t="shared" ref="G128" si="24">ROUND(C128*$G$54*F128,2)</f>
        <v>8215431.79</v>
      </c>
    </row>
    <row r="129" spans="1:7">
      <c r="D129" s="2796" t="s">
        <v>1457</v>
      </c>
      <c r="E129" s="2797"/>
      <c r="F129" s="2798"/>
      <c r="G129" s="1886">
        <f>SUM(G57:G128)</f>
        <v>524328832.44000006</v>
      </c>
    </row>
    <row r="130" spans="1:7">
      <c r="D130" s="2796" t="s">
        <v>1192</v>
      </c>
      <c r="E130" s="2797"/>
      <c r="F130" s="2798"/>
      <c r="G130" s="1886">
        <f>+G54+G129</f>
        <v>783248276.44000006</v>
      </c>
    </row>
    <row r="132" spans="1:7">
      <c r="A132" s="2686" t="s">
        <v>346</v>
      </c>
      <c r="B132" s="2686"/>
    </row>
    <row r="133" spans="1:7">
      <c r="A133" s="741" t="s">
        <v>1458</v>
      </c>
      <c r="B133" s="1121">
        <f>+G54</f>
        <v>258919444</v>
      </c>
    </row>
    <row r="134" spans="1:7" ht="25.5">
      <c r="A134" s="1648" t="s">
        <v>1459</v>
      </c>
      <c r="B134" s="1121">
        <f>+G129</f>
        <v>524328832.44000006</v>
      </c>
    </row>
    <row r="135" spans="1:7">
      <c r="A135" s="1648" t="s">
        <v>1857</v>
      </c>
      <c r="B135" s="1121">
        <f>(B133+B134)*10%</f>
        <v>78324827.644000009</v>
      </c>
    </row>
    <row r="136" spans="1:7">
      <c r="A136" s="726" t="s">
        <v>61</v>
      </c>
      <c r="B136" s="1125">
        <f>SUM(B133:B135)</f>
        <v>861573104.08400011</v>
      </c>
    </row>
    <row r="137" spans="1:7">
      <c r="A137" s="1618" t="s">
        <v>62</v>
      </c>
      <c r="B137" s="814"/>
    </row>
    <row r="138" spans="1:7">
      <c r="A138" s="911"/>
      <c r="B138" s="814"/>
    </row>
    <row r="139" spans="1:7">
      <c r="A139" s="911"/>
      <c r="B139" s="814"/>
    </row>
    <row r="140" spans="1:7">
      <c r="A140" s="1618" t="s">
        <v>63</v>
      </c>
      <c r="B140" s="814"/>
    </row>
    <row r="141" spans="1:7">
      <c r="A141" s="1618" t="s">
        <v>64</v>
      </c>
      <c r="B141" s="814"/>
    </row>
    <row r="142" spans="1:7">
      <c r="A142" s="1618" t="s">
        <v>65</v>
      </c>
      <c r="B142" s="814"/>
    </row>
    <row r="143" spans="1:7">
      <c r="A143" s="791"/>
      <c r="B143" s="791"/>
    </row>
  </sheetData>
  <mergeCells count="31">
    <mergeCell ref="A11:F11"/>
    <mergeCell ref="A12:B12"/>
    <mergeCell ref="C12:C13"/>
    <mergeCell ref="D12:D13"/>
    <mergeCell ref="E12:E13"/>
    <mergeCell ref="F12:F13"/>
    <mergeCell ref="G39:G40"/>
    <mergeCell ref="G12:G13"/>
    <mergeCell ref="A32:F32"/>
    <mergeCell ref="A33:F33"/>
    <mergeCell ref="A34:F34"/>
    <mergeCell ref="A35:F35"/>
    <mergeCell ref="A38:F38"/>
    <mergeCell ref="A39:B39"/>
    <mergeCell ref="C39:C40"/>
    <mergeCell ref="D39:D40"/>
    <mergeCell ref="E39:E40"/>
    <mergeCell ref="F39:F40"/>
    <mergeCell ref="G55:G56"/>
    <mergeCell ref="D129:F129"/>
    <mergeCell ref="D130:F130"/>
    <mergeCell ref="A132:B132"/>
    <mergeCell ref="A48:F48"/>
    <mergeCell ref="A49:F49"/>
    <mergeCell ref="A50:F50"/>
    <mergeCell ref="A51:F51"/>
    <mergeCell ref="A55:B55"/>
    <mergeCell ref="C55:C56"/>
    <mergeCell ref="D55:D56"/>
    <mergeCell ref="E55:E56"/>
    <mergeCell ref="F55:F56"/>
  </mergeCells>
  <pageMargins left="0.7" right="0.7" top="0.75" bottom="0.75" header="0.3" footer="0.3"/>
  <pageSetup paperSize="9" scale="90" orientation="portrait" r:id="rId1"/>
  <colBreaks count="1" manualBreakCount="1">
    <brk id="7" max="1048575" man="1"/>
  </col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554B7-70D9-48C0-8484-8461EB01FB07}">
  <sheetPr codeName="Hoja114"/>
  <dimension ref="A3:J128"/>
  <sheetViews>
    <sheetView workbookViewId="0">
      <selection activeCell="D16" sqref="D16"/>
    </sheetView>
  </sheetViews>
  <sheetFormatPr defaultColWidth="11.42578125" defaultRowHeight="12.75"/>
  <cols>
    <col min="1" max="1" width="3.85546875" style="686" customWidth="1"/>
    <col min="2" max="2" width="11.5703125" style="686" customWidth="1"/>
    <col min="3" max="3" width="21.28515625" style="686" customWidth="1"/>
    <col min="4" max="4" width="22.28515625" style="686" customWidth="1"/>
    <col min="5" max="5" width="19.85546875" style="686" customWidth="1"/>
    <col min="6" max="6" width="11" style="2035" customWidth="1"/>
    <col min="7" max="7" width="11.42578125" style="686"/>
    <col min="8" max="8" width="10.140625" style="686" customWidth="1"/>
    <col min="9" max="9" width="20.28515625" style="686" customWidth="1"/>
    <col min="10" max="10" width="16.5703125" style="686" customWidth="1"/>
    <col min="11" max="256" width="11.42578125" style="686"/>
    <col min="257" max="257" width="3.85546875" style="686" customWidth="1"/>
    <col min="258" max="258" width="11.5703125" style="686" customWidth="1"/>
    <col min="259" max="259" width="21.28515625" style="686" customWidth="1"/>
    <col min="260" max="260" width="22.28515625" style="686" customWidth="1"/>
    <col min="261" max="261" width="19.85546875" style="686" customWidth="1"/>
    <col min="262" max="262" width="11" style="686" customWidth="1"/>
    <col min="263" max="263" width="11.42578125" style="686"/>
    <col min="264" max="264" width="10.140625" style="686" customWidth="1"/>
    <col min="265" max="265" width="20.28515625" style="686" customWidth="1"/>
    <col min="266" max="266" width="16.5703125" style="686" customWidth="1"/>
    <col min="267" max="512" width="11.42578125" style="686"/>
    <col min="513" max="513" width="3.85546875" style="686" customWidth="1"/>
    <col min="514" max="514" width="11.5703125" style="686" customWidth="1"/>
    <col min="515" max="515" width="21.28515625" style="686" customWidth="1"/>
    <col min="516" max="516" width="22.28515625" style="686" customWidth="1"/>
    <col min="517" max="517" width="19.85546875" style="686" customWidth="1"/>
    <col min="518" max="518" width="11" style="686" customWidth="1"/>
    <col min="519" max="519" width="11.42578125" style="686"/>
    <col min="520" max="520" width="10.140625" style="686" customWidth="1"/>
    <col min="521" max="521" width="20.28515625" style="686" customWidth="1"/>
    <col min="522" max="522" width="16.5703125" style="686" customWidth="1"/>
    <col min="523" max="768" width="11.42578125" style="686"/>
    <col min="769" max="769" width="3.85546875" style="686" customWidth="1"/>
    <col min="770" max="770" width="11.5703125" style="686" customWidth="1"/>
    <col min="771" max="771" width="21.28515625" style="686" customWidth="1"/>
    <col min="772" max="772" width="22.28515625" style="686" customWidth="1"/>
    <col min="773" max="773" width="19.85546875" style="686" customWidth="1"/>
    <col min="774" max="774" width="11" style="686" customWidth="1"/>
    <col min="775" max="775" width="11.42578125" style="686"/>
    <col min="776" max="776" width="10.140625" style="686" customWidth="1"/>
    <col min="777" max="777" width="20.28515625" style="686" customWidth="1"/>
    <col min="778" max="778" width="16.5703125" style="686" customWidth="1"/>
    <col min="779" max="1024" width="11.42578125" style="686"/>
    <col min="1025" max="1025" width="3.85546875" style="686" customWidth="1"/>
    <col min="1026" max="1026" width="11.5703125" style="686" customWidth="1"/>
    <col min="1027" max="1027" width="21.28515625" style="686" customWidth="1"/>
    <col min="1028" max="1028" width="22.28515625" style="686" customWidth="1"/>
    <col min="1029" max="1029" width="19.85546875" style="686" customWidth="1"/>
    <col min="1030" max="1030" width="11" style="686" customWidth="1"/>
    <col min="1031" max="1031" width="11.42578125" style="686"/>
    <col min="1032" max="1032" width="10.140625" style="686" customWidth="1"/>
    <col min="1033" max="1033" width="20.28515625" style="686" customWidth="1"/>
    <col min="1034" max="1034" width="16.5703125" style="686" customWidth="1"/>
    <col min="1035" max="1280" width="11.42578125" style="686"/>
    <col min="1281" max="1281" width="3.85546875" style="686" customWidth="1"/>
    <col min="1282" max="1282" width="11.5703125" style="686" customWidth="1"/>
    <col min="1283" max="1283" width="21.28515625" style="686" customWidth="1"/>
    <col min="1284" max="1284" width="22.28515625" style="686" customWidth="1"/>
    <col min="1285" max="1285" width="19.85546875" style="686" customWidth="1"/>
    <col min="1286" max="1286" width="11" style="686" customWidth="1"/>
    <col min="1287" max="1287" width="11.42578125" style="686"/>
    <col min="1288" max="1288" width="10.140625" style="686" customWidth="1"/>
    <col min="1289" max="1289" width="20.28515625" style="686" customWidth="1"/>
    <col min="1290" max="1290" width="16.5703125" style="686" customWidth="1"/>
    <col min="1291" max="1536" width="11.42578125" style="686"/>
    <col min="1537" max="1537" width="3.85546875" style="686" customWidth="1"/>
    <col min="1538" max="1538" width="11.5703125" style="686" customWidth="1"/>
    <col min="1539" max="1539" width="21.28515625" style="686" customWidth="1"/>
    <col min="1540" max="1540" width="22.28515625" style="686" customWidth="1"/>
    <col min="1541" max="1541" width="19.85546875" style="686" customWidth="1"/>
    <col min="1542" max="1542" width="11" style="686" customWidth="1"/>
    <col min="1543" max="1543" width="11.42578125" style="686"/>
    <col min="1544" max="1544" width="10.140625" style="686" customWidth="1"/>
    <col min="1545" max="1545" width="20.28515625" style="686" customWidth="1"/>
    <col min="1546" max="1546" width="16.5703125" style="686" customWidth="1"/>
    <col min="1547" max="1792" width="11.42578125" style="686"/>
    <col min="1793" max="1793" width="3.85546875" style="686" customWidth="1"/>
    <col min="1794" max="1794" width="11.5703125" style="686" customWidth="1"/>
    <col min="1795" max="1795" width="21.28515625" style="686" customWidth="1"/>
    <col min="1796" max="1796" width="22.28515625" style="686" customWidth="1"/>
    <col min="1797" max="1797" width="19.85546875" style="686" customWidth="1"/>
    <col min="1798" max="1798" width="11" style="686" customWidth="1"/>
    <col min="1799" max="1799" width="11.42578125" style="686"/>
    <col min="1800" max="1800" width="10.140625" style="686" customWidth="1"/>
    <col min="1801" max="1801" width="20.28515625" style="686" customWidth="1"/>
    <col min="1802" max="1802" width="16.5703125" style="686" customWidth="1"/>
    <col min="1803" max="2048" width="11.42578125" style="686"/>
    <col min="2049" max="2049" width="3.85546875" style="686" customWidth="1"/>
    <col min="2050" max="2050" width="11.5703125" style="686" customWidth="1"/>
    <col min="2051" max="2051" width="21.28515625" style="686" customWidth="1"/>
    <col min="2052" max="2052" width="22.28515625" style="686" customWidth="1"/>
    <col min="2053" max="2053" width="19.85546875" style="686" customWidth="1"/>
    <col min="2054" max="2054" width="11" style="686" customWidth="1"/>
    <col min="2055" max="2055" width="11.42578125" style="686"/>
    <col min="2056" max="2056" width="10.140625" style="686" customWidth="1"/>
    <col min="2057" max="2057" width="20.28515625" style="686" customWidth="1"/>
    <col min="2058" max="2058" width="16.5703125" style="686" customWidth="1"/>
    <col min="2059" max="2304" width="11.42578125" style="686"/>
    <col min="2305" max="2305" width="3.85546875" style="686" customWidth="1"/>
    <col min="2306" max="2306" width="11.5703125" style="686" customWidth="1"/>
    <col min="2307" max="2307" width="21.28515625" style="686" customWidth="1"/>
    <col min="2308" max="2308" width="22.28515625" style="686" customWidth="1"/>
    <col min="2309" max="2309" width="19.85546875" style="686" customWidth="1"/>
    <col min="2310" max="2310" width="11" style="686" customWidth="1"/>
    <col min="2311" max="2311" width="11.42578125" style="686"/>
    <col min="2312" max="2312" width="10.140625" style="686" customWidth="1"/>
    <col min="2313" max="2313" width="20.28515625" style="686" customWidth="1"/>
    <col min="2314" max="2314" width="16.5703125" style="686" customWidth="1"/>
    <col min="2315" max="2560" width="11.42578125" style="686"/>
    <col min="2561" max="2561" width="3.85546875" style="686" customWidth="1"/>
    <col min="2562" max="2562" width="11.5703125" style="686" customWidth="1"/>
    <col min="2563" max="2563" width="21.28515625" style="686" customWidth="1"/>
    <col min="2564" max="2564" width="22.28515625" style="686" customWidth="1"/>
    <col min="2565" max="2565" width="19.85546875" style="686" customWidth="1"/>
    <col min="2566" max="2566" width="11" style="686" customWidth="1"/>
    <col min="2567" max="2567" width="11.42578125" style="686"/>
    <col min="2568" max="2568" width="10.140625" style="686" customWidth="1"/>
    <col min="2569" max="2569" width="20.28515625" style="686" customWidth="1"/>
    <col min="2570" max="2570" width="16.5703125" style="686" customWidth="1"/>
    <col min="2571" max="2816" width="11.42578125" style="686"/>
    <col min="2817" max="2817" width="3.85546875" style="686" customWidth="1"/>
    <col min="2818" max="2818" width="11.5703125" style="686" customWidth="1"/>
    <col min="2819" max="2819" width="21.28515625" style="686" customWidth="1"/>
    <col min="2820" max="2820" width="22.28515625" style="686" customWidth="1"/>
    <col min="2821" max="2821" width="19.85546875" style="686" customWidth="1"/>
    <col min="2822" max="2822" width="11" style="686" customWidth="1"/>
    <col min="2823" max="2823" width="11.42578125" style="686"/>
    <col min="2824" max="2824" width="10.140625" style="686" customWidth="1"/>
    <col min="2825" max="2825" width="20.28515625" style="686" customWidth="1"/>
    <col min="2826" max="2826" width="16.5703125" style="686" customWidth="1"/>
    <col min="2827" max="3072" width="11.42578125" style="686"/>
    <col min="3073" max="3073" width="3.85546875" style="686" customWidth="1"/>
    <col min="3074" max="3074" width="11.5703125" style="686" customWidth="1"/>
    <col min="3075" max="3075" width="21.28515625" style="686" customWidth="1"/>
    <col min="3076" max="3076" width="22.28515625" style="686" customWidth="1"/>
    <col min="3077" max="3077" width="19.85546875" style="686" customWidth="1"/>
    <col min="3078" max="3078" width="11" style="686" customWidth="1"/>
    <col min="3079" max="3079" width="11.42578125" style="686"/>
    <col min="3080" max="3080" width="10.140625" style="686" customWidth="1"/>
    <col min="3081" max="3081" width="20.28515625" style="686" customWidth="1"/>
    <col min="3082" max="3082" width="16.5703125" style="686" customWidth="1"/>
    <col min="3083" max="3328" width="11.42578125" style="686"/>
    <col min="3329" max="3329" width="3.85546875" style="686" customWidth="1"/>
    <col min="3330" max="3330" width="11.5703125" style="686" customWidth="1"/>
    <col min="3331" max="3331" width="21.28515625" style="686" customWidth="1"/>
    <col min="3332" max="3332" width="22.28515625" style="686" customWidth="1"/>
    <col min="3333" max="3333" width="19.85546875" style="686" customWidth="1"/>
    <col min="3334" max="3334" width="11" style="686" customWidth="1"/>
    <col min="3335" max="3335" width="11.42578125" style="686"/>
    <col min="3336" max="3336" width="10.140625" style="686" customWidth="1"/>
    <col min="3337" max="3337" width="20.28515625" style="686" customWidth="1"/>
    <col min="3338" max="3338" width="16.5703125" style="686" customWidth="1"/>
    <col min="3339" max="3584" width="11.42578125" style="686"/>
    <col min="3585" max="3585" width="3.85546875" style="686" customWidth="1"/>
    <col min="3586" max="3586" width="11.5703125" style="686" customWidth="1"/>
    <col min="3587" max="3587" width="21.28515625" style="686" customWidth="1"/>
    <col min="3588" max="3588" width="22.28515625" style="686" customWidth="1"/>
    <col min="3589" max="3589" width="19.85546875" style="686" customWidth="1"/>
    <col min="3590" max="3590" width="11" style="686" customWidth="1"/>
    <col min="3591" max="3591" width="11.42578125" style="686"/>
    <col min="3592" max="3592" width="10.140625" style="686" customWidth="1"/>
    <col min="3593" max="3593" width="20.28515625" style="686" customWidth="1"/>
    <col min="3594" max="3594" width="16.5703125" style="686" customWidth="1"/>
    <col min="3595" max="3840" width="11.42578125" style="686"/>
    <col min="3841" max="3841" width="3.85546875" style="686" customWidth="1"/>
    <col min="3842" max="3842" width="11.5703125" style="686" customWidth="1"/>
    <col min="3843" max="3843" width="21.28515625" style="686" customWidth="1"/>
    <col min="3844" max="3844" width="22.28515625" style="686" customWidth="1"/>
    <col min="3845" max="3845" width="19.85546875" style="686" customWidth="1"/>
    <col min="3846" max="3846" width="11" style="686" customWidth="1"/>
    <col min="3847" max="3847" width="11.42578125" style="686"/>
    <col min="3848" max="3848" width="10.140625" style="686" customWidth="1"/>
    <col min="3849" max="3849" width="20.28515625" style="686" customWidth="1"/>
    <col min="3850" max="3850" width="16.5703125" style="686" customWidth="1"/>
    <col min="3851" max="4096" width="11.42578125" style="686"/>
    <col min="4097" max="4097" width="3.85546875" style="686" customWidth="1"/>
    <col min="4098" max="4098" width="11.5703125" style="686" customWidth="1"/>
    <col min="4099" max="4099" width="21.28515625" style="686" customWidth="1"/>
    <col min="4100" max="4100" width="22.28515625" style="686" customWidth="1"/>
    <col min="4101" max="4101" width="19.85546875" style="686" customWidth="1"/>
    <col min="4102" max="4102" width="11" style="686" customWidth="1"/>
    <col min="4103" max="4103" width="11.42578125" style="686"/>
    <col min="4104" max="4104" width="10.140625" style="686" customWidth="1"/>
    <col min="4105" max="4105" width="20.28515625" style="686" customWidth="1"/>
    <col min="4106" max="4106" width="16.5703125" style="686" customWidth="1"/>
    <col min="4107" max="4352" width="11.42578125" style="686"/>
    <col min="4353" max="4353" width="3.85546875" style="686" customWidth="1"/>
    <col min="4354" max="4354" width="11.5703125" style="686" customWidth="1"/>
    <col min="4355" max="4355" width="21.28515625" style="686" customWidth="1"/>
    <col min="4356" max="4356" width="22.28515625" style="686" customWidth="1"/>
    <col min="4357" max="4357" width="19.85546875" style="686" customWidth="1"/>
    <col min="4358" max="4358" width="11" style="686" customWidth="1"/>
    <col min="4359" max="4359" width="11.42578125" style="686"/>
    <col min="4360" max="4360" width="10.140625" style="686" customWidth="1"/>
    <col min="4361" max="4361" width="20.28515625" style="686" customWidth="1"/>
    <col min="4362" max="4362" width="16.5703125" style="686" customWidth="1"/>
    <col min="4363" max="4608" width="11.42578125" style="686"/>
    <col min="4609" max="4609" width="3.85546875" style="686" customWidth="1"/>
    <col min="4610" max="4610" width="11.5703125" style="686" customWidth="1"/>
    <col min="4611" max="4611" width="21.28515625" style="686" customWidth="1"/>
    <col min="4612" max="4612" width="22.28515625" style="686" customWidth="1"/>
    <col min="4613" max="4613" width="19.85546875" style="686" customWidth="1"/>
    <col min="4614" max="4614" width="11" style="686" customWidth="1"/>
    <col min="4615" max="4615" width="11.42578125" style="686"/>
    <col min="4616" max="4616" width="10.140625" style="686" customWidth="1"/>
    <col min="4617" max="4617" width="20.28515625" style="686" customWidth="1"/>
    <col min="4618" max="4618" width="16.5703125" style="686" customWidth="1"/>
    <col min="4619" max="4864" width="11.42578125" style="686"/>
    <col min="4865" max="4865" width="3.85546875" style="686" customWidth="1"/>
    <col min="4866" max="4866" width="11.5703125" style="686" customWidth="1"/>
    <col min="4867" max="4867" width="21.28515625" style="686" customWidth="1"/>
    <col min="4868" max="4868" width="22.28515625" style="686" customWidth="1"/>
    <col min="4869" max="4869" width="19.85546875" style="686" customWidth="1"/>
    <col min="4870" max="4870" width="11" style="686" customWidth="1"/>
    <col min="4871" max="4871" width="11.42578125" style="686"/>
    <col min="4872" max="4872" width="10.140625" style="686" customWidth="1"/>
    <col min="4873" max="4873" width="20.28515625" style="686" customWidth="1"/>
    <col min="4874" max="4874" width="16.5703125" style="686" customWidth="1"/>
    <col min="4875" max="5120" width="11.42578125" style="686"/>
    <col min="5121" max="5121" width="3.85546875" style="686" customWidth="1"/>
    <col min="5122" max="5122" width="11.5703125" style="686" customWidth="1"/>
    <col min="5123" max="5123" width="21.28515625" style="686" customWidth="1"/>
    <col min="5124" max="5124" width="22.28515625" style="686" customWidth="1"/>
    <col min="5125" max="5125" width="19.85546875" style="686" customWidth="1"/>
    <col min="5126" max="5126" width="11" style="686" customWidth="1"/>
    <col min="5127" max="5127" width="11.42578125" style="686"/>
    <col min="5128" max="5128" width="10.140625" style="686" customWidth="1"/>
    <col min="5129" max="5129" width="20.28515625" style="686" customWidth="1"/>
    <col min="5130" max="5130" width="16.5703125" style="686" customWidth="1"/>
    <col min="5131" max="5376" width="11.42578125" style="686"/>
    <col min="5377" max="5377" width="3.85546875" style="686" customWidth="1"/>
    <col min="5378" max="5378" width="11.5703125" style="686" customWidth="1"/>
    <col min="5379" max="5379" width="21.28515625" style="686" customWidth="1"/>
    <col min="5380" max="5380" width="22.28515625" style="686" customWidth="1"/>
    <col min="5381" max="5381" width="19.85546875" style="686" customWidth="1"/>
    <col min="5382" max="5382" width="11" style="686" customWidth="1"/>
    <col min="5383" max="5383" width="11.42578125" style="686"/>
    <col min="5384" max="5384" width="10.140625" style="686" customWidth="1"/>
    <col min="5385" max="5385" width="20.28515625" style="686" customWidth="1"/>
    <col min="5386" max="5386" width="16.5703125" style="686" customWidth="1"/>
    <col min="5387" max="5632" width="11.42578125" style="686"/>
    <col min="5633" max="5633" width="3.85546875" style="686" customWidth="1"/>
    <col min="5634" max="5634" width="11.5703125" style="686" customWidth="1"/>
    <col min="5635" max="5635" width="21.28515625" style="686" customWidth="1"/>
    <col min="5636" max="5636" width="22.28515625" style="686" customWidth="1"/>
    <col min="5637" max="5637" width="19.85546875" style="686" customWidth="1"/>
    <col min="5638" max="5638" width="11" style="686" customWidth="1"/>
    <col min="5639" max="5639" width="11.42578125" style="686"/>
    <col min="5640" max="5640" width="10.140625" style="686" customWidth="1"/>
    <col min="5641" max="5641" width="20.28515625" style="686" customWidth="1"/>
    <col min="5642" max="5642" width="16.5703125" style="686" customWidth="1"/>
    <col min="5643" max="5888" width="11.42578125" style="686"/>
    <col min="5889" max="5889" width="3.85546875" style="686" customWidth="1"/>
    <col min="5890" max="5890" width="11.5703125" style="686" customWidth="1"/>
    <col min="5891" max="5891" width="21.28515625" style="686" customWidth="1"/>
    <col min="5892" max="5892" width="22.28515625" style="686" customWidth="1"/>
    <col min="5893" max="5893" width="19.85546875" style="686" customWidth="1"/>
    <col min="5894" max="5894" width="11" style="686" customWidth="1"/>
    <col min="5895" max="5895" width="11.42578125" style="686"/>
    <col min="5896" max="5896" width="10.140625" style="686" customWidth="1"/>
    <col min="5897" max="5897" width="20.28515625" style="686" customWidth="1"/>
    <col min="5898" max="5898" width="16.5703125" style="686" customWidth="1"/>
    <col min="5899" max="6144" width="11.42578125" style="686"/>
    <col min="6145" max="6145" width="3.85546875" style="686" customWidth="1"/>
    <col min="6146" max="6146" width="11.5703125" style="686" customWidth="1"/>
    <col min="6147" max="6147" width="21.28515625" style="686" customWidth="1"/>
    <col min="6148" max="6148" width="22.28515625" style="686" customWidth="1"/>
    <col min="6149" max="6149" width="19.85546875" style="686" customWidth="1"/>
    <col min="6150" max="6150" width="11" style="686" customWidth="1"/>
    <col min="6151" max="6151" width="11.42578125" style="686"/>
    <col min="6152" max="6152" width="10.140625" style="686" customWidth="1"/>
    <col min="6153" max="6153" width="20.28515625" style="686" customWidth="1"/>
    <col min="6154" max="6154" width="16.5703125" style="686" customWidth="1"/>
    <col min="6155" max="6400" width="11.42578125" style="686"/>
    <col min="6401" max="6401" width="3.85546875" style="686" customWidth="1"/>
    <col min="6402" max="6402" width="11.5703125" style="686" customWidth="1"/>
    <col min="6403" max="6403" width="21.28515625" style="686" customWidth="1"/>
    <col min="6404" max="6404" width="22.28515625" style="686" customWidth="1"/>
    <col min="6405" max="6405" width="19.85546875" style="686" customWidth="1"/>
    <col min="6406" max="6406" width="11" style="686" customWidth="1"/>
    <col min="6407" max="6407" width="11.42578125" style="686"/>
    <col min="6408" max="6408" width="10.140625" style="686" customWidth="1"/>
    <col min="6409" max="6409" width="20.28515625" style="686" customWidth="1"/>
    <col min="6410" max="6410" width="16.5703125" style="686" customWidth="1"/>
    <col min="6411" max="6656" width="11.42578125" style="686"/>
    <col min="6657" max="6657" width="3.85546875" style="686" customWidth="1"/>
    <col min="6658" max="6658" width="11.5703125" style="686" customWidth="1"/>
    <col min="6659" max="6659" width="21.28515625" style="686" customWidth="1"/>
    <col min="6660" max="6660" width="22.28515625" style="686" customWidth="1"/>
    <col min="6661" max="6661" width="19.85546875" style="686" customWidth="1"/>
    <col min="6662" max="6662" width="11" style="686" customWidth="1"/>
    <col min="6663" max="6663" width="11.42578125" style="686"/>
    <col min="6664" max="6664" width="10.140625" style="686" customWidth="1"/>
    <col min="6665" max="6665" width="20.28515625" style="686" customWidth="1"/>
    <col min="6666" max="6666" width="16.5703125" style="686" customWidth="1"/>
    <col min="6667" max="6912" width="11.42578125" style="686"/>
    <col min="6913" max="6913" width="3.85546875" style="686" customWidth="1"/>
    <col min="6914" max="6914" width="11.5703125" style="686" customWidth="1"/>
    <col min="6915" max="6915" width="21.28515625" style="686" customWidth="1"/>
    <col min="6916" max="6916" width="22.28515625" style="686" customWidth="1"/>
    <col min="6917" max="6917" width="19.85546875" style="686" customWidth="1"/>
    <col min="6918" max="6918" width="11" style="686" customWidth="1"/>
    <col min="6919" max="6919" width="11.42578125" style="686"/>
    <col min="6920" max="6920" width="10.140625" style="686" customWidth="1"/>
    <col min="6921" max="6921" width="20.28515625" style="686" customWidth="1"/>
    <col min="6922" max="6922" width="16.5703125" style="686" customWidth="1"/>
    <col min="6923" max="7168" width="11.42578125" style="686"/>
    <col min="7169" max="7169" width="3.85546875" style="686" customWidth="1"/>
    <col min="7170" max="7170" width="11.5703125" style="686" customWidth="1"/>
    <col min="7171" max="7171" width="21.28515625" style="686" customWidth="1"/>
    <col min="7172" max="7172" width="22.28515625" style="686" customWidth="1"/>
    <col min="7173" max="7173" width="19.85546875" style="686" customWidth="1"/>
    <col min="7174" max="7174" width="11" style="686" customWidth="1"/>
    <col min="7175" max="7175" width="11.42578125" style="686"/>
    <col min="7176" max="7176" width="10.140625" style="686" customWidth="1"/>
    <col min="7177" max="7177" width="20.28515625" style="686" customWidth="1"/>
    <col min="7178" max="7178" width="16.5703125" style="686" customWidth="1"/>
    <col min="7179" max="7424" width="11.42578125" style="686"/>
    <col min="7425" max="7425" width="3.85546875" style="686" customWidth="1"/>
    <col min="7426" max="7426" width="11.5703125" style="686" customWidth="1"/>
    <col min="7427" max="7427" width="21.28515625" style="686" customWidth="1"/>
    <col min="7428" max="7428" width="22.28515625" style="686" customWidth="1"/>
    <col min="7429" max="7429" width="19.85546875" style="686" customWidth="1"/>
    <col min="7430" max="7430" width="11" style="686" customWidth="1"/>
    <col min="7431" max="7431" width="11.42578125" style="686"/>
    <col min="7432" max="7432" width="10.140625" style="686" customWidth="1"/>
    <col min="7433" max="7433" width="20.28515625" style="686" customWidth="1"/>
    <col min="7434" max="7434" width="16.5703125" style="686" customWidth="1"/>
    <col min="7435" max="7680" width="11.42578125" style="686"/>
    <col min="7681" max="7681" width="3.85546875" style="686" customWidth="1"/>
    <col min="7682" max="7682" width="11.5703125" style="686" customWidth="1"/>
    <col min="7683" max="7683" width="21.28515625" style="686" customWidth="1"/>
    <col min="7684" max="7684" width="22.28515625" style="686" customWidth="1"/>
    <col min="7685" max="7685" width="19.85546875" style="686" customWidth="1"/>
    <col min="7686" max="7686" width="11" style="686" customWidth="1"/>
    <col min="7687" max="7687" width="11.42578125" style="686"/>
    <col min="7688" max="7688" width="10.140625" style="686" customWidth="1"/>
    <col min="7689" max="7689" width="20.28515625" style="686" customWidth="1"/>
    <col min="7690" max="7690" width="16.5703125" style="686" customWidth="1"/>
    <col min="7691" max="7936" width="11.42578125" style="686"/>
    <col min="7937" max="7937" width="3.85546875" style="686" customWidth="1"/>
    <col min="7938" max="7938" width="11.5703125" style="686" customWidth="1"/>
    <col min="7939" max="7939" width="21.28515625" style="686" customWidth="1"/>
    <col min="7940" max="7940" width="22.28515625" style="686" customWidth="1"/>
    <col min="7941" max="7941" width="19.85546875" style="686" customWidth="1"/>
    <col min="7942" max="7942" width="11" style="686" customWidth="1"/>
    <col min="7943" max="7943" width="11.42578125" style="686"/>
    <col min="7944" max="7944" width="10.140625" style="686" customWidth="1"/>
    <col min="7945" max="7945" width="20.28515625" style="686" customWidth="1"/>
    <col min="7946" max="7946" width="16.5703125" style="686" customWidth="1"/>
    <col min="7947" max="8192" width="11.42578125" style="686"/>
    <col min="8193" max="8193" width="3.85546875" style="686" customWidth="1"/>
    <col min="8194" max="8194" width="11.5703125" style="686" customWidth="1"/>
    <col min="8195" max="8195" width="21.28515625" style="686" customWidth="1"/>
    <col min="8196" max="8196" width="22.28515625" style="686" customWidth="1"/>
    <col min="8197" max="8197" width="19.85546875" style="686" customWidth="1"/>
    <col min="8198" max="8198" width="11" style="686" customWidth="1"/>
    <col min="8199" max="8199" width="11.42578125" style="686"/>
    <col min="8200" max="8200" width="10.140625" style="686" customWidth="1"/>
    <col min="8201" max="8201" width="20.28515625" style="686" customWidth="1"/>
    <col min="8202" max="8202" width="16.5703125" style="686" customWidth="1"/>
    <col min="8203" max="8448" width="11.42578125" style="686"/>
    <col min="8449" max="8449" width="3.85546875" style="686" customWidth="1"/>
    <col min="8450" max="8450" width="11.5703125" style="686" customWidth="1"/>
    <col min="8451" max="8451" width="21.28515625" style="686" customWidth="1"/>
    <col min="8452" max="8452" width="22.28515625" style="686" customWidth="1"/>
    <col min="8453" max="8453" width="19.85546875" style="686" customWidth="1"/>
    <col min="8454" max="8454" width="11" style="686" customWidth="1"/>
    <col min="8455" max="8455" width="11.42578125" style="686"/>
    <col min="8456" max="8456" width="10.140625" style="686" customWidth="1"/>
    <col min="8457" max="8457" width="20.28515625" style="686" customWidth="1"/>
    <col min="8458" max="8458" width="16.5703125" style="686" customWidth="1"/>
    <col min="8459" max="8704" width="11.42578125" style="686"/>
    <col min="8705" max="8705" width="3.85546875" style="686" customWidth="1"/>
    <col min="8706" max="8706" width="11.5703125" style="686" customWidth="1"/>
    <col min="8707" max="8707" width="21.28515625" style="686" customWidth="1"/>
    <col min="8708" max="8708" width="22.28515625" style="686" customWidth="1"/>
    <col min="8709" max="8709" width="19.85546875" style="686" customWidth="1"/>
    <col min="8710" max="8710" width="11" style="686" customWidth="1"/>
    <col min="8711" max="8711" width="11.42578125" style="686"/>
    <col min="8712" max="8712" width="10.140625" style="686" customWidth="1"/>
    <col min="8713" max="8713" width="20.28515625" style="686" customWidth="1"/>
    <col min="8714" max="8714" width="16.5703125" style="686" customWidth="1"/>
    <col min="8715" max="8960" width="11.42578125" style="686"/>
    <col min="8961" max="8961" width="3.85546875" style="686" customWidth="1"/>
    <col min="8962" max="8962" width="11.5703125" style="686" customWidth="1"/>
    <col min="8963" max="8963" width="21.28515625" style="686" customWidth="1"/>
    <col min="8964" max="8964" width="22.28515625" style="686" customWidth="1"/>
    <col min="8965" max="8965" width="19.85546875" style="686" customWidth="1"/>
    <col min="8966" max="8966" width="11" style="686" customWidth="1"/>
    <col min="8967" max="8967" width="11.42578125" style="686"/>
    <col min="8968" max="8968" width="10.140625" style="686" customWidth="1"/>
    <col min="8969" max="8969" width="20.28515625" style="686" customWidth="1"/>
    <col min="8970" max="8970" width="16.5703125" style="686" customWidth="1"/>
    <col min="8971" max="9216" width="11.42578125" style="686"/>
    <col min="9217" max="9217" width="3.85546875" style="686" customWidth="1"/>
    <col min="9218" max="9218" width="11.5703125" style="686" customWidth="1"/>
    <col min="9219" max="9219" width="21.28515625" style="686" customWidth="1"/>
    <col min="9220" max="9220" width="22.28515625" style="686" customWidth="1"/>
    <col min="9221" max="9221" width="19.85546875" style="686" customWidth="1"/>
    <col min="9222" max="9222" width="11" style="686" customWidth="1"/>
    <col min="9223" max="9223" width="11.42578125" style="686"/>
    <col min="9224" max="9224" width="10.140625" style="686" customWidth="1"/>
    <col min="9225" max="9225" width="20.28515625" style="686" customWidth="1"/>
    <col min="9226" max="9226" width="16.5703125" style="686" customWidth="1"/>
    <col min="9227" max="9472" width="11.42578125" style="686"/>
    <col min="9473" max="9473" width="3.85546875" style="686" customWidth="1"/>
    <col min="9474" max="9474" width="11.5703125" style="686" customWidth="1"/>
    <col min="9475" max="9475" width="21.28515625" style="686" customWidth="1"/>
    <col min="9476" max="9476" width="22.28515625" style="686" customWidth="1"/>
    <col min="9477" max="9477" width="19.85546875" style="686" customWidth="1"/>
    <col min="9478" max="9478" width="11" style="686" customWidth="1"/>
    <col min="9479" max="9479" width="11.42578125" style="686"/>
    <col min="9480" max="9480" width="10.140625" style="686" customWidth="1"/>
    <col min="9481" max="9481" width="20.28515625" style="686" customWidth="1"/>
    <col min="9482" max="9482" width="16.5703125" style="686" customWidth="1"/>
    <col min="9483" max="9728" width="11.42578125" style="686"/>
    <col min="9729" max="9729" width="3.85546875" style="686" customWidth="1"/>
    <col min="9730" max="9730" width="11.5703125" style="686" customWidth="1"/>
    <col min="9731" max="9731" width="21.28515625" style="686" customWidth="1"/>
    <col min="9732" max="9732" width="22.28515625" style="686" customWidth="1"/>
    <col min="9733" max="9733" width="19.85546875" style="686" customWidth="1"/>
    <col min="9734" max="9734" width="11" style="686" customWidth="1"/>
    <col min="9735" max="9735" width="11.42578125" style="686"/>
    <col min="9736" max="9736" width="10.140625" style="686" customWidth="1"/>
    <col min="9737" max="9737" width="20.28515625" style="686" customWidth="1"/>
    <col min="9738" max="9738" width="16.5703125" style="686" customWidth="1"/>
    <col min="9739" max="9984" width="11.42578125" style="686"/>
    <col min="9985" max="9985" width="3.85546875" style="686" customWidth="1"/>
    <col min="9986" max="9986" width="11.5703125" style="686" customWidth="1"/>
    <col min="9987" max="9987" width="21.28515625" style="686" customWidth="1"/>
    <col min="9988" max="9988" width="22.28515625" style="686" customWidth="1"/>
    <col min="9989" max="9989" width="19.85546875" style="686" customWidth="1"/>
    <col min="9990" max="9990" width="11" style="686" customWidth="1"/>
    <col min="9991" max="9991" width="11.42578125" style="686"/>
    <col min="9992" max="9992" width="10.140625" style="686" customWidth="1"/>
    <col min="9993" max="9993" width="20.28515625" style="686" customWidth="1"/>
    <col min="9994" max="9994" width="16.5703125" style="686" customWidth="1"/>
    <col min="9995" max="10240" width="11.42578125" style="686"/>
    <col min="10241" max="10241" width="3.85546875" style="686" customWidth="1"/>
    <col min="10242" max="10242" width="11.5703125" style="686" customWidth="1"/>
    <col min="10243" max="10243" width="21.28515625" style="686" customWidth="1"/>
    <col min="10244" max="10244" width="22.28515625" style="686" customWidth="1"/>
    <col min="10245" max="10245" width="19.85546875" style="686" customWidth="1"/>
    <col min="10246" max="10246" width="11" style="686" customWidth="1"/>
    <col min="10247" max="10247" width="11.42578125" style="686"/>
    <col min="10248" max="10248" width="10.140625" style="686" customWidth="1"/>
    <col min="10249" max="10249" width="20.28515625" style="686" customWidth="1"/>
    <col min="10250" max="10250" width="16.5703125" style="686" customWidth="1"/>
    <col min="10251" max="10496" width="11.42578125" style="686"/>
    <col min="10497" max="10497" width="3.85546875" style="686" customWidth="1"/>
    <col min="10498" max="10498" width="11.5703125" style="686" customWidth="1"/>
    <col min="10499" max="10499" width="21.28515625" style="686" customWidth="1"/>
    <col min="10500" max="10500" width="22.28515625" style="686" customWidth="1"/>
    <col min="10501" max="10501" width="19.85546875" style="686" customWidth="1"/>
    <col min="10502" max="10502" width="11" style="686" customWidth="1"/>
    <col min="10503" max="10503" width="11.42578125" style="686"/>
    <col min="10504" max="10504" width="10.140625" style="686" customWidth="1"/>
    <col min="10505" max="10505" width="20.28515625" style="686" customWidth="1"/>
    <col min="10506" max="10506" width="16.5703125" style="686" customWidth="1"/>
    <col min="10507" max="10752" width="11.42578125" style="686"/>
    <col min="10753" max="10753" width="3.85546875" style="686" customWidth="1"/>
    <col min="10754" max="10754" width="11.5703125" style="686" customWidth="1"/>
    <col min="10755" max="10755" width="21.28515625" style="686" customWidth="1"/>
    <col min="10756" max="10756" width="22.28515625" style="686" customWidth="1"/>
    <col min="10757" max="10757" width="19.85546875" style="686" customWidth="1"/>
    <col min="10758" max="10758" width="11" style="686" customWidth="1"/>
    <col min="10759" max="10759" width="11.42578125" style="686"/>
    <col min="10760" max="10760" width="10.140625" style="686" customWidth="1"/>
    <col min="10761" max="10761" width="20.28515625" style="686" customWidth="1"/>
    <col min="10762" max="10762" width="16.5703125" style="686" customWidth="1"/>
    <col min="10763" max="11008" width="11.42578125" style="686"/>
    <col min="11009" max="11009" width="3.85546875" style="686" customWidth="1"/>
    <col min="11010" max="11010" width="11.5703125" style="686" customWidth="1"/>
    <col min="11011" max="11011" width="21.28515625" style="686" customWidth="1"/>
    <col min="11012" max="11012" width="22.28515625" style="686" customWidth="1"/>
    <col min="11013" max="11013" width="19.85546875" style="686" customWidth="1"/>
    <col min="11014" max="11014" width="11" style="686" customWidth="1"/>
    <col min="11015" max="11015" width="11.42578125" style="686"/>
    <col min="11016" max="11016" width="10.140625" style="686" customWidth="1"/>
    <col min="11017" max="11017" width="20.28515625" style="686" customWidth="1"/>
    <col min="11018" max="11018" width="16.5703125" style="686" customWidth="1"/>
    <col min="11019" max="11264" width="11.42578125" style="686"/>
    <col min="11265" max="11265" width="3.85546875" style="686" customWidth="1"/>
    <col min="11266" max="11266" width="11.5703125" style="686" customWidth="1"/>
    <col min="11267" max="11267" width="21.28515625" style="686" customWidth="1"/>
    <col min="11268" max="11268" width="22.28515625" style="686" customWidth="1"/>
    <col min="11269" max="11269" width="19.85546875" style="686" customWidth="1"/>
    <col min="11270" max="11270" width="11" style="686" customWidth="1"/>
    <col min="11271" max="11271" width="11.42578125" style="686"/>
    <col min="11272" max="11272" width="10.140625" style="686" customWidth="1"/>
    <col min="11273" max="11273" width="20.28515625" style="686" customWidth="1"/>
    <col min="11274" max="11274" width="16.5703125" style="686" customWidth="1"/>
    <col min="11275" max="11520" width="11.42578125" style="686"/>
    <col min="11521" max="11521" width="3.85546875" style="686" customWidth="1"/>
    <col min="11522" max="11522" width="11.5703125" style="686" customWidth="1"/>
    <col min="11523" max="11523" width="21.28515625" style="686" customWidth="1"/>
    <col min="11524" max="11524" width="22.28515625" style="686" customWidth="1"/>
    <col min="11525" max="11525" width="19.85546875" style="686" customWidth="1"/>
    <col min="11526" max="11526" width="11" style="686" customWidth="1"/>
    <col min="11527" max="11527" width="11.42578125" style="686"/>
    <col min="11528" max="11528" width="10.140625" style="686" customWidth="1"/>
    <col min="11529" max="11529" width="20.28515625" style="686" customWidth="1"/>
    <col min="11530" max="11530" width="16.5703125" style="686" customWidth="1"/>
    <col min="11531" max="11776" width="11.42578125" style="686"/>
    <col min="11777" max="11777" width="3.85546875" style="686" customWidth="1"/>
    <col min="11778" max="11778" width="11.5703125" style="686" customWidth="1"/>
    <col min="11779" max="11779" width="21.28515625" style="686" customWidth="1"/>
    <col min="11780" max="11780" width="22.28515625" style="686" customWidth="1"/>
    <col min="11781" max="11781" width="19.85546875" style="686" customWidth="1"/>
    <col min="11782" max="11782" width="11" style="686" customWidth="1"/>
    <col min="11783" max="11783" width="11.42578125" style="686"/>
    <col min="11784" max="11784" width="10.140625" style="686" customWidth="1"/>
    <col min="11785" max="11785" width="20.28515625" style="686" customWidth="1"/>
    <col min="11786" max="11786" width="16.5703125" style="686" customWidth="1"/>
    <col min="11787" max="12032" width="11.42578125" style="686"/>
    <col min="12033" max="12033" width="3.85546875" style="686" customWidth="1"/>
    <col min="12034" max="12034" width="11.5703125" style="686" customWidth="1"/>
    <col min="12035" max="12035" width="21.28515625" style="686" customWidth="1"/>
    <col min="12036" max="12036" width="22.28515625" style="686" customWidth="1"/>
    <col min="12037" max="12037" width="19.85546875" style="686" customWidth="1"/>
    <col min="12038" max="12038" width="11" style="686" customWidth="1"/>
    <col min="12039" max="12039" width="11.42578125" style="686"/>
    <col min="12040" max="12040" width="10.140625" style="686" customWidth="1"/>
    <col min="12041" max="12041" width="20.28515625" style="686" customWidth="1"/>
    <col min="12042" max="12042" width="16.5703125" style="686" customWidth="1"/>
    <col min="12043" max="12288" width="11.42578125" style="686"/>
    <col min="12289" max="12289" width="3.85546875" style="686" customWidth="1"/>
    <col min="12290" max="12290" width="11.5703125" style="686" customWidth="1"/>
    <col min="12291" max="12291" width="21.28515625" style="686" customWidth="1"/>
    <col min="12292" max="12292" width="22.28515625" style="686" customWidth="1"/>
    <col min="12293" max="12293" width="19.85546875" style="686" customWidth="1"/>
    <col min="12294" max="12294" width="11" style="686" customWidth="1"/>
    <col min="12295" max="12295" width="11.42578125" style="686"/>
    <col min="12296" max="12296" width="10.140625" style="686" customWidth="1"/>
    <col min="12297" max="12297" width="20.28515625" style="686" customWidth="1"/>
    <col min="12298" max="12298" width="16.5703125" style="686" customWidth="1"/>
    <col min="12299" max="12544" width="11.42578125" style="686"/>
    <col min="12545" max="12545" width="3.85546875" style="686" customWidth="1"/>
    <col min="12546" max="12546" width="11.5703125" style="686" customWidth="1"/>
    <col min="12547" max="12547" width="21.28515625" style="686" customWidth="1"/>
    <col min="12548" max="12548" width="22.28515625" style="686" customWidth="1"/>
    <col min="12549" max="12549" width="19.85546875" style="686" customWidth="1"/>
    <col min="12550" max="12550" width="11" style="686" customWidth="1"/>
    <col min="12551" max="12551" width="11.42578125" style="686"/>
    <col min="12552" max="12552" width="10.140625" style="686" customWidth="1"/>
    <col min="12553" max="12553" width="20.28515625" style="686" customWidth="1"/>
    <col min="12554" max="12554" width="16.5703125" style="686" customWidth="1"/>
    <col min="12555" max="12800" width="11.42578125" style="686"/>
    <col min="12801" max="12801" width="3.85546875" style="686" customWidth="1"/>
    <col min="12802" max="12802" width="11.5703125" style="686" customWidth="1"/>
    <col min="12803" max="12803" width="21.28515625" style="686" customWidth="1"/>
    <col min="12804" max="12804" width="22.28515625" style="686" customWidth="1"/>
    <col min="12805" max="12805" width="19.85546875" style="686" customWidth="1"/>
    <col min="12806" max="12806" width="11" style="686" customWidth="1"/>
    <col min="12807" max="12807" width="11.42578125" style="686"/>
    <col min="12808" max="12808" width="10.140625" style="686" customWidth="1"/>
    <col min="12809" max="12809" width="20.28515625" style="686" customWidth="1"/>
    <col min="12810" max="12810" width="16.5703125" style="686" customWidth="1"/>
    <col min="12811" max="13056" width="11.42578125" style="686"/>
    <col min="13057" max="13057" width="3.85546875" style="686" customWidth="1"/>
    <col min="13058" max="13058" width="11.5703125" style="686" customWidth="1"/>
    <col min="13059" max="13059" width="21.28515625" style="686" customWidth="1"/>
    <col min="13060" max="13060" width="22.28515625" style="686" customWidth="1"/>
    <col min="13061" max="13061" width="19.85546875" style="686" customWidth="1"/>
    <col min="13062" max="13062" width="11" style="686" customWidth="1"/>
    <col min="13063" max="13063" width="11.42578125" style="686"/>
    <col min="13064" max="13064" width="10.140625" style="686" customWidth="1"/>
    <col min="13065" max="13065" width="20.28515625" style="686" customWidth="1"/>
    <col min="13066" max="13066" width="16.5703125" style="686" customWidth="1"/>
    <col min="13067" max="13312" width="11.42578125" style="686"/>
    <col min="13313" max="13313" width="3.85546875" style="686" customWidth="1"/>
    <col min="13314" max="13314" width="11.5703125" style="686" customWidth="1"/>
    <col min="13315" max="13315" width="21.28515625" style="686" customWidth="1"/>
    <col min="13316" max="13316" width="22.28515625" style="686" customWidth="1"/>
    <col min="13317" max="13317" width="19.85546875" style="686" customWidth="1"/>
    <col min="13318" max="13318" width="11" style="686" customWidth="1"/>
    <col min="13319" max="13319" width="11.42578125" style="686"/>
    <col min="13320" max="13320" width="10.140625" style="686" customWidth="1"/>
    <col min="13321" max="13321" width="20.28515625" style="686" customWidth="1"/>
    <col min="13322" max="13322" width="16.5703125" style="686" customWidth="1"/>
    <col min="13323" max="13568" width="11.42578125" style="686"/>
    <col min="13569" max="13569" width="3.85546875" style="686" customWidth="1"/>
    <col min="13570" max="13570" width="11.5703125" style="686" customWidth="1"/>
    <col min="13571" max="13571" width="21.28515625" style="686" customWidth="1"/>
    <col min="13572" max="13572" width="22.28515625" style="686" customWidth="1"/>
    <col min="13573" max="13573" width="19.85546875" style="686" customWidth="1"/>
    <col min="13574" max="13574" width="11" style="686" customWidth="1"/>
    <col min="13575" max="13575" width="11.42578125" style="686"/>
    <col min="13576" max="13576" width="10.140625" style="686" customWidth="1"/>
    <col min="13577" max="13577" width="20.28515625" style="686" customWidth="1"/>
    <col min="13578" max="13578" width="16.5703125" style="686" customWidth="1"/>
    <col min="13579" max="13824" width="11.42578125" style="686"/>
    <col min="13825" max="13825" width="3.85546875" style="686" customWidth="1"/>
    <col min="13826" max="13826" width="11.5703125" style="686" customWidth="1"/>
    <col min="13827" max="13827" width="21.28515625" style="686" customWidth="1"/>
    <col min="13828" max="13828" width="22.28515625" style="686" customWidth="1"/>
    <col min="13829" max="13829" width="19.85546875" style="686" customWidth="1"/>
    <col min="13830" max="13830" width="11" style="686" customWidth="1"/>
    <col min="13831" max="13831" width="11.42578125" style="686"/>
    <col min="13832" max="13832" width="10.140625" style="686" customWidth="1"/>
    <col min="13833" max="13833" width="20.28515625" style="686" customWidth="1"/>
    <col min="13834" max="13834" width="16.5703125" style="686" customWidth="1"/>
    <col min="13835" max="14080" width="11.42578125" style="686"/>
    <col min="14081" max="14081" width="3.85546875" style="686" customWidth="1"/>
    <col min="14082" max="14082" width="11.5703125" style="686" customWidth="1"/>
    <col min="14083" max="14083" width="21.28515625" style="686" customWidth="1"/>
    <col min="14084" max="14084" width="22.28515625" style="686" customWidth="1"/>
    <col min="14085" max="14085" width="19.85546875" style="686" customWidth="1"/>
    <col min="14086" max="14086" width="11" style="686" customWidth="1"/>
    <col min="14087" max="14087" width="11.42578125" style="686"/>
    <col min="14088" max="14088" width="10.140625" style="686" customWidth="1"/>
    <col min="14089" max="14089" width="20.28515625" style="686" customWidth="1"/>
    <col min="14090" max="14090" width="16.5703125" style="686" customWidth="1"/>
    <col min="14091" max="14336" width="11.42578125" style="686"/>
    <col min="14337" max="14337" width="3.85546875" style="686" customWidth="1"/>
    <col min="14338" max="14338" width="11.5703125" style="686" customWidth="1"/>
    <col min="14339" max="14339" width="21.28515625" style="686" customWidth="1"/>
    <col min="14340" max="14340" width="22.28515625" style="686" customWidth="1"/>
    <col min="14341" max="14341" width="19.85546875" style="686" customWidth="1"/>
    <col min="14342" max="14342" width="11" style="686" customWidth="1"/>
    <col min="14343" max="14343" width="11.42578125" style="686"/>
    <col min="14344" max="14344" width="10.140625" style="686" customWidth="1"/>
    <col min="14345" max="14345" width="20.28515625" style="686" customWidth="1"/>
    <col min="14346" max="14346" width="16.5703125" style="686" customWidth="1"/>
    <col min="14347" max="14592" width="11.42578125" style="686"/>
    <col min="14593" max="14593" width="3.85546875" style="686" customWidth="1"/>
    <col min="14594" max="14594" width="11.5703125" style="686" customWidth="1"/>
    <col min="14595" max="14595" width="21.28515625" style="686" customWidth="1"/>
    <col min="14596" max="14596" width="22.28515625" style="686" customWidth="1"/>
    <col min="14597" max="14597" width="19.85546875" style="686" customWidth="1"/>
    <col min="14598" max="14598" width="11" style="686" customWidth="1"/>
    <col min="14599" max="14599" width="11.42578125" style="686"/>
    <col min="14600" max="14600" width="10.140625" style="686" customWidth="1"/>
    <col min="14601" max="14601" width="20.28515625" style="686" customWidth="1"/>
    <col min="14602" max="14602" width="16.5703125" style="686" customWidth="1"/>
    <col min="14603" max="14848" width="11.42578125" style="686"/>
    <col min="14849" max="14849" width="3.85546875" style="686" customWidth="1"/>
    <col min="14850" max="14850" width="11.5703125" style="686" customWidth="1"/>
    <col min="14851" max="14851" width="21.28515625" style="686" customWidth="1"/>
    <col min="14852" max="14852" width="22.28515625" style="686" customWidth="1"/>
    <col min="14853" max="14853" width="19.85546875" style="686" customWidth="1"/>
    <col min="14854" max="14854" width="11" style="686" customWidth="1"/>
    <col min="14855" max="14855" width="11.42578125" style="686"/>
    <col min="14856" max="14856" width="10.140625" style="686" customWidth="1"/>
    <col min="14857" max="14857" width="20.28515625" style="686" customWidth="1"/>
    <col min="14858" max="14858" width="16.5703125" style="686" customWidth="1"/>
    <col min="14859" max="15104" width="11.42578125" style="686"/>
    <col min="15105" max="15105" width="3.85546875" style="686" customWidth="1"/>
    <col min="15106" max="15106" width="11.5703125" style="686" customWidth="1"/>
    <col min="15107" max="15107" width="21.28515625" style="686" customWidth="1"/>
    <col min="15108" max="15108" width="22.28515625" style="686" customWidth="1"/>
    <col min="15109" max="15109" width="19.85546875" style="686" customWidth="1"/>
    <col min="15110" max="15110" width="11" style="686" customWidth="1"/>
    <col min="15111" max="15111" width="11.42578125" style="686"/>
    <col min="15112" max="15112" width="10.140625" style="686" customWidth="1"/>
    <col min="15113" max="15113" width="20.28515625" style="686" customWidth="1"/>
    <col min="15114" max="15114" width="16.5703125" style="686" customWidth="1"/>
    <col min="15115" max="15360" width="11.42578125" style="686"/>
    <col min="15361" max="15361" width="3.85546875" style="686" customWidth="1"/>
    <col min="15362" max="15362" width="11.5703125" style="686" customWidth="1"/>
    <col min="15363" max="15363" width="21.28515625" style="686" customWidth="1"/>
    <col min="15364" max="15364" width="22.28515625" style="686" customWidth="1"/>
    <col min="15365" max="15365" width="19.85546875" style="686" customWidth="1"/>
    <col min="15366" max="15366" width="11" style="686" customWidth="1"/>
    <col min="15367" max="15367" width="11.42578125" style="686"/>
    <col min="15368" max="15368" width="10.140625" style="686" customWidth="1"/>
    <col min="15369" max="15369" width="20.28515625" style="686" customWidth="1"/>
    <col min="15370" max="15370" width="16.5703125" style="686" customWidth="1"/>
    <col min="15371" max="15616" width="11.42578125" style="686"/>
    <col min="15617" max="15617" width="3.85546875" style="686" customWidth="1"/>
    <col min="15618" max="15618" width="11.5703125" style="686" customWidth="1"/>
    <col min="15619" max="15619" width="21.28515625" style="686" customWidth="1"/>
    <col min="15620" max="15620" width="22.28515625" style="686" customWidth="1"/>
    <col min="15621" max="15621" width="19.85546875" style="686" customWidth="1"/>
    <col min="15622" max="15622" width="11" style="686" customWidth="1"/>
    <col min="15623" max="15623" width="11.42578125" style="686"/>
    <col min="15624" max="15624" width="10.140625" style="686" customWidth="1"/>
    <col min="15625" max="15625" width="20.28515625" style="686" customWidth="1"/>
    <col min="15626" max="15626" width="16.5703125" style="686" customWidth="1"/>
    <col min="15627" max="15872" width="11.42578125" style="686"/>
    <col min="15873" max="15873" width="3.85546875" style="686" customWidth="1"/>
    <col min="15874" max="15874" width="11.5703125" style="686" customWidth="1"/>
    <col min="15875" max="15875" width="21.28515625" style="686" customWidth="1"/>
    <col min="15876" max="15876" width="22.28515625" style="686" customWidth="1"/>
    <col min="15877" max="15877" width="19.85546875" style="686" customWidth="1"/>
    <col min="15878" max="15878" width="11" style="686" customWidth="1"/>
    <col min="15879" max="15879" width="11.42578125" style="686"/>
    <col min="15880" max="15880" width="10.140625" style="686" customWidth="1"/>
    <col min="15881" max="15881" width="20.28515625" style="686" customWidth="1"/>
    <col min="15882" max="15882" width="16.5703125" style="686" customWidth="1"/>
    <col min="15883" max="16128" width="11.42578125" style="686"/>
    <col min="16129" max="16129" width="3.85546875" style="686" customWidth="1"/>
    <col min="16130" max="16130" width="11.5703125" style="686" customWidth="1"/>
    <col min="16131" max="16131" width="21.28515625" style="686" customWidth="1"/>
    <col min="16132" max="16132" width="22.28515625" style="686" customWidth="1"/>
    <col min="16133" max="16133" width="19.85546875" style="686" customWidth="1"/>
    <col min="16134" max="16134" width="11" style="686" customWidth="1"/>
    <col min="16135" max="16135" width="11.42578125" style="686"/>
    <col min="16136" max="16136" width="10.140625" style="686" customWidth="1"/>
    <col min="16137" max="16137" width="20.28515625" style="686" customWidth="1"/>
    <col min="16138" max="16138" width="16.5703125" style="686" customWidth="1"/>
    <col min="16139" max="16384" width="11.42578125" style="686"/>
  </cols>
  <sheetData>
    <row r="3" spans="3:9" ht="15.75">
      <c r="C3" s="2269" t="s">
        <v>1157</v>
      </c>
      <c r="D3" s="2270"/>
      <c r="F3" s="686"/>
    </row>
    <row r="4" spans="3:9">
      <c r="C4" s="1628" t="s">
        <v>508</v>
      </c>
      <c r="D4" s="1628" t="s">
        <v>1158</v>
      </c>
      <c r="F4" s="686"/>
    </row>
    <row r="5" spans="3:9">
      <c r="C5" s="1628" t="s">
        <v>11</v>
      </c>
      <c r="D5" s="2031">
        <v>42521</v>
      </c>
      <c r="F5" s="686"/>
    </row>
    <row r="6" spans="3:9" ht="74.25" customHeight="1">
      <c r="C6" s="1630" t="s">
        <v>219</v>
      </c>
      <c r="D6" s="2177" t="s">
        <v>1159</v>
      </c>
      <c r="F6" s="686"/>
    </row>
    <row r="7" spans="3:9" ht="27.75" customHeight="1">
      <c r="C7" s="2230" t="s">
        <v>180</v>
      </c>
      <c r="D7" s="2220">
        <v>42522</v>
      </c>
      <c r="F7" s="686"/>
    </row>
    <row r="8" spans="3:9">
      <c r="C8" s="1628" t="s">
        <v>1161</v>
      </c>
      <c r="D8" s="2231" t="s">
        <v>1162</v>
      </c>
      <c r="F8" s="686"/>
    </row>
    <row r="9" spans="3:9">
      <c r="C9" s="702" t="s">
        <v>838</v>
      </c>
      <c r="D9" s="2221">
        <v>42634</v>
      </c>
      <c r="F9" s="686"/>
    </row>
    <row r="10" spans="3:9">
      <c r="C10" s="1628" t="s">
        <v>1164</v>
      </c>
      <c r="D10" s="1722"/>
    </row>
    <row r="11" spans="3:9" ht="25.5">
      <c r="C11" s="1667" t="s">
        <v>1165</v>
      </c>
      <c r="D11" s="2208">
        <v>320833746</v>
      </c>
      <c r="F11" s="686"/>
    </row>
    <row r="12" spans="3:9" ht="25.5">
      <c r="C12" s="1667" t="s">
        <v>1165</v>
      </c>
      <c r="D12" s="2208">
        <v>1862657397</v>
      </c>
      <c r="F12" s="686"/>
    </row>
    <row r="13" spans="3:9" ht="25.5">
      <c r="C13" s="1667" t="s">
        <v>1166</v>
      </c>
      <c r="D13" s="2208">
        <v>813674740</v>
      </c>
      <c r="F13" s="686"/>
      <c r="I13" s="2271"/>
    </row>
    <row r="14" spans="3:9" ht="25.5">
      <c r="C14" s="1667" t="s">
        <v>1167</v>
      </c>
      <c r="D14" s="2208">
        <v>1189783145</v>
      </c>
      <c r="F14" s="686"/>
      <c r="I14" s="2271"/>
    </row>
    <row r="15" spans="3:9" ht="16.5">
      <c r="C15" s="2223" t="s">
        <v>1168</v>
      </c>
      <c r="D15" s="2102">
        <f>SUM(D11:D14)</f>
        <v>4186949028</v>
      </c>
      <c r="F15" s="686"/>
      <c r="I15" s="2271"/>
    </row>
    <row r="16" spans="3:9">
      <c r="F16" s="686"/>
    </row>
    <row r="17" spans="1:10">
      <c r="C17" s="702" t="s">
        <v>1858</v>
      </c>
      <c r="D17" s="2224"/>
    </row>
    <row r="18" spans="1:10">
      <c r="B18" s="2272" t="s">
        <v>1169</v>
      </c>
      <c r="C18" s="2273"/>
      <c r="D18" s="2273"/>
      <c r="E18" s="2273"/>
      <c r="F18" s="2273"/>
      <c r="G18" s="2273"/>
      <c r="H18" s="2273"/>
      <c r="I18" s="2274"/>
    </row>
    <row r="19" spans="1:10" ht="33" customHeight="1">
      <c r="B19" s="699" t="s">
        <v>206</v>
      </c>
      <c r="C19" s="699" t="s">
        <v>10</v>
      </c>
      <c r="D19" s="699" t="s">
        <v>198</v>
      </c>
      <c r="E19" s="2275" t="s">
        <v>536</v>
      </c>
      <c r="F19" s="2275"/>
      <c r="G19" s="2029" t="s">
        <v>1171</v>
      </c>
      <c r="H19" s="2093" t="s">
        <v>47</v>
      </c>
      <c r="I19" s="2093" t="s">
        <v>1172</v>
      </c>
    </row>
    <row r="20" spans="1:10">
      <c r="A20" s="702">
        <v>1</v>
      </c>
      <c r="B20" s="2031">
        <v>42523</v>
      </c>
      <c r="C20" s="2031">
        <v>42551</v>
      </c>
      <c r="D20" s="1722">
        <f>+$D$15</f>
        <v>4186949028</v>
      </c>
      <c r="E20" s="2276">
        <v>6.9099999999999995E-2</v>
      </c>
      <c r="F20" s="2276">
        <v>0</v>
      </c>
      <c r="G20" s="2094">
        <f>((1+E20)^(1/365))-1</f>
        <v>1.830775046887112E-4</v>
      </c>
      <c r="H20" s="2126">
        <f>C20-B20+1</f>
        <v>29</v>
      </c>
      <c r="I20" s="2103">
        <f t="shared" ref="I20:I83" si="0">ROUND(D20*G20*H20,2)</f>
        <v>22229549.23</v>
      </c>
      <c r="J20" s="2225"/>
    </row>
    <row r="21" spans="1:10">
      <c r="A21" s="702">
        <v>2</v>
      </c>
      <c r="B21" s="2031">
        <v>42552</v>
      </c>
      <c r="C21" s="2031">
        <v>42582</v>
      </c>
      <c r="D21" s="1722">
        <f t="shared" ref="D21:D85" si="1">+$D$15</f>
        <v>4186949028</v>
      </c>
      <c r="E21" s="2276">
        <v>7.2599999999999998E-2</v>
      </c>
      <c r="F21" s="2276">
        <v>0</v>
      </c>
      <c r="G21" s="2094">
        <f t="shared" ref="G21:G32" si="2">((1+E21)^(1/365))-1</f>
        <v>1.9203379932619669E-4</v>
      </c>
      <c r="H21" s="2126">
        <f t="shared" ref="H21:H31" si="3">C21-B21+1</f>
        <v>31</v>
      </c>
      <c r="I21" s="2103">
        <f t="shared" si="0"/>
        <v>24925107.609999999</v>
      </c>
      <c r="J21" s="2225"/>
    </row>
    <row r="22" spans="1:10">
      <c r="A22" s="702">
        <v>3</v>
      </c>
      <c r="B22" s="2031">
        <v>42583</v>
      </c>
      <c r="C22" s="2031">
        <v>42613</v>
      </c>
      <c r="D22" s="1722">
        <f t="shared" si="1"/>
        <v>4186949028</v>
      </c>
      <c r="E22" s="2276">
        <v>7.1900000000000006E-2</v>
      </c>
      <c r="F22" s="2276">
        <v>0</v>
      </c>
      <c r="G22" s="2094">
        <f t="shared" si="2"/>
        <v>1.9024487430319148E-4</v>
      </c>
      <c r="H22" s="2126">
        <f t="shared" si="3"/>
        <v>31</v>
      </c>
      <c r="I22" s="2103">
        <f t="shared" si="0"/>
        <v>24692913.34</v>
      </c>
      <c r="J22" s="2045"/>
    </row>
    <row r="23" spans="1:10">
      <c r="A23" s="702">
        <v>4</v>
      </c>
      <c r="B23" s="2031">
        <v>42614</v>
      </c>
      <c r="C23" s="2031">
        <v>42615</v>
      </c>
      <c r="D23" s="1722">
        <f t="shared" si="1"/>
        <v>4186949028</v>
      </c>
      <c r="E23" s="2276">
        <v>7.1800000000000003E-2</v>
      </c>
      <c r="F23" s="2276">
        <v>0</v>
      </c>
      <c r="G23" s="2094">
        <f t="shared" si="2"/>
        <v>1.8998921848401018E-4</v>
      </c>
      <c r="H23" s="2126">
        <f t="shared" si="3"/>
        <v>2</v>
      </c>
      <c r="I23" s="2103">
        <f t="shared" si="0"/>
        <v>1590950.35</v>
      </c>
      <c r="J23" s="2045"/>
    </row>
    <row r="24" spans="1:10">
      <c r="A24" s="702">
        <v>5</v>
      </c>
      <c r="B24" s="2031">
        <v>42616</v>
      </c>
      <c r="C24" s="2031">
        <v>42633</v>
      </c>
      <c r="D24" s="1722">
        <f t="shared" si="1"/>
        <v>4186949028</v>
      </c>
      <c r="E24" s="2276">
        <v>7.1800000000000003E-2</v>
      </c>
      <c r="F24" s="2276">
        <v>0</v>
      </c>
      <c r="G24" s="2094">
        <f>((1+E24)^(1/365))-1</f>
        <v>1.8998921848401018E-4</v>
      </c>
      <c r="H24" s="2126">
        <v>0</v>
      </c>
      <c r="I24" s="2103">
        <f t="shared" si="0"/>
        <v>0</v>
      </c>
      <c r="J24" s="2045"/>
    </row>
    <row r="25" spans="1:10">
      <c r="A25" s="702">
        <v>6</v>
      </c>
      <c r="B25" s="2031">
        <v>42634</v>
      </c>
      <c r="C25" s="2031">
        <v>42643</v>
      </c>
      <c r="D25" s="1722">
        <f t="shared" si="1"/>
        <v>4186949028</v>
      </c>
      <c r="E25" s="2276">
        <v>7.1800000000000003E-2</v>
      </c>
      <c r="F25" s="2276">
        <v>0</v>
      </c>
      <c r="G25" s="2094">
        <f>((1+E25)^(1/365))-1</f>
        <v>1.8998921848401018E-4</v>
      </c>
      <c r="H25" s="2126">
        <f>C25-B25+1</f>
        <v>10</v>
      </c>
      <c r="I25" s="2103">
        <f t="shared" si="0"/>
        <v>7954751.7400000002</v>
      </c>
      <c r="J25" s="2045"/>
    </row>
    <row r="26" spans="1:10">
      <c r="A26" s="702">
        <v>7</v>
      </c>
      <c r="B26" s="2031">
        <v>42644</v>
      </c>
      <c r="C26" s="2031">
        <v>42674</v>
      </c>
      <c r="D26" s="1722">
        <f t="shared" si="1"/>
        <v>4186949028</v>
      </c>
      <c r="E26" s="2276">
        <v>7.0900000000000005E-2</v>
      </c>
      <c r="F26" s="2276">
        <v>0</v>
      </c>
      <c r="G26" s="2094">
        <f t="shared" si="2"/>
        <v>1.8768724508766432E-4</v>
      </c>
      <c r="H26" s="2126">
        <f t="shared" si="3"/>
        <v>31</v>
      </c>
      <c r="I26" s="2103">
        <f t="shared" si="0"/>
        <v>24360944.780000001</v>
      </c>
      <c r="J26" s="2045"/>
    </row>
    <row r="27" spans="1:10">
      <c r="A27" s="702">
        <v>8</v>
      </c>
      <c r="B27" s="2031">
        <v>42675</v>
      </c>
      <c r="C27" s="2031">
        <v>42704</v>
      </c>
      <c r="D27" s="1722">
        <f t="shared" si="1"/>
        <v>4186949028</v>
      </c>
      <c r="E27" s="2276">
        <v>7.0099999999999996E-2</v>
      </c>
      <c r="F27" s="2276">
        <v>0</v>
      </c>
      <c r="G27" s="2094">
        <f t="shared" si="2"/>
        <v>1.856394262655936E-4</v>
      </c>
      <c r="H27" s="2126">
        <f t="shared" si="3"/>
        <v>30</v>
      </c>
      <c r="I27" s="2103">
        <f t="shared" si="0"/>
        <v>23317884.460000001</v>
      </c>
      <c r="J27" s="2045"/>
    </row>
    <row r="28" spans="1:10">
      <c r="A28" s="702">
        <v>9</v>
      </c>
      <c r="B28" s="2031">
        <v>42705</v>
      </c>
      <c r="C28" s="2031">
        <v>42735</v>
      </c>
      <c r="D28" s="1722">
        <f t="shared" si="1"/>
        <v>4186949028</v>
      </c>
      <c r="E28" s="2276">
        <v>6.9199999999999998E-2</v>
      </c>
      <c r="F28" s="2276">
        <v>0</v>
      </c>
      <c r="G28" s="2094">
        <f t="shared" si="2"/>
        <v>1.8333380436241775E-4</v>
      </c>
      <c r="H28" s="2126">
        <f t="shared" si="3"/>
        <v>31</v>
      </c>
      <c r="I28" s="2103">
        <f t="shared" si="0"/>
        <v>23795888.109999999</v>
      </c>
      <c r="J28" s="2045"/>
    </row>
    <row r="29" spans="1:10">
      <c r="A29" s="702">
        <v>10</v>
      </c>
      <c r="B29" s="2031">
        <v>42736</v>
      </c>
      <c r="C29" s="2031">
        <v>42766</v>
      </c>
      <c r="D29" s="1722">
        <f t="shared" si="1"/>
        <v>4186949028</v>
      </c>
      <c r="E29" s="2276">
        <v>6.9400000000000003E-2</v>
      </c>
      <c r="F29" s="2276">
        <v>0</v>
      </c>
      <c r="G29" s="2094">
        <f t="shared" si="2"/>
        <v>1.8384633200141387E-4</v>
      </c>
      <c r="H29" s="2126">
        <f t="shared" si="3"/>
        <v>31</v>
      </c>
      <c r="I29" s="2103">
        <f t="shared" si="0"/>
        <v>23862411.850000001</v>
      </c>
    </row>
    <row r="30" spans="1:10">
      <c r="A30" s="702">
        <v>11</v>
      </c>
      <c r="B30" s="2031">
        <v>42767</v>
      </c>
      <c r="C30" s="2031">
        <v>42794</v>
      </c>
      <c r="D30" s="1722">
        <f t="shared" si="1"/>
        <v>4186949028</v>
      </c>
      <c r="E30" s="2276">
        <v>6.7799999999999999E-2</v>
      </c>
      <c r="F30" s="2276">
        <v>0</v>
      </c>
      <c r="G30" s="2094">
        <f t="shared" si="2"/>
        <v>1.7974343159732342E-4</v>
      </c>
      <c r="H30" s="2126">
        <f t="shared" si="3"/>
        <v>28</v>
      </c>
      <c r="I30" s="2103">
        <f t="shared" si="0"/>
        <v>21072144.41</v>
      </c>
    </row>
    <row r="31" spans="1:10">
      <c r="A31" s="702">
        <v>12</v>
      </c>
      <c r="B31" s="2031">
        <v>42795</v>
      </c>
      <c r="C31" s="2031">
        <v>42825</v>
      </c>
      <c r="D31" s="1722">
        <f t="shared" si="1"/>
        <v>4186949028</v>
      </c>
      <c r="E31" s="2276">
        <v>6.6500000000000004E-2</v>
      </c>
      <c r="F31" s="2276">
        <v>0</v>
      </c>
      <c r="G31" s="2094">
        <f t="shared" si="2"/>
        <v>1.7640530807794264E-4</v>
      </c>
      <c r="H31" s="2126">
        <f t="shared" si="3"/>
        <v>31</v>
      </c>
      <c r="I31" s="2103">
        <f t="shared" si="0"/>
        <v>22896601.030000001</v>
      </c>
    </row>
    <row r="32" spans="1:10">
      <c r="A32" s="702">
        <v>13</v>
      </c>
      <c r="B32" s="2277">
        <v>42826</v>
      </c>
      <c r="C32" s="2277">
        <v>42846</v>
      </c>
      <c r="D32" s="1722">
        <f t="shared" si="1"/>
        <v>4186949028</v>
      </c>
      <c r="E32" s="2276">
        <v>6.5299999999999997E-2</v>
      </c>
      <c r="F32" s="2276">
        <v>0</v>
      </c>
      <c r="G32" s="2094">
        <f t="shared" si="2"/>
        <v>1.7332035970407667E-4</v>
      </c>
      <c r="H32" s="2126">
        <f>C32-B32+1</f>
        <v>21</v>
      </c>
      <c r="I32" s="2103">
        <f t="shared" si="0"/>
        <v>15239353.74</v>
      </c>
    </row>
    <row r="33" spans="1:9">
      <c r="A33" s="702">
        <v>14</v>
      </c>
      <c r="B33" s="2277">
        <v>42847</v>
      </c>
      <c r="C33" s="2277">
        <v>42855</v>
      </c>
      <c r="D33" s="1722">
        <f t="shared" si="1"/>
        <v>4186949028</v>
      </c>
      <c r="E33" s="2276">
        <v>0.2233</v>
      </c>
      <c r="F33" s="2276">
        <f t="shared" ref="F33:F97" si="4">+E33*1.5</f>
        <v>0.33494999999999997</v>
      </c>
      <c r="G33" s="2094">
        <f>((1+F33)^(1/365))-1</f>
        <v>7.9180327787309324E-4</v>
      </c>
      <c r="H33" s="2126">
        <f>C33-B33+1</f>
        <v>9</v>
      </c>
      <c r="I33" s="2103">
        <f t="shared" si="0"/>
        <v>29837159.68</v>
      </c>
    </row>
    <row r="34" spans="1:9">
      <c r="A34" s="702">
        <v>15</v>
      </c>
      <c r="B34" s="2277">
        <v>42856</v>
      </c>
      <c r="C34" s="2277">
        <v>42886</v>
      </c>
      <c r="D34" s="1722">
        <f t="shared" si="1"/>
        <v>4186949028</v>
      </c>
      <c r="E34" s="2032">
        <v>0.2233</v>
      </c>
      <c r="F34" s="2276">
        <f t="shared" si="4"/>
        <v>0.33494999999999997</v>
      </c>
      <c r="G34" s="2094">
        <f>((1+F34)^(1/365))-1</f>
        <v>7.9180327787309324E-4</v>
      </c>
      <c r="H34" s="2126">
        <f t="shared" ref="H34:H96" si="5">C34-B34+1</f>
        <v>31</v>
      </c>
      <c r="I34" s="2103">
        <f t="shared" si="0"/>
        <v>102772438.90000001</v>
      </c>
    </row>
    <row r="35" spans="1:9">
      <c r="A35" s="702">
        <v>16</v>
      </c>
      <c r="B35" s="2277">
        <v>42887</v>
      </c>
      <c r="C35" s="2277">
        <v>42916</v>
      </c>
      <c r="D35" s="1722">
        <f t="shared" si="1"/>
        <v>4186949028</v>
      </c>
      <c r="E35" s="2032">
        <v>0.2233</v>
      </c>
      <c r="F35" s="2276">
        <f t="shared" si="4"/>
        <v>0.33494999999999997</v>
      </c>
      <c r="G35" s="2094">
        <f t="shared" ref="G35:G97" si="6">((1+F35)^(1/365))-1</f>
        <v>7.9180327787309324E-4</v>
      </c>
      <c r="H35" s="2126">
        <f t="shared" si="5"/>
        <v>30</v>
      </c>
      <c r="I35" s="2103">
        <f t="shared" si="0"/>
        <v>99457198.939999998</v>
      </c>
    </row>
    <row r="36" spans="1:9">
      <c r="A36" s="702">
        <v>17</v>
      </c>
      <c r="B36" s="2277">
        <v>42917</v>
      </c>
      <c r="C36" s="2277">
        <v>42947</v>
      </c>
      <c r="D36" s="1722">
        <f t="shared" si="1"/>
        <v>4186949028</v>
      </c>
      <c r="E36" s="2032">
        <v>0.2198</v>
      </c>
      <c r="F36" s="2276">
        <f t="shared" si="4"/>
        <v>0.32969999999999999</v>
      </c>
      <c r="G36" s="2094">
        <f t="shared" si="6"/>
        <v>7.8099893845218205E-4</v>
      </c>
      <c r="H36" s="2126">
        <f t="shared" si="5"/>
        <v>31</v>
      </c>
      <c r="I36" s="2103">
        <f t="shared" si="0"/>
        <v>101370085.13</v>
      </c>
    </row>
    <row r="37" spans="1:9">
      <c r="A37" s="702">
        <v>18</v>
      </c>
      <c r="B37" s="2277">
        <v>42948</v>
      </c>
      <c r="C37" s="2277">
        <v>42978</v>
      </c>
      <c r="D37" s="1722">
        <f t="shared" si="1"/>
        <v>4186949028</v>
      </c>
      <c r="E37" s="2032">
        <v>0.2198</v>
      </c>
      <c r="F37" s="2276">
        <f t="shared" si="4"/>
        <v>0.32969999999999999</v>
      </c>
      <c r="G37" s="2094">
        <f t="shared" si="6"/>
        <v>7.8099893845218205E-4</v>
      </c>
      <c r="H37" s="2126">
        <f t="shared" si="5"/>
        <v>31</v>
      </c>
      <c r="I37" s="2103">
        <f t="shared" si="0"/>
        <v>101370085.13</v>
      </c>
    </row>
    <row r="38" spans="1:9">
      <c r="A38" s="702">
        <v>19</v>
      </c>
      <c r="B38" s="2031">
        <v>42979</v>
      </c>
      <c r="C38" s="2031">
        <v>43008</v>
      </c>
      <c r="D38" s="1722">
        <f t="shared" si="1"/>
        <v>4186949028</v>
      </c>
      <c r="E38" s="2032">
        <v>0.21479999999999999</v>
      </c>
      <c r="F38" s="2276">
        <f t="shared" si="4"/>
        <v>0.32219999999999999</v>
      </c>
      <c r="G38" s="2094">
        <f t="shared" si="6"/>
        <v>7.6549014202820231E-4</v>
      </c>
      <c r="H38" s="2126">
        <f t="shared" si="5"/>
        <v>30</v>
      </c>
      <c r="I38" s="2103">
        <f t="shared" si="0"/>
        <v>96152046.180000007</v>
      </c>
    </row>
    <row r="39" spans="1:9">
      <c r="A39" s="702">
        <v>20</v>
      </c>
      <c r="B39" s="2031">
        <v>43009</v>
      </c>
      <c r="C39" s="2031">
        <v>43039</v>
      </c>
      <c r="D39" s="1722">
        <f t="shared" si="1"/>
        <v>4186949028</v>
      </c>
      <c r="E39" s="2032">
        <v>0.21149999999999999</v>
      </c>
      <c r="F39" s="2276">
        <f t="shared" si="4"/>
        <v>0.31724999999999998</v>
      </c>
      <c r="G39" s="2094">
        <f t="shared" si="6"/>
        <v>7.5520620308799913E-4</v>
      </c>
      <c r="H39" s="2126">
        <f t="shared" si="5"/>
        <v>31</v>
      </c>
      <c r="I39" s="2103">
        <f t="shared" si="0"/>
        <v>98022306.219999999</v>
      </c>
    </row>
    <row r="40" spans="1:9">
      <c r="A40" s="702">
        <v>21</v>
      </c>
      <c r="B40" s="2031">
        <v>43040</v>
      </c>
      <c r="C40" s="2031">
        <v>43069</v>
      </c>
      <c r="D40" s="1722">
        <f t="shared" si="1"/>
        <v>4186949028</v>
      </c>
      <c r="E40" s="2032">
        <v>0.20960000000000001</v>
      </c>
      <c r="F40" s="2276">
        <f t="shared" si="4"/>
        <v>0.31440000000000001</v>
      </c>
      <c r="G40" s="2094">
        <f t="shared" si="6"/>
        <v>7.4926765057248268E-4</v>
      </c>
      <c r="H40" s="2126">
        <f t="shared" si="5"/>
        <v>30</v>
      </c>
      <c r="I40" s="2103">
        <f t="shared" si="0"/>
        <v>94114363.840000004</v>
      </c>
    </row>
    <row r="41" spans="1:9">
      <c r="A41" s="702">
        <v>22</v>
      </c>
      <c r="B41" s="2031">
        <v>43070</v>
      </c>
      <c r="C41" s="2031">
        <v>43100</v>
      </c>
      <c r="D41" s="1722">
        <f t="shared" si="1"/>
        <v>4186949028</v>
      </c>
      <c r="E41" s="2032">
        <v>0.2077</v>
      </c>
      <c r="F41" s="2276">
        <f t="shared" si="4"/>
        <v>0.31154999999999999</v>
      </c>
      <c r="G41" s="2094">
        <f t="shared" si="6"/>
        <v>7.4331624292400811E-4</v>
      </c>
      <c r="H41" s="2126">
        <f t="shared" si="5"/>
        <v>31</v>
      </c>
      <c r="I41" s="2103">
        <f t="shared" si="0"/>
        <v>96479043.849999994</v>
      </c>
    </row>
    <row r="42" spans="1:9">
      <c r="A42" s="702">
        <v>23</v>
      </c>
      <c r="B42" s="2031">
        <v>43101</v>
      </c>
      <c r="C42" s="2031">
        <v>43131</v>
      </c>
      <c r="D42" s="1722">
        <f t="shared" si="1"/>
        <v>4186949028</v>
      </c>
      <c r="E42" s="2032">
        <v>0.2069</v>
      </c>
      <c r="F42" s="2276">
        <f t="shared" si="4"/>
        <v>0.31035000000000001</v>
      </c>
      <c r="G42" s="2094">
        <f t="shared" si="6"/>
        <v>7.4080652774299871E-4</v>
      </c>
      <c r="H42" s="2126">
        <f t="shared" si="5"/>
        <v>31</v>
      </c>
      <c r="I42" s="2103">
        <f t="shared" si="0"/>
        <v>96153294.310000002</v>
      </c>
    </row>
    <row r="43" spans="1:9">
      <c r="A43" s="702">
        <v>24</v>
      </c>
      <c r="B43" s="2031">
        <v>43132</v>
      </c>
      <c r="C43" s="2031">
        <v>43159</v>
      </c>
      <c r="D43" s="1722">
        <f t="shared" si="1"/>
        <v>4186949028</v>
      </c>
      <c r="E43" s="2032">
        <v>0.21010000000000001</v>
      </c>
      <c r="F43" s="2276">
        <f t="shared" si="4"/>
        <v>0.31515000000000004</v>
      </c>
      <c r="G43" s="2094">
        <f t="shared" si="6"/>
        <v>7.5083167162115494E-4</v>
      </c>
      <c r="H43" s="2126">
        <f t="shared" si="5"/>
        <v>28</v>
      </c>
      <c r="I43" s="2103">
        <f t="shared" si="0"/>
        <v>88023430.260000005</v>
      </c>
    </row>
    <row r="44" spans="1:9">
      <c r="A44" s="702">
        <v>25</v>
      </c>
      <c r="B44" s="2031">
        <v>43160</v>
      </c>
      <c r="C44" s="2031">
        <v>43190</v>
      </c>
      <c r="D44" s="1722">
        <f t="shared" si="1"/>
        <v>4186949028</v>
      </c>
      <c r="E44" s="2032">
        <v>0.20680000000000001</v>
      </c>
      <c r="F44" s="2276">
        <f t="shared" si="4"/>
        <v>0.31020000000000003</v>
      </c>
      <c r="G44" s="2094">
        <f t="shared" si="6"/>
        <v>7.4049265219700011E-4</v>
      </c>
      <c r="H44" s="2126">
        <f t="shared" si="5"/>
        <v>31</v>
      </c>
      <c r="I44" s="2103">
        <f t="shared" si="0"/>
        <v>96112554.700000003</v>
      </c>
    </row>
    <row r="45" spans="1:9">
      <c r="A45" s="702">
        <v>26</v>
      </c>
      <c r="B45" s="2031">
        <v>43191</v>
      </c>
      <c r="C45" s="2031">
        <v>43220</v>
      </c>
      <c r="D45" s="1722">
        <f t="shared" si="1"/>
        <v>4186949028</v>
      </c>
      <c r="E45" s="2032">
        <v>0.20480000000000001</v>
      </c>
      <c r="F45" s="2276">
        <f t="shared" si="4"/>
        <v>0.30720000000000003</v>
      </c>
      <c r="G45" s="2094">
        <f t="shared" si="6"/>
        <v>7.34207604366377E-4</v>
      </c>
      <c r="H45" s="2126">
        <f t="shared" si="5"/>
        <v>30</v>
      </c>
      <c r="I45" s="2103">
        <f t="shared" si="0"/>
        <v>92222694.459999993</v>
      </c>
    </row>
    <row r="46" spans="1:9">
      <c r="A46" s="702">
        <v>27</v>
      </c>
      <c r="B46" s="2031">
        <v>43221</v>
      </c>
      <c r="C46" s="2031">
        <v>43251</v>
      </c>
      <c r="D46" s="1722">
        <f t="shared" si="1"/>
        <v>4186949028</v>
      </c>
      <c r="E46" s="2032">
        <v>0.2044</v>
      </c>
      <c r="F46" s="2276">
        <f t="shared" si="4"/>
        <v>0.30659999999999998</v>
      </c>
      <c r="G46" s="2094">
        <f t="shared" si="6"/>
        <v>7.3294886878794152E-4</v>
      </c>
      <c r="H46" s="2126">
        <f t="shared" si="5"/>
        <v>31</v>
      </c>
      <c r="I46" s="2103">
        <f t="shared" si="0"/>
        <v>95133406.170000002</v>
      </c>
    </row>
    <row r="47" spans="1:9">
      <c r="A47" s="702">
        <v>28</v>
      </c>
      <c r="B47" s="2031">
        <v>43252</v>
      </c>
      <c r="C47" s="2031">
        <v>43281</v>
      </c>
      <c r="D47" s="1722">
        <f t="shared" si="1"/>
        <v>4186949028</v>
      </c>
      <c r="E47" s="2032">
        <v>0.20280000000000001</v>
      </c>
      <c r="F47" s="2276">
        <f t="shared" si="4"/>
        <v>0.30420000000000003</v>
      </c>
      <c r="G47" s="2094">
        <f t="shared" si="6"/>
        <v>7.2790815549184096E-4</v>
      </c>
      <c r="H47" s="2126">
        <f t="shared" si="5"/>
        <v>30</v>
      </c>
      <c r="I47" s="2103">
        <f t="shared" si="0"/>
        <v>91431430.319999993</v>
      </c>
    </row>
    <row r="48" spans="1:9">
      <c r="A48" s="702">
        <v>29</v>
      </c>
      <c r="B48" s="2031">
        <v>43282</v>
      </c>
      <c r="C48" s="2031">
        <v>43312</v>
      </c>
      <c r="D48" s="1722">
        <f t="shared" si="1"/>
        <v>4186949028</v>
      </c>
      <c r="E48" s="2032">
        <v>0.20030000000000001</v>
      </c>
      <c r="F48" s="2276">
        <f t="shared" si="4"/>
        <v>0.30044999999999999</v>
      </c>
      <c r="G48" s="2094">
        <f t="shared" si="6"/>
        <v>7.2001349197825526E-4</v>
      </c>
      <c r="H48" s="2126">
        <f t="shared" si="5"/>
        <v>31</v>
      </c>
      <c r="I48" s="2103">
        <f t="shared" si="0"/>
        <v>93454453.5</v>
      </c>
    </row>
    <row r="49" spans="1:9">
      <c r="A49" s="702">
        <v>30</v>
      </c>
      <c r="B49" s="2031">
        <v>43313</v>
      </c>
      <c r="C49" s="2031">
        <v>43343</v>
      </c>
      <c r="D49" s="1722">
        <f t="shared" si="1"/>
        <v>4186949028</v>
      </c>
      <c r="E49" s="2032">
        <v>0.19939999999999999</v>
      </c>
      <c r="F49" s="2276">
        <f t="shared" si="4"/>
        <v>0.29909999999999998</v>
      </c>
      <c r="G49" s="2094">
        <f t="shared" si="6"/>
        <v>7.1716585429704161E-4</v>
      </c>
      <c r="H49" s="2126">
        <f t="shared" si="5"/>
        <v>31</v>
      </c>
      <c r="I49" s="2103">
        <f t="shared" si="0"/>
        <v>93084843.170000002</v>
      </c>
    </row>
    <row r="50" spans="1:9">
      <c r="A50" s="702">
        <v>31</v>
      </c>
      <c r="B50" s="2031">
        <v>43344</v>
      </c>
      <c r="C50" s="2031">
        <v>43373</v>
      </c>
      <c r="D50" s="1722">
        <f t="shared" si="1"/>
        <v>4186949028</v>
      </c>
      <c r="E50" s="2032">
        <v>0.1981</v>
      </c>
      <c r="F50" s="2276">
        <f t="shared" si="4"/>
        <v>0.29715000000000003</v>
      </c>
      <c r="G50" s="2094">
        <f t="shared" si="6"/>
        <v>7.1304738558919389E-4</v>
      </c>
      <c r="H50" s="2126">
        <f t="shared" si="5"/>
        <v>30</v>
      </c>
      <c r="I50" s="2103">
        <f t="shared" si="0"/>
        <v>89564791.739999995</v>
      </c>
    </row>
    <row r="51" spans="1:9">
      <c r="A51" s="702">
        <v>32</v>
      </c>
      <c r="B51" s="2031">
        <v>43374</v>
      </c>
      <c r="C51" s="2031">
        <v>43404</v>
      </c>
      <c r="D51" s="1722">
        <f t="shared" si="1"/>
        <v>4186949028</v>
      </c>
      <c r="E51" s="2032">
        <v>0.1963</v>
      </c>
      <c r="F51" s="2276">
        <f t="shared" si="4"/>
        <v>0.29444999999999999</v>
      </c>
      <c r="G51" s="2094">
        <f t="shared" si="6"/>
        <v>7.073346857742191E-4</v>
      </c>
      <c r="H51" s="2126">
        <f t="shared" si="5"/>
        <v>31</v>
      </c>
      <c r="I51" s="2103">
        <f t="shared" si="0"/>
        <v>91808802.530000001</v>
      </c>
    </row>
    <row r="52" spans="1:9">
      <c r="A52" s="702">
        <v>33</v>
      </c>
      <c r="B52" s="2031">
        <v>43405</v>
      </c>
      <c r="C52" s="2031">
        <v>43434</v>
      </c>
      <c r="D52" s="1722">
        <f t="shared" si="1"/>
        <v>4186949028</v>
      </c>
      <c r="E52" s="2032">
        <v>0.19489999999999999</v>
      </c>
      <c r="F52" s="2276">
        <f t="shared" si="4"/>
        <v>0.29235</v>
      </c>
      <c r="G52" s="2094">
        <f t="shared" si="6"/>
        <v>7.0288325333756063E-4</v>
      </c>
      <c r="H52" s="2126">
        <f t="shared" si="5"/>
        <v>30</v>
      </c>
      <c r="I52" s="2103">
        <f t="shared" si="0"/>
        <v>88288090.629999995</v>
      </c>
    </row>
    <row r="53" spans="1:9">
      <c r="A53" s="702">
        <v>34</v>
      </c>
      <c r="B53" s="2031">
        <v>43435</v>
      </c>
      <c r="C53" s="2031">
        <v>43465</v>
      </c>
      <c r="D53" s="1722">
        <f t="shared" si="1"/>
        <v>4186949028</v>
      </c>
      <c r="E53" s="2032">
        <v>0.19400000000000001</v>
      </c>
      <c r="F53" s="2276">
        <f t="shared" si="4"/>
        <v>0.29100000000000004</v>
      </c>
      <c r="G53" s="2094">
        <f t="shared" si="6"/>
        <v>7.0001780740103214E-4</v>
      </c>
      <c r="H53" s="2126">
        <f t="shared" si="5"/>
        <v>31</v>
      </c>
      <c r="I53" s="2103">
        <f t="shared" si="0"/>
        <v>90859105.230000004</v>
      </c>
    </row>
    <row r="54" spans="1:9">
      <c r="A54" s="702">
        <v>35</v>
      </c>
      <c r="B54" s="2031">
        <v>43466</v>
      </c>
      <c r="C54" s="2031">
        <v>43496</v>
      </c>
      <c r="D54" s="1722">
        <f t="shared" si="1"/>
        <v>4186949028</v>
      </c>
      <c r="E54" s="2032">
        <v>0.19159999999999999</v>
      </c>
      <c r="F54" s="2276">
        <f t="shared" si="4"/>
        <v>0.28739999999999999</v>
      </c>
      <c r="G54" s="2094">
        <f t="shared" si="6"/>
        <v>6.9236198468725085E-4</v>
      </c>
      <c r="H54" s="2126">
        <f t="shared" si="5"/>
        <v>31</v>
      </c>
      <c r="I54" s="2103">
        <f t="shared" si="0"/>
        <v>89865414.5</v>
      </c>
    </row>
    <row r="55" spans="1:9">
      <c r="A55" s="702">
        <v>36</v>
      </c>
      <c r="B55" s="2031">
        <v>43497</v>
      </c>
      <c r="C55" s="2031">
        <v>43524</v>
      </c>
      <c r="D55" s="1722">
        <f t="shared" si="1"/>
        <v>4186949028</v>
      </c>
      <c r="E55" s="2032">
        <v>0.19700000000000001</v>
      </c>
      <c r="F55" s="2276">
        <f t="shared" si="4"/>
        <v>0.29549999999999998</v>
      </c>
      <c r="G55" s="2094">
        <f t="shared" si="6"/>
        <v>7.0955770203506852E-4</v>
      </c>
      <c r="H55" s="2126">
        <f t="shared" si="5"/>
        <v>28</v>
      </c>
      <c r="I55" s="2103">
        <f t="shared" si="0"/>
        <v>83184694.060000002</v>
      </c>
    </row>
    <row r="56" spans="1:9">
      <c r="A56" s="702">
        <v>37</v>
      </c>
      <c r="B56" s="2031">
        <v>43525</v>
      </c>
      <c r="C56" s="2031">
        <v>43555</v>
      </c>
      <c r="D56" s="1722">
        <f t="shared" si="1"/>
        <v>4186949028</v>
      </c>
      <c r="E56" s="2032">
        <v>0.19370000000000001</v>
      </c>
      <c r="F56" s="2276">
        <f t="shared" si="4"/>
        <v>0.29055000000000003</v>
      </c>
      <c r="G56" s="2094">
        <f t="shared" si="6"/>
        <v>6.9906199467517638E-4</v>
      </c>
      <c r="H56" s="2126">
        <f t="shared" si="5"/>
        <v>31</v>
      </c>
      <c r="I56" s="2103">
        <f t="shared" si="0"/>
        <v>90735045.109999999</v>
      </c>
    </row>
    <row r="57" spans="1:9">
      <c r="A57" s="702">
        <v>38</v>
      </c>
      <c r="B57" s="2031">
        <v>43556</v>
      </c>
      <c r="C57" s="2031">
        <v>43585</v>
      </c>
      <c r="D57" s="1722">
        <f t="shared" si="1"/>
        <v>4186949028</v>
      </c>
      <c r="E57" s="2032">
        <v>0.19320000000000001</v>
      </c>
      <c r="F57" s="2276">
        <f t="shared" si="4"/>
        <v>0.2898</v>
      </c>
      <c r="G57" s="2094">
        <f t="shared" si="6"/>
        <v>6.9746823462724095E-4</v>
      </c>
      <c r="H57" s="2126">
        <f t="shared" si="5"/>
        <v>30</v>
      </c>
      <c r="I57" s="2103">
        <f t="shared" si="0"/>
        <v>87607918.409999996</v>
      </c>
    </row>
    <row r="58" spans="1:9">
      <c r="A58" s="702">
        <v>39</v>
      </c>
      <c r="B58" s="2031">
        <v>43586</v>
      </c>
      <c r="C58" s="2031">
        <v>43616</v>
      </c>
      <c r="D58" s="1722">
        <f t="shared" si="1"/>
        <v>4186949028</v>
      </c>
      <c r="E58" s="2032">
        <v>0.19339999999999999</v>
      </c>
      <c r="F58" s="2276">
        <f t="shared" si="4"/>
        <v>0.29009999999999997</v>
      </c>
      <c r="G58" s="2094">
        <f t="shared" si="6"/>
        <v>6.9810584952367805E-4</v>
      </c>
      <c r="H58" s="2126">
        <f t="shared" si="5"/>
        <v>31</v>
      </c>
      <c r="I58" s="2103">
        <f t="shared" si="0"/>
        <v>90610941.849999994</v>
      </c>
    </row>
    <row r="59" spans="1:9">
      <c r="A59" s="702">
        <v>40</v>
      </c>
      <c r="B59" s="2031">
        <v>43617</v>
      </c>
      <c r="C59" s="2031">
        <v>43646</v>
      </c>
      <c r="D59" s="1722">
        <f t="shared" si="1"/>
        <v>4186949028</v>
      </c>
      <c r="E59" s="2032">
        <v>0.193</v>
      </c>
      <c r="F59" s="2276">
        <f t="shared" si="4"/>
        <v>0.28949999999999998</v>
      </c>
      <c r="G59" s="2094">
        <f t="shared" si="6"/>
        <v>6.9683047181468005E-4</v>
      </c>
      <c r="H59" s="2126">
        <f t="shared" si="5"/>
        <v>30</v>
      </c>
      <c r="I59" s="2103">
        <f t="shared" si="0"/>
        <v>87527810</v>
      </c>
    </row>
    <row r="60" spans="1:9">
      <c r="A60" s="702">
        <v>41</v>
      </c>
      <c r="B60" s="2031">
        <v>43647</v>
      </c>
      <c r="C60" s="2031">
        <v>43677</v>
      </c>
      <c r="D60" s="1722">
        <f t="shared" si="1"/>
        <v>4186949028</v>
      </c>
      <c r="E60" s="2032">
        <v>0.1928</v>
      </c>
      <c r="F60" s="2276">
        <f t="shared" si="4"/>
        <v>0.28920000000000001</v>
      </c>
      <c r="G60" s="2094">
        <f t="shared" si="6"/>
        <v>6.9619256101671745E-4</v>
      </c>
      <c r="H60" s="2126">
        <f t="shared" si="5"/>
        <v>31</v>
      </c>
      <c r="I60" s="2103">
        <f t="shared" si="0"/>
        <v>90362605.769999996</v>
      </c>
    </row>
    <row r="61" spans="1:9">
      <c r="A61" s="702">
        <v>42</v>
      </c>
      <c r="B61" s="2031">
        <v>43678</v>
      </c>
      <c r="C61" s="2031">
        <v>43708</v>
      </c>
      <c r="D61" s="1722">
        <f t="shared" si="1"/>
        <v>4186949028</v>
      </c>
      <c r="E61" s="2032">
        <v>0.19320000000000001</v>
      </c>
      <c r="F61" s="2276">
        <f t="shared" si="4"/>
        <v>0.2898</v>
      </c>
      <c r="G61" s="2094">
        <f t="shared" si="6"/>
        <v>6.9746823462724095E-4</v>
      </c>
      <c r="H61" s="2126">
        <f t="shared" si="5"/>
        <v>31</v>
      </c>
      <c r="I61" s="2103">
        <f t="shared" si="0"/>
        <v>90528182.359999999</v>
      </c>
    </row>
    <row r="62" spans="1:9">
      <c r="A62" s="702">
        <v>43</v>
      </c>
      <c r="B62" s="2031">
        <v>43709</v>
      </c>
      <c r="C62" s="2031">
        <v>43738</v>
      </c>
      <c r="D62" s="1722">
        <f t="shared" si="1"/>
        <v>4186949028</v>
      </c>
      <c r="E62" s="2032">
        <v>0.19320000000000001</v>
      </c>
      <c r="F62" s="2276">
        <f t="shared" si="4"/>
        <v>0.2898</v>
      </c>
      <c r="G62" s="2094">
        <f t="shared" si="6"/>
        <v>6.9746823462724095E-4</v>
      </c>
      <c r="H62" s="2126">
        <f t="shared" si="5"/>
        <v>30</v>
      </c>
      <c r="I62" s="2103">
        <f t="shared" si="0"/>
        <v>87607918.409999996</v>
      </c>
    </row>
    <row r="63" spans="1:9">
      <c r="A63" s="702">
        <v>44</v>
      </c>
      <c r="B63" s="2031">
        <v>43739</v>
      </c>
      <c r="C63" s="2031">
        <v>43769</v>
      </c>
      <c r="D63" s="1722">
        <f t="shared" si="1"/>
        <v>4186949028</v>
      </c>
      <c r="E63" s="2032">
        <v>0.191</v>
      </c>
      <c r="F63" s="2276">
        <f t="shared" si="4"/>
        <v>0.28649999999999998</v>
      </c>
      <c r="G63" s="2094">
        <f t="shared" si="6"/>
        <v>6.9044469314105683E-4</v>
      </c>
      <c r="H63" s="2126">
        <f t="shared" si="5"/>
        <v>31</v>
      </c>
      <c r="I63" s="2103">
        <f t="shared" si="0"/>
        <v>89616558.840000004</v>
      </c>
    </row>
    <row r="64" spans="1:9">
      <c r="A64" s="702">
        <v>45</v>
      </c>
      <c r="B64" s="2031">
        <v>43770</v>
      </c>
      <c r="C64" s="2031">
        <v>43799</v>
      </c>
      <c r="D64" s="1722">
        <f t="shared" si="1"/>
        <v>4186949028</v>
      </c>
      <c r="E64" s="2032">
        <v>0.1903</v>
      </c>
      <c r="F64" s="2276">
        <f t="shared" si="4"/>
        <v>0.28544999999999998</v>
      </c>
      <c r="G64" s="2094">
        <f t="shared" si="6"/>
        <v>6.8820616169262827E-4</v>
      </c>
      <c r="H64" s="2126">
        <f t="shared" si="5"/>
        <v>30</v>
      </c>
      <c r="I64" s="2103">
        <f t="shared" si="0"/>
        <v>86444523.590000004</v>
      </c>
    </row>
    <row r="65" spans="1:9">
      <c r="A65" s="702">
        <v>46</v>
      </c>
      <c r="B65" s="2031">
        <v>43800</v>
      </c>
      <c r="C65" s="2031">
        <v>43830</v>
      </c>
      <c r="D65" s="1722">
        <f t="shared" si="1"/>
        <v>4186949028</v>
      </c>
      <c r="E65" s="2032">
        <v>0.18909999999999999</v>
      </c>
      <c r="F65" s="2276">
        <f t="shared" si="4"/>
        <v>0.28364999999999996</v>
      </c>
      <c r="G65" s="2094">
        <f t="shared" si="6"/>
        <v>6.8436443340047504E-4</v>
      </c>
      <c r="H65" s="2126">
        <f t="shared" si="5"/>
        <v>31</v>
      </c>
      <c r="I65" s="2103">
        <f t="shared" si="0"/>
        <v>88827368.980000004</v>
      </c>
    </row>
    <row r="66" spans="1:9">
      <c r="A66" s="702">
        <v>47</v>
      </c>
      <c r="B66" s="2031">
        <v>43831</v>
      </c>
      <c r="C66" s="2031">
        <v>43861</v>
      </c>
      <c r="D66" s="1722">
        <f t="shared" si="1"/>
        <v>4186949028</v>
      </c>
      <c r="E66" s="2032">
        <v>0.18770000000000001</v>
      </c>
      <c r="F66" s="2276">
        <f t="shared" si="4"/>
        <v>0.28155000000000002</v>
      </c>
      <c r="G66" s="2094">
        <f t="shared" si="6"/>
        <v>6.7987562124560696E-4</v>
      </c>
      <c r="H66" s="2126">
        <f t="shared" si="5"/>
        <v>31</v>
      </c>
      <c r="I66" s="2103">
        <f t="shared" si="0"/>
        <v>88244741.719999999</v>
      </c>
    </row>
    <row r="67" spans="1:9">
      <c r="A67" s="702">
        <v>48</v>
      </c>
      <c r="B67" s="2031">
        <v>43862</v>
      </c>
      <c r="C67" s="2031">
        <v>43890</v>
      </c>
      <c r="D67" s="1722">
        <f t="shared" si="1"/>
        <v>4186949028</v>
      </c>
      <c r="E67" s="2032">
        <v>0.19059999999999999</v>
      </c>
      <c r="F67" s="2276">
        <f t="shared" si="4"/>
        <v>0.28589999999999999</v>
      </c>
      <c r="G67" s="2094">
        <f t="shared" si="6"/>
        <v>6.8916575551658532E-4</v>
      </c>
      <c r="H67" s="2126">
        <f t="shared" si="5"/>
        <v>29</v>
      </c>
      <c r="I67" s="2103">
        <f t="shared" si="0"/>
        <v>83679554.819999993</v>
      </c>
    </row>
    <row r="68" spans="1:9">
      <c r="A68" s="702">
        <v>49</v>
      </c>
      <c r="B68" s="2031">
        <v>43891</v>
      </c>
      <c r="C68" s="2031">
        <v>43921</v>
      </c>
      <c r="D68" s="1722">
        <f t="shared" si="1"/>
        <v>4186949028</v>
      </c>
      <c r="E68" s="2032">
        <v>0.1895</v>
      </c>
      <c r="F68" s="2276">
        <f t="shared" si="4"/>
        <v>0.28425</v>
      </c>
      <c r="G68" s="2094">
        <f t="shared" si="6"/>
        <v>6.8564560609574166E-4</v>
      </c>
      <c r="H68" s="2126">
        <f t="shared" si="5"/>
        <v>31</v>
      </c>
      <c r="I68" s="2103">
        <f t="shared" si="0"/>
        <v>88993659.319999993</v>
      </c>
    </row>
    <row r="69" spans="1:9" s="2278" customFormat="1">
      <c r="A69" s="702">
        <v>50</v>
      </c>
      <c r="B69" s="2031">
        <v>43922</v>
      </c>
      <c r="C69" s="2031">
        <v>43951</v>
      </c>
      <c r="D69" s="1722">
        <f t="shared" si="1"/>
        <v>4186949028</v>
      </c>
      <c r="E69" s="2276">
        <v>0.18690000000000001</v>
      </c>
      <c r="F69" s="2276">
        <f t="shared" si="4"/>
        <v>0.28034999999999999</v>
      </c>
      <c r="G69" s="2094">
        <f t="shared" si="6"/>
        <v>6.7730729113191224E-4</v>
      </c>
      <c r="H69" s="2126">
        <f t="shared" si="5"/>
        <v>30</v>
      </c>
      <c r="I69" s="2103">
        <f t="shared" si="0"/>
        <v>85075533.129999995</v>
      </c>
    </row>
    <row r="70" spans="1:9" s="2278" customFormat="1">
      <c r="A70" s="702">
        <v>51</v>
      </c>
      <c r="B70" s="2031">
        <v>43952</v>
      </c>
      <c r="C70" s="2031">
        <v>43982</v>
      </c>
      <c r="D70" s="1722">
        <f t="shared" si="1"/>
        <v>4186949028</v>
      </c>
      <c r="E70" s="2276">
        <v>0.18190000000000001</v>
      </c>
      <c r="F70" s="2276">
        <f t="shared" si="4"/>
        <v>0.27285000000000004</v>
      </c>
      <c r="G70" s="2094">
        <f t="shared" si="6"/>
        <v>6.6120063584418354E-4</v>
      </c>
      <c r="H70" s="2126">
        <f t="shared" si="5"/>
        <v>31</v>
      </c>
      <c r="I70" s="2103">
        <f t="shared" si="0"/>
        <v>85820814.150000006</v>
      </c>
    </row>
    <row r="71" spans="1:9" s="2278" customFormat="1">
      <c r="A71" s="702">
        <v>52</v>
      </c>
      <c r="B71" s="2031">
        <v>43983</v>
      </c>
      <c r="C71" s="2031">
        <v>44012</v>
      </c>
      <c r="D71" s="1722">
        <f t="shared" si="1"/>
        <v>4186949028</v>
      </c>
      <c r="E71" s="2276">
        <v>0.1812</v>
      </c>
      <c r="F71" s="2276">
        <f t="shared" si="4"/>
        <v>0.27179999999999999</v>
      </c>
      <c r="G71" s="2094">
        <f t="shared" si="6"/>
        <v>6.5893815469997286E-4</v>
      </c>
      <c r="H71" s="2126">
        <f t="shared" si="5"/>
        <v>30</v>
      </c>
      <c r="I71" s="2103">
        <f t="shared" si="0"/>
        <v>82768213.989999995</v>
      </c>
    </row>
    <row r="72" spans="1:9" s="2278" customFormat="1">
      <c r="A72" s="702">
        <v>53</v>
      </c>
      <c r="B72" s="2031">
        <v>44013</v>
      </c>
      <c r="C72" s="2031">
        <v>44043</v>
      </c>
      <c r="D72" s="1722">
        <f t="shared" si="1"/>
        <v>4186949028</v>
      </c>
      <c r="E72" s="2276">
        <v>0.1812</v>
      </c>
      <c r="F72" s="2276">
        <f t="shared" si="4"/>
        <v>0.27179999999999999</v>
      </c>
      <c r="G72" s="2094">
        <f t="shared" si="6"/>
        <v>6.5893815469997286E-4</v>
      </c>
      <c r="H72" s="2126">
        <f t="shared" si="5"/>
        <v>31</v>
      </c>
      <c r="I72" s="2103">
        <f t="shared" si="0"/>
        <v>85527154.459999993</v>
      </c>
    </row>
    <row r="73" spans="1:9" s="2278" customFormat="1">
      <c r="A73" s="702">
        <v>54</v>
      </c>
      <c r="B73" s="2031">
        <v>44044</v>
      </c>
      <c r="C73" s="2031">
        <v>44074</v>
      </c>
      <c r="D73" s="1722">
        <f t="shared" si="1"/>
        <v>4186949028</v>
      </c>
      <c r="E73" s="2276">
        <v>0.18290000000000001</v>
      </c>
      <c r="F73" s="2276">
        <f t="shared" si="4"/>
        <v>0.27434999999999998</v>
      </c>
      <c r="G73" s="2094">
        <f t="shared" si="6"/>
        <v>6.6442952514544906E-4</v>
      </c>
      <c r="H73" s="2126">
        <f t="shared" si="5"/>
        <v>31</v>
      </c>
      <c r="I73" s="2103">
        <f t="shared" si="0"/>
        <v>86239909.189999998</v>
      </c>
    </row>
    <row r="74" spans="1:9">
      <c r="A74" s="702">
        <v>55</v>
      </c>
      <c r="B74" s="2031">
        <v>44075</v>
      </c>
      <c r="C74" s="2031">
        <v>44104</v>
      </c>
      <c r="D74" s="1722">
        <f t="shared" si="1"/>
        <v>4186949028</v>
      </c>
      <c r="E74" s="2276">
        <v>0.1835</v>
      </c>
      <c r="F74" s="2276">
        <f t="shared" si="4"/>
        <v>0.27524999999999999</v>
      </c>
      <c r="G74" s="2094">
        <f t="shared" si="6"/>
        <v>6.6636503991857055E-4</v>
      </c>
      <c r="H74" s="2126">
        <f t="shared" si="5"/>
        <v>30</v>
      </c>
      <c r="I74" s="2103">
        <f t="shared" si="0"/>
        <v>83701093.689999998</v>
      </c>
    </row>
    <row r="75" spans="1:9">
      <c r="A75" s="702">
        <v>56</v>
      </c>
      <c r="B75" s="2031">
        <v>44105</v>
      </c>
      <c r="C75" s="2031">
        <v>44135</v>
      </c>
      <c r="D75" s="1722">
        <f t="shared" si="1"/>
        <v>4186949028</v>
      </c>
      <c r="E75" s="1920">
        <v>0.18090000000000001</v>
      </c>
      <c r="F75" s="2276">
        <f t="shared" si="4"/>
        <v>0.27134999999999998</v>
      </c>
      <c r="G75" s="2094">
        <f t="shared" si="6"/>
        <v>6.5796794962613703E-4</v>
      </c>
      <c r="H75" s="2126">
        <f t="shared" si="5"/>
        <v>31</v>
      </c>
      <c r="I75" s="2103">
        <f t="shared" si="0"/>
        <v>85401226.280000001</v>
      </c>
    </row>
    <row r="76" spans="1:9">
      <c r="A76" s="702">
        <v>57</v>
      </c>
      <c r="B76" s="2031">
        <v>44136</v>
      </c>
      <c r="C76" s="2031">
        <v>44165</v>
      </c>
      <c r="D76" s="1722">
        <f t="shared" si="1"/>
        <v>4186949028</v>
      </c>
      <c r="E76" s="1920">
        <v>0.1784</v>
      </c>
      <c r="F76" s="2276">
        <f t="shared" si="4"/>
        <v>0.2676</v>
      </c>
      <c r="G76" s="2094">
        <f t="shared" si="6"/>
        <v>6.4986956374091243E-4</v>
      </c>
      <c r="H76" s="2126">
        <f t="shared" si="5"/>
        <v>30</v>
      </c>
      <c r="I76" s="2103">
        <f t="shared" si="0"/>
        <v>81629122.150000006</v>
      </c>
    </row>
    <row r="77" spans="1:9">
      <c r="A77" s="702">
        <v>58</v>
      </c>
      <c r="B77" s="2031">
        <v>44166</v>
      </c>
      <c r="C77" s="2031">
        <v>44196</v>
      </c>
      <c r="D77" s="1722">
        <f t="shared" si="1"/>
        <v>4186949028</v>
      </c>
      <c r="E77" s="2276">
        <v>0.17460000000000001</v>
      </c>
      <c r="F77" s="2276">
        <f t="shared" si="4"/>
        <v>0.26190000000000002</v>
      </c>
      <c r="G77" s="2094">
        <f t="shared" si="6"/>
        <v>6.3751414410861962E-4</v>
      </c>
      <c r="H77" s="2126">
        <f t="shared" si="5"/>
        <v>31</v>
      </c>
      <c r="I77" s="2103">
        <f t="shared" si="0"/>
        <v>82746416.010000005</v>
      </c>
    </row>
    <row r="78" spans="1:9">
      <c r="A78" s="702">
        <v>59</v>
      </c>
      <c r="B78" s="2031">
        <v>44197</v>
      </c>
      <c r="C78" s="2031">
        <v>44227</v>
      </c>
      <c r="D78" s="1722">
        <f t="shared" si="1"/>
        <v>4186949028</v>
      </c>
      <c r="E78" s="2276">
        <v>0.17319999999999999</v>
      </c>
      <c r="F78" s="2276">
        <f t="shared" si="4"/>
        <v>0.25979999999999998</v>
      </c>
      <c r="G78" s="2094">
        <f t="shared" si="6"/>
        <v>6.3294811266723094E-4</v>
      </c>
      <c r="H78" s="2126">
        <f t="shared" si="5"/>
        <v>31</v>
      </c>
      <c r="I78" s="2103">
        <f t="shared" si="0"/>
        <v>82153766.040000007</v>
      </c>
    </row>
    <row r="79" spans="1:9">
      <c r="A79" s="702">
        <v>60</v>
      </c>
      <c r="B79" s="2031">
        <v>44228</v>
      </c>
      <c r="C79" s="2031">
        <v>44255</v>
      </c>
      <c r="D79" s="1722">
        <f t="shared" si="1"/>
        <v>4186949028</v>
      </c>
      <c r="E79" s="2276">
        <v>0.1754</v>
      </c>
      <c r="F79" s="2276">
        <f t="shared" si="4"/>
        <v>0.2631</v>
      </c>
      <c r="G79" s="2094">
        <f t="shared" si="6"/>
        <v>6.4011990387169426E-4</v>
      </c>
      <c r="H79" s="2126">
        <f t="shared" si="5"/>
        <v>28</v>
      </c>
      <c r="I79" s="2103">
        <f t="shared" si="0"/>
        <v>75044183.459999993</v>
      </c>
    </row>
    <row r="80" spans="1:9">
      <c r="A80" s="702">
        <v>61</v>
      </c>
      <c r="B80" s="2031">
        <v>44256</v>
      </c>
      <c r="C80" s="2031">
        <v>44286</v>
      </c>
      <c r="D80" s="1722">
        <f t="shared" si="1"/>
        <v>4186949028</v>
      </c>
      <c r="E80" s="2276">
        <v>0.1741</v>
      </c>
      <c r="F80" s="2276">
        <f t="shared" si="4"/>
        <v>0.26114999999999999</v>
      </c>
      <c r="G80" s="2094">
        <f t="shared" si="6"/>
        <v>6.3588428907812578E-4</v>
      </c>
      <c r="H80" s="2126">
        <f t="shared" si="5"/>
        <v>31</v>
      </c>
      <c r="I80" s="2103">
        <f t="shared" si="0"/>
        <v>82534868.290000007</v>
      </c>
    </row>
    <row r="81" spans="1:9">
      <c r="A81" s="702">
        <v>62</v>
      </c>
      <c r="B81" s="2031">
        <v>44287</v>
      </c>
      <c r="C81" s="2031">
        <v>44316</v>
      </c>
      <c r="D81" s="1722">
        <f t="shared" si="1"/>
        <v>4186949028</v>
      </c>
      <c r="E81" s="2276">
        <v>0.1731</v>
      </c>
      <c r="F81" s="2276">
        <f t="shared" si="4"/>
        <v>0.25964999999999999</v>
      </c>
      <c r="G81" s="2094">
        <f t="shared" si="6"/>
        <v>6.326216771728177E-4</v>
      </c>
      <c r="H81" s="2126">
        <f t="shared" si="5"/>
        <v>30</v>
      </c>
      <c r="I81" s="2103">
        <f t="shared" si="0"/>
        <v>79462641.489999995</v>
      </c>
    </row>
    <row r="82" spans="1:9">
      <c r="A82" s="702">
        <v>63</v>
      </c>
      <c r="B82" s="2031">
        <v>44317</v>
      </c>
      <c r="C82" s="2031">
        <v>44347</v>
      </c>
      <c r="D82" s="1722">
        <f t="shared" si="1"/>
        <v>4186949028</v>
      </c>
      <c r="E82" s="2276">
        <v>0.17219999999999999</v>
      </c>
      <c r="F82" s="2276">
        <f t="shared" si="4"/>
        <v>0.25829999999999997</v>
      </c>
      <c r="G82" s="2094">
        <f t="shared" si="6"/>
        <v>6.2968201205726437E-4</v>
      </c>
      <c r="H82" s="2126">
        <f t="shared" si="5"/>
        <v>31</v>
      </c>
      <c r="I82" s="2103">
        <f t="shared" si="0"/>
        <v>81729841.140000001</v>
      </c>
    </row>
    <row r="83" spans="1:9">
      <c r="A83" s="702">
        <v>64</v>
      </c>
      <c r="B83" s="2031">
        <v>44348</v>
      </c>
      <c r="C83" s="2031">
        <v>44377</v>
      </c>
      <c r="D83" s="1722">
        <f t="shared" si="1"/>
        <v>4186949028</v>
      </c>
      <c r="E83" s="2276">
        <v>0.1721</v>
      </c>
      <c r="F83" s="2276">
        <f t="shared" si="4"/>
        <v>0.25814999999999999</v>
      </c>
      <c r="G83" s="2094">
        <f t="shared" si="6"/>
        <v>6.2935518846773952E-4</v>
      </c>
      <c r="H83" s="2126">
        <f t="shared" si="5"/>
        <v>30</v>
      </c>
      <c r="I83" s="2103">
        <f t="shared" si="0"/>
        <v>79052342.840000004</v>
      </c>
    </row>
    <row r="84" spans="1:9">
      <c r="A84" s="702">
        <v>65</v>
      </c>
      <c r="B84" s="2031">
        <v>44378</v>
      </c>
      <c r="C84" s="2031">
        <v>44408</v>
      </c>
      <c r="D84" s="1722">
        <f t="shared" si="1"/>
        <v>4186949028</v>
      </c>
      <c r="E84" s="2276">
        <v>0.17180000000000001</v>
      </c>
      <c r="F84" s="2276">
        <f t="shared" si="4"/>
        <v>0.25770000000000004</v>
      </c>
      <c r="G84" s="2094">
        <f t="shared" si="6"/>
        <v>6.2837448450037137E-4</v>
      </c>
      <c r="H84" s="2126">
        <f t="shared" si="5"/>
        <v>31</v>
      </c>
      <c r="I84" s="2103">
        <f t="shared" ref="I84:I100" si="7">ROUND(D84*G84*H84,2)</f>
        <v>81560130.049999997</v>
      </c>
    </row>
    <row r="85" spans="1:9">
      <c r="A85" s="702">
        <v>66</v>
      </c>
      <c r="B85" s="2031">
        <v>44409</v>
      </c>
      <c r="C85" s="2031">
        <v>44439</v>
      </c>
      <c r="D85" s="1722">
        <f t="shared" si="1"/>
        <v>4186949028</v>
      </c>
      <c r="E85" s="2276">
        <v>0.1724</v>
      </c>
      <c r="F85" s="2276">
        <f t="shared" si="4"/>
        <v>0.2586</v>
      </c>
      <c r="G85" s="2094">
        <f t="shared" si="6"/>
        <v>6.3033554269220637E-4</v>
      </c>
      <c r="H85" s="2126">
        <f t="shared" si="5"/>
        <v>31</v>
      </c>
      <c r="I85" s="2103">
        <f t="shared" si="7"/>
        <v>81814666.420000002</v>
      </c>
    </row>
    <row r="86" spans="1:9">
      <c r="A86" s="702">
        <v>67</v>
      </c>
      <c r="B86" s="2031">
        <v>44440</v>
      </c>
      <c r="C86" s="2031">
        <v>44469</v>
      </c>
      <c r="D86" s="1722">
        <f t="shared" ref="D86:D103" si="8">+$D$15</f>
        <v>4186949028</v>
      </c>
      <c r="E86" s="2276">
        <v>0.1719</v>
      </c>
      <c r="F86" s="2276">
        <f t="shared" si="4"/>
        <v>0.25785000000000002</v>
      </c>
      <c r="G86" s="2094">
        <f t="shared" si="6"/>
        <v>6.2870142469861889E-4</v>
      </c>
      <c r="H86" s="2126">
        <f t="shared" si="5"/>
        <v>30</v>
      </c>
      <c r="I86" s="2103">
        <f t="shared" si="7"/>
        <v>78970224.569999993</v>
      </c>
    </row>
    <row r="87" spans="1:9">
      <c r="A87" s="702">
        <v>68</v>
      </c>
      <c r="B87" s="2031">
        <v>44470</v>
      </c>
      <c r="C87" s="2031">
        <v>44500</v>
      </c>
      <c r="D87" s="1722">
        <f t="shared" si="8"/>
        <v>4186949028</v>
      </c>
      <c r="E87" s="2276">
        <v>0.17080000000000001</v>
      </c>
      <c r="F87" s="2276">
        <f t="shared" si="4"/>
        <v>0.25619999999999998</v>
      </c>
      <c r="G87" s="2094">
        <f t="shared" si="6"/>
        <v>6.2510294214179751E-4</v>
      </c>
      <c r="H87" s="2126">
        <f t="shared" si="5"/>
        <v>31</v>
      </c>
      <c r="I87" s="2103">
        <f t="shared" si="7"/>
        <v>81135498.840000004</v>
      </c>
    </row>
    <row r="88" spans="1:9">
      <c r="A88" s="702">
        <v>69</v>
      </c>
      <c r="B88" s="2031">
        <v>44501</v>
      </c>
      <c r="C88" s="2031">
        <v>44530</v>
      </c>
      <c r="D88" s="1722">
        <f t="shared" si="8"/>
        <v>4186949028</v>
      </c>
      <c r="E88" s="2276">
        <v>0.17269999999999999</v>
      </c>
      <c r="F88" s="2276">
        <f t="shared" si="4"/>
        <v>0.25905</v>
      </c>
      <c r="G88" s="2094">
        <f t="shared" si="6"/>
        <v>6.3131554742335005E-4</v>
      </c>
      <c r="H88" s="2126">
        <f t="shared" si="5"/>
        <v>30</v>
      </c>
      <c r="I88" s="2103">
        <f t="shared" si="7"/>
        <v>79298580.530000001</v>
      </c>
    </row>
    <row r="89" spans="1:9">
      <c r="A89" s="702">
        <v>70</v>
      </c>
      <c r="B89" s="2031">
        <v>44531</v>
      </c>
      <c r="C89" s="2031">
        <v>44561</v>
      </c>
      <c r="D89" s="1722">
        <f t="shared" si="8"/>
        <v>4186949028</v>
      </c>
      <c r="E89" s="2276">
        <v>0.17460000000000001</v>
      </c>
      <c r="F89" s="2276">
        <f t="shared" si="4"/>
        <v>0.26190000000000002</v>
      </c>
      <c r="G89" s="2094">
        <f t="shared" si="6"/>
        <v>6.3751414410861962E-4</v>
      </c>
      <c r="H89" s="2126">
        <f t="shared" si="5"/>
        <v>31</v>
      </c>
      <c r="I89" s="2103">
        <f t="shared" si="7"/>
        <v>82746416.010000005</v>
      </c>
    </row>
    <row r="90" spans="1:9">
      <c r="A90" s="702">
        <v>71</v>
      </c>
      <c r="B90" s="2031">
        <v>44562</v>
      </c>
      <c r="C90" s="2031">
        <v>44592</v>
      </c>
      <c r="D90" s="1722">
        <f t="shared" si="8"/>
        <v>4186949028</v>
      </c>
      <c r="E90" s="2276">
        <v>0.17660000000000001</v>
      </c>
      <c r="F90" s="2276">
        <f t="shared" si="4"/>
        <v>0.26490000000000002</v>
      </c>
      <c r="G90" s="2094">
        <f t="shared" si="6"/>
        <v>6.4402391816376081E-4</v>
      </c>
      <c r="H90" s="2126">
        <f t="shared" si="5"/>
        <v>31</v>
      </c>
      <c r="I90" s="2103">
        <f t="shared" si="7"/>
        <v>83591354.859999999</v>
      </c>
    </row>
    <row r="91" spans="1:9">
      <c r="A91" s="702">
        <v>72</v>
      </c>
      <c r="B91" s="2031">
        <v>44593</v>
      </c>
      <c r="C91" s="2031">
        <v>44620</v>
      </c>
      <c r="D91" s="1722">
        <f t="shared" si="8"/>
        <v>4186949028</v>
      </c>
      <c r="E91" s="2276">
        <v>0.183</v>
      </c>
      <c r="F91" s="2276">
        <f t="shared" si="4"/>
        <v>0.27449999999999997</v>
      </c>
      <c r="G91" s="2094">
        <f t="shared" si="6"/>
        <v>6.6475220558892545E-4</v>
      </c>
      <c r="H91" s="2126">
        <f t="shared" si="5"/>
        <v>28</v>
      </c>
      <c r="I91" s="2103">
        <f t="shared" si="7"/>
        <v>77931940.829999998</v>
      </c>
    </row>
    <row r="92" spans="1:9">
      <c r="A92" s="702">
        <v>73</v>
      </c>
      <c r="B92" s="2031">
        <v>44621</v>
      </c>
      <c r="C92" s="2031">
        <v>44651</v>
      </c>
      <c r="D92" s="1722">
        <f t="shared" si="8"/>
        <v>4186949028</v>
      </c>
      <c r="E92" s="2276">
        <v>0.1847</v>
      </c>
      <c r="F92" s="2276">
        <f t="shared" si="4"/>
        <v>0.27705000000000002</v>
      </c>
      <c r="G92" s="2094">
        <f t="shared" si="6"/>
        <v>6.7023198611315671E-4</v>
      </c>
      <c r="H92" s="2126">
        <f t="shared" si="5"/>
        <v>31</v>
      </c>
      <c r="I92" s="2103">
        <f t="shared" si="7"/>
        <v>86993042.049999997</v>
      </c>
    </row>
    <row r="93" spans="1:9">
      <c r="A93" s="702">
        <v>74</v>
      </c>
      <c r="B93" s="2031">
        <v>44652</v>
      </c>
      <c r="C93" s="2031">
        <v>44681</v>
      </c>
      <c r="D93" s="1722">
        <f t="shared" si="8"/>
        <v>4186949028</v>
      </c>
      <c r="E93" s="2276">
        <v>0.1905</v>
      </c>
      <c r="F93" s="2276">
        <f t="shared" si="4"/>
        <v>0.28575</v>
      </c>
      <c r="G93" s="2094">
        <f t="shared" si="6"/>
        <v>6.8884592812357148E-4</v>
      </c>
      <c r="H93" s="2126">
        <f t="shared" si="5"/>
        <v>30</v>
      </c>
      <c r="I93" s="2103">
        <f t="shared" si="7"/>
        <v>86524883.680000007</v>
      </c>
    </row>
    <row r="94" spans="1:9">
      <c r="A94" s="702">
        <v>75</v>
      </c>
      <c r="B94" s="2031">
        <v>44682</v>
      </c>
      <c r="C94" s="2031">
        <v>44712</v>
      </c>
      <c r="D94" s="1722">
        <f t="shared" si="8"/>
        <v>4186949028</v>
      </c>
      <c r="E94" s="2276">
        <v>0.1971</v>
      </c>
      <c r="F94" s="2276">
        <f t="shared" si="4"/>
        <v>0.29564999999999997</v>
      </c>
      <c r="G94" s="2094">
        <f t="shared" si="6"/>
        <v>7.0987512909947981E-4</v>
      </c>
      <c r="H94" s="2126">
        <f t="shared" si="5"/>
        <v>31</v>
      </c>
      <c r="I94" s="2103">
        <f t="shared" si="7"/>
        <v>92138540.439999998</v>
      </c>
    </row>
    <row r="95" spans="1:9">
      <c r="A95" s="702">
        <v>76</v>
      </c>
      <c r="B95" s="2031">
        <v>44713</v>
      </c>
      <c r="C95" s="2031">
        <v>44742</v>
      </c>
      <c r="D95" s="1722">
        <f t="shared" si="8"/>
        <v>4186949028</v>
      </c>
      <c r="E95" s="2276">
        <v>0.20399999999999999</v>
      </c>
      <c r="F95" s="2276">
        <f t="shared" si="4"/>
        <v>0.30599999999999999</v>
      </c>
      <c r="G95" s="2094">
        <f t="shared" si="6"/>
        <v>7.3168955664093538E-4</v>
      </c>
      <c r="H95" s="2126">
        <f t="shared" si="5"/>
        <v>30</v>
      </c>
      <c r="I95" s="2103">
        <f t="shared" si="7"/>
        <v>91906406.340000004</v>
      </c>
    </row>
    <row r="96" spans="1:9">
      <c r="A96" s="702">
        <v>77</v>
      </c>
      <c r="B96" s="2031">
        <v>44743</v>
      </c>
      <c r="C96" s="2031">
        <v>44773</v>
      </c>
      <c r="D96" s="1722">
        <f t="shared" si="8"/>
        <v>4186949028</v>
      </c>
      <c r="E96" s="2276">
        <v>0.21279999999999999</v>
      </c>
      <c r="F96" s="2276">
        <f t="shared" si="4"/>
        <v>0.31919999999999998</v>
      </c>
      <c r="G96" s="2094">
        <f t="shared" si="6"/>
        <v>7.5926204501630679E-4</v>
      </c>
      <c r="H96" s="2126">
        <f t="shared" si="5"/>
        <v>31</v>
      </c>
      <c r="I96" s="2103">
        <f t="shared" si="7"/>
        <v>98548735.920000002</v>
      </c>
    </row>
    <row r="97" spans="1:9">
      <c r="A97" s="702">
        <v>78</v>
      </c>
      <c r="B97" s="2031">
        <v>44774</v>
      </c>
      <c r="C97" s="2031">
        <v>44804</v>
      </c>
      <c r="D97" s="1722">
        <f t="shared" si="8"/>
        <v>4186949028</v>
      </c>
      <c r="E97" s="2276">
        <v>0.22209999999999999</v>
      </c>
      <c r="F97" s="2276">
        <f t="shared" si="4"/>
        <v>0.33315</v>
      </c>
      <c r="G97" s="2094">
        <f t="shared" si="6"/>
        <v>7.8810371394433254E-4</v>
      </c>
      <c r="H97" s="2126">
        <f t="shared" ref="H97:H103" si="9">C97-B97+1</f>
        <v>31</v>
      </c>
      <c r="I97" s="2103">
        <f t="shared" si="7"/>
        <v>102292252.45</v>
      </c>
    </row>
    <row r="98" spans="1:9">
      <c r="A98" s="702">
        <v>79</v>
      </c>
      <c r="B98" s="2031">
        <v>44805</v>
      </c>
      <c r="C98" s="2031">
        <v>44834</v>
      </c>
      <c r="D98" s="1722">
        <f t="shared" si="8"/>
        <v>4186949028</v>
      </c>
      <c r="E98" s="2276">
        <v>0.23499999999999999</v>
      </c>
      <c r="F98" s="2276">
        <f t="shared" ref="F98:F103" si="10">+E98*1.5</f>
        <v>0.35249999999999998</v>
      </c>
      <c r="G98" s="2094">
        <f t="shared" ref="G98:G103" si="11">((1+F98)^(1/365))-1</f>
        <v>8.2761552252574866E-4</v>
      </c>
      <c r="H98" s="2126">
        <f t="shared" si="9"/>
        <v>30</v>
      </c>
      <c r="I98" s="2103">
        <f t="shared" si="7"/>
        <v>103955520.23</v>
      </c>
    </row>
    <row r="99" spans="1:9">
      <c r="A99" s="702">
        <v>80</v>
      </c>
      <c r="B99" s="2031">
        <v>44835</v>
      </c>
      <c r="C99" s="2031">
        <v>44865</v>
      </c>
      <c r="D99" s="1722">
        <f t="shared" si="8"/>
        <v>4186949028</v>
      </c>
      <c r="E99" s="2276">
        <v>0.24610000000000001</v>
      </c>
      <c r="F99" s="2276">
        <f t="shared" si="10"/>
        <v>0.36915000000000003</v>
      </c>
      <c r="G99" s="2094">
        <f t="shared" si="11"/>
        <v>8.611654102768096E-4</v>
      </c>
      <c r="H99" s="2126">
        <f t="shared" si="9"/>
        <v>31</v>
      </c>
      <c r="I99" s="2103">
        <f t="shared" si="7"/>
        <v>111775326</v>
      </c>
    </row>
    <row r="100" spans="1:9">
      <c r="A100" s="702">
        <v>81</v>
      </c>
      <c r="B100" s="2277">
        <v>44866</v>
      </c>
      <c r="C100" s="2031">
        <v>44895</v>
      </c>
      <c r="D100" s="1722">
        <f t="shared" si="8"/>
        <v>4186949028</v>
      </c>
      <c r="E100" s="2276">
        <v>0.25779999999999997</v>
      </c>
      <c r="F100" s="2276">
        <f t="shared" si="10"/>
        <v>0.38669999999999993</v>
      </c>
      <c r="G100" s="2094">
        <f t="shared" si="11"/>
        <v>8.9609117817124329E-4</v>
      </c>
      <c r="H100" s="2126">
        <f t="shared" si="9"/>
        <v>30</v>
      </c>
      <c r="I100" s="2103">
        <f t="shared" si="7"/>
        <v>112556642.62</v>
      </c>
    </row>
    <row r="101" spans="1:9">
      <c r="A101" s="702">
        <v>82</v>
      </c>
      <c r="B101" s="2277">
        <v>44896</v>
      </c>
      <c r="C101" s="2031">
        <v>44926</v>
      </c>
      <c r="D101" s="1722">
        <f t="shared" si="8"/>
        <v>4186949028</v>
      </c>
      <c r="E101" s="2276">
        <v>0.27639999999999998</v>
      </c>
      <c r="F101" s="2276">
        <f t="shared" si="10"/>
        <v>0.41459999999999997</v>
      </c>
      <c r="G101" s="2094">
        <f t="shared" si="11"/>
        <v>9.5071686592063109E-4</v>
      </c>
      <c r="H101" s="2126">
        <f t="shared" si="9"/>
        <v>31</v>
      </c>
      <c r="I101" s="2103">
        <f>ROUND(D101*G101*H101,2)</f>
        <v>123398694.79000001</v>
      </c>
    </row>
    <row r="102" spans="1:9">
      <c r="A102" s="702">
        <v>83</v>
      </c>
      <c r="B102" s="2277">
        <v>44927</v>
      </c>
      <c r="C102" s="2031">
        <v>44957</v>
      </c>
      <c r="D102" s="1722">
        <f t="shared" si="8"/>
        <v>4186949028</v>
      </c>
      <c r="E102" s="2276">
        <v>0.28839999999999999</v>
      </c>
      <c r="F102" s="2276">
        <f t="shared" si="10"/>
        <v>0.43259999999999998</v>
      </c>
      <c r="G102" s="2094">
        <f t="shared" si="11"/>
        <v>9.8539196132163553E-4</v>
      </c>
      <c r="H102" s="2126">
        <f t="shared" si="9"/>
        <v>31</v>
      </c>
      <c r="I102" s="2103">
        <f t="shared" ref="I102" si="12">ROUND(D102*G102*H102,2)</f>
        <v>127899363.34999999</v>
      </c>
    </row>
    <row r="103" spans="1:9">
      <c r="A103" s="702">
        <v>84</v>
      </c>
      <c r="B103" s="2277">
        <v>44958</v>
      </c>
      <c r="C103" s="2031">
        <v>44960</v>
      </c>
      <c r="D103" s="1722">
        <f t="shared" si="8"/>
        <v>4186949028</v>
      </c>
      <c r="E103" s="2276"/>
      <c r="F103" s="2276">
        <f t="shared" si="10"/>
        <v>0</v>
      </c>
      <c r="G103" s="2094">
        <f t="shared" si="11"/>
        <v>0</v>
      </c>
      <c r="H103" s="2126">
        <f t="shared" si="9"/>
        <v>3</v>
      </c>
      <c r="I103" s="2103">
        <f>ROUND(D103*G103*H103,2)</f>
        <v>0</v>
      </c>
    </row>
    <row r="104" spans="1:9" ht="13.5" thickBot="1">
      <c r="H104" s="2279" t="s">
        <v>97</v>
      </c>
      <c r="I104" s="2280">
        <f>ROUND(SUM(I20:I103),2)</f>
        <v>6509412409.5699997</v>
      </c>
    </row>
    <row r="105" spans="1:9" ht="13.5" thickTop="1">
      <c r="B105" s="2281" t="s">
        <v>346</v>
      </c>
      <c r="C105" s="2281"/>
    </row>
    <row r="106" spans="1:9" ht="26.25">
      <c r="B106" s="1667" t="s">
        <v>959</v>
      </c>
      <c r="C106" s="1616">
        <f>+D20</f>
        <v>4186949028</v>
      </c>
    </row>
    <row r="107" spans="1:9" ht="26.25">
      <c r="B107" s="1667" t="s">
        <v>951</v>
      </c>
      <c r="C107" s="1616">
        <f>+I104</f>
        <v>6509412409.5699997</v>
      </c>
    </row>
    <row r="108" spans="1:9" ht="51">
      <c r="B108" s="1667" t="s">
        <v>1179</v>
      </c>
      <c r="C108" s="2232">
        <v>339269755.41000003</v>
      </c>
    </row>
    <row r="109" spans="1:9" ht="76.5">
      <c r="B109" s="1667" t="s">
        <v>1180</v>
      </c>
      <c r="C109" s="2232">
        <f>15*737717</f>
        <v>11065755</v>
      </c>
    </row>
    <row r="110" spans="1:9">
      <c r="B110" s="1628" t="s">
        <v>1177</v>
      </c>
      <c r="C110" s="2037">
        <f>SUM(C106:C109)</f>
        <v>11046696947.98</v>
      </c>
      <c r="F110" s="2277">
        <v>44887</v>
      </c>
      <c r="G110" s="2031">
        <v>44910</v>
      </c>
      <c r="H110" s="2126">
        <f>G110-F110+1</f>
        <v>24</v>
      </c>
    </row>
    <row r="111" spans="1:9">
      <c r="F111" s="2225"/>
      <c r="G111" s="2225"/>
    </row>
    <row r="112" spans="1:9">
      <c r="B112" s="2282" t="s">
        <v>62</v>
      </c>
      <c r="F112" s="2226"/>
    </row>
    <row r="113" spans="2:7" ht="13.5">
      <c r="B113" s="2278"/>
      <c r="E113" s="2192"/>
      <c r="F113" s="2228"/>
    </row>
    <row r="114" spans="2:7" ht="13.5">
      <c r="B114" s="2278"/>
      <c r="E114" s="2192"/>
      <c r="F114" s="2226"/>
      <c r="G114" s="2226"/>
    </row>
    <row r="115" spans="2:7">
      <c r="B115" s="2282" t="s">
        <v>63</v>
      </c>
      <c r="F115" s="686"/>
      <c r="G115" s="2226"/>
    </row>
    <row r="116" spans="2:7">
      <c r="B116" s="2282" t="s">
        <v>64</v>
      </c>
      <c r="E116" s="1889"/>
      <c r="F116" s="686"/>
      <c r="G116" s="2226"/>
    </row>
    <row r="117" spans="2:7">
      <c r="B117" s="2282" t="s">
        <v>65</v>
      </c>
      <c r="F117" s="2226"/>
    </row>
    <row r="118" spans="2:7">
      <c r="F118" s="2226"/>
    </row>
    <row r="121" spans="2:7">
      <c r="D121" s="2283"/>
      <c r="E121" s="2283"/>
    </row>
    <row r="122" spans="2:7">
      <c r="C122" s="702" t="s">
        <v>1859</v>
      </c>
      <c r="D122" s="2284">
        <v>18545918958.869999</v>
      </c>
      <c r="E122" s="2283"/>
    </row>
    <row r="123" spans="2:7">
      <c r="C123" s="702" t="s">
        <v>1860</v>
      </c>
      <c r="D123" s="2284">
        <f>+C110</f>
        <v>11046696947.98</v>
      </c>
      <c r="E123" s="2283"/>
    </row>
    <row r="124" spans="2:7">
      <c r="C124" s="1628" t="s">
        <v>1861</v>
      </c>
      <c r="D124" s="2285">
        <f>+D122-D123</f>
        <v>7499222010.8899994</v>
      </c>
      <c r="E124" s="2283"/>
    </row>
    <row r="125" spans="2:7" ht="13.5">
      <c r="C125" s="1667" t="s">
        <v>959</v>
      </c>
      <c r="D125" s="1616">
        <v>5091015391</v>
      </c>
      <c r="E125" s="2283"/>
    </row>
    <row r="126" spans="2:7" ht="26.25">
      <c r="C126" s="1667" t="s">
        <v>1290</v>
      </c>
      <c r="D126" s="1616">
        <v>491241407</v>
      </c>
    </row>
    <row r="127" spans="2:7" ht="13.5">
      <c r="C127" s="1667" t="s">
        <v>952</v>
      </c>
      <c r="D127" s="1616">
        <v>464109223.44</v>
      </c>
    </row>
    <row r="128" spans="2:7" ht="13.5">
      <c r="C128" s="688" t="s">
        <v>1862</v>
      </c>
      <c r="D128" s="2286">
        <f>+D124-D125-D126-D127</f>
        <v>1452855989.4499993</v>
      </c>
    </row>
  </sheetData>
  <pageMargins left="0.7" right="0.7" top="0.75" bottom="0.75" header="0.3" footer="0.3"/>
  <pageSetup paperSize="9" orientation="portrait" r:id="rId1"/>
  <headerFooter alignWithMargins="0"/>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8D0F8-A683-48FB-BCC6-43DCC546572B}">
  <sheetPr codeName="Hoja115"/>
  <dimension ref="A4:M61"/>
  <sheetViews>
    <sheetView zoomScaleNormal="100" workbookViewId="0">
      <selection activeCell="Q51" sqref="Q51"/>
    </sheetView>
  </sheetViews>
  <sheetFormatPr defaultColWidth="11.42578125" defaultRowHeight="12.75"/>
  <cols>
    <col min="1" max="1" width="3.28515625" style="686" customWidth="1"/>
    <col min="2" max="2" width="15.28515625" style="686" customWidth="1"/>
    <col min="3" max="3" width="24.7109375" style="686" customWidth="1"/>
    <col min="4" max="4" width="19" style="686" customWidth="1"/>
    <col min="5" max="5" width="11.42578125" style="686"/>
    <col min="6" max="6" width="13.85546875" style="686" customWidth="1"/>
    <col min="7" max="7" width="11.42578125" style="686"/>
    <col min="8" max="8" width="11.140625" style="686" customWidth="1"/>
    <col min="9" max="9" width="19.28515625" style="686" customWidth="1"/>
    <col min="10" max="10" width="19.28515625" style="686" hidden="1" customWidth="1"/>
    <col min="11" max="13" width="0" style="686" hidden="1" customWidth="1"/>
    <col min="14" max="256" width="11.42578125" style="686"/>
    <col min="257" max="257" width="3.85546875" style="686" customWidth="1"/>
    <col min="258" max="258" width="15.28515625" style="686" customWidth="1"/>
    <col min="259" max="259" width="24.7109375" style="686" customWidth="1"/>
    <col min="260" max="260" width="19" style="686" customWidth="1"/>
    <col min="261" max="261" width="11.42578125" style="686"/>
    <col min="262" max="262" width="13.85546875" style="686" customWidth="1"/>
    <col min="263" max="263" width="11.42578125" style="686"/>
    <col min="264" max="264" width="11.140625" style="686" customWidth="1"/>
    <col min="265" max="266" width="19.28515625" style="686" customWidth="1"/>
    <col min="267" max="512" width="11.42578125" style="686"/>
    <col min="513" max="513" width="3.85546875" style="686" customWidth="1"/>
    <col min="514" max="514" width="15.28515625" style="686" customWidth="1"/>
    <col min="515" max="515" width="24.7109375" style="686" customWidth="1"/>
    <col min="516" max="516" width="19" style="686" customWidth="1"/>
    <col min="517" max="517" width="11.42578125" style="686"/>
    <col min="518" max="518" width="13.85546875" style="686" customWidth="1"/>
    <col min="519" max="519" width="11.42578125" style="686"/>
    <col min="520" max="520" width="11.140625" style="686" customWidth="1"/>
    <col min="521" max="522" width="19.28515625" style="686" customWidth="1"/>
    <col min="523" max="768" width="11.42578125" style="686"/>
    <col min="769" max="769" width="3.85546875" style="686" customWidth="1"/>
    <col min="770" max="770" width="15.28515625" style="686" customWidth="1"/>
    <col min="771" max="771" width="24.7109375" style="686" customWidth="1"/>
    <col min="772" max="772" width="19" style="686" customWidth="1"/>
    <col min="773" max="773" width="11.42578125" style="686"/>
    <col min="774" max="774" width="13.85546875" style="686" customWidth="1"/>
    <col min="775" max="775" width="11.42578125" style="686"/>
    <col min="776" max="776" width="11.140625" style="686" customWidth="1"/>
    <col min="777" max="778" width="19.28515625" style="686" customWidth="1"/>
    <col min="779" max="1024" width="11.42578125" style="686"/>
    <col min="1025" max="1025" width="3.85546875" style="686" customWidth="1"/>
    <col min="1026" max="1026" width="15.28515625" style="686" customWidth="1"/>
    <col min="1027" max="1027" width="24.7109375" style="686" customWidth="1"/>
    <col min="1028" max="1028" width="19" style="686" customWidth="1"/>
    <col min="1029" max="1029" width="11.42578125" style="686"/>
    <col min="1030" max="1030" width="13.85546875" style="686" customWidth="1"/>
    <col min="1031" max="1031" width="11.42578125" style="686"/>
    <col min="1032" max="1032" width="11.140625" style="686" customWidth="1"/>
    <col min="1033" max="1034" width="19.28515625" style="686" customWidth="1"/>
    <col min="1035" max="1280" width="11.42578125" style="686"/>
    <col min="1281" max="1281" width="3.85546875" style="686" customWidth="1"/>
    <col min="1282" max="1282" width="15.28515625" style="686" customWidth="1"/>
    <col min="1283" max="1283" width="24.7109375" style="686" customWidth="1"/>
    <col min="1284" max="1284" width="19" style="686" customWidth="1"/>
    <col min="1285" max="1285" width="11.42578125" style="686"/>
    <col min="1286" max="1286" width="13.85546875" style="686" customWidth="1"/>
    <col min="1287" max="1287" width="11.42578125" style="686"/>
    <col min="1288" max="1288" width="11.140625" style="686" customWidth="1"/>
    <col min="1289" max="1290" width="19.28515625" style="686" customWidth="1"/>
    <col min="1291" max="1536" width="11.42578125" style="686"/>
    <col min="1537" max="1537" width="3.85546875" style="686" customWidth="1"/>
    <col min="1538" max="1538" width="15.28515625" style="686" customWidth="1"/>
    <col min="1539" max="1539" width="24.7109375" style="686" customWidth="1"/>
    <col min="1540" max="1540" width="19" style="686" customWidth="1"/>
    <col min="1541" max="1541" width="11.42578125" style="686"/>
    <col min="1542" max="1542" width="13.85546875" style="686" customWidth="1"/>
    <col min="1543" max="1543" width="11.42578125" style="686"/>
    <col min="1544" max="1544" width="11.140625" style="686" customWidth="1"/>
    <col min="1545" max="1546" width="19.28515625" style="686" customWidth="1"/>
    <col min="1547" max="1792" width="11.42578125" style="686"/>
    <col min="1793" max="1793" width="3.85546875" style="686" customWidth="1"/>
    <col min="1794" max="1794" width="15.28515625" style="686" customWidth="1"/>
    <col min="1795" max="1795" width="24.7109375" style="686" customWidth="1"/>
    <col min="1796" max="1796" width="19" style="686" customWidth="1"/>
    <col min="1797" max="1797" width="11.42578125" style="686"/>
    <col min="1798" max="1798" width="13.85546875" style="686" customWidth="1"/>
    <col min="1799" max="1799" width="11.42578125" style="686"/>
    <col min="1800" max="1800" width="11.140625" style="686" customWidth="1"/>
    <col min="1801" max="1802" width="19.28515625" style="686" customWidth="1"/>
    <col min="1803" max="2048" width="11.42578125" style="686"/>
    <col min="2049" max="2049" width="3.85546875" style="686" customWidth="1"/>
    <col min="2050" max="2050" width="15.28515625" style="686" customWidth="1"/>
    <col min="2051" max="2051" width="24.7109375" style="686" customWidth="1"/>
    <col min="2052" max="2052" width="19" style="686" customWidth="1"/>
    <col min="2053" max="2053" width="11.42578125" style="686"/>
    <col min="2054" max="2054" width="13.85546875" style="686" customWidth="1"/>
    <col min="2055" max="2055" width="11.42578125" style="686"/>
    <col min="2056" max="2056" width="11.140625" style="686" customWidth="1"/>
    <col min="2057" max="2058" width="19.28515625" style="686" customWidth="1"/>
    <col min="2059" max="2304" width="11.42578125" style="686"/>
    <col min="2305" max="2305" width="3.85546875" style="686" customWidth="1"/>
    <col min="2306" max="2306" width="15.28515625" style="686" customWidth="1"/>
    <col min="2307" max="2307" width="24.7109375" style="686" customWidth="1"/>
    <col min="2308" max="2308" width="19" style="686" customWidth="1"/>
    <col min="2309" max="2309" width="11.42578125" style="686"/>
    <col min="2310" max="2310" width="13.85546875" style="686" customWidth="1"/>
    <col min="2311" max="2311" width="11.42578125" style="686"/>
    <col min="2312" max="2312" width="11.140625" style="686" customWidth="1"/>
    <col min="2313" max="2314" width="19.28515625" style="686" customWidth="1"/>
    <col min="2315" max="2560" width="11.42578125" style="686"/>
    <col min="2561" max="2561" width="3.85546875" style="686" customWidth="1"/>
    <col min="2562" max="2562" width="15.28515625" style="686" customWidth="1"/>
    <col min="2563" max="2563" width="24.7109375" style="686" customWidth="1"/>
    <col min="2564" max="2564" width="19" style="686" customWidth="1"/>
    <col min="2565" max="2565" width="11.42578125" style="686"/>
    <col min="2566" max="2566" width="13.85546875" style="686" customWidth="1"/>
    <col min="2567" max="2567" width="11.42578125" style="686"/>
    <col min="2568" max="2568" width="11.140625" style="686" customWidth="1"/>
    <col min="2569" max="2570" width="19.28515625" style="686" customWidth="1"/>
    <col min="2571" max="2816" width="11.42578125" style="686"/>
    <col min="2817" max="2817" width="3.85546875" style="686" customWidth="1"/>
    <col min="2818" max="2818" width="15.28515625" style="686" customWidth="1"/>
    <col min="2819" max="2819" width="24.7109375" style="686" customWidth="1"/>
    <col min="2820" max="2820" width="19" style="686" customWidth="1"/>
    <col min="2821" max="2821" width="11.42578125" style="686"/>
    <col min="2822" max="2822" width="13.85546875" style="686" customWidth="1"/>
    <col min="2823" max="2823" width="11.42578125" style="686"/>
    <col min="2824" max="2824" width="11.140625" style="686" customWidth="1"/>
    <col min="2825" max="2826" width="19.28515625" style="686" customWidth="1"/>
    <col min="2827" max="3072" width="11.42578125" style="686"/>
    <col min="3073" max="3073" width="3.85546875" style="686" customWidth="1"/>
    <col min="3074" max="3074" width="15.28515625" style="686" customWidth="1"/>
    <col min="3075" max="3075" width="24.7109375" style="686" customWidth="1"/>
    <col min="3076" max="3076" width="19" style="686" customWidth="1"/>
    <col min="3077" max="3077" width="11.42578125" style="686"/>
    <col min="3078" max="3078" width="13.85546875" style="686" customWidth="1"/>
    <col min="3079" max="3079" width="11.42578125" style="686"/>
    <col min="3080" max="3080" width="11.140625" style="686" customWidth="1"/>
    <col min="3081" max="3082" width="19.28515625" style="686" customWidth="1"/>
    <col min="3083" max="3328" width="11.42578125" style="686"/>
    <col min="3329" max="3329" width="3.85546875" style="686" customWidth="1"/>
    <col min="3330" max="3330" width="15.28515625" style="686" customWidth="1"/>
    <col min="3331" max="3331" width="24.7109375" style="686" customWidth="1"/>
    <col min="3332" max="3332" width="19" style="686" customWidth="1"/>
    <col min="3333" max="3333" width="11.42578125" style="686"/>
    <col min="3334" max="3334" width="13.85546875" style="686" customWidth="1"/>
    <col min="3335" max="3335" width="11.42578125" style="686"/>
    <col min="3336" max="3336" width="11.140625" style="686" customWidth="1"/>
    <col min="3337" max="3338" width="19.28515625" style="686" customWidth="1"/>
    <col min="3339" max="3584" width="11.42578125" style="686"/>
    <col min="3585" max="3585" width="3.85546875" style="686" customWidth="1"/>
    <col min="3586" max="3586" width="15.28515625" style="686" customWidth="1"/>
    <col min="3587" max="3587" width="24.7109375" style="686" customWidth="1"/>
    <col min="3588" max="3588" width="19" style="686" customWidth="1"/>
    <col min="3589" max="3589" width="11.42578125" style="686"/>
    <col min="3590" max="3590" width="13.85546875" style="686" customWidth="1"/>
    <col min="3591" max="3591" width="11.42578125" style="686"/>
    <col min="3592" max="3592" width="11.140625" style="686" customWidth="1"/>
    <col min="3593" max="3594" width="19.28515625" style="686" customWidth="1"/>
    <col min="3595" max="3840" width="11.42578125" style="686"/>
    <col min="3841" max="3841" width="3.85546875" style="686" customWidth="1"/>
    <col min="3842" max="3842" width="15.28515625" style="686" customWidth="1"/>
    <col min="3843" max="3843" width="24.7109375" style="686" customWidth="1"/>
    <col min="3844" max="3844" width="19" style="686" customWidth="1"/>
    <col min="3845" max="3845" width="11.42578125" style="686"/>
    <col min="3846" max="3846" width="13.85546875" style="686" customWidth="1"/>
    <col min="3847" max="3847" width="11.42578125" style="686"/>
    <col min="3848" max="3848" width="11.140625" style="686" customWidth="1"/>
    <col min="3849" max="3850" width="19.28515625" style="686" customWidth="1"/>
    <col min="3851" max="4096" width="11.42578125" style="686"/>
    <col min="4097" max="4097" width="3.85546875" style="686" customWidth="1"/>
    <col min="4098" max="4098" width="15.28515625" style="686" customWidth="1"/>
    <col min="4099" max="4099" width="24.7109375" style="686" customWidth="1"/>
    <col min="4100" max="4100" width="19" style="686" customWidth="1"/>
    <col min="4101" max="4101" width="11.42578125" style="686"/>
    <col min="4102" max="4102" width="13.85546875" style="686" customWidth="1"/>
    <col min="4103" max="4103" width="11.42578125" style="686"/>
    <col min="4104" max="4104" width="11.140625" style="686" customWidth="1"/>
    <col min="4105" max="4106" width="19.28515625" style="686" customWidth="1"/>
    <col min="4107" max="4352" width="11.42578125" style="686"/>
    <col min="4353" max="4353" width="3.85546875" style="686" customWidth="1"/>
    <col min="4354" max="4354" width="15.28515625" style="686" customWidth="1"/>
    <col min="4355" max="4355" width="24.7109375" style="686" customWidth="1"/>
    <col min="4356" max="4356" width="19" style="686" customWidth="1"/>
    <col min="4357" max="4357" width="11.42578125" style="686"/>
    <col min="4358" max="4358" width="13.85546875" style="686" customWidth="1"/>
    <col min="4359" max="4359" width="11.42578125" style="686"/>
    <col min="4360" max="4360" width="11.140625" style="686" customWidth="1"/>
    <col min="4361" max="4362" width="19.28515625" style="686" customWidth="1"/>
    <col min="4363" max="4608" width="11.42578125" style="686"/>
    <col min="4609" max="4609" width="3.85546875" style="686" customWidth="1"/>
    <col min="4610" max="4610" width="15.28515625" style="686" customWidth="1"/>
    <col min="4611" max="4611" width="24.7109375" style="686" customWidth="1"/>
    <col min="4612" max="4612" width="19" style="686" customWidth="1"/>
    <col min="4613" max="4613" width="11.42578125" style="686"/>
    <col min="4614" max="4614" width="13.85546875" style="686" customWidth="1"/>
    <col min="4615" max="4615" width="11.42578125" style="686"/>
    <col min="4616" max="4616" width="11.140625" style="686" customWidth="1"/>
    <col min="4617" max="4618" width="19.28515625" style="686" customWidth="1"/>
    <col min="4619" max="4864" width="11.42578125" style="686"/>
    <col min="4865" max="4865" width="3.85546875" style="686" customWidth="1"/>
    <col min="4866" max="4866" width="15.28515625" style="686" customWidth="1"/>
    <col min="4867" max="4867" width="24.7109375" style="686" customWidth="1"/>
    <col min="4868" max="4868" width="19" style="686" customWidth="1"/>
    <col min="4869" max="4869" width="11.42578125" style="686"/>
    <col min="4870" max="4870" width="13.85546875" style="686" customWidth="1"/>
    <col min="4871" max="4871" width="11.42578125" style="686"/>
    <col min="4872" max="4872" width="11.140625" style="686" customWidth="1"/>
    <col min="4873" max="4874" width="19.28515625" style="686" customWidth="1"/>
    <col min="4875" max="5120" width="11.42578125" style="686"/>
    <col min="5121" max="5121" width="3.85546875" style="686" customWidth="1"/>
    <col min="5122" max="5122" width="15.28515625" style="686" customWidth="1"/>
    <col min="5123" max="5123" width="24.7109375" style="686" customWidth="1"/>
    <col min="5124" max="5124" width="19" style="686" customWidth="1"/>
    <col min="5125" max="5125" width="11.42578125" style="686"/>
    <col min="5126" max="5126" width="13.85546875" style="686" customWidth="1"/>
    <col min="5127" max="5127" width="11.42578125" style="686"/>
    <col min="5128" max="5128" width="11.140625" style="686" customWidth="1"/>
    <col min="5129" max="5130" width="19.28515625" style="686" customWidth="1"/>
    <col min="5131" max="5376" width="11.42578125" style="686"/>
    <col min="5377" max="5377" width="3.85546875" style="686" customWidth="1"/>
    <col min="5378" max="5378" width="15.28515625" style="686" customWidth="1"/>
    <col min="5379" max="5379" width="24.7109375" style="686" customWidth="1"/>
    <col min="5380" max="5380" width="19" style="686" customWidth="1"/>
    <col min="5381" max="5381" width="11.42578125" style="686"/>
    <col min="5382" max="5382" width="13.85546875" style="686" customWidth="1"/>
    <col min="5383" max="5383" width="11.42578125" style="686"/>
    <col min="5384" max="5384" width="11.140625" style="686" customWidth="1"/>
    <col min="5385" max="5386" width="19.28515625" style="686" customWidth="1"/>
    <col min="5387" max="5632" width="11.42578125" style="686"/>
    <col min="5633" max="5633" width="3.85546875" style="686" customWidth="1"/>
    <col min="5634" max="5634" width="15.28515625" style="686" customWidth="1"/>
    <col min="5635" max="5635" width="24.7109375" style="686" customWidth="1"/>
    <col min="5636" max="5636" width="19" style="686" customWidth="1"/>
    <col min="5637" max="5637" width="11.42578125" style="686"/>
    <col min="5638" max="5638" width="13.85546875" style="686" customWidth="1"/>
    <col min="5639" max="5639" width="11.42578125" style="686"/>
    <col min="5640" max="5640" width="11.140625" style="686" customWidth="1"/>
    <col min="5641" max="5642" width="19.28515625" style="686" customWidth="1"/>
    <col min="5643" max="5888" width="11.42578125" style="686"/>
    <col min="5889" max="5889" width="3.85546875" style="686" customWidth="1"/>
    <col min="5890" max="5890" width="15.28515625" style="686" customWidth="1"/>
    <col min="5891" max="5891" width="24.7109375" style="686" customWidth="1"/>
    <col min="5892" max="5892" width="19" style="686" customWidth="1"/>
    <col min="5893" max="5893" width="11.42578125" style="686"/>
    <col min="5894" max="5894" width="13.85546875" style="686" customWidth="1"/>
    <col min="5895" max="5895" width="11.42578125" style="686"/>
    <col min="5896" max="5896" width="11.140625" style="686" customWidth="1"/>
    <col min="5897" max="5898" width="19.28515625" style="686" customWidth="1"/>
    <col min="5899" max="6144" width="11.42578125" style="686"/>
    <col min="6145" max="6145" width="3.85546875" style="686" customWidth="1"/>
    <col min="6146" max="6146" width="15.28515625" style="686" customWidth="1"/>
    <col min="6147" max="6147" width="24.7109375" style="686" customWidth="1"/>
    <col min="6148" max="6148" width="19" style="686" customWidth="1"/>
    <col min="6149" max="6149" width="11.42578125" style="686"/>
    <col min="6150" max="6150" width="13.85546875" style="686" customWidth="1"/>
    <col min="6151" max="6151" width="11.42578125" style="686"/>
    <col min="6152" max="6152" width="11.140625" style="686" customWidth="1"/>
    <col min="6153" max="6154" width="19.28515625" style="686" customWidth="1"/>
    <col min="6155" max="6400" width="11.42578125" style="686"/>
    <col min="6401" max="6401" width="3.85546875" style="686" customWidth="1"/>
    <col min="6402" max="6402" width="15.28515625" style="686" customWidth="1"/>
    <col min="6403" max="6403" width="24.7109375" style="686" customWidth="1"/>
    <col min="6404" max="6404" width="19" style="686" customWidth="1"/>
    <col min="6405" max="6405" width="11.42578125" style="686"/>
    <col min="6406" max="6406" width="13.85546875" style="686" customWidth="1"/>
    <col min="6407" max="6407" width="11.42578125" style="686"/>
    <col min="6408" max="6408" width="11.140625" style="686" customWidth="1"/>
    <col min="6409" max="6410" width="19.28515625" style="686" customWidth="1"/>
    <col min="6411" max="6656" width="11.42578125" style="686"/>
    <col min="6657" max="6657" width="3.85546875" style="686" customWidth="1"/>
    <col min="6658" max="6658" width="15.28515625" style="686" customWidth="1"/>
    <col min="6659" max="6659" width="24.7109375" style="686" customWidth="1"/>
    <col min="6660" max="6660" width="19" style="686" customWidth="1"/>
    <col min="6661" max="6661" width="11.42578125" style="686"/>
    <col min="6662" max="6662" width="13.85546875" style="686" customWidth="1"/>
    <col min="6663" max="6663" width="11.42578125" style="686"/>
    <col min="6664" max="6664" width="11.140625" style="686" customWidth="1"/>
    <col min="6665" max="6666" width="19.28515625" style="686" customWidth="1"/>
    <col min="6667" max="6912" width="11.42578125" style="686"/>
    <col min="6913" max="6913" width="3.85546875" style="686" customWidth="1"/>
    <col min="6914" max="6914" width="15.28515625" style="686" customWidth="1"/>
    <col min="6915" max="6915" width="24.7109375" style="686" customWidth="1"/>
    <col min="6916" max="6916" width="19" style="686" customWidth="1"/>
    <col min="6917" max="6917" width="11.42578125" style="686"/>
    <col min="6918" max="6918" width="13.85546875" style="686" customWidth="1"/>
    <col min="6919" max="6919" width="11.42578125" style="686"/>
    <col min="6920" max="6920" width="11.140625" style="686" customWidth="1"/>
    <col min="6921" max="6922" width="19.28515625" style="686" customWidth="1"/>
    <col min="6923" max="7168" width="11.42578125" style="686"/>
    <col min="7169" max="7169" width="3.85546875" style="686" customWidth="1"/>
    <col min="7170" max="7170" width="15.28515625" style="686" customWidth="1"/>
    <col min="7171" max="7171" width="24.7109375" style="686" customWidth="1"/>
    <col min="7172" max="7172" width="19" style="686" customWidth="1"/>
    <col min="7173" max="7173" width="11.42578125" style="686"/>
    <col min="7174" max="7174" width="13.85546875" style="686" customWidth="1"/>
    <col min="7175" max="7175" width="11.42578125" style="686"/>
    <col min="7176" max="7176" width="11.140625" style="686" customWidth="1"/>
    <col min="7177" max="7178" width="19.28515625" style="686" customWidth="1"/>
    <col min="7179" max="7424" width="11.42578125" style="686"/>
    <col min="7425" max="7425" width="3.85546875" style="686" customWidth="1"/>
    <col min="7426" max="7426" width="15.28515625" style="686" customWidth="1"/>
    <col min="7427" max="7427" width="24.7109375" style="686" customWidth="1"/>
    <col min="7428" max="7428" width="19" style="686" customWidth="1"/>
    <col min="7429" max="7429" width="11.42578125" style="686"/>
    <col min="7430" max="7430" width="13.85546875" style="686" customWidth="1"/>
    <col min="7431" max="7431" width="11.42578125" style="686"/>
    <col min="7432" max="7432" width="11.140625" style="686" customWidth="1"/>
    <col min="7433" max="7434" width="19.28515625" style="686" customWidth="1"/>
    <col min="7435" max="7680" width="11.42578125" style="686"/>
    <col min="7681" max="7681" width="3.85546875" style="686" customWidth="1"/>
    <col min="7682" max="7682" width="15.28515625" style="686" customWidth="1"/>
    <col min="7683" max="7683" width="24.7109375" style="686" customWidth="1"/>
    <col min="7684" max="7684" width="19" style="686" customWidth="1"/>
    <col min="7685" max="7685" width="11.42578125" style="686"/>
    <col min="7686" max="7686" width="13.85546875" style="686" customWidth="1"/>
    <col min="7687" max="7687" width="11.42578125" style="686"/>
    <col min="7688" max="7688" width="11.140625" style="686" customWidth="1"/>
    <col min="7689" max="7690" width="19.28515625" style="686" customWidth="1"/>
    <col min="7691" max="7936" width="11.42578125" style="686"/>
    <col min="7937" max="7937" width="3.85546875" style="686" customWidth="1"/>
    <col min="7938" max="7938" width="15.28515625" style="686" customWidth="1"/>
    <col min="7939" max="7939" width="24.7109375" style="686" customWidth="1"/>
    <col min="7940" max="7940" width="19" style="686" customWidth="1"/>
    <col min="7941" max="7941" width="11.42578125" style="686"/>
    <col min="7942" max="7942" width="13.85546875" style="686" customWidth="1"/>
    <col min="7943" max="7943" width="11.42578125" style="686"/>
    <col min="7944" max="7944" width="11.140625" style="686" customWidth="1"/>
    <col min="7945" max="7946" width="19.28515625" style="686" customWidth="1"/>
    <col min="7947" max="8192" width="11.42578125" style="686"/>
    <col min="8193" max="8193" width="3.85546875" style="686" customWidth="1"/>
    <col min="8194" max="8194" width="15.28515625" style="686" customWidth="1"/>
    <col min="8195" max="8195" width="24.7109375" style="686" customWidth="1"/>
    <col min="8196" max="8196" width="19" style="686" customWidth="1"/>
    <col min="8197" max="8197" width="11.42578125" style="686"/>
    <col min="8198" max="8198" width="13.85546875" style="686" customWidth="1"/>
    <col min="8199" max="8199" width="11.42578125" style="686"/>
    <col min="8200" max="8200" width="11.140625" style="686" customWidth="1"/>
    <col min="8201" max="8202" width="19.28515625" style="686" customWidth="1"/>
    <col min="8203" max="8448" width="11.42578125" style="686"/>
    <col min="8449" max="8449" width="3.85546875" style="686" customWidth="1"/>
    <col min="8450" max="8450" width="15.28515625" style="686" customWidth="1"/>
    <col min="8451" max="8451" width="24.7109375" style="686" customWidth="1"/>
    <col min="8452" max="8452" width="19" style="686" customWidth="1"/>
    <col min="8453" max="8453" width="11.42578125" style="686"/>
    <col min="8454" max="8454" width="13.85546875" style="686" customWidth="1"/>
    <col min="8455" max="8455" width="11.42578125" style="686"/>
    <col min="8456" max="8456" width="11.140625" style="686" customWidth="1"/>
    <col min="8457" max="8458" width="19.28515625" style="686" customWidth="1"/>
    <col min="8459" max="8704" width="11.42578125" style="686"/>
    <col min="8705" max="8705" width="3.85546875" style="686" customWidth="1"/>
    <col min="8706" max="8706" width="15.28515625" style="686" customWidth="1"/>
    <col min="8707" max="8707" width="24.7109375" style="686" customWidth="1"/>
    <col min="8708" max="8708" width="19" style="686" customWidth="1"/>
    <col min="8709" max="8709" width="11.42578125" style="686"/>
    <col min="8710" max="8710" width="13.85546875" style="686" customWidth="1"/>
    <col min="8711" max="8711" width="11.42578125" style="686"/>
    <col min="8712" max="8712" width="11.140625" style="686" customWidth="1"/>
    <col min="8713" max="8714" width="19.28515625" style="686" customWidth="1"/>
    <col min="8715" max="8960" width="11.42578125" style="686"/>
    <col min="8961" max="8961" width="3.85546875" style="686" customWidth="1"/>
    <col min="8962" max="8962" width="15.28515625" style="686" customWidth="1"/>
    <col min="8963" max="8963" width="24.7109375" style="686" customWidth="1"/>
    <col min="8964" max="8964" width="19" style="686" customWidth="1"/>
    <col min="8965" max="8965" width="11.42578125" style="686"/>
    <col min="8966" max="8966" width="13.85546875" style="686" customWidth="1"/>
    <col min="8967" max="8967" width="11.42578125" style="686"/>
    <col min="8968" max="8968" width="11.140625" style="686" customWidth="1"/>
    <col min="8969" max="8970" width="19.28515625" style="686" customWidth="1"/>
    <col min="8971" max="9216" width="11.42578125" style="686"/>
    <col min="9217" max="9217" width="3.85546875" style="686" customWidth="1"/>
    <col min="9218" max="9218" width="15.28515625" style="686" customWidth="1"/>
    <col min="9219" max="9219" width="24.7109375" style="686" customWidth="1"/>
    <col min="9220" max="9220" width="19" style="686" customWidth="1"/>
    <col min="9221" max="9221" width="11.42578125" style="686"/>
    <col min="9222" max="9222" width="13.85546875" style="686" customWidth="1"/>
    <col min="9223" max="9223" width="11.42578125" style="686"/>
    <col min="9224" max="9224" width="11.140625" style="686" customWidth="1"/>
    <col min="9225" max="9226" width="19.28515625" style="686" customWidth="1"/>
    <col min="9227" max="9472" width="11.42578125" style="686"/>
    <col min="9473" max="9473" width="3.85546875" style="686" customWidth="1"/>
    <col min="9474" max="9474" width="15.28515625" style="686" customWidth="1"/>
    <col min="9475" max="9475" width="24.7109375" style="686" customWidth="1"/>
    <col min="9476" max="9476" width="19" style="686" customWidth="1"/>
    <col min="9477" max="9477" width="11.42578125" style="686"/>
    <col min="9478" max="9478" width="13.85546875" style="686" customWidth="1"/>
    <col min="9479" max="9479" width="11.42578125" style="686"/>
    <col min="9480" max="9480" width="11.140625" style="686" customWidth="1"/>
    <col min="9481" max="9482" width="19.28515625" style="686" customWidth="1"/>
    <col min="9483" max="9728" width="11.42578125" style="686"/>
    <col min="9729" max="9729" width="3.85546875" style="686" customWidth="1"/>
    <col min="9730" max="9730" width="15.28515625" style="686" customWidth="1"/>
    <col min="9731" max="9731" width="24.7109375" style="686" customWidth="1"/>
    <col min="9732" max="9732" width="19" style="686" customWidth="1"/>
    <col min="9733" max="9733" width="11.42578125" style="686"/>
    <col min="9734" max="9734" width="13.85546875" style="686" customWidth="1"/>
    <col min="9735" max="9735" width="11.42578125" style="686"/>
    <col min="9736" max="9736" width="11.140625" style="686" customWidth="1"/>
    <col min="9737" max="9738" width="19.28515625" style="686" customWidth="1"/>
    <col min="9739" max="9984" width="11.42578125" style="686"/>
    <col min="9985" max="9985" width="3.85546875" style="686" customWidth="1"/>
    <col min="9986" max="9986" width="15.28515625" style="686" customWidth="1"/>
    <col min="9987" max="9987" width="24.7109375" style="686" customWidth="1"/>
    <col min="9988" max="9988" width="19" style="686" customWidth="1"/>
    <col min="9989" max="9989" width="11.42578125" style="686"/>
    <col min="9990" max="9990" width="13.85546875" style="686" customWidth="1"/>
    <col min="9991" max="9991" width="11.42578125" style="686"/>
    <col min="9992" max="9992" width="11.140625" style="686" customWidth="1"/>
    <col min="9993" max="9994" width="19.28515625" style="686" customWidth="1"/>
    <col min="9995" max="10240" width="11.42578125" style="686"/>
    <col min="10241" max="10241" width="3.85546875" style="686" customWidth="1"/>
    <col min="10242" max="10242" width="15.28515625" style="686" customWidth="1"/>
    <col min="10243" max="10243" width="24.7109375" style="686" customWidth="1"/>
    <col min="10244" max="10244" width="19" style="686" customWidth="1"/>
    <col min="10245" max="10245" width="11.42578125" style="686"/>
    <col min="10246" max="10246" width="13.85546875" style="686" customWidth="1"/>
    <col min="10247" max="10247" width="11.42578125" style="686"/>
    <col min="10248" max="10248" width="11.140625" style="686" customWidth="1"/>
    <col min="10249" max="10250" width="19.28515625" style="686" customWidth="1"/>
    <col min="10251" max="10496" width="11.42578125" style="686"/>
    <col min="10497" max="10497" width="3.85546875" style="686" customWidth="1"/>
    <col min="10498" max="10498" width="15.28515625" style="686" customWidth="1"/>
    <col min="10499" max="10499" width="24.7109375" style="686" customWidth="1"/>
    <col min="10500" max="10500" width="19" style="686" customWidth="1"/>
    <col min="10501" max="10501" width="11.42578125" style="686"/>
    <col min="10502" max="10502" width="13.85546875" style="686" customWidth="1"/>
    <col min="10503" max="10503" width="11.42578125" style="686"/>
    <col min="10504" max="10504" width="11.140625" style="686" customWidth="1"/>
    <col min="10505" max="10506" width="19.28515625" style="686" customWidth="1"/>
    <col min="10507" max="10752" width="11.42578125" style="686"/>
    <col min="10753" max="10753" width="3.85546875" style="686" customWidth="1"/>
    <col min="10754" max="10754" width="15.28515625" style="686" customWidth="1"/>
    <col min="10755" max="10755" width="24.7109375" style="686" customWidth="1"/>
    <col min="10756" max="10756" width="19" style="686" customWidth="1"/>
    <col min="10757" max="10757" width="11.42578125" style="686"/>
    <col min="10758" max="10758" width="13.85546875" style="686" customWidth="1"/>
    <col min="10759" max="10759" width="11.42578125" style="686"/>
    <col min="10760" max="10760" width="11.140625" style="686" customWidth="1"/>
    <col min="10761" max="10762" width="19.28515625" style="686" customWidth="1"/>
    <col min="10763" max="11008" width="11.42578125" style="686"/>
    <col min="11009" max="11009" width="3.85546875" style="686" customWidth="1"/>
    <col min="11010" max="11010" width="15.28515625" style="686" customWidth="1"/>
    <col min="11011" max="11011" width="24.7109375" style="686" customWidth="1"/>
    <col min="11012" max="11012" width="19" style="686" customWidth="1"/>
    <col min="11013" max="11013" width="11.42578125" style="686"/>
    <col min="11014" max="11014" width="13.85546875" style="686" customWidth="1"/>
    <col min="11015" max="11015" width="11.42578125" style="686"/>
    <col min="11016" max="11016" width="11.140625" style="686" customWidth="1"/>
    <col min="11017" max="11018" width="19.28515625" style="686" customWidth="1"/>
    <col min="11019" max="11264" width="11.42578125" style="686"/>
    <col min="11265" max="11265" width="3.85546875" style="686" customWidth="1"/>
    <col min="11266" max="11266" width="15.28515625" style="686" customWidth="1"/>
    <col min="11267" max="11267" width="24.7109375" style="686" customWidth="1"/>
    <col min="11268" max="11268" width="19" style="686" customWidth="1"/>
    <col min="11269" max="11269" width="11.42578125" style="686"/>
    <col min="11270" max="11270" width="13.85546875" style="686" customWidth="1"/>
    <col min="11271" max="11271" width="11.42578125" style="686"/>
    <col min="11272" max="11272" width="11.140625" style="686" customWidth="1"/>
    <col min="11273" max="11274" width="19.28515625" style="686" customWidth="1"/>
    <col min="11275" max="11520" width="11.42578125" style="686"/>
    <col min="11521" max="11521" width="3.85546875" style="686" customWidth="1"/>
    <col min="11522" max="11522" width="15.28515625" style="686" customWidth="1"/>
    <col min="11523" max="11523" width="24.7109375" style="686" customWidth="1"/>
    <col min="11524" max="11524" width="19" style="686" customWidth="1"/>
    <col min="11525" max="11525" width="11.42578125" style="686"/>
    <col min="11526" max="11526" width="13.85546875" style="686" customWidth="1"/>
    <col min="11527" max="11527" width="11.42578125" style="686"/>
    <col min="11528" max="11528" width="11.140625" style="686" customWidth="1"/>
    <col min="11529" max="11530" width="19.28515625" style="686" customWidth="1"/>
    <col min="11531" max="11776" width="11.42578125" style="686"/>
    <col min="11777" max="11777" width="3.85546875" style="686" customWidth="1"/>
    <col min="11778" max="11778" width="15.28515625" style="686" customWidth="1"/>
    <col min="11779" max="11779" width="24.7109375" style="686" customWidth="1"/>
    <col min="11780" max="11780" width="19" style="686" customWidth="1"/>
    <col min="11781" max="11781" width="11.42578125" style="686"/>
    <col min="11782" max="11782" width="13.85546875" style="686" customWidth="1"/>
    <col min="11783" max="11783" width="11.42578125" style="686"/>
    <col min="11784" max="11784" width="11.140625" style="686" customWidth="1"/>
    <col min="11785" max="11786" width="19.28515625" style="686" customWidth="1"/>
    <col min="11787" max="12032" width="11.42578125" style="686"/>
    <col min="12033" max="12033" width="3.85546875" style="686" customWidth="1"/>
    <col min="12034" max="12034" width="15.28515625" style="686" customWidth="1"/>
    <col min="12035" max="12035" width="24.7109375" style="686" customWidth="1"/>
    <col min="12036" max="12036" width="19" style="686" customWidth="1"/>
    <col min="12037" max="12037" width="11.42578125" style="686"/>
    <col min="12038" max="12038" width="13.85546875" style="686" customWidth="1"/>
    <col min="12039" max="12039" width="11.42578125" style="686"/>
    <col min="12040" max="12040" width="11.140625" style="686" customWidth="1"/>
    <col min="12041" max="12042" width="19.28515625" style="686" customWidth="1"/>
    <col min="12043" max="12288" width="11.42578125" style="686"/>
    <col min="12289" max="12289" width="3.85546875" style="686" customWidth="1"/>
    <col min="12290" max="12290" width="15.28515625" style="686" customWidth="1"/>
    <col min="12291" max="12291" width="24.7109375" style="686" customWidth="1"/>
    <col min="12292" max="12292" width="19" style="686" customWidth="1"/>
    <col min="12293" max="12293" width="11.42578125" style="686"/>
    <col min="12294" max="12294" width="13.85546875" style="686" customWidth="1"/>
    <col min="12295" max="12295" width="11.42578125" style="686"/>
    <col min="12296" max="12296" width="11.140625" style="686" customWidth="1"/>
    <col min="12297" max="12298" width="19.28515625" style="686" customWidth="1"/>
    <col min="12299" max="12544" width="11.42578125" style="686"/>
    <col min="12545" max="12545" width="3.85546875" style="686" customWidth="1"/>
    <col min="12546" max="12546" width="15.28515625" style="686" customWidth="1"/>
    <col min="12547" max="12547" width="24.7109375" style="686" customWidth="1"/>
    <col min="12548" max="12548" width="19" style="686" customWidth="1"/>
    <col min="12549" max="12549" width="11.42578125" style="686"/>
    <col min="12550" max="12550" width="13.85546875" style="686" customWidth="1"/>
    <col min="12551" max="12551" width="11.42578125" style="686"/>
    <col min="12552" max="12552" width="11.140625" style="686" customWidth="1"/>
    <col min="12553" max="12554" width="19.28515625" style="686" customWidth="1"/>
    <col min="12555" max="12800" width="11.42578125" style="686"/>
    <col min="12801" max="12801" width="3.85546875" style="686" customWidth="1"/>
    <col min="12802" max="12802" width="15.28515625" style="686" customWidth="1"/>
    <col min="12803" max="12803" width="24.7109375" style="686" customWidth="1"/>
    <col min="12804" max="12804" width="19" style="686" customWidth="1"/>
    <col min="12805" max="12805" width="11.42578125" style="686"/>
    <col min="12806" max="12806" width="13.85546875" style="686" customWidth="1"/>
    <col min="12807" max="12807" width="11.42578125" style="686"/>
    <col min="12808" max="12808" width="11.140625" style="686" customWidth="1"/>
    <col min="12809" max="12810" width="19.28515625" style="686" customWidth="1"/>
    <col min="12811" max="13056" width="11.42578125" style="686"/>
    <col min="13057" max="13057" width="3.85546875" style="686" customWidth="1"/>
    <col min="13058" max="13058" width="15.28515625" style="686" customWidth="1"/>
    <col min="13059" max="13059" width="24.7109375" style="686" customWidth="1"/>
    <col min="13060" max="13060" width="19" style="686" customWidth="1"/>
    <col min="13061" max="13061" width="11.42578125" style="686"/>
    <col min="13062" max="13062" width="13.85546875" style="686" customWidth="1"/>
    <col min="13063" max="13063" width="11.42578125" style="686"/>
    <col min="13064" max="13064" width="11.140625" style="686" customWidth="1"/>
    <col min="13065" max="13066" width="19.28515625" style="686" customWidth="1"/>
    <col min="13067" max="13312" width="11.42578125" style="686"/>
    <col min="13313" max="13313" width="3.85546875" style="686" customWidth="1"/>
    <col min="13314" max="13314" width="15.28515625" style="686" customWidth="1"/>
    <col min="13315" max="13315" width="24.7109375" style="686" customWidth="1"/>
    <col min="13316" max="13316" width="19" style="686" customWidth="1"/>
    <col min="13317" max="13317" width="11.42578125" style="686"/>
    <col min="13318" max="13318" width="13.85546875" style="686" customWidth="1"/>
    <col min="13319" max="13319" width="11.42578125" style="686"/>
    <col min="13320" max="13320" width="11.140625" style="686" customWidth="1"/>
    <col min="13321" max="13322" width="19.28515625" style="686" customWidth="1"/>
    <col min="13323" max="13568" width="11.42578125" style="686"/>
    <col min="13569" max="13569" width="3.85546875" style="686" customWidth="1"/>
    <col min="13570" max="13570" width="15.28515625" style="686" customWidth="1"/>
    <col min="13571" max="13571" width="24.7109375" style="686" customWidth="1"/>
    <col min="13572" max="13572" width="19" style="686" customWidth="1"/>
    <col min="13573" max="13573" width="11.42578125" style="686"/>
    <col min="13574" max="13574" width="13.85546875" style="686" customWidth="1"/>
    <col min="13575" max="13575" width="11.42578125" style="686"/>
    <col min="13576" max="13576" width="11.140625" style="686" customWidth="1"/>
    <col min="13577" max="13578" width="19.28515625" style="686" customWidth="1"/>
    <col min="13579" max="13824" width="11.42578125" style="686"/>
    <col min="13825" max="13825" width="3.85546875" style="686" customWidth="1"/>
    <col min="13826" max="13826" width="15.28515625" style="686" customWidth="1"/>
    <col min="13827" max="13827" width="24.7109375" style="686" customWidth="1"/>
    <col min="13828" max="13828" width="19" style="686" customWidth="1"/>
    <col min="13829" max="13829" width="11.42578125" style="686"/>
    <col min="13830" max="13830" width="13.85546875" style="686" customWidth="1"/>
    <col min="13831" max="13831" width="11.42578125" style="686"/>
    <col min="13832" max="13832" width="11.140625" style="686" customWidth="1"/>
    <col min="13833" max="13834" width="19.28515625" style="686" customWidth="1"/>
    <col min="13835" max="14080" width="11.42578125" style="686"/>
    <col min="14081" max="14081" width="3.85546875" style="686" customWidth="1"/>
    <col min="14082" max="14082" width="15.28515625" style="686" customWidth="1"/>
    <col min="14083" max="14083" width="24.7109375" style="686" customWidth="1"/>
    <col min="14084" max="14084" width="19" style="686" customWidth="1"/>
    <col min="14085" max="14085" width="11.42578125" style="686"/>
    <col min="14086" max="14086" width="13.85546875" style="686" customWidth="1"/>
    <col min="14087" max="14087" width="11.42578125" style="686"/>
    <col min="14088" max="14088" width="11.140625" style="686" customWidth="1"/>
    <col min="14089" max="14090" width="19.28515625" style="686" customWidth="1"/>
    <col min="14091" max="14336" width="11.42578125" style="686"/>
    <col min="14337" max="14337" width="3.85546875" style="686" customWidth="1"/>
    <col min="14338" max="14338" width="15.28515625" style="686" customWidth="1"/>
    <col min="14339" max="14339" width="24.7109375" style="686" customWidth="1"/>
    <col min="14340" max="14340" width="19" style="686" customWidth="1"/>
    <col min="14341" max="14341" width="11.42578125" style="686"/>
    <col min="14342" max="14342" width="13.85546875" style="686" customWidth="1"/>
    <col min="14343" max="14343" width="11.42578125" style="686"/>
    <col min="14344" max="14344" width="11.140625" style="686" customWidth="1"/>
    <col min="14345" max="14346" width="19.28515625" style="686" customWidth="1"/>
    <col min="14347" max="14592" width="11.42578125" style="686"/>
    <col min="14593" max="14593" width="3.85546875" style="686" customWidth="1"/>
    <col min="14594" max="14594" width="15.28515625" style="686" customWidth="1"/>
    <col min="14595" max="14595" width="24.7109375" style="686" customWidth="1"/>
    <col min="14596" max="14596" width="19" style="686" customWidth="1"/>
    <col min="14597" max="14597" width="11.42578125" style="686"/>
    <col min="14598" max="14598" width="13.85546875" style="686" customWidth="1"/>
    <col min="14599" max="14599" width="11.42578125" style="686"/>
    <col min="14600" max="14600" width="11.140625" style="686" customWidth="1"/>
    <col min="14601" max="14602" width="19.28515625" style="686" customWidth="1"/>
    <col min="14603" max="14848" width="11.42578125" style="686"/>
    <col min="14849" max="14849" width="3.85546875" style="686" customWidth="1"/>
    <col min="14850" max="14850" width="15.28515625" style="686" customWidth="1"/>
    <col min="14851" max="14851" width="24.7109375" style="686" customWidth="1"/>
    <col min="14852" max="14852" width="19" style="686" customWidth="1"/>
    <col min="14853" max="14853" width="11.42578125" style="686"/>
    <col min="14854" max="14854" width="13.85546875" style="686" customWidth="1"/>
    <col min="14855" max="14855" width="11.42578125" style="686"/>
    <col min="14856" max="14856" width="11.140625" style="686" customWidth="1"/>
    <col min="14857" max="14858" width="19.28515625" style="686" customWidth="1"/>
    <col min="14859" max="15104" width="11.42578125" style="686"/>
    <col min="15105" max="15105" width="3.85546875" style="686" customWidth="1"/>
    <col min="15106" max="15106" width="15.28515625" style="686" customWidth="1"/>
    <col min="15107" max="15107" width="24.7109375" style="686" customWidth="1"/>
    <col min="15108" max="15108" width="19" style="686" customWidth="1"/>
    <col min="15109" max="15109" width="11.42578125" style="686"/>
    <col min="15110" max="15110" width="13.85546875" style="686" customWidth="1"/>
    <col min="15111" max="15111" width="11.42578125" style="686"/>
    <col min="15112" max="15112" width="11.140625" style="686" customWidth="1"/>
    <col min="15113" max="15114" width="19.28515625" style="686" customWidth="1"/>
    <col min="15115" max="15360" width="11.42578125" style="686"/>
    <col min="15361" max="15361" width="3.85546875" style="686" customWidth="1"/>
    <col min="15362" max="15362" width="15.28515625" style="686" customWidth="1"/>
    <col min="15363" max="15363" width="24.7109375" style="686" customWidth="1"/>
    <col min="15364" max="15364" width="19" style="686" customWidth="1"/>
    <col min="15365" max="15365" width="11.42578125" style="686"/>
    <col min="15366" max="15366" width="13.85546875" style="686" customWidth="1"/>
    <col min="15367" max="15367" width="11.42578125" style="686"/>
    <col min="15368" max="15368" width="11.140625" style="686" customWidth="1"/>
    <col min="15369" max="15370" width="19.28515625" style="686" customWidth="1"/>
    <col min="15371" max="15616" width="11.42578125" style="686"/>
    <col min="15617" max="15617" width="3.85546875" style="686" customWidth="1"/>
    <col min="15618" max="15618" width="15.28515625" style="686" customWidth="1"/>
    <col min="15619" max="15619" width="24.7109375" style="686" customWidth="1"/>
    <col min="15620" max="15620" width="19" style="686" customWidth="1"/>
    <col min="15621" max="15621" width="11.42578125" style="686"/>
    <col min="15622" max="15622" width="13.85546875" style="686" customWidth="1"/>
    <col min="15623" max="15623" width="11.42578125" style="686"/>
    <col min="15624" max="15624" width="11.140625" style="686" customWidth="1"/>
    <col min="15625" max="15626" width="19.28515625" style="686" customWidth="1"/>
    <col min="15627" max="15872" width="11.42578125" style="686"/>
    <col min="15873" max="15873" width="3.85546875" style="686" customWidth="1"/>
    <col min="15874" max="15874" width="15.28515625" style="686" customWidth="1"/>
    <col min="15875" max="15875" width="24.7109375" style="686" customWidth="1"/>
    <col min="15876" max="15876" width="19" style="686" customWidth="1"/>
    <col min="15877" max="15877" width="11.42578125" style="686"/>
    <col min="15878" max="15878" width="13.85546875" style="686" customWidth="1"/>
    <col min="15879" max="15879" width="11.42578125" style="686"/>
    <col min="15880" max="15880" width="11.140625" style="686" customWidth="1"/>
    <col min="15881" max="15882" width="19.28515625" style="686" customWidth="1"/>
    <col min="15883" max="16128" width="11.42578125" style="686"/>
    <col min="16129" max="16129" width="3.85546875" style="686" customWidth="1"/>
    <col min="16130" max="16130" width="15.28515625" style="686" customWidth="1"/>
    <col min="16131" max="16131" width="24.7109375" style="686" customWidth="1"/>
    <col min="16132" max="16132" width="19" style="686" customWidth="1"/>
    <col min="16133" max="16133" width="11.42578125" style="686"/>
    <col min="16134" max="16134" width="13.85546875" style="686" customWidth="1"/>
    <col min="16135" max="16135" width="11.42578125" style="686"/>
    <col min="16136" max="16136" width="11.140625" style="686" customWidth="1"/>
    <col min="16137" max="16138" width="19.28515625" style="686" customWidth="1"/>
    <col min="16139" max="16384" width="11.42578125" style="686"/>
  </cols>
  <sheetData>
    <row r="4" spans="1:11">
      <c r="C4" s="1628" t="s">
        <v>1488</v>
      </c>
      <c r="D4" s="702" t="s">
        <v>1863</v>
      </c>
      <c r="E4" s="1628"/>
    </row>
    <row r="5" spans="1:11">
      <c r="C5" s="1628" t="s">
        <v>1491</v>
      </c>
      <c r="D5" s="702" t="s">
        <v>1864</v>
      </c>
      <c r="E5" s="1628"/>
    </row>
    <row r="6" spans="1:11">
      <c r="C6" s="1628" t="s">
        <v>124</v>
      </c>
      <c r="D6" s="702" t="s">
        <v>1865</v>
      </c>
      <c r="E6" s="1628"/>
    </row>
    <row r="7" spans="1:11">
      <c r="C7" s="1628" t="s">
        <v>1866</v>
      </c>
      <c r="D7" s="1629">
        <v>44224</v>
      </c>
      <c r="E7" s="702"/>
    </row>
    <row r="8" spans="1:11" ht="30" customHeight="1">
      <c r="C8" s="2384" t="s">
        <v>535</v>
      </c>
      <c r="D8" s="2314">
        <f>+[1]Inicio!B21</f>
        <v>170357492</v>
      </c>
      <c r="E8" s="702"/>
    </row>
    <row r="9" spans="1:11">
      <c r="C9" s="1628" t="s">
        <v>1266</v>
      </c>
      <c r="D9" s="747">
        <f>SUM(D8:D8)</f>
        <v>170357492</v>
      </c>
      <c r="E9" s="702"/>
    </row>
    <row r="11" spans="1:11">
      <c r="C11" s="1628" t="s">
        <v>4</v>
      </c>
      <c r="D11" s="1629">
        <v>44033</v>
      </c>
    </row>
    <row r="12" spans="1:11">
      <c r="D12" s="2313"/>
    </row>
    <row r="13" spans="1:11" ht="13.5">
      <c r="B13" s="1983" t="s">
        <v>1289</v>
      </c>
      <c r="C13" s="1983"/>
      <c r="D13" s="1983"/>
      <c r="E13" s="1983"/>
      <c r="F13" s="1983"/>
      <c r="G13" s="1983"/>
      <c r="H13" s="1983"/>
      <c r="I13" s="1983"/>
    </row>
    <row r="14" spans="1:11" ht="25.5">
      <c r="B14" s="1915" t="s">
        <v>206</v>
      </c>
      <c r="C14" s="1915" t="s">
        <v>10</v>
      </c>
      <c r="D14" s="2312" t="s">
        <v>1867</v>
      </c>
      <c r="E14" s="2311"/>
      <c r="F14" s="923" t="s">
        <v>88</v>
      </c>
      <c r="G14" s="970" t="s">
        <v>47</v>
      </c>
      <c r="H14" s="970" t="s">
        <v>48</v>
      </c>
      <c r="J14" s="698" t="s">
        <v>1868</v>
      </c>
      <c r="K14" s="686" t="s">
        <v>1869</v>
      </c>
    </row>
    <row r="15" spans="1:11" ht="13.5">
      <c r="A15" s="686">
        <v>1</v>
      </c>
      <c r="B15" s="1073">
        <v>44034</v>
      </c>
      <c r="C15" s="1073">
        <v>44043</v>
      </c>
      <c r="D15" s="1660">
        <v>3.3399999999999999E-2</v>
      </c>
      <c r="E15" s="1660">
        <v>0</v>
      </c>
      <c r="F15" s="1917">
        <f>(1+D15)^(1/365)-1</f>
        <v>9.0015933029263806E-5</v>
      </c>
      <c r="G15" s="2310">
        <f t="shared" ref="G15:G29" si="0">(C15-B15)+1</f>
        <v>10</v>
      </c>
      <c r="H15" s="1356">
        <f>ROUND($D$9*F15*G15,2)</f>
        <v>153348.89000000001</v>
      </c>
      <c r="J15" s="698"/>
    </row>
    <row r="16" spans="1:11" ht="13.5">
      <c r="A16" s="686">
        <v>2</v>
      </c>
      <c r="B16" s="1073">
        <v>44044</v>
      </c>
      <c r="C16" s="1073">
        <v>44074</v>
      </c>
      <c r="D16" s="1660">
        <v>2.7900000000000001E-2</v>
      </c>
      <c r="E16" s="1660">
        <v>0</v>
      </c>
      <c r="F16" s="1917">
        <f t="shared" ref="F16:F25" si="1">(1+D16)^(1/365)-1</f>
        <v>7.5394310601994974E-5</v>
      </c>
      <c r="G16" s="2310">
        <f t="shared" si="0"/>
        <v>31</v>
      </c>
      <c r="H16" s="1356">
        <f t="shared" ref="H16:H48" si="2">ROUND($D$9*F16*G16,2)</f>
        <v>398163.56</v>
      </c>
      <c r="J16" s="698"/>
    </row>
    <row r="17" spans="1:10" ht="13.5">
      <c r="A17" s="686">
        <v>3</v>
      </c>
      <c r="B17" s="1073">
        <v>44075</v>
      </c>
      <c r="C17" s="1073">
        <v>44104</v>
      </c>
      <c r="D17" s="1660">
        <v>2.3900000000000001E-2</v>
      </c>
      <c r="E17" s="1660">
        <v>0</v>
      </c>
      <c r="F17" s="1917">
        <f t="shared" si="1"/>
        <v>6.4711314504917183E-5</v>
      </c>
      <c r="G17" s="2310">
        <f t="shared" si="0"/>
        <v>30</v>
      </c>
      <c r="H17" s="1356">
        <f t="shared" si="2"/>
        <v>330721.71999999997</v>
      </c>
      <c r="J17" s="698"/>
    </row>
    <row r="18" spans="1:10" ht="13.5">
      <c r="A18" s="686">
        <v>4</v>
      </c>
      <c r="B18" s="1073">
        <v>44105</v>
      </c>
      <c r="C18" s="1073">
        <v>44135</v>
      </c>
      <c r="D18" s="1660">
        <v>2.0299999999999999E-2</v>
      </c>
      <c r="E18" s="1660">
        <v>0</v>
      </c>
      <c r="F18" s="1917">
        <f t="shared" si="1"/>
        <v>5.5060972509624051E-5</v>
      </c>
      <c r="G18" s="2310">
        <f t="shared" si="0"/>
        <v>31</v>
      </c>
      <c r="H18" s="1356">
        <f t="shared" si="2"/>
        <v>290781.52</v>
      </c>
      <c r="J18" s="698"/>
    </row>
    <row r="19" spans="1:10" ht="13.5">
      <c r="A19" s="686">
        <v>5</v>
      </c>
      <c r="B19" s="1073">
        <v>44136</v>
      </c>
      <c r="C19" s="1073">
        <v>44165</v>
      </c>
      <c r="D19" s="1660">
        <v>1.9599999999999999E-2</v>
      </c>
      <c r="E19" s="1660">
        <v>0</v>
      </c>
      <c r="F19" s="1917">
        <f t="shared" si="1"/>
        <v>5.3180574364875E-5</v>
      </c>
      <c r="G19" s="2310">
        <f t="shared" si="0"/>
        <v>30</v>
      </c>
      <c r="H19" s="1356">
        <f t="shared" si="2"/>
        <v>271791.28000000003</v>
      </c>
      <c r="J19" s="698"/>
    </row>
    <row r="20" spans="1:10" ht="13.5">
      <c r="A20" s="686">
        <v>6</v>
      </c>
      <c r="B20" s="1073">
        <v>44166</v>
      </c>
      <c r="C20" s="1073">
        <v>44196</v>
      </c>
      <c r="D20" s="1660">
        <v>1.9300000000000001E-2</v>
      </c>
      <c r="E20" s="1660">
        <v>0</v>
      </c>
      <c r="F20" s="1917">
        <f t="shared" si="1"/>
        <v>5.2374295299806306E-5</v>
      </c>
      <c r="G20" s="2310">
        <f t="shared" si="0"/>
        <v>31</v>
      </c>
      <c r="H20" s="1356">
        <f t="shared" si="2"/>
        <v>276592.96000000002</v>
      </c>
      <c r="J20" s="698"/>
    </row>
    <row r="21" spans="1:10" ht="13.5">
      <c r="A21" s="686">
        <v>7</v>
      </c>
      <c r="B21" s="1073">
        <v>44197</v>
      </c>
      <c r="C21" s="1073">
        <v>44227</v>
      </c>
      <c r="D21" s="1660">
        <v>1.9099999999999999E-2</v>
      </c>
      <c r="E21" s="1660">
        <v>0</v>
      </c>
      <c r="F21" s="1917">
        <f t="shared" si="1"/>
        <v>5.1836644438196799E-5</v>
      </c>
      <c r="G21" s="2310">
        <f t="shared" si="0"/>
        <v>31</v>
      </c>
      <c r="H21" s="1356">
        <f t="shared" si="2"/>
        <v>273753.58</v>
      </c>
      <c r="J21" s="698"/>
    </row>
    <row r="22" spans="1:10" ht="13.5">
      <c r="A22" s="686">
        <v>8</v>
      </c>
      <c r="B22" s="1073">
        <v>44228</v>
      </c>
      <c r="C22" s="1073">
        <v>44255</v>
      </c>
      <c r="D22" s="1660">
        <v>1.8100000000000002E-2</v>
      </c>
      <c r="E22" s="1660">
        <v>0</v>
      </c>
      <c r="F22" s="1917">
        <f t="shared" si="1"/>
        <v>4.9146810763511795E-5</v>
      </c>
      <c r="G22" s="2310">
        <f t="shared" si="0"/>
        <v>28</v>
      </c>
      <c r="H22" s="1356">
        <f t="shared" si="2"/>
        <v>234430.77</v>
      </c>
      <c r="J22" s="698"/>
    </row>
    <row r="23" spans="1:10" ht="13.5">
      <c r="A23" s="686">
        <v>9</v>
      </c>
      <c r="B23" s="1073">
        <v>44256</v>
      </c>
      <c r="C23" s="1073">
        <v>44286</v>
      </c>
      <c r="D23" s="1660">
        <v>1.77E-2</v>
      </c>
      <c r="E23" s="1660">
        <v>0</v>
      </c>
      <c r="F23" s="1917">
        <f t="shared" si="1"/>
        <v>4.8070139484934771E-5</v>
      </c>
      <c r="G23" s="2310">
        <f t="shared" si="0"/>
        <v>31</v>
      </c>
      <c r="H23" s="1356">
        <f t="shared" si="2"/>
        <v>253862.36</v>
      </c>
      <c r="J23" s="698"/>
    </row>
    <row r="24" spans="1:10" ht="13.5">
      <c r="A24" s="686">
        <v>10</v>
      </c>
      <c r="B24" s="1073">
        <v>44287</v>
      </c>
      <c r="C24" s="1073">
        <v>44316</v>
      </c>
      <c r="D24" s="1660">
        <v>1.7600000000000001E-2</v>
      </c>
      <c r="E24" s="1660">
        <v>0</v>
      </c>
      <c r="F24" s="1917">
        <f t="shared" si="1"/>
        <v>4.7800905724759701E-5</v>
      </c>
      <c r="G24" s="2310">
        <f t="shared" si="0"/>
        <v>30</v>
      </c>
      <c r="H24" s="1356">
        <f t="shared" si="2"/>
        <v>244297.27</v>
      </c>
      <c r="J24" s="698"/>
    </row>
    <row r="25" spans="1:10" ht="13.5">
      <c r="A25" s="686">
        <v>11</v>
      </c>
      <c r="B25" s="1073">
        <v>44317</v>
      </c>
      <c r="C25" s="1073">
        <v>44337</v>
      </c>
      <c r="D25" s="1660">
        <v>1.8200000000000001E-2</v>
      </c>
      <c r="E25" s="1660">
        <v>0</v>
      </c>
      <c r="F25" s="1917">
        <f t="shared" si="1"/>
        <v>4.9415912668715478E-5</v>
      </c>
      <c r="G25" s="2310">
        <f t="shared" si="0"/>
        <v>21</v>
      </c>
      <c r="H25" s="1356">
        <f t="shared" si="2"/>
        <v>176785.79</v>
      </c>
      <c r="J25" s="698"/>
    </row>
    <row r="26" spans="1:10" ht="13.5">
      <c r="B26" s="1073">
        <v>44338</v>
      </c>
      <c r="C26" s="1073">
        <v>44347</v>
      </c>
      <c r="D26" s="1660">
        <v>0.17219999999999999</v>
      </c>
      <c r="E26" s="1660">
        <f>+D26*1.5</f>
        <v>0.25829999999999997</v>
      </c>
      <c r="F26" s="1917">
        <f>(1+E26)^(1/365)-1</f>
        <v>6.2968201205726437E-4</v>
      </c>
      <c r="G26" s="2310">
        <f t="shared" si="0"/>
        <v>10</v>
      </c>
      <c r="H26" s="1356">
        <f t="shared" si="2"/>
        <v>1072710.48</v>
      </c>
      <c r="J26" s="698"/>
    </row>
    <row r="27" spans="1:10" ht="13.5">
      <c r="A27" s="686">
        <v>12</v>
      </c>
      <c r="B27" s="1073">
        <v>44348</v>
      </c>
      <c r="C27" s="1073">
        <v>44377</v>
      </c>
      <c r="D27" s="1660">
        <v>0.1721</v>
      </c>
      <c r="E27" s="1660">
        <f t="shared" ref="E27:E48" si="3">+D27*1.5</f>
        <v>0.25814999999999999</v>
      </c>
      <c r="F27" s="1917">
        <f t="shared" ref="F27:F28" si="4">(1+E27)^(1/365)-1</f>
        <v>6.2935518846773952E-4</v>
      </c>
      <c r="G27" s="2310">
        <f t="shared" si="0"/>
        <v>30</v>
      </c>
      <c r="H27" s="1356">
        <f t="shared" si="2"/>
        <v>3216461.14</v>
      </c>
      <c r="J27" s="698"/>
    </row>
    <row r="28" spans="1:10" ht="13.5">
      <c r="A28" s="686">
        <v>13</v>
      </c>
      <c r="B28" s="1073">
        <v>44378</v>
      </c>
      <c r="C28" s="1073">
        <v>44408</v>
      </c>
      <c r="D28" s="1660">
        <v>0.17180000000000001</v>
      </c>
      <c r="E28" s="1660">
        <f t="shared" si="3"/>
        <v>0.25770000000000004</v>
      </c>
      <c r="F28" s="1917">
        <f t="shared" si="4"/>
        <v>6.2837448450037137E-4</v>
      </c>
      <c r="G28" s="2310">
        <f t="shared" si="0"/>
        <v>31</v>
      </c>
      <c r="H28" s="1356">
        <f t="shared" si="2"/>
        <v>3318497.34</v>
      </c>
      <c r="J28" s="698"/>
    </row>
    <row r="29" spans="1:10" ht="13.5">
      <c r="A29" s="686">
        <v>14</v>
      </c>
      <c r="B29" s="1073">
        <v>44409</v>
      </c>
      <c r="C29" s="1073">
        <v>44439</v>
      </c>
      <c r="D29" s="1660">
        <v>0.1724</v>
      </c>
      <c r="E29" s="1660">
        <f t="shared" si="3"/>
        <v>0.2586</v>
      </c>
      <c r="F29" s="1917">
        <f t="shared" ref="F29:F45" si="5">(1+E29)^(1/365)-1</f>
        <v>6.3033554269220637E-4</v>
      </c>
      <c r="G29" s="2310">
        <f t="shared" si="0"/>
        <v>31</v>
      </c>
      <c r="H29" s="1356">
        <f t="shared" si="2"/>
        <v>3328853.85</v>
      </c>
      <c r="J29" s="698"/>
    </row>
    <row r="30" spans="1:10" ht="13.5">
      <c r="A30" s="686">
        <v>15</v>
      </c>
      <c r="B30" s="1073">
        <v>44440</v>
      </c>
      <c r="C30" s="1073">
        <v>44469</v>
      </c>
      <c r="D30" s="1660">
        <v>0.1719</v>
      </c>
      <c r="E30" s="1660">
        <f t="shared" si="3"/>
        <v>0.25785000000000002</v>
      </c>
      <c r="F30" s="1917">
        <f t="shared" si="5"/>
        <v>6.2870142469861889E-4</v>
      </c>
      <c r="G30" s="2310">
        <f t="shared" ref="G30:G48" si="6">(C30-B30)+1</f>
        <v>30</v>
      </c>
      <c r="H30" s="1356">
        <f t="shared" si="2"/>
        <v>3213119.94</v>
      </c>
      <c r="J30" s="698"/>
    </row>
    <row r="31" spans="1:10" ht="13.5">
      <c r="A31" s="686">
        <v>16</v>
      </c>
      <c r="B31" s="1073">
        <v>44470</v>
      </c>
      <c r="C31" s="1073">
        <v>44500</v>
      </c>
      <c r="D31" s="1660">
        <v>0.17080000000000001</v>
      </c>
      <c r="E31" s="1660">
        <f t="shared" si="3"/>
        <v>0.25619999999999998</v>
      </c>
      <c r="F31" s="1917">
        <f t="shared" si="5"/>
        <v>6.2510294214179751E-4</v>
      </c>
      <c r="G31" s="2310">
        <f t="shared" si="6"/>
        <v>31</v>
      </c>
      <c r="H31" s="1356">
        <f t="shared" si="2"/>
        <v>3301220.05</v>
      </c>
      <c r="J31" s="698"/>
    </row>
    <row r="32" spans="1:10" ht="13.5">
      <c r="A32" s="686">
        <v>17</v>
      </c>
      <c r="B32" s="1073">
        <v>44501</v>
      </c>
      <c r="C32" s="1073">
        <v>44530</v>
      </c>
      <c r="D32" s="1660">
        <v>0.17269999999999999</v>
      </c>
      <c r="E32" s="1660">
        <f t="shared" si="3"/>
        <v>0.25905</v>
      </c>
      <c r="F32" s="1917">
        <f t="shared" si="5"/>
        <v>6.3131554742335005E-4</v>
      </c>
      <c r="G32" s="2310">
        <f t="shared" si="6"/>
        <v>30</v>
      </c>
      <c r="H32" s="1356">
        <f t="shared" si="2"/>
        <v>3226480</v>
      </c>
      <c r="J32" s="698"/>
    </row>
    <row r="33" spans="1:13" ht="13.5">
      <c r="A33" s="686">
        <v>18</v>
      </c>
      <c r="B33" s="1073">
        <v>44531</v>
      </c>
      <c r="C33" s="1073">
        <v>44561</v>
      </c>
      <c r="D33" s="1660">
        <v>0.17460000000000001</v>
      </c>
      <c r="E33" s="1660">
        <f t="shared" si="3"/>
        <v>0.26190000000000002</v>
      </c>
      <c r="F33" s="1917">
        <f t="shared" si="5"/>
        <v>6.3751414410861962E-4</v>
      </c>
      <c r="G33" s="2310">
        <f t="shared" si="6"/>
        <v>31</v>
      </c>
      <c r="H33" s="1356">
        <f t="shared" si="2"/>
        <v>3366764.63</v>
      </c>
      <c r="J33" s="686">
        <f t="shared" ref="J33:J48" si="7">YEAR(C33)</f>
        <v>2021</v>
      </c>
      <c r="K33" s="686">
        <f>MONTH(C33)</f>
        <v>12</v>
      </c>
      <c r="L33" s="2373" t="str">
        <f>+J33&amp;K33</f>
        <v>202112</v>
      </c>
      <c r="M33" s="686">
        <f>+L33*1</f>
        <v>202112</v>
      </c>
    </row>
    <row r="34" spans="1:13" ht="13.5">
      <c r="A34" s="686">
        <v>19</v>
      </c>
      <c r="B34" s="1073">
        <v>44562</v>
      </c>
      <c r="C34" s="1073">
        <v>44592</v>
      </c>
      <c r="D34" s="1660">
        <v>0.17660000000000001</v>
      </c>
      <c r="E34" s="1660">
        <f t="shared" si="3"/>
        <v>0.26490000000000002</v>
      </c>
      <c r="F34" s="1917">
        <f t="shared" si="5"/>
        <v>6.4402391816376081E-4</v>
      </c>
      <c r="G34" s="2310">
        <f t="shared" si="6"/>
        <v>31</v>
      </c>
      <c r="H34" s="1356">
        <f t="shared" si="2"/>
        <v>3401143.28</v>
      </c>
      <c r="J34" s="686">
        <f t="shared" si="7"/>
        <v>2022</v>
      </c>
      <c r="K34" s="686">
        <f>MONTH(C34)</f>
        <v>1</v>
      </c>
      <c r="L34" s="2373" t="str">
        <f t="shared" ref="L34:L47" si="8">+J34&amp;K34</f>
        <v>20221</v>
      </c>
      <c r="M34" s="686">
        <f t="shared" ref="M34:M47" si="9">+L34*1</f>
        <v>20221</v>
      </c>
    </row>
    <row r="35" spans="1:13" ht="13.5">
      <c r="A35" s="686">
        <v>20</v>
      </c>
      <c r="B35" s="1073">
        <v>44593</v>
      </c>
      <c r="C35" s="1073">
        <v>44620</v>
      </c>
      <c r="D35" s="1660">
        <v>0.183</v>
      </c>
      <c r="E35" s="1660">
        <f t="shared" si="3"/>
        <v>0.27449999999999997</v>
      </c>
      <c r="F35" s="1917">
        <f t="shared" si="5"/>
        <v>6.6475220558892545E-4</v>
      </c>
      <c r="G35" s="2310">
        <f t="shared" si="6"/>
        <v>28</v>
      </c>
      <c r="H35" s="1356">
        <f t="shared" si="2"/>
        <v>3170874.52</v>
      </c>
      <c r="J35" s="686">
        <f t="shared" si="7"/>
        <v>2022</v>
      </c>
      <c r="K35" s="2374" t="s">
        <v>1870</v>
      </c>
      <c r="L35" s="2373" t="str">
        <f t="shared" si="8"/>
        <v>202201</v>
      </c>
      <c r="M35" s="686">
        <f t="shared" si="9"/>
        <v>202201</v>
      </c>
    </row>
    <row r="36" spans="1:13" ht="13.5">
      <c r="A36" s="686">
        <v>21</v>
      </c>
      <c r="B36" s="1073">
        <v>44621</v>
      </c>
      <c r="C36" s="1073">
        <v>44651</v>
      </c>
      <c r="D36" s="1660">
        <v>0.1847</v>
      </c>
      <c r="E36" s="1660">
        <f t="shared" si="3"/>
        <v>0.27705000000000002</v>
      </c>
      <c r="F36" s="1917">
        <f t="shared" si="5"/>
        <v>6.7023198611315671E-4</v>
      </c>
      <c r="G36" s="2310">
        <f t="shared" si="6"/>
        <v>31</v>
      </c>
      <c r="H36" s="1356">
        <f t="shared" si="2"/>
        <v>3539550.25</v>
      </c>
      <c r="J36" s="686">
        <f t="shared" si="7"/>
        <v>2022</v>
      </c>
      <c r="K36" s="2375" t="s">
        <v>1871</v>
      </c>
      <c r="L36" s="2373" t="str">
        <f>+J36&amp;K36</f>
        <v>202202</v>
      </c>
      <c r="M36" s="686">
        <f>+L36*1</f>
        <v>202202</v>
      </c>
    </row>
    <row r="37" spans="1:13" ht="13.5">
      <c r="A37" s="686">
        <v>22</v>
      </c>
      <c r="B37" s="1073">
        <v>44652</v>
      </c>
      <c r="C37" s="1073">
        <v>44681</v>
      </c>
      <c r="D37" s="1660">
        <v>0.1905</v>
      </c>
      <c r="E37" s="1660">
        <f t="shared" si="3"/>
        <v>0.28575</v>
      </c>
      <c r="F37" s="1917">
        <f t="shared" si="5"/>
        <v>6.8884592812357148E-4</v>
      </c>
      <c r="G37" s="2310">
        <f t="shared" si="6"/>
        <v>30</v>
      </c>
      <c r="H37" s="1356">
        <f t="shared" si="2"/>
        <v>3520501.94</v>
      </c>
      <c r="J37" s="686">
        <f t="shared" si="7"/>
        <v>2022</v>
      </c>
      <c r="K37" s="2375" t="s">
        <v>1872</v>
      </c>
      <c r="L37" s="2373" t="str">
        <f t="shared" si="8"/>
        <v>202203</v>
      </c>
      <c r="M37" s="686">
        <f t="shared" si="9"/>
        <v>202203</v>
      </c>
    </row>
    <row r="38" spans="1:13" ht="13.5">
      <c r="A38" s="686">
        <v>23</v>
      </c>
      <c r="B38" s="1073">
        <v>44682</v>
      </c>
      <c r="C38" s="1073">
        <v>44712</v>
      </c>
      <c r="D38" s="1660">
        <v>0.1971</v>
      </c>
      <c r="E38" s="1660">
        <f t="shared" si="3"/>
        <v>0.29564999999999997</v>
      </c>
      <c r="F38" s="1917">
        <f t="shared" si="5"/>
        <v>7.0987512909947981E-4</v>
      </c>
      <c r="G38" s="2310">
        <f t="shared" si="6"/>
        <v>31</v>
      </c>
      <c r="H38" s="1356">
        <f t="shared" si="2"/>
        <v>3748908.95</v>
      </c>
      <c r="J38" s="686">
        <f t="shared" si="7"/>
        <v>2022</v>
      </c>
      <c r="K38" s="2375" t="s">
        <v>1873</v>
      </c>
      <c r="L38" s="2373" t="str">
        <f t="shared" si="8"/>
        <v>202204</v>
      </c>
      <c r="M38" s="686">
        <f t="shared" si="9"/>
        <v>202204</v>
      </c>
    </row>
    <row r="39" spans="1:13" ht="13.5">
      <c r="A39" s="686">
        <v>24</v>
      </c>
      <c r="B39" s="1073">
        <v>44713</v>
      </c>
      <c r="C39" s="1073">
        <v>44742</v>
      </c>
      <c r="D39" s="1660">
        <v>0.20399999999999999</v>
      </c>
      <c r="E39" s="1660">
        <f t="shared" si="3"/>
        <v>0.30599999999999999</v>
      </c>
      <c r="F39" s="1917">
        <f t="shared" si="5"/>
        <v>7.3168955664093538E-4</v>
      </c>
      <c r="G39" s="2310">
        <f t="shared" si="6"/>
        <v>30</v>
      </c>
      <c r="H39" s="1356">
        <f t="shared" si="2"/>
        <v>3739463.93</v>
      </c>
      <c r="J39" s="686">
        <f t="shared" si="7"/>
        <v>2022</v>
      </c>
      <c r="K39" s="2375" t="s">
        <v>1874</v>
      </c>
      <c r="L39" s="2373" t="str">
        <f t="shared" si="8"/>
        <v>202205</v>
      </c>
      <c r="M39" s="686">
        <f t="shared" si="9"/>
        <v>202205</v>
      </c>
    </row>
    <row r="40" spans="1:13" ht="13.5">
      <c r="A40" s="686">
        <v>25</v>
      </c>
      <c r="B40" s="1073">
        <v>44743</v>
      </c>
      <c r="C40" s="1073">
        <v>44773</v>
      </c>
      <c r="D40" s="1660">
        <v>0.21279999999999999</v>
      </c>
      <c r="E40" s="1660">
        <f t="shared" si="3"/>
        <v>0.31919999999999998</v>
      </c>
      <c r="F40" s="1917">
        <f t="shared" si="5"/>
        <v>7.5926204501630679E-4</v>
      </c>
      <c r="G40" s="2310">
        <f t="shared" si="6"/>
        <v>31</v>
      </c>
      <c r="H40" s="1356">
        <f t="shared" si="2"/>
        <v>4009725.31</v>
      </c>
      <c r="J40" s="686">
        <f t="shared" si="7"/>
        <v>2022</v>
      </c>
      <c r="K40" s="2375" t="s">
        <v>1875</v>
      </c>
      <c r="L40" s="2373" t="str">
        <f t="shared" si="8"/>
        <v>202206</v>
      </c>
      <c r="M40" s="686">
        <f t="shared" si="9"/>
        <v>202206</v>
      </c>
    </row>
    <row r="41" spans="1:13" ht="13.5">
      <c r="A41" s="686">
        <v>26</v>
      </c>
      <c r="B41" s="1073">
        <v>44774</v>
      </c>
      <c r="C41" s="1073">
        <v>44804</v>
      </c>
      <c r="D41" s="1660">
        <v>0.22209999999999999</v>
      </c>
      <c r="E41" s="1660">
        <f t="shared" si="3"/>
        <v>0.33315</v>
      </c>
      <c r="F41" s="1917">
        <f t="shared" si="5"/>
        <v>7.8810371394433254E-4</v>
      </c>
      <c r="G41" s="2310">
        <f t="shared" si="6"/>
        <v>31</v>
      </c>
      <c r="H41" s="1356">
        <f t="shared" si="2"/>
        <v>4162040.54</v>
      </c>
      <c r="J41" s="686">
        <f t="shared" si="7"/>
        <v>2022</v>
      </c>
      <c r="K41" s="2375" t="s">
        <v>1876</v>
      </c>
      <c r="L41" s="2373" t="str">
        <f t="shared" si="8"/>
        <v>202207</v>
      </c>
      <c r="M41" s="686">
        <f t="shared" si="9"/>
        <v>202207</v>
      </c>
    </row>
    <row r="42" spans="1:13" ht="13.5">
      <c r="A42" s="686">
        <v>27</v>
      </c>
      <c r="B42" s="1073">
        <v>44805</v>
      </c>
      <c r="C42" s="1073">
        <v>44834</v>
      </c>
      <c r="D42" s="1660">
        <v>0.23499999999999999</v>
      </c>
      <c r="E42" s="1660">
        <f t="shared" si="3"/>
        <v>0.35249999999999998</v>
      </c>
      <c r="F42" s="1917">
        <f t="shared" si="5"/>
        <v>8.2761552252574866E-4</v>
      </c>
      <c r="G42" s="2310">
        <f t="shared" si="6"/>
        <v>30</v>
      </c>
      <c r="H42" s="1356">
        <f t="shared" si="2"/>
        <v>4229715.1399999997</v>
      </c>
      <c r="J42" s="686">
        <f t="shared" si="7"/>
        <v>2022</v>
      </c>
      <c r="K42" s="2375" t="s">
        <v>1877</v>
      </c>
      <c r="L42" s="2373" t="str">
        <f t="shared" si="8"/>
        <v>202208</v>
      </c>
      <c r="M42" s="686">
        <f t="shared" si="9"/>
        <v>202208</v>
      </c>
    </row>
    <row r="43" spans="1:13" ht="13.5">
      <c r="A43" s="686">
        <v>28</v>
      </c>
      <c r="B43" s="1073">
        <v>44835</v>
      </c>
      <c r="C43" s="1073">
        <v>44865</v>
      </c>
      <c r="D43" s="1660">
        <v>0.24610000000000001</v>
      </c>
      <c r="E43" s="1660">
        <f t="shared" si="3"/>
        <v>0.36915000000000003</v>
      </c>
      <c r="F43" s="1917">
        <f t="shared" si="5"/>
        <v>8.611654102768096E-4</v>
      </c>
      <c r="G43" s="2310">
        <f t="shared" si="6"/>
        <v>31</v>
      </c>
      <c r="H43" s="1356">
        <f t="shared" si="2"/>
        <v>4547885.3600000003</v>
      </c>
      <c r="J43" s="686">
        <f t="shared" si="7"/>
        <v>2022</v>
      </c>
      <c r="K43" s="2375" t="s">
        <v>1878</v>
      </c>
      <c r="L43" s="2373" t="str">
        <f t="shared" si="8"/>
        <v>202209</v>
      </c>
      <c r="M43" s="686">
        <f t="shared" si="9"/>
        <v>202209</v>
      </c>
    </row>
    <row r="44" spans="1:13" ht="13.5">
      <c r="A44" s="686">
        <v>29</v>
      </c>
      <c r="B44" s="1073">
        <v>44866</v>
      </c>
      <c r="C44" s="1073">
        <v>44895</v>
      </c>
      <c r="D44" s="1660">
        <v>0.25779999999999997</v>
      </c>
      <c r="E44" s="1660">
        <f t="shared" si="3"/>
        <v>0.38669999999999993</v>
      </c>
      <c r="F44" s="1917">
        <f t="shared" si="5"/>
        <v>8.9609117817124329E-4</v>
      </c>
      <c r="G44" s="2310">
        <f t="shared" si="6"/>
        <v>30</v>
      </c>
      <c r="H44" s="1356">
        <f t="shared" si="2"/>
        <v>4579675.37</v>
      </c>
      <c r="J44" s="686">
        <f t="shared" si="7"/>
        <v>2022</v>
      </c>
      <c r="K44" s="2375" t="s">
        <v>1879</v>
      </c>
      <c r="L44" s="2373" t="str">
        <f t="shared" si="8"/>
        <v>202210</v>
      </c>
      <c r="M44" s="686">
        <f t="shared" si="9"/>
        <v>202210</v>
      </c>
    </row>
    <row r="45" spans="1:13" ht="13.5">
      <c r="A45" s="686">
        <v>30</v>
      </c>
      <c r="B45" s="1073">
        <v>44896</v>
      </c>
      <c r="C45" s="1073">
        <v>44926</v>
      </c>
      <c r="D45" s="1660">
        <v>0.27639999999999998</v>
      </c>
      <c r="E45" s="1660">
        <f t="shared" si="3"/>
        <v>0.41459999999999997</v>
      </c>
      <c r="F45" s="1917">
        <f t="shared" si="5"/>
        <v>9.5071686592063109E-4</v>
      </c>
      <c r="G45" s="2310">
        <f t="shared" si="6"/>
        <v>31</v>
      </c>
      <c r="H45" s="1356">
        <f t="shared" si="2"/>
        <v>5020813.97</v>
      </c>
      <c r="J45" s="686">
        <f t="shared" si="7"/>
        <v>2022</v>
      </c>
      <c r="K45" s="2375" t="s">
        <v>1880</v>
      </c>
      <c r="L45" s="2373" t="str">
        <f t="shared" si="8"/>
        <v>202211</v>
      </c>
      <c r="M45" s="686">
        <f t="shared" si="9"/>
        <v>202211</v>
      </c>
    </row>
    <row r="46" spans="1:13" ht="13.5">
      <c r="A46" s="686">
        <v>31</v>
      </c>
      <c r="B46" s="1073">
        <v>44927</v>
      </c>
      <c r="C46" s="1073">
        <v>44957</v>
      </c>
      <c r="D46" s="1660">
        <v>0.28839999999999999</v>
      </c>
      <c r="E46" s="1660">
        <f t="shared" si="3"/>
        <v>0.43259999999999998</v>
      </c>
      <c r="F46" s="1917">
        <f t="shared" ref="F46:F48" si="10">(1+E46)^(1/365)-1</f>
        <v>9.8539196132163553E-4</v>
      </c>
      <c r="G46" s="2310">
        <f t="shared" si="6"/>
        <v>31</v>
      </c>
      <c r="H46" s="1356">
        <f t="shared" si="2"/>
        <v>5203936</v>
      </c>
      <c r="J46" s="686">
        <f t="shared" si="7"/>
        <v>2023</v>
      </c>
      <c r="K46" s="2375" t="s">
        <v>1880</v>
      </c>
      <c r="L46" s="2373" t="str">
        <f t="shared" si="8"/>
        <v>202311</v>
      </c>
      <c r="M46" s="686">
        <f t="shared" si="9"/>
        <v>202311</v>
      </c>
    </row>
    <row r="47" spans="1:13" ht="13.5">
      <c r="A47" s="686">
        <v>32</v>
      </c>
      <c r="B47" s="1073">
        <v>44958</v>
      </c>
      <c r="C47" s="1073">
        <v>44985</v>
      </c>
      <c r="D47" s="1660">
        <v>0.30180000000000001</v>
      </c>
      <c r="E47" s="1660">
        <f t="shared" si="3"/>
        <v>0.45269999999999999</v>
      </c>
      <c r="F47" s="1917">
        <f t="shared" si="10"/>
        <v>1.0236026853662761E-3</v>
      </c>
      <c r="G47" s="2310">
        <f t="shared" si="6"/>
        <v>28</v>
      </c>
      <c r="H47" s="1356">
        <f t="shared" si="2"/>
        <v>4882594.82</v>
      </c>
      <c r="J47" s="686">
        <f t="shared" si="7"/>
        <v>2023</v>
      </c>
      <c r="K47" s="2375" t="s">
        <v>1880</v>
      </c>
      <c r="L47" s="2373" t="str">
        <f t="shared" si="8"/>
        <v>202311</v>
      </c>
      <c r="M47" s="686">
        <f t="shared" si="9"/>
        <v>202311</v>
      </c>
    </row>
    <row r="48" spans="1:13" ht="13.5">
      <c r="A48" s="686">
        <v>33</v>
      </c>
      <c r="B48" s="1073">
        <v>44986</v>
      </c>
      <c r="C48" s="1073">
        <v>45000</v>
      </c>
      <c r="D48" s="1660">
        <v>0.30840000000000001</v>
      </c>
      <c r="E48" s="1660">
        <f t="shared" si="3"/>
        <v>0.46260000000000001</v>
      </c>
      <c r="F48" s="1917">
        <f t="shared" si="10"/>
        <v>1.0422295217955568E-3</v>
      </c>
      <c r="G48" s="2310">
        <f t="shared" si="6"/>
        <v>15</v>
      </c>
      <c r="H48" s="1356">
        <f t="shared" si="2"/>
        <v>2663274.11</v>
      </c>
      <c r="J48" s="686">
        <f t="shared" si="7"/>
        <v>2023</v>
      </c>
      <c r="K48" s="2375"/>
      <c r="L48" s="2373"/>
    </row>
    <row r="49" spans="2:8" ht="14.25" thickBot="1">
      <c r="B49" s="814"/>
      <c r="C49" s="814"/>
      <c r="D49" s="814"/>
      <c r="E49" s="814"/>
      <c r="F49" s="2303"/>
      <c r="G49" s="2399" t="s">
        <v>97</v>
      </c>
      <c r="H49" s="1356">
        <f>SUM(H15:H48)</f>
        <v>87368740.61999999</v>
      </c>
    </row>
    <row r="50" spans="2:8" ht="13.5" thickTop="1">
      <c r="C50" s="2281" t="s">
        <v>346</v>
      </c>
      <c r="D50" s="2281"/>
    </row>
    <row r="51" spans="2:8" ht="13.5">
      <c r="C51" s="1667" t="s">
        <v>959</v>
      </c>
      <c r="D51" s="1616">
        <f>+D9</f>
        <v>170357492</v>
      </c>
      <c r="H51" s="686">
        <v>87368740.620000005</v>
      </c>
    </row>
    <row r="52" spans="2:8" ht="13.5">
      <c r="C52" s="1667" t="s">
        <v>1881</v>
      </c>
      <c r="D52" s="1616">
        <f>+H49</f>
        <v>87368740.61999999</v>
      </c>
    </row>
    <row r="53" spans="2:8">
      <c r="C53" s="1628" t="s">
        <v>1177</v>
      </c>
      <c r="D53" s="2037">
        <f>ROUND(SUM(D51:D52),2)</f>
        <v>257726232.62</v>
      </c>
    </row>
    <row r="54" spans="2:8" ht="12" customHeight="1">
      <c r="B54" s="217"/>
    </row>
    <row r="55" spans="2:8">
      <c r="B55" s="217"/>
    </row>
    <row r="56" spans="2:8">
      <c r="B56" s="217"/>
      <c r="C56" s="2282" t="s">
        <v>62</v>
      </c>
    </row>
    <row r="57" spans="2:8">
      <c r="B57" s="217"/>
      <c r="C57" s="2278"/>
    </row>
    <row r="58" spans="2:8">
      <c r="B58" s="217"/>
      <c r="C58" s="2278"/>
    </row>
    <row r="59" spans="2:8">
      <c r="C59" s="2282" t="s">
        <v>63</v>
      </c>
    </row>
    <row r="60" spans="2:8">
      <c r="C60" s="2282" t="s">
        <v>64</v>
      </c>
    </row>
    <row r="61" spans="2:8">
      <c r="C61" s="2282" t="s">
        <v>65</v>
      </c>
    </row>
  </sheetData>
  <pageMargins left="0.7" right="0.7" top="0.75" bottom="0.75" header="0.3" footer="0.3"/>
  <pageSetup paperSize="9" orientation="portrait"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D5890-96C3-4355-B8E5-7293051766F0}">
  <sheetPr codeName="Hoja116"/>
  <dimension ref="A3:G53"/>
  <sheetViews>
    <sheetView topLeftCell="A3" workbookViewId="0">
      <selection activeCell="B42" sqref="B42"/>
    </sheetView>
  </sheetViews>
  <sheetFormatPr defaultColWidth="11.42578125" defaultRowHeight="12.75"/>
  <cols>
    <col min="1" max="1" width="19" customWidth="1"/>
    <col min="2" max="2" width="22" customWidth="1"/>
    <col min="3" max="3" width="13.85546875" bestFit="1" customWidth="1"/>
    <col min="7" max="7" width="15.7109375" customWidth="1"/>
  </cols>
  <sheetData>
    <row r="3" spans="1:7">
      <c r="A3" s="1628" t="s">
        <v>1488</v>
      </c>
      <c r="B3" s="2422" t="s">
        <v>1882</v>
      </c>
    </row>
    <row r="4" spans="1:7">
      <c r="A4" s="1628" t="s">
        <v>1491</v>
      </c>
      <c r="B4" s="2422" t="s">
        <v>1883</v>
      </c>
    </row>
    <row r="5" spans="1:7" ht="25.5">
      <c r="A5" s="1628" t="s">
        <v>124</v>
      </c>
      <c r="B5" s="2423" t="s">
        <v>1884</v>
      </c>
    </row>
    <row r="6" spans="1:7">
      <c r="A6" s="1628" t="s">
        <v>1866</v>
      </c>
      <c r="B6" s="2426"/>
    </row>
    <row r="7" spans="1:7">
      <c r="A7" s="2384" t="s">
        <v>535</v>
      </c>
      <c r="B7" s="2424">
        <v>38823755</v>
      </c>
    </row>
    <row r="8" spans="1:7">
      <c r="A8" s="1628" t="s">
        <v>4</v>
      </c>
      <c r="B8" s="2425">
        <v>44589</v>
      </c>
    </row>
    <row r="11" spans="1:7">
      <c r="A11" s="470" t="s">
        <v>56</v>
      </c>
      <c r="B11" s="470" t="s">
        <v>57</v>
      </c>
    </row>
    <row r="12" spans="1:7" ht="51">
      <c r="A12" s="2400" t="s">
        <v>1885</v>
      </c>
      <c r="B12" s="102">
        <v>38823755</v>
      </c>
    </row>
    <row r="13" spans="1:7" ht="38.25">
      <c r="A13" s="2400" t="s">
        <v>1886</v>
      </c>
      <c r="B13" s="102">
        <v>24769458</v>
      </c>
    </row>
    <row r="14" spans="1:7">
      <c r="A14" s="3" t="s">
        <v>1887</v>
      </c>
      <c r="B14" s="2075">
        <f>SUM(B12:B13)</f>
        <v>63593213</v>
      </c>
    </row>
    <row r="15" spans="1:7">
      <c r="A15" s="188" t="s">
        <v>1888</v>
      </c>
      <c r="B15" s="8"/>
    </row>
    <row r="16" spans="1:7" ht="13.5">
      <c r="A16" s="2432" t="s">
        <v>1289</v>
      </c>
      <c r="B16" s="1983"/>
      <c r="C16" s="1983"/>
      <c r="D16" s="1983"/>
      <c r="E16" s="1983"/>
      <c r="F16" s="1983"/>
      <c r="G16" s="1983"/>
    </row>
    <row r="17" spans="1:7" ht="25.5">
      <c r="A17" s="1915" t="s">
        <v>206</v>
      </c>
      <c r="B17" s="1915" t="s">
        <v>10</v>
      </c>
      <c r="C17" s="2312" t="s">
        <v>1867</v>
      </c>
      <c r="D17" s="2311"/>
      <c r="E17" s="923" t="s">
        <v>88</v>
      </c>
      <c r="F17" s="970" t="s">
        <v>47</v>
      </c>
      <c r="G17" s="970" t="s">
        <v>48</v>
      </c>
    </row>
    <row r="18" spans="1:7" ht="13.5">
      <c r="A18" s="2401">
        <v>44544</v>
      </c>
      <c r="B18" s="2401">
        <v>44561</v>
      </c>
      <c r="C18" s="1660">
        <v>0.17460000000000001</v>
      </c>
      <c r="D18" s="1660">
        <f t="shared" ref="D18:D33" si="0">+C18*1.5</f>
        <v>0.26190000000000002</v>
      </c>
      <c r="E18" s="1917">
        <f>(1+D18)^(1/365)-1</f>
        <v>6.3751414410861962E-4</v>
      </c>
      <c r="F18" s="2310">
        <f>(B18-A18)+1</f>
        <v>18</v>
      </c>
      <c r="G18" s="1356">
        <f>ROUND($B$12*E18*F18,2)</f>
        <v>445512.47</v>
      </c>
    </row>
    <row r="19" spans="1:7" s="188" customFormat="1" ht="13.5">
      <c r="A19" s="2401">
        <v>44562</v>
      </c>
      <c r="B19" s="2401">
        <v>44592</v>
      </c>
      <c r="C19" s="1660">
        <v>0.17660000000000001</v>
      </c>
      <c r="D19" s="1660">
        <f t="shared" si="0"/>
        <v>0.26490000000000002</v>
      </c>
      <c r="E19" s="1917">
        <f t="shared" ref="E19:E33" si="1">(1+D19)^(1/365)-1</f>
        <v>6.4402391816376081E-4</v>
      </c>
      <c r="F19" s="2310">
        <f>(B19-A19)+1</f>
        <v>31</v>
      </c>
      <c r="G19" s="1356">
        <f t="shared" ref="G19:G33" si="2">ROUND($B$12*E19*F19,2)</f>
        <v>775106.23</v>
      </c>
    </row>
    <row r="20" spans="1:7" s="188" customFormat="1" ht="13.5">
      <c r="A20" s="2401">
        <v>44593</v>
      </c>
      <c r="B20" s="2401">
        <v>44620</v>
      </c>
      <c r="C20" s="1660">
        <v>0.183</v>
      </c>
      <c r="D20" s="1660">
        <f t="shared" si="0"/>
        <v>0.27449999999999997</v>
      </c>
      <c r="E20" s="1917">
        <f t="shared" si="1"/>
        <v>6.6475220558892545E-4</v>
      </c>
      <c r="F20" s="2310">
        <f t="shared" ref="F20:F33" si="3">(B20-A20)+1</f>
        <v>28</v>
      </c>
      <c r="G20" s="1356">
        <f t="shared" si="2"/>
        <v>722628.95</v>
      </c>
    </row>
    <row r="21" spans="1:7" s="188" customFormat="1" ht="13.5">
      <c r="A21" s="2401">
        <v>44621</v>
      </c>
      <c r="B21" s="2401">
        <v>44651</v>
      </c>
      <c r="C21" s="1660">
        <v>0.1847</v>
      </c>
      <c r="D21" s="1660">
        <f t="shared" si="0"/>
        <v>0.27705000000000002</v>
      </c>
      <c r="E21" s="1917">
        <f t="shared" si="1"/>
        <v>6.7023198611315671E-4</v>
      </c>
      <c r="F21" s="2310">
        <f t="shared" si="3"/>
        <v>31</v>
      </c>
      <c r="G21" s="1356">
        <f t="shared" si="2"/>
        <v>806648.6</v>
      </c>
    </row>
    <row r="22" spans="1:7" s="188" customFormat="1" ht="13.5">
      <c r="A22" s="2401">
        <v>44652</v>
      </c>
      <c r="B22" s="2401">
        <v>44681</v>
      </c>
      <c r="C22" s="1660">
        <v>0.1905</v>
      </c>
      <c r="D22" s="1660">
        <f t="shared" si="0"/>
        <v>0.28575</v>
      </c>
      <c r="E22" s="1917">
        <f t="shared" si="1"/>
        <v>6.8884592812357148E-4</v>
      </c>
      <c r="F22" s="2310">
        <f t="shared" si="3"/>
        <v>30</v>
      </c>
      <c r="G22" s="1356">
        <f t="shared" si="2"/>
        <v>802307.57</v>
      </c>
    </row>
    <row r="23" spans="1:7" ht="13.5">
      <c r="A23" s="2401">
        <v>44682</v>
      </c>
      <c r="B23" s="2401">
        <v>44712</v>
      </c>
      <c r="C23" s="1660">
        <v>0.1971</v>
      </c>
      <c r="D23" s="1660">
        <f t="shared" si="0"/>
        <v>0.29564999999999997</v>
      </c>
      <c r="E23" s="1917">
        <f t="shared" si="1"/>
        <v>7.0987512909947981E-4</v>
      </c>
      <c r="F23" s="2310">
        <f t="shared" si="3"/>
        <v>31</v>
      </c>
      <c r="G23" s="1356">
        <f t="shared" si="2"/>
        <v>854360.56</v>
      </c>
    </row>
    <row r="24" spans="1:7" ht="13.5">
      <c r="A24" s="2401">
        <v>44713</v>
      </c>
      <c r="B24" s="2401">
        <v>44742</v>
      </c>
      <c r="C24" s="1660">
        <v>0.20399999999999999</v>
      </c>
      <c r="D24" s="1660">
        <f t="shared" si="0"/>
        <v>0.30599999999999999</v>
      </c>
      <c r="E24" s="1917">
        <f t="shared" si="1"/>
        <v>7.3168955664093538E-4</v>
      </c>
      <c r="F24" s="2310">
        <f t="shared" si="3"/>
        <v>30</v>
      </c>
      <c r="G24" s="1356">
        <f t="shared" si="2"/>
        <v>852208.08</v>
      </c>
    </row>
    <row r="25" spans="1:7" ht="13.5">
      <c r="A25" s="2401">
        <v>44743</v>
      </c>
      <c r="B25" s="2401">
        <v>44773</v>
      </c>
      <c r="C25" s="1660">
        <v>0.21279999999999999</v>
      </c>
      <c r="D25" s="1660">
        <f t="shared" si="0"/>
        <v>0.31919999999999998</v>
      </c>
      <c r="E25" s="1917">
        <f t="shared" si="1"/>
        <v>7.5926204501630679E-4</v>
      </c>
      <c r="F25" s="2310">
        <f t="shared" si="3"/>
        <v>31</v>
      </c>
      <c r="G25" s="1356">
        <f t="shared" si="2"/>
        <v>913799.51</v>
      </c>
    </row>
    <row r="26" spans="1:7" ht="13.5">
      <c r="A26" s="2401">
        <v>44774</v>
      </c>
      <c r="B26" s="2401">
        <v>44804</v>
      </c>
      <c r="C26" s="1660">
        <v>0.22209999999999999</v>
      </c>
      <c r="D26" s="1660">
        <f t="shared" si="0"/>
        <v>0.33315</v>
      </c>
      <c r="E26" s="1917">
        <f t="shared" si="1"/>
        <v>7.8810371394433254E-4</v>
      </c>
      <c r="F26" s="2310">
        <f t="shared" si="3"/>
        <v>31</v>
      </c>
      <c r="G26" s="1356">
        <f t="shared" si="2"/>
        <v>948511.51</v>
      </c>
    </row>
    <row r="27" spans="1:7" ht="13.5">
      <c r="A27" s="2401">
        <v>44805</v>
      </c>
      <c r="B27" s="2401">
        <v>44834</v>
      </c>
      <c r="C27" s="1660">
        <v>0.23499999999999999</v>
      </c>
      <c r="D27" s="1660">
        <f t="shared" si="0"/>
        <v>0.35249999999999998</v>
      </c>
      <c r="E27" s="1917">
        <f t="shared" si="1"/>
        <v>8.2761552252574866E-4</v>
      </c>
      <c r="F27" s="2310">
        <f t="shared" si="3"/>
        <v>30</v>
      </c>
      <c r="G27" s="1356">
        <f t="shared" si="2"/>
        <v>963934.27</v>
      </c>
    </row>
    <row r="28" spans="1:7" ht="13.5">
      <c r="A28" s="2401">
        <v>44835</v>
      </c>
      <c r="B28" s="2401">
        <v>44865</v>
      </c>
      <c r="C28" s="1660">
        <v>0.24610000000000001</v>
      </c>
      <c r="D28" s="1660">
        <f t="shared" si="0"/>
        <v>0.36915000000000003</v>
      </c>
      <c r="E28" s="1917">
        <f t="shared" si="1"/>
        <v>8.611654102768096E-4</v>
      </c>
      <c r="F28" s="2310">
        <f t="shared" si="3"/>
        <v>31</v>
      </c>
      <c r="G28" s="1356">
        <f t="shared" si="2"/>
        <v>1036443.92</v>
      </c>
    </row>
    <row r="29" spans="1:7" ht="13.5">
      <c r="A29" s="2401">
        <v>44866</v>
      </c>
      <c r="B29" s="2401">
        <v>44895</v>
      </c>
      <c r="C29" s="1660">
        <v>0.25779999999999997</v>
      </c>
      <c r="D29" s="1660">
        <f t="shared" si="0"/>
        <v>0.38669999999999993</v>
      </c>
      <c r="E29" s="1917">
        <f t="shared" si="1"/>
        <v>8.9609117817124329E-4</v>
      </c>
      <c r="F29" s="2310">
        <f t="shared" si="3"/>
        <v>30</v>
      </c>
      <c r="G29" s="1356">
        <f t="shared" si="2"/>
        <v>1043688.73</v>
      </c>
    </row>
    <row r="30" spans="1:7" ht="13.5">
      <c r="A30" s="2401">
        <v>44896</v>
      </c>
      <c r="B30" s="2401">
        <v>44926</v>
      </c>
      <c r="C30" s="1660">
        <v>0.27639999999999998</v>
      </c>
      <c r="D30" s="1660">
        <f t="shared" si="0"/>
        <v>0.41459999999999997</v>
      </c>
      <c r="E30" s="1917">
        <f t="shared" si="1"/>
        <v>9.5071686592063109E-4</v>
      </c>
      <c r="F30" s="2310">
        <f t="shared" si="3"/>
        <v>31</v>
      </c>
      <c r="G30" s="1356">
        <f t="shared" si="2"/>
        <v>1144222.3600000001</v>
      </c>
    </row>
    <row r="31" spans="1:7" ht="13.5">
      <c r="A31" s="2401">
        <v>44927</v>
      </c>
      <c r="B31" s="2401">
        <v>44957</v>
      </c>
      <c r="C31" s="1660">
        <v>0.28839999999999999</v>
      </c>
      <c r="D31" s="1660">
        <f t="shared" si="0"/>
        <v>0.43259999999999998</v>
      </c>
      <c r="E31" s="1917">
        <f t="shared" si="1"/>
        <v>9.8539196132163553E-4</v>
      </c>
      <c r="F31" s="2310">
        <f t="shared" si="3"/>
        <v>31</v>
      </c>
      <c r="G31" s="1356">
        <f t="shared" si="2"/>
        <v>1185955.1000000001</v>
      </c>
    </row>
    <row r="32" spans="1:7" ht="13.5">
      <c r="A32" s="2401">
        <v>44958</v>
      </c>
      <c r="B32" s="2401">
        <v>44985</v>
      </c>
      <c r="C32" s="1660">
        <v>0.30180000000000001</v>
      </c>
      <c r="D32" s="1660">
        <f t="shared" si="0"/>
        <v>0.45269999999999999</v>
      </c>
      <c r="E32" s="1917">
        <f t="shared" si="1"/>
        <v>1.0236026853662761E-3</v>
      </c>
      <c r="F32" s="2310">
        <f t="shared" si="3"/>
        <v>28</v>
      </c>
      <c r="G32" s="1356">
        <f t="shared" si="2"/>
        <v>1112722.8</v>
      </c>
    </row>
    <row r="33" spans="1:7" ht="13.5">
      <c r="A33" s="2401">
        <v>44986</v>
      </c>
      <c r="B33" s="2401">
        <v>45016</v>
      </c>
      <c r="C33" s="1660">
        <v>0.30840000000000001</v>
      </c>
      <c r="D33" s="1660">
        <f t="shared" si="0"/>
        <v>0.46260000000000001</v>
      </c>
      <c r="E33" s="1917">
        <f t="shared" si="1"/>
        <v>1.0422295217955568E-3</v>
      </c>
      <c r="F33" s="2310">
        <f t="shared" si="3"/>
        <v>31</v>
      </c>
      <c r="G33" s="1356">
        <f t="shared" si="2"/>
        <v>1254361.17</v>
      </c>
    </row>
    <row r="34" spans="1:7" ht="13.5">
      <c r="A34" s="2401">
        <v>45017</v>
      </c>
      <c r="B34" s="2401">
        <v>45046</v>
      </c>
      <c r="C34" s="1660">
        <v>0.31390000000000001</v>
      </c>
      <c r="D34" s="1660">
        <f t="shared" ref="D34:D35" si="4">+C34*1.5</f>
        <v>0.47084999999999999</v>
      </c>
      <c r="E34" s="1917">
        <f t="shared" ref="E34:E35" si="5">(1+D34)^(1/365)-1</f>
        <v>1.0576560884423269E-3</v>
      </c>
      <c r="F34" s="2310">
        <f t="shared" ref="F34:F35" si="6">(B34-A34)+1</f>
        <v>30</v>
      </c>
      <c r="G34" s="1356">
        <f t="shared" ref="G34:G35" si="7">ROUND($B$12*E34*F34,2)</f>
        <v>1231865.43</v>
      </c>
    </row>
    <row r="35" spans="1:7" ht="13.5">
      <c r="A35" s="2401">
        <v>45047</v>
      </c>
      <c r="B35" s="2401">
        <v>45077</v>
      </c>
      <c r="C35" s="1660">
        <v>0.30270000000000002</v>
      </c>
      <c r="D35" s="1660">
        <f t="shared" si="4"/>
        <v>0.45405000000000006</v>
      </c>
      <c r="E35" s="1917">
        <f t="shared" si="5"/>
        <v>1.0261501497454972E-3</v>
      </c>
      <c r="F35" s="2310">
        <f t="shared" si="6"/>
        <v>31</v>
      </c>
      <c r="G35" s="1356">
        <f t="shared" si="7"/>
        <v>1235009.06</v>
      </c>
    </row>
    <row r="36" spans="1:7" ht="13.5">
      <c r="F36" s="3" t="s">
        <v>1266</v>
      </c>
      <c r="G36" s="1366">
        <f>SUM(G18:G35)</f>
        <v>17329286.32</v>
      </c>
    </row>
    <row r="37" spans="1:7">
      <c r="A37" s="2281" t="s">
        <v>346</v>
      </c>
      <c r="B37" s="2281"/>
    </row>
    <row r="38" spans="1:7" ht="13.5">
      <c r="A38" s="1667" t="s">
        <v>959</v>
      </c>
      <c r="B38" s="1616">
        <f>+B12</f>
        <v>38823755</v>
      </c>
    </row>
    <row r="39" spans="1:7" ht="26.25">
      <c r="A39" s="1667" t="s">
        <v>1886</v>
      </c>
      <c r="B39" s="1616">
        <f>+B13</f>
        <v>24769458</v>
      </c>
    </row>
    <row r="40" spans="1:7" ht="39">
      <c r="A40" s="1667" t="s">
        <v>1889</v>
      </c>
      <c r="B40" s="1616">
        <f>+G36</f>
        <v>17329286.32</v>
      </c>
    </row>
    <row r="41" spans="1:7">
      <c r="A41" s="1628" t="s">
        <v>1177</v>
      </c>
      <c r="B41" s="2037">
        <f>ROUND(SUM(B38:B40),2)</f>
        <v>80922499.319999993</v>
      </c>
    </row>
    <row r="42" spans="1:7">
      <c r="A42" s="686"/>
      <c r="B42" s="686"/>
    </row>
    <row r="43" spans="1:7">
      <c r="A43" s="686"/>
      <c r="B43" s="686"/>
    </row>
    <row r="44" spans="1:7">
      <c r="A44" s="2282" t="s">
        <v>62</v>
      </c>
      <c r="B44" s="686"/>
    </row>
    <row r="45" spans="1:7">
      <c r="A45" s="2278"/>
      <c r="B45" s="686"/>
    </row>
    <row r="46" spans="1:7">
      <c r="A46" s="2278"/>
      <c r="B46" s="686"/>
    </row>
    <row r="47" spans="1:7">
      <c r="A47" s="2282" t="s">
        <v>63</v>
      </c>
      <c r="B47" s="686"/>
    </row>
    <row r="48" spans="1:7">
      <c r="A48" s="2282" t="s">
        <v>64</v>
      </c>
      <c r="B48" s="686"/>
    </row>
    <row r="49" spans="1:3">
      <c r="A49" s="2282" t="s">
        <v>65</v>
      </c>
      <c r="B49" s="686"/>
    </row>
    <row r="51" spans="1:3" ht="13.5">
      <c r="A51" s="2523" t="s">
        <v>1890</v>
      </c>
      <c r="B51" s="8">
        <f>+ROUND($B$41*30%,2)</f>
        <v>24276749.800000001</v>
      </c>
      <c r="C51" s="8">
        <v>23536687.449999999</v>
      </c>
    </row>
    <row r="52" spans="1:3" ht="13.5">
      <c r="A52" s="2523" t="s">
        <v>1891</v>
      </c>
      <c r="B52" s="8">
        <f>+ROUND($B$41*70%,2)</f>
        <v>56645749.520000003</v>
      </c>
      <c r="C52" s="8">
        <v>54918937.380000003</v>
      </c>
    </row>
    <row r="53" spans="1:3" ht="13.5">
      <c r="A53" s="2523" t="s">
        <v>1892</v>
      </c>
      <c r="B53" s="2163">
        <f>+B51+B52</f>
        <v>80922499.320000008</v>
      </c>
    </row>
  </sheetData>
  <pageMargins left="0.7" right="0.7" top="0.75" bottom="0.75" header="0.3" footer="0.3"/>
  <pageSetup paperSize="9" orientation="portrait" horizontalDpi="300" verticalDpi="300"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218CF-C081-459C-9612-F2CDEAD0C6D1}">
  <sheetPr codeName="Hoja117"/>
  <dimension ref="A3:K338"/>
  <sheetViews>
    <sheetView topLeftCell="A71" zoomScale="110" zoomScaleNormal="110" workbookViewId="0">
      <selection activeCell="B301" sqref="B301"/>
    </sheetView>
  </sheetViews>
  <sheetFormatPr defaultColWidth="11.42578125" defaultRowHeight="12.75"/>
  <cols>
    <col min="1" max="1" width="2.7109375" style="686" bestFit="1" customWidth="1"/>
    <col min="2" max="2" width="14.7109375" style="686" customWidth="1"/>
    <col min="3" max="3" width="21.85546875" style="686" customWidth="1"/>
    <col min="4" max="4" width="11.42578125" style="686"/>
    <col min="5" max="5" width="19.140625" style="686" customWidth="1"/>
    <col min="6" max="7" width="14.42578125" style="686" bestFit="1" customWidth="1"/>
    <col min="8" max="8" width="17.7109375" style="686" customWidth="1"/>
    <col min="9" max="9" width="15.85546875" style="686" customWidth="1"/>
    <col min="10" max="10" width="11.42578125" style="686"/>
    <col min="11" max="11" width="13" style="686" bestFit="1" customWidth="1"/>
    <col min="12" max="16384" width="11.42578125" style="686"/>
  </cols>
  <sheetData>
    <row r="3" spans="2:6" ht="13.5">
      <c r="B3" s="1260" t="s">
        <v>1056</v>
      </c>
      <c r="C3" s="2231" t="s">
        <v>332</v>
      </c>
    </row>
    <row r="4" spans="2:6" ht="13.5">
      <c r="B4" s="1201" t="s">
        <v>825</v>
      </c>
      <c r="C4" s="2231" t="s">
        <v>1893</v>
      </c>
    </row>
    <row r="5" spans="2:6" ht="13.5" hidden="1">
      <c r="B5" s="1201" t="s">
        <v>1059</v>
      </c>
      <c r="C5" s="2433" t="s">
        <v>1894</v>
      </c>
    </row>
    <row r="6" spans="2:6" ht="13.5">
      <c r="B6" s="1201" t="s">
        <v>287</v>
      </c>
      <c r="C6" s="1234">
        <v>43615</v>
      </c>
    </row>
    <row r="7" spans="2:6">
      <c r="B7" s="1928" t="s">
        <v>1132</v>
      </c>
      <c r="C7" s="2338" t="s">
        <v>1895</v>
      </c>
    </row>
    <row r="8" spans="2:6" ht="13.5">
      <c r="B8" s="1201" t="s">
        <v>1866</v>
      </c>
      <c r="C8" s="1234">
        <v>44638</v>
      </c>
    </row>
    <row r="9" spans="2:6" ht="13.5">
      <c r="B9" s="1201" t="s">
        <v>1381</v>
      </c>
      <c r="C9" s="2433" t="s">
        <v>1896</v>
      </c>
      <c r="E9" s="2434">
        <v>828116</v>
      </c>
    </row>
    <row r="10" spans="2:6">
      <c r="B10" s="1628" t="s">
        <v>351</v>
      </c>
      <c r="C10" s="2231" t="s">
        <v>1897</v>
      </c>
      <c r="E10" s="2434"/>
    </row>
    <row r="11" spans="2:6">
      <c r="C11" s="686" t="s">
        <v>1898</v>
      </c>
      <c r="E11" s="2434">
        <f>+E9*500</f>
        <v>414058000</v>
      </c>
    </row>
    <row r="12" spans="2:6">
      <c r="C12" s="686" t="s">
        <v>1899</v>
      </c>
      <c r="E12" s="2434">
        <v>86904966</v>
      </c>
    </row>
    <row r="13" spans="2:6" ht="13.5" thickBot="1">
      <c r="C13" s="686" t="s">
        <v>1900</v>
      </c>
      <c r="E13" s="2435">
        <v>2493322</v>
      </c>
      <c r="F13" s="2436"/>
    </row>
    <row r="14" spans="2:6">
      <c r="D14" s="698" t="s">
        <v>1266</v>
      </c>
      <c r="E14" s="2436">
        <f>SUM(E11:E13)</f>
        <v>503456288</v>
      </c>
    </row>
    <row r="15" spans="2:6" ht="13.5">
      <c r="C15" s="1228"/>
      <c r="D15" s="1228"/>
    </row>
    <row r="16" spans="2:6" ht="13.5">
      <c r="C16" s="1628" t="s">
        <v>1015</v>
      </c>
      <c r="D16" s="2437" t="s">
        <v>259</v>
      </c>
      <c r="E16" s="2437" t="s">
        <v>253</v>
      </c>
      <c r="F16" s="1628" t="s">
        <v>1901</v>
      </c>
    </row>
    <row r="17" spans="1:7" ht="13.5">
      <c r="B17" s="686">
        <v>1</v>
      </c>
      <c r="C17" s="800" t="s">
        <v>1902</v>
      </c>
      <c r="D17" s="2126">
        <v>100</v>
      </c>
      <c r="E17" s="2104">
        <f>+D17*$E$9</f>
        <v>82811600</v>
      </c>
      <c r="F17" s="2149">
        <f>+E17/3</f>
        <v>27603866.666666668</v>
      </c>
      <c r="G17" s="2335">
        <f>ROUND(F17,2)</f>
        <v>27603866.670000002</v>
      </c>
    </row>
    <row r="18" spans="1:7" ht="13.5">
      <c r="B18" s="686">
        <v>2</v>
      </c>
      <c r="C18" s="800" t="s">
        <v>1903</v>
      </c>
      <c r="D18" s="2126">
        <v>100</v>
      </c>
      <c r="E18" s="2104">
        <f>+D18*$E$9</f>
        <v>82811600</v>
      </c>
      <c r="F18" s="2149">
        <f t="shared" ref="F18:F21" si="0">+E18/3</f>
        <v>27603866.666666668</v>
      </c>
      <c r="G18" s="2335">
        <f t="shared" ref="G18:G21" si="1">ROUND(F18,2)</f>
        <v>27603866.670000002</v>
      </c>
    </row>
    <row r="19" spans="1:7" ht="13.5">
      <c r="B19" s="686">
        <v>3</v>
      </c>
      <c r="C19" s="800" t="s">
        <v>1904</v>
      </c>
      <c r="D19" s="2126">
        <v>100</v>
      </c>
      <c r="E19" s="2104">
        <f>+D19*$E$9</f>
        <v>82811600</v>
      </c>
      <c r="F19" s="2149">
        <f t="shared" si="0"/>
        <v>27603866.666666668</v>
      </c>
      <c r="G19" s="2335">
        <f t="shared" si="1"/>
        <v>27603866.670000002</v>
      </c>
    </row>
    <row r="20" spans="1:7" ht="13.5">
      <c r="B20" s="686">
        <v>4</v>
      </c>
      <c r="C20" s="800" t="s">
        <v>1905</v>
      </c>
      <c r="D20" s="2126">
        <v>100</v>
      </c>
      <c r="E20" s="2104">
        <f>+D20*$E$9</f>
        <v>82811600</v>
      </c>
      <c r="F20" s="2149">
        <f t="shared" si="0"/>
        <v>27603866.666666668</v>
      </c>
      <c r="G20" s="2335">
        <f t="shared" si="1"/>
        <v>27603866.670000002</v>
      </c>
    </row>
    <row r="21" spans="1:7" ht="13.5">
      <c r="B21" s="686">
        <v>5</v>
      </c>
      <c r="C21" s="800" t="s">
        <v>1906</v>
      </c>
      <c r="D21" s="2126">
        <v>100</v>
      </c>
      <c r="E21" s="2104">
        <f>+D21*$E$9</f>
        <v>82811600</v>
      </c>
      <c r="F21" s="2149">
        <f t="shared" si="0"/>
        <v>27603866.666666668</v>
      </c>
      <c r="G21" s="2335">
        <f t="shared" si="1"/>
        <v>27603866.670000002</v>
      </c>
    </row>
    <row r="22" spans="1:7" ht="13.5">
      <c r="C22" s="2848" t="s">
        <v>316</v>
      </c>
      <c r="D22" s="2849"/>
      <c r="E22" s="2037">
        <f>SUM(E17:E21)</f>
        <v>414058000</v>
      </c>
      <c r="F22" s="2037">
        <f>SUM(F17:F21)</f>
        <v>138019333.33333334</v>
      </c>
      <c r="G22" s="2477">
        <f>SUM(G17:G21)</f>
        <v>138019333.35000002</v>
      </c>
    </row>
    <row r="23" spans="1:7" ht="13.5">
      <c r="C23" s="698" t="s">
        <v>1808</v>
      </c>
      <c r="D23" s="800"/>
    </row>
    <row r="24" spans="1:7" ht="13.5">
      <c r="B24" s="686">
        <v>1</v>
      </c>
      <c r="C24" s="800" t="s">
        <v>1902</v>
      </c>
      <c r="D24" s="800"/>
      <c r="E24" s="2104">
        <v>86904966</v>
      </c>
      <c r="F24" s="2149">
        <f>+E24/3</f>
        <v>28968322</v>
      </c>
      <c r="G24" s="2335">
        <f t="shared" ref="G24" si="2">ROUND(F24,2)</f>
        <v>28968322</v>
      </c>
    </row>
    <row r="26" spans="1:7" ht="13.5">
      <c r="C26" s="1628" t="s">
        <v>1907</v>
      </c>
      <c r="D26" s="800"/>
      <c r="E26" s="702"/>
    </row>
    <row r="27" spans="1:7" ht="13.5">
      <c r="B27" s="686">
        <v>2</v>
      </c>
      <c r="C27" s="800" t="s">
        <v>1903</v>
      </c>
      <c r="D27" s="800"/>
      <c r="E27" s="2104">
        <v>2493322</v>
      </c>
      <c r="F27" s="2149">
        <f>+E27/3</f>
        <v>831107.33333333337</v>
      </c>
      <c r="G27" s="2335">
        <f t="shared" ref="G27" si="3">ROUND(F27,2)</f>
        <v>831107.33</v>
      </c>
    </row>
    <row r="28" spans="1:7" ht="13.5">
      <c r="C28" s="2850" t="s">
        <v>316</v>
      </c>
      <c r="D28" s="2850"/>
      <c r="E28" s="2286">
        <f>+E22+E24+E27</f>
        <v>503456288</v>
      </c>
      <c r="F28" s="2286">
        <f>+F22+F24+F27</f>
        <v>167818762.66666669</v>
      </c>
      <c r="G28" s="2286">
        <f>+G22+G24+G27</f>
        <v>167818762.68000004</v>
      </c>
    </row>
    <row r="29" spans="1:7">
      <c r="C29" s="2851"/>
      <c r="D29" s="2851"/>
    </row>
    <row r="30" spans="1:7" ht="13.5">
      <c r="A30" s="686">
        <v>1</v>
      </c>
      <c r="B30" s="1348" t="s">
        <v>1902</v>
      </c>
    </row>
    <row r="31" spans="1:7">
      <c r="B31" s="698" t="s">
        <v>1908</v>
      </c>
      <c r="E31" s="698" t="s">
        <v>1909</v>
      </c>
    </row>
    <row r="32" spans="1:7">
      <c r="B32" s="698" t="s">
        <v>1910</v>
      </c>
      <c r="C32" s="2031">
        <f>+C6</f>
        <v>43615</v>
      </c>
      <c r="E32" s="2436">
        <f>+G17+F24</f>
        <v>56572188.670000002</v>
      </c>
      <c r="F32" s="718"/>
    </row>
    <row r="33" spans="1:8" ht="16.5" customHeight="1">
      <c r="B33" s="702"/>
      <c r="C33" s="2663" t="s">
        <v>1406</v>
      </c>
      <c r="D33" s="2663"/>
      <c r="E33" s="2663"/>
      <c r="F33" s="2663"/>
      <c r="G33" s="2663"/>
      <c r="H33" s="2663"/>
    </row>
    <row r="34" spans="1:8" ht="42" customHeight="1">
      <c r="B34" s="699" t="s">
        <v>147</v>
      </c>
      <c r="C34" s="699" t="s">
        <v>40</v>
      </c>
      <c r="D34" s="2441" t="s">
        <v>1911</v>
      </c>
      <c r="E34" s="700" t="s">
        <v>1830</v>
      </c>
      <c r="F34" s="1642" t="s">
        <v>43</v>
      </c>
      <c r="G34" s="1642" t="s">
        <v>47</v>
      </c>
      <c r="H34" s="1642" t="s">
        <v>48</v>
      </c>
    </row>
    <row r="35" spans="1:8" ht="13.5">
      <c r="A35" s="702">
        <v>1</v>
      </c>
      <c r="B35" s="2031">
        <v>43616</v>
      </c>
      <c r="C35" s="2031">
        <v>43616</v>
      </c>
      <c r="D35" s="1660">
        <v>0.19339999999999999</v>
      </c>
      <c r="E35" s="1660">
        <f>+D35*1.5</f>
        <v>0.29009999999999997</v>
      </c>
      <c r="F35" s="2094">
        <f>((1+E35)^(1/365)-1)</f>
        <v>6.9810584952367805E-4</v>
      </c>
      <c r="G35" s="2033">
        <f t="shared" ref="G35:G42" si="4">_xlfn.DAYS(C35,B35)+1</f>
        <v>1</v>
      </c>
      <c r="H35" s="1356">
        <f>ROUND(F35*$E$32*G35,2)</f>
        <v>39493.379999999997</v>
      </c>
    </row>
    <row r="36" spans="1:8" ht="13.5">
      <c r="A36" s="702">
        <v>2</v>
      </c>
      <c r="B36" s="2031">
        <v>43617</v>
      </c>
      <c r="C36" s="2031">
        <v>43646</v>
      </c>
      <c r="D36" s="1660">
        <v>0.193</v>
      </c>
      <c r="E36" s="1660">
        <f t="shared" ref="E36:E82" si="5">+D36*1.5</f>
        <v>0.28949999999999998</v>
      </c>
      <c r="F36" s="2094">
        <f t="shared" ref="F36:F82" si="6">((1+E36)^(1/365)-1)</f>
        <v>6.9683047181468005E-4</v>
      </c>
      <c r="G36" s="2033">
        <f t="shared" si="4"/>
        <v>30</v>
      </c>
      <c r="H36" s="1356">
        <f t="shared" ref="H36:H40" si="7">ROUND(F36*$E$32*G36,2)</f>
        <v>1182636.75</v>
      </c>
    </row>
    <row r="37" spans="1:8" ht="13.5">
      <c r="A37" s="702">
        <v>3</v>
      </c>
      <c r="B37" s="2031">
        <v>43647</v>
      </c>
      <c r="C37" s="2031">
        <v>43677</v>
      </c>
      <c r="D37" s="1660">
        <v>0.1928</v>
      </c>
      <c r="E37" s="1660">
        <f t="shared" si="5"/>
        <v>0.28920000000000001</v>
      </c>
      <c r="F37" s="2094">
        <f t="shared" si="6"/>
        <v>6.9619256101671745E-4</v>
      </c>
      <c r="G37" s="2033">
        <f t="shared" si="4"/>
        <v>31</v>
      </c>
      <c r="H37" s="1356">
        <f t="shared" si="7"/>
        <v>1220939.24</v>
      </c>
    </row>
    <row r="38" spans="1:8" ht="13.5">
      <c r="A38" s="702">
        <v>4</v>
      </c>
      <c r="B38" s="2031">
        <v>43678</v>
      </c>
      <c r="C38" s="2031">
        <v>43708</v>
      </c>
      <c r="D38" s="1660">
        <v>0.19320000000000001</v>
      </c>
      <c r="E38" s="1660">
        <f t="shared" si="5"/>
        <v>0.2898</v>
      </c>
      <c r="F38" s="2094">
        <f t="shared" si="6"/>
        <v>6.9746823462724095E-4</v>
      </c>
      <c r="G38" s="2033">
        <f t="shared" si="4"/>
        <v>31</v>
      </c>
      <c r="H38" s="1356">
        <f t="shared" si="7"/>
        <v>1223176.44</v>
      </c>
    </row>
    <row r="39" spans="1:8" ht="13.5">
      <c r="A39" s="702">
        <v>5</v>
      </c>
      <c r="B39" s="2031">
        <v>43709</v>
      </c>
      <c r="C39" s="2031">
        <v>43738</v>
      </c>
      <c r="D39" s="1660">
        <v>0.19320000000000001</v>
      </c>
      <c r="E39" s="1660">
        <f t="shared" si="5"/>
        <v>0.2898</v>
      </c>
      <c r="F39" s="2094">
        <f t="shared" si="6"/>
        <v>6.9746823462724095E-4</v>
      </c>
      <c r="G39" s="2033">
        <f t="shared" si="4"/>
        <v>30</v>
      </c>
      <c r="H39" s="1356">
        <f t="shared" si="7"/>
        <v>1183719.1399999999</v>
      </c>
    </row>
    <row r="40" spans="1:8" ht="13.5">
      <c r="A40" s="702">
        <v>6</v>
      </c>
      <c r="B40" s="2031">
        <v>43739</v>
      </c>
      <c r="C40" s="2031">
        <v>43769</v>
      </c>
      <c r="D40" s="1660">
        <v>0.191</v>
      </c>
      <c r="E40" s="1660">
        <f t="shared" si="5"/>
        <v>0.28649999999999998</v>
      </c>
      <c r="F40" s="2094">
        <f t="shared" si="6"/>
        <v>6.9044469314105683E-4</v>
      </c>
      <c r="G40" s="2033">
        <f t="shared" si="4"/>
        <v>31</v>
      </c>
      <c r="H40" s="1356">
        <f t="shared" si="7"/>
        <v>1210858.99</v>
      </c>
    </row>
    <row r="41" spans="1:8" ht="13.5">
      <c r="A41" s="702">
        <v>7</v>
      </c>
      <c r="B41" s="2031">
        <v>43770</v>
      </c>
      <c r="C41" s="2031">
        <v>43799</v>
      </c>
      <c r="D41" s="1660">
        <v>0.1903</v>
      </c>
      <c r="E41" s="1660">
        <f t="shared" si="5"/>
        <v>0.28544999999999998</v>
      </c>
      <c r="F41" s="2094">
        <f t="shared" si="6"/>
        <v>6.8820616169262827E-4</v>
      </c>
      <c r="G41" s="2438">
        <f t="shared" si="4"/>
        <v>30</v>
      </c>
      <c r="H41" s="1356">
        <f>ROUND(F41*$E$32*G41,2)</f>
        <v>1167999.8600000001</v>
      </c>
    </row>
    <row r="42" spans="1:8" ht="13.5">
      <c r="A42" s="702">
        <v>8</v>
      </c>
      <c r="B42" s="2031">
        <v>43800</v>
      </c>
      <c r="C42" s="2031">
        <v>43830</v>
      </c>
      <c r="D42" s="1660">
        <v>0.18959999999999999</v>
      </c>
      <c r="E42" s="1660">
        <f t="shared" si="5"/>
        <v>0.28439999999999999</v>
      </c>
      <c r="F42" s="2094">
        <f t="shared" si="6"/>
        <v>6.8596580600033263E-4</v>
      </c>
      <c r="G42" s="2438">
        <f t="shared" si="4"/>
        <v>31</v>
      </c>
      <c r="H42" s="1356">
        <v>0</v>
      </c>
    </row>
    <row r="43" spans="1:8" ht="13.5">
      <c r="A43" s="702">
        <v>9</v>
      </c>
      <c r="B43" s="2031">
        <v>43831</v>
      </c>
      <c r="C43" s="2031">
        <v>43861</v>
      </c>
      <c r="D43" s="1660">
        <v>0.18770000000000001</v>
      </c>
      <c r="E43" s="1660">
        <f t="shared" si="5"/>
        <v>0.28155000000000002</v>
      </c>
      <c r="F43" s="2094">
        <f t="shared" si="6"/>
        <v>6.7987562124560696E-4</v>
      </c>
      <c r="G43" s="2438">
        <f t="shared" ref="G43:G69" si="8">_xlfn.DAYS(C43,B43)+1</f>
        <v>31</v>
      </c>
      <c r="H43" s="1356">
        <v>0</v>
      </c>
    </row>
    <row r="44" spans="1:8" ht="13.5">
      <c r="A44" s="702">
        <v>10</v>
      </c>
      <c r="B44" s="2031">
        <v>43862</v>
      </c>
      <c r="C44" s="2031">
        <v>43890</v>
      </c>
      <c r="D44" s="1660">
        <v>0.19059999999999999</v>
      </c>
      <c r="E44" s="1660">
        <f t="shared" si="5"/>
        <v>0.28589999999999999</v>
      </c>
      <c r="F44" s="2094">
        <f t="shared" si="6"/>
        <v>6.8916575551658532E-4</v>
      </c>
      <c r="G44" s="2438">
        <f t="shared" si="8"/>
        <v>29</v>
      </c>
      <c r="H44" s="1356">
        <v>0</v>
      </c>
    </row>
    <row r="45" spans="1:8" ht="13.5">
      <c r="A45" s="702">
        <v>11</v>
      </c>
      <c r="B45" s="2031">
        <v>43891</v>
      </c>
      <c r="C45" s="2031">
        <v>43921</v>
      </c>
      <c r="D45" s="1660">
        <v>0.1895</v>
      </c>
      <c r="E45" s="1660">
        <f t="shared" si="5"/>
        <v>0.28425</v>
      </c>
      <c r="F45" s="2094">
        <f t="shared" si="6"/>
        <v>6.8564560609574166E-4</v>
      </c>
      <c r="G45" s="2438">
        <f t="shared" si="8"/>
        <v>31</v>
      </c>
      <c r="H45" s="1356">
        <v>0</v>
      </c>
    </row>
    <row r="46" spans="1:8" ht="13.5">
      <c r="A46" s="702">
        <v>12</v>
      </c>
      <c r="B46" s="2031">
        <v>43922</v>
      </c>
      <c r="C46" s="2031">
        <v>43951</v>
      </c>
      <c r="D46" s="1660">
        <v>0.18690000000000001</v>
      </c>
      <c r="E46" s="1660">
        <f t="shared" si="5"/>
        <v>0.28034999999999999</v>
      </c>
      <c r="F46" s="2094">
        <f t="shared" si="6"/>
        <v>6.7730729113191224E-4</v>
      </c>
      <c r="G46" s="2438">
        <f t="shared" si="8"/>
        <v>30</v>
      </c>
      <c r="H46" s="1356">
        <v>0</v>
      </c>
    </row>
    <row r="47" spans="1:8" ht="13.5">
      <c r="A47" s="702">
        <v>13</v>
      </c>
      <c r="B47" s="2031">
        <v>43952</v>
      </c>
      <c r="C47" s="2031">
        <v>43982</v>
      </c>
      <c r="D47" s="1660">
        <v>0.18190000000000001</v>
      </c>
      <c r="E47" s="1660">
        <f t="shared" si="5"/>
        <v>0.27285000000000004</v>
      </c>
      <c r="F47" s="2094">
        <f t="shared" si="6"/>
        <v>6.6120063584418354E-4</v>
      </c>
      <c r="G47" s="2438">
        <f t="shared" si="8"/>
        <v>31</v>
      </c>
      <c r="H47" s="1356">
        <v>0</v>
      </c>
    </row>
    <row r="48" spans="1:8" ht="13.5">
      <c r="A48" s="702">
        <v>14</v>
      </c>
      <c r="B48" s="2031">
        <v>43983</v>
      </c>
      <c r="C48" s="2031">
        <v>44012</v>
      </c>
      <c r="D48" s="1660">
        <v>0.1812</v>
      </c>
      <c r="E48" s="1660">
        <f t="shared" si="5"/>
        <v>0.27179999999999999</v>
      </c>
      <c r="F48" s="2094">
        <f t="shared" si="6"/>
        <v>6.5893815469997286E-4</v>
      </c>
      <c r="G48" s="2438">
        <f t="shared" si="8"/>
        <v>30</v>
      </c>
      <c r="H48" s="1356">
        <v>0</v>
      </c>
    </row>
    <row r="49" spans="1:8" ht="13.5">
      <c r="A49" s="702">
        <v>15</v>
      </c>
      <c r="B49" s="2031">
        <v>44013</v>
      </c>
      <c r="C49" s="2031">
        <v>44043</v>
      </c>
      <c r="D49" s="1660">
        <v>0.1812</v>
      </c>
      <c r="E49" s="1660">
        <f t="shared" si="5"/>
        <v>0.27179999999999999</v>
      </c>
      <c r="F49" s="2094">
        <f t="shared" si="6"/>
        <v>6.5893815469997286E-4</v>
      </c>
      <c r="G49" s="2438">
        <f t="shared" si="8"/>
        <v>31</v>
      </c>
      <c r="H49" s="1356">
        <v>0</v>
      </c>
    </row>
    <row r="50" spans="1:8" ht="13.5">
      <c r="A50" s="702">
        <v>16</v>
      </c>
      <c r="B50" s="2031">
        <v>44044</v>
      </c>
      <c r="C50" s="2031">
        <v>44074</v>
      </c>
      <c r="D50" s="1660">
        <v>0.18290000000000001</v>
      </c>
      <c r="E50" s="1660">
        <f t="shared" si="5"/>
        <v>0.27434999999999998</v>
      </c>
      <c r="F50" s="2094">
        <f t="shared" si="6"/>
        <v>6.6442952514544906E-4</v>
      </c>
      <c r="G50" s="2438">
        <f t="shared" si="8"/>
        <v>31</v>
      </c>
      <c r="H50" s="1356">
        <v>0</v>
      </c>
    </row>
    <row r="51" spans="1:8" ht="13.5">
      <c r="A51" s="702">
        <v>17</v>
      </c>
      <c r="B51" s="2031">
        <v>44075</v>
      </c>
      <c r="C51" s="2031">
        <v>44104</v>
      </c>
      <c r="D51" s="1660">
        <v>0.1835</v>
      </c>
      <c r="E51" s="1660">
        <f t="shared" si="5"/>
        <v>0.27524999999999999</v>
      </c>
      <c r="F51" s="2094">
        <f t="shared" si="6"/>
        <v>6.6636503991857055E-4</v>
      </c>
      <c r="G51" s="2438">
        <f t="shared" si="8"/>
        <v>30</v>
      </c>
      <c r="H51" s="1356">
        <v>0</v>
      </c>
    </row>
    <row r="52" spans="1:8" ht="13.5">
      <c r="A52" s="702">
        <v>18</v>
      </c>
      <c r="B52" s="2031">
        <v>44105</v>
      </c>
      <c r="C52" s="2031">
        <v>44135</v>
      </c>
      <c r="D52" s="1660">
        <v>0.18090000000000001</v>
      </c>
      <c r="E52" s="1660">
        <f t="shared" si="5"/>
        <v>0.27134999999999998</v>
      </c>
      <c r="F52" s="2094">
        <f t="shared" si="6"/>
        <v>6.5796794962613703E-4</v>
      </c>
      <c r="G52" s="2438">
        <f t="shared" si="8"/>
        <v>31</v>
      </c>
      <c r="H52" s="1356">
        <v>0</v>
      </c>
    </row>
    <row r="53" spans="1:8" ht="13.5">
      <c r="A53" s="702">
        <v>19</v>
      </c>
      <c r="B53" s="2031">
        <v>44136</v>
      </c>
      <c r="C53" s="2031">
        <v>44165</v>
      </c>
      <c r="D53" s="1660">
        <v>0.1784</v>
      </c>
      <c r="E53" s="1660">
        <f t="shared" si="5"/>
        <v>0.2676</v>
      </c>
      <c r="F53" s="2094">
        <f t="shared" si="6"/>
        <v>6.4986956374091243E-4</v>
      </c>
      <c r="G53" s="2438">
        <f t="shared" si="8"/>
        <v>30</v>
      </c>
      <c r="H53" s="1356">
        <v>0</v>
      </c>
    </row>
    <row r="54" spans="1:8" ht="13.5">
      <c r="A54" s="702">
        <v>20</v>
      </c>
      <c r="B54" s="2031">
        <v>44166</v>
      </c>
      <c r="C54" s="2031">
        <v>44196</v>
      </c>
      <c r="D54" s="1660">
        <v>0.17460000000000001</v>
      </c>
      <c r="E54" s="1660">
        <f t="shared" si="5"/>
        <v>0.26190000000000002</v>
      </c>
      <c r="F54" s="2094">
        <f t="shared" si="6"/>
        <v>6.3751414410861962E-4</v>
      </c>
      <c r="G54" s="2438">
        <f t="shared" si="8"/>
        <v>31</v>
      </c>
      <c r="H54" s="1356">
        <v>0</v>
      </c>
    </row>
    <row r="55" spans="1:8" ht="13.5">
      <c r="A55" s="702">
        <v>21</v>
      </c>
      <c r="B55" s="2031">
        <v>44197</v>
      </c>
      <c r="C55" s="2031">
        <v>44227</v>
      </c>
      <c r="D55" s="1660">
        <v>0.17319999999999999</v>
      </c>
      <c r="E55" s="1660">
        <f t="shared" si="5"/>
        <v>0.25979999999999998</v>
      </c>
      <c r="F55" s="2094">
        <f t="shared" si="6"/>
        <v>6.3294811266723094E-4</v>
      </c>
      <c r="G55" s="2438">
        <f t="shared" si="8"/>
        <v>31</v>
      </c>
      <c r="H55" s="1356">
        <v>0</v>
      </c>
    </row>
    <row r="56" spans="1:8" ht="13.5">
      <c r="A56" s="702">
        <v>22</v>
      </c>
      <c r="B56" s="2031">
        <v>44228</v>
      </c>
      <c r="C56" s="2031">
        <v>44255</v>
      </c>
      <c r="D56" s="1660">
        <v>0.1754</v>
      </c>
      <c r="E56" s="1660">
        <f t="shared" si="5"/>
        <v>0.2631</v>
      </c>
      <c r="F56" s="2094">
        <f t="shared" si="6"/>
        <v>6.4011990387169426E-4</v>
      </c>
      <c r="G56" s="2438">
        <f t="shared" si="8"/>
        <v>28</v>
      </c>
      <c r="H56" s="1356">
        <v>0</v>
      </c>
    </row>
    <row r="57" spans="1:8" ht="13.5">
      <c r="A57" s="702">
        <v>23</v>
      </c>
      <c r="B57" s="2031">
        <v>44256</v>
      </c>
      <c r="C57" s="2031">
        <v>44286</v>
      </c>
      <c r="D57" s="1660">
        <v>0.1741</v>
      </c>
      <c r="E57" s="1660">
        <f t="shared" si="5"/>
        <v>0.26114999999999999</v>
      </c>
      <c r="F57" s="2094">
        <f t="shared" si="6"/>
        <v>6.3588428907812578E-4</v>
      </c>
      <c r="G57" s="2438">
        <f t="shared" si="8"/>
        <v>31</v>
      </c>
      <c r="H57" s="1356">
        <v>0</v>
      </c>
    </row>
    <row r="58" spans="1:8" ht="13.5">
      <c r="A58" s="702">
        <v>24</v>
      </c>
      <c r="B58" s="2031">
        <v>44287</v>
      </c>
      <c r="C58" s="2031">
        <v>44316</v>
      </c>
      <c r="D58" s="1660">
        <v>0.1731</v>
      </c>
      <c r="E58" s="1660">
        <f t="shared" si="5"/>
        <v>0.25964999999999999</v>
      </c>
      <c r="F58" s="2094">
        <f t="shared" si="6"/>
        <v>6.326216771728177E-4</v>
      </c>
      <c r="G58" s="2438">
        <f t="shared" si="8"/>
        <v>30</v>
      </c>
      <c r="H58" s="1356">
        <v>0</v>
      </c>
    </row>
    <row r="59" spans="1:8" ht="13.5">
      <c r="A59" s="702">
        <v>25</v>
      </c>
      <c r="B59" s="2031">
        <v>44317</v>
      </c>
      <c r="C59" s="2031">
        <v>44347</v>
      </c>
      <c r="D59" s="1660">
        <v>0.17219999999999999</v>
      </c>
      <c r="E59" s="1660">
        <f t="shared" si="5"/>
        <v>0.25829999999999997</v>
      </c>
      <c r="F59" s="2094">
        <f t="shared" si="6"/>
        <v>6.2968201205726437E-4</v>
      </c>
      <c r="G59" s="2438">
        <f t="shared" si="8"/>
        <v>31</v>
      </c>
      <c r="H59" s="1356">
        <v>0</v>
      </c>
    </row>
    <row r="60" spans="1:8" ht="13.5">
      <c r="A60" s="702">
        <v>26</v>
      </c>
      <c r="B60" s="2031">
        <v>44348</v>
      </c>
      <c r="C60" s="2031">
        <v>44377</v>
      </c>
      <c r="D60" s="1660">
        <v>0.1721</v>
      </c>
      <c r="E60" s="1660">
        <f t="shared" si="5"/>
        <v>0.25814999999999999</v>
      </c>
      <c r="F60" s="2094">
        <f t="shared" si="6"/>
        <v>6.2935518846773952E-4</v>
      </c>
      <c r="G60" s="2438">
        <f t="shared" si="8"/>
        <v>30</v>
      </c>
      <c r="H60" s="1356">
        <v>0</v>
      </c>
    </row>
    <row r="61" spans="1:8" ht="13.5">
      <c r="A61" s="702">
        <v>27</v>
      </c>
      <c r="B61" s="2031">
        <v>44378</v>
      </c>
      <c r="C61" s="2031">
        <v>44408</v>
      </c>
      <c r="D61" s="1660">
        <v>0.17180000000000001</v>
      </c>
      <c r="E61" s="1660">
        <f t="shared" si="5"/>
        <v>0.25770000000000004</v>
      </c>
      <c r="F61" s="2094">
        <f t="shared" si="6"/>
        <v>6.2837448450037137E-4</v>
      </c>
      <c r="G61" s="2438">
        <f t="shared" si="8"/>
        <v>31</v>
      </c>
      <c r="H61" s="1356">
        <v>0</v>
      </c>
    </row>
    <row r="62" spans="1:8" ht="13.5">
      <c r="A62" s="702">
        <v>28</v>
      </c>
      <c r="B62" s="2031">
        <v>44409</v>
      </c>
      <c r="C62" s="2031">
        <v>44439</v>
      </c>
      <c r="D62" s="1660">
        <v>0.1724</v>
      </c>
      <c r="E62" s="1660">
        <f t="shared" si="5"/>
        <v>0.2586</v>
      </c>
      <c r="F62" s="2094">
        <f t="shared" si="6"/>
        <v>6.3033554269220637E-4</v>
      </c>
      <c r="G62" s="2438">
        <f t="shared" si="8"/>
        <v>31</v>
      </c>
      <c r="H62" s="1356">
        <v>0</v>
      </c>
    </row>
    <row r="63" spans="1:8" ht="13.5">
      <c r="A63" s="702">
        <v>29</v>
      </c>
      <c r="B63" s="2031">
        <v>44440</v>
      </c>
      <c r="C63" s="2031">
        <v>44469</v>
      </c>
      <c r="D63" s="1660">
        <v>0.1719</v>
      </c>
      <c r="E63" s="1660">
        <f t="shared" si="5"/>
        <v>0.25785000000000002</v>
      </c>
      <c r="F63" s="2094">
        <f t="shared" si="6"/>
        <v>6.2870142469861889E-4</v>
      </c>
      <c r="G63" s="2438">
        <f t="shared" si="8"/>
        <v>30</v>
      </c>
      <c r="H63" s="1356">
        <v>0</v>
      </c>
    </row>
    <row r="64" spans="1:8" ht="13.5">
      <c r="A64" s="702">
        <v>30</v>
      </c>
      <c r="B64" s="2031">
        <v>44470</v>
      </c>
      <c r="C64" s="2031">
        <v>44500</v>
      </c>
      <c r="D64" s="1660">
        <v>0.17080000000000001</v>
      </c>
      <c r="E64" s="1660">
        <f t="shared" si="5"/>
        <v>0.25619999999999998</v>
      </c>
      <c r="F64" s="2094">
        <f t="shared" si="6"/>
        <v>6.2510294214179751E-4</v>
      </c>
      <c r="G64" s="2438">
        <f t="shared" si="8"/>
        <v>31</v>
      </c>
      <c r="H64" s="1356">
        <v>0</v>
      </c>
    </row>
    <row r="65" spans="1:8" ht="13.5">
      <c r="A65" s="702">
        <v>31</v>
      </c>
      <c r="B65" s="2031">
        <v>44501</v>
      </c>
      <c r="C65" s="2031">
        <v>44530</v>
      </c>
      <c r="D65" s="1660">
        <v>0.17269999999999999</v>
      </c>
      <c r="E65" s="1660">
        <f t="shared" si="5"/>
        <v>0.25905</v>
      </c>
      <c r="F65" s="2094">
        <f t="shared" si="6"/>
        <v>6.3131554742335005E-4</v>
      </c>
      <c r="G65" s="2438">
        <f t="shared" si="8"/>
        <v>30</v>
      </c>
      <c r="H65" s="1356">
        <v>0</v>
      </c>
    </row>
    <row r="66" spans="1:8" ht="13.5">
      <c r="A66" s="702">
        <v>32</v>
      </c>
      <c r="B66" s="2031">
        <v>44531</v>
      </c>
      <c r="C66" s="2031">
        <v>44561</v>
      </c>
      <c r="D66" s="1660">
        <v>0.17460000000000001</v>
      </c>
      <c r="E66" s="1660">
        <f t="shared" si="5"/>
        <v>0.26190000000000002</v>
      </c>
      <c r="F66" s="2094">
        <f t="shared" si="6"/>
        <v>6.3751414410861962E-4</v>
      </c>
      <c r="G66" s="2438">
        <f t="shared" si="8"/>
        <v>31</v>
      </c>
      <c r="H66" s="1356">
        <v>0</v>
      </c>
    </row>
    <row r="67" spans="1:8" ht="13.5">
      <c r="A67" s="702">
        <v>33</v>
      </c>
      <c r="B67" s="2031">
        <v>44562</v>
      </c>
      <c r="C67" s="2031">
        <v>44592</v>
      </c>
      <c r="D67" s="1660">
        <v>0.17660000000000001</v>
      </c>
      <c r="E67" s="1660">
        <f t="shared" si="5"/>
        <v>0.26490000000000002</v>
      </c>
      <c r="F67" s="2094">
        <f t="shared" si="6"/>
        <v>6.4402391816376081E-4</v>
      </c>
      <c r="G67" s="2438">
        <f t="shared" si="8"/>
        <v>31</v>
      </c>
      <c r="H67" s="1356">
        <v>0</v>
      </c>
    </row>
    <row r="68" spans="1:8" ht="13.5">
      <c r="A68" s="702">
        <v>34</v>
      </c>
      <c r="B68" s="2031">
        <v>44593</v>
      </c>
      <c r="C68" s="2031">
        <v>44620</v>
      </c>
      <c r="D68" s="1660">
        <v>0.183</v>
      </c>
      <c r="E68" s="1660">
        <f t="shared" si="5"/>
        <v>0.27449999999999997</v>
      </c>
      <c r="F68" s="2094">
        <f t="shared" si="6"/>
        <v>6.6475220558892545E-4</v>
      </c>
      <c r="G68" s="2438">
        <f t="shared" si="8"/>
        <v>28</v>
      </c>
      <c r="H68" s="1356">
        <v>0</v>
      </c>
    </row>
    <row r="69" spans="1:8" ht="13.5">
      <c r="A69" s="702">
        <v>35</v>
      </c>
      <c r="B69" s="2031">
        <v>44621</v>
      </c>
      <c r="C69" s="2031">
        <v>44637</v>
      </c>
      <c r="D69" s="1660">
        <v>0.1847</v>
      </c>
      <c r="E69" s="1660">
        <f t="shared" si="5"/>
        <v>0.27705000000000002</v>
      </c>
      <c r="F69" s="2094">
        <f t="shared" si="6"/>
        <v>6.7023198611315671E-4</v>
      </c>
      <c r="G69" s="2438">
        <f t="shared" si="8"/>
        <v>17</v>
      </c>
      <c r="H69" s="1356">
        <v>0</v>
      </c>
    </row>
    <row r="70" spans="1:8" ht="13.5">
      <c r="A70" s="702">
        <v>36</v>
      </c>
      <c r="B70" s="2212">
        <v>44638</v>
      </c>
      <c r="C70" s="2212">
        <v>44651</v>
      </c>
      <c r="D70" s="1660">
        <v>0.1847</v>
      </c>
      <c r="E70" s="1660">
        <f t="shared" si="5"/>
        <v>0.27705000000000002</v>
      </c>
      <c r="F70" s="2094">
        <f t="shared" si="6"/>
        <v>6.7023198611315671E-4</v>
      </c>
      <c r="G70" s="2438">
        <f t="shared" ref="G70:G82" si="9">_xlfn.DAYS(C70,B70)+1</f>
        <v>14</v>
      </c>
      <c r="H70" s="1356">
        <f>ROUND(F70*$E$32*G70,2)</f>
        <v>530830.87</v>
      </c>
    </row>
    <row r="71" spans="1:8" ht="13.5">
      <c r="A71" s="702">
        <v>37</v>
      </c>
      <c r="B71" s="2031">
        <v>44652</v>
      </c>
      <c r="C71" s="2031">
        <v>44681</v>
      </c>
      <c r="D71" s="1660">
        <v>0.1905</v>
      </c>
      <c r="E71" s="1660">
        <f t="shared" si="5"/>
        <v>0.28575</v>
      </c>
      <c r="F71" s="2094">
        <f t="shared" si="6"/>
        <v>6.8884592812357148E-4</v>
      </c>
      <c r="G71" s="2438">
        <f t="shared" si="9"/>
        <v>30</v>
      </c>
      <c r="H71" s="1356">
        <f>ROUND(F71*$E$32*G71,2)</f>
        <v>1169085.6499999999</v>
      </c>
    </row>
    <row r="72" spans="1:8" ht="13.5">
      <c r="A72" s="702">
        <v>38</v>
      </c>
      <c r="B72" s="2031">
        <v>44682</v>
      </c>
      <c r="C72" s="2031">
        <v>44712</v>
      </c>
      <c r="D72" s="1660">
        <v>0.1971</v>
      </c>
      <c r="E72" s="1660">
        <f t="shared" si="5"/>
        <v>0.29564999999999997</v>
      </c>
      <c r="F72" s="2094">
        <f t="shared" si="6"/>
        <v>7.0987512909947981E-4</v>
      </c>
      <c r="G72" s="2438">
        <f t="shared" si="9"/>
        <v>31</v>
      </c>
      <c r="H72" s="1356">
        <f t="shared" ref="H72:H82" si="10">ROUND(F72*$E$32*G72,2)</f>
        <v>1244934.8799999999</v>
      </c>
    </row>
    <row r="73" spans="1:8" ht="13.5">
      <c r="A73" s="702">
        <v>39</v>
      </c>
      <c r="B73" s="2031">
        <v>44713</v>
      </c>
      <c r="C73" s="2031">
        <v>44742</v>
      </c>
      <c r="D73" s="1660">
        <v>0.20399999999999999</v>
      </c>
      <c r="E73" s="1660">
        <f t="shared" si="5"/>
        <v>0.30599999999999999</v>
      </c>
      <c r="F73" s="2094">
        <f t="shared" si="6"/>
        <v>7.3168955664093538E-4</v>
      </c>
      <c r="G73" s="2438">
        <f t="shared" si="9"/>
        <v>30</v>
      </c>
      <c r="H73" s="1356">
        <f t="shared" si="10"/>
        <v>1241798.3899999999</v>
      </c>
    </row>
    <row r="74" spans="1:8" ht="13.5">
      <c r="A74" s="702">
        <v>40</v>
      </c>
      <c r="B74" s="2031">
        <v>44743</v>
      </c>
      <c r="C74" s="2031">
        <v>44773</v>
      </c>
      <c r="D74" s="1660">
        <v>0.21279999999999999</v>
      </c>
      <c r="E74" s="1660">
        <f t="shared" si="5"/>
        <v>0.31919999999999998</v>
      </c>
      <c r="F74" s="2094">
        <f t="shared" si="6"/>
        <v>7.5926204501630679E-4</v>
      </c>
      <c r="G74" s="2438">
        <f t="shared" si="9"/>
        <v>31</v>
      </c>
      <c r="H74" s="1356">
        <f t="shared" si="10"/>
        <v>1331546.5900000001</v>
      </c>
    </row>
    <row r="75" spans="1:8" ht="13.5">
      <c r="A75" s="702">
        <v>41</v>
      </c>
      <c r="B75" s="2031">
        <v>44774</v>
      </c>
      <c r="C75" s="2031">
        <v>44804</v>
      </c>
      <c r="D75" s="1660">
        <v>0.22209999999999999</v>
      </c>
      <c r="E75" s="1660">
        <f t="shared" si="5"/>
        <v>0.33315</v>
      </c>
      <c r="F75" s="2094">
        <f t="shared" si="6"/>
        <v>7.8810371394433254E-4</v>
      </c>
      <c r="G75" s="2438">
        <f t="shared" si="9"/>
        <v>31</v>
      </c>
      <c r="H75" s="1356">
        <f t="shared" si="10"/>
        <v>1382127.31</v>
      </c>
    </row>
    <row r="76" spans="1:8" ht="13.5">
      <c r="A76" s="702">
        <v>42</v>
      </c>
      <c r="B76" s="2031">
        <v>44805</v>
      </c>
      <c r="C76" s="2031">
        <v>44834</v>
      </c>
      <c r="D76" s="1660">
        <v>0.23499999999999999</v>
      </c>
      <c r="E76" s="1660">
        <f t="shared" si="5"/>
        <v>0.35249999999999998</v>
      </c>
      <c r="F76" s="2094">
        <f t="shared" si="6"/>
        <v>8.2761552252574866E-4</v>
      </c>
      <c r="G76" s="2438">
        <f t="shared" si="9"/>
        <v>30</v>
      </c>
      <c r="H76" s="1356">
        <f t="shared" si="10"/>
        <v>1404600.64</v>
      </c>
    </row>
    <row r="77" spans="1:8" ht="13.5">
      <c r="A77" s="702">
        <v>43</v>
      </c>
      <c r="B77" s="2031">
        <v>44835</v>
      </c>
      <c r="C77" s="2031">
        <v>44865</v>
      </c>
      <c r="D77" s="1660">
        <v>0.24610000000000001</v>
      </c>
      <c r="E77" s="1660">
        <f t="shared" si="5"/>
        <v>0.36915000000000003</v>
      </c>
      <c r="F77" s="2094">
        <f t="shared" si="6"/>
        <v>8.611654102768096E-4</v>
      </c>
      <c r="G77" s="2438">
        <f t="shared" si="9"/>
        <v>31</v>
      </c>
      <c r="H77" s="1356">
        <f t="shared" si="10"/>
        <v>1510258.37</v>
      </c>
    </row>
    <row r="78" spans="1:8" ht="13.5">
      <c r="A78" s="702">
        <v>44</v>
      </c>
      <c r="B78" s="2031">
        <v>44866</v>
      </c>
      <c r="C78" s="2031">
        <v>44895</v>
      </c>
      <c r="D78" s="1660">
        <v>0.25779999999999997</v>
      </c>
      <c r="E78" s="1660">
        <f t="shared" si="5"/>
        <v>0.38669999999999993</v>
      </c>
      <c r="F78" s="2094">
        <f t="shared" si="6"/>
        <v>8.9609117817124329E-4</v>
      </c>
      <c r="G78" s="2438">
        <f t="shared" si="9"/>
        <v>30</v>
      </c>
      <c r="H78" s="1356">
        <f t="shared" si="10"/>
        <v>1520815.18</v>
      </c>
    </row>
    <row r="79" spans="1:8" ht="13.5">
      <c r="A79" s="702">
        <v>45</v>
      </c>
      <c r="B79" s="2031">
        <v>44896</v>
      </c>
      <c r="C79" s="2031">
        <v>44926</v>
      </c>
      <c r="D79" s="1660">
        <v>0.27639999999999998</v>
      </c>
      <c r="E79" s="1660">
        <f t="shared" si="5"/>
        <v>0.41459999999999997</v>
      </c>
      <c r="F79" s="2094">
        <f t="shared" si="6"/>
        <v>9.5071686592063109E-4</v>
      </c>
      <c r="G79" s="2438">
        <f t="shared" si="9"/>
        <v>31</v>
      </c>
      <c r="H79" s="1356">
        <f t="shared" si="10"/>
        <v>1667308.15</v>
      </c>
    </row>
    <row r="80" spans="1:8" ht="13.5">
      <c r="A80" s="702">
        <v>46</v>
      </c>
      <c r="B80" s="2031">
        <v>44927</v>
      </c>
      <c r="C80" s="2031">
        <v>44957</v>
      </c>
      <c r="D80" s="1660">
        <v>0.28839999999999999</v>
      </c>
      <c r="E80" s="1660">
        <f t="shared" si="5"/>
        <v>0.43259999999999998</v>
      </c>
      <c r="F80" s="2094">
        <f t="shared" si="6"/>
        <v>9.8539196132163553E-4</v>
      </c>
      <c r="G80" s="2438">
        <f t="shared" si="9"/>
        <v>31</v>
      </c>
      <c r="H80" s="1356">
        <f t="shared" si="10"/>
        <v>1728119.18</v>
      </c>
    </row>
    <row r="81" spans="1:9" ht="13.5">
      <c r="A81" s="702">
        <v>47</v>
      </c>
      <c r="B81" s="2031">
        <v>44958</v>
      </c>
      <c r="C81" s="2031">
        <v>44985</v>
      </c>
      <c r="D81" s="1660">
        <v>0.30180000000000001</v>
      </c>
      <c r="E81" s="1660">
        <f t="shared" si="5"/>
        <v>0.45269999999999999</v>
      </c>
      <c r="F81" s="2094">
        <f t="shared" si="6"/>
        <v>1.0236026853662761E-3</v>
      </c>
      <c r="G81" s="2438">
        <f t="shared" si="9"/>
        <v>28</v>
      </c>
      <c r="H81" s="1356">
        <f t="shared" si="10"/>
        <v>1621408.44</v>
      </c>
    </row>
    <row r="82" spans="1:9" ht="13.5">
      <c r="A82" s="702">
        <v>48</v>
      </c>
      <c r="B82" s="2031">
        <v>44986</v>
      </c>
      <c r="C82" s="2031">
        <v>45006</v>
      </c>
      <c r="D82" s="1660">
        <v>0.30840000000000001</v>
      </c>
      <c r="E82" s="1660">
        <f t="shared" si="5"/>
        <v>0.46260000000000001</v>
      </c>
      <c r="F82" s="2094">
        <f t="shared" si="6"/>
        <v>1.0422295217955568E-3</v>
      </c>
      <c r="G82" s="2438">
        <f t="shared" si="9"/>
        <v>21</v>
      </c>
      <c r="H82" s="1356">
        <f t="shared" si="10"/>
        <v>1238185.31</v>
      </c>
      <c r="I82" s="686">
        <v>1238185.31</v>
      </c>
    </row>
    <row r="83" spans="1:9" ht="13.5">
      <c r="F83" s="2663" t="s">
        <v>338</v>
      </c>
      <c r="G83" s="2663"/>
      <c r="H83" s="2387">
        <f>SUM(H35:H82)</f>
        <v>24819842.759999998</v>
      </c>
      <c r="I83" s="686">
        <v>24819842.759999998</v>
      </c>
    </row>
    <row r="84" spans="1:9" ht="13.5">
      <c r="B84" s="1228"/>
    </row>
    <row r="85" spans="1:9">
      <c r="G85" s="2333"/>
      <c r="H85" s="2439"/>
    </row>
    <row r="86" spans="1:9" ht="13.5">
      <c r="A86" s="686">
        <v>2</v>
      </c>
      <c r="B86" s="1348" t="str">
        <f>+C18</f>
        <v>JUAN PABLO ARISTIZABAL GIL</v>
      </c>
    </row>
    <row r="87" spans="1:9">
      <c r="B87" s="698" t="s">
        <v>1908</v>
      </c>
      <c r="E87" s="698" t="s">
        <v>1909</v>
      </c>
    </row>
    <row r="88" spans="1:9">
      <c r="B88" s="698" t="s">
        <v>1910</v>
      </c>
      <c r="C88" s="2031">
        <v>43615</v>
      </c>
      <c r="E88" s="2436">
        <f>+G18+F27</f>
        <v>28434974.003333334</v>
      </c>
      <c r="F88" s="718"/>
    </row>
    <row r="89" spans="1:9">
      <c r="B89" s="702"/>
      <c r="C89" s="2663" t="s">
        <v>1406</v>
      </c>
      <c r="D89" s="2663"/>
      <c r="E89" s="2663"/>
      <c r="F89" s="2663"/>
      <c r="G89" s="2663"/>
      <c r="H89" s="2663"/>
    </row>
    <row r="90" spans="1:9" ht="38.25">
      <c r="B90" s="699" t="s">
        <v>147</v>
      </c>
      <c r="C90" s="699" t="s">
        <v>40</v>
      </c>
      <c r="D90" s="2441" t="s">
        <v>1911</v>
      </c>
      <c r="E90" s="700" t="s">
        <v>1830</v>
      </c>
      <c r="F90" s="1642" t="s">
        <v>43</v>
      </c>
      <c r="G90" s="1642" t="s">
        <v>47</v>
      </c>
      <c r="H90" s="1642" t="s">
        <v>48</v>
      </c>
    </row>
    <row r="91" spans="1:9" ht="13.5">
      <c r="A91" s="702">
        <v>1</v>
      </c>
      <c r="B91" s="2031">
        <v>43616</v>
      </c>
      <c r="C91" s="2031">
        <v>43616</v>
      </c>
      <c r="D91" s="1660">
        <v>0.19339999999999999</v>
      </c>
      <c r="E91" s="1660">
        <f>+D91*1.5</f>
        <v>0.29009999999999997</v>
      </c>
      <c r="F91" s="2094">
        <f>((1+E91)^(1/365)-1)</f>
        <v>6.9810584952367805E-4</v>
      </c>
      <c r="G91" s="2033">
        <f t="shared" ref="G91:G138" si="11">_xlfn.DAYS(C91,B91)+1</f>
        <v>1</v>
      </c>
      <c r="H91" s="1356">
        <f>ROUND(F91*$E$88*G91,2)</f>
        <v>19850.62</v>
      </c>
    </row>
    <row r="92" spans="1:9" ht="13.5">
      <c r="A92" s="702">
        <v>2</v>
      </c>
      <c r="B92" s="2031">
        <v>43617</v>
      </c>
      <c r="C92" s="2031">
        <v>43646</v>
      </c>
      <c r="D92" s="1660">
        <v>0.193</v>
      </c>
      <c r="E92" s="1660">
        <f t="shared" ref="E92:E138" si="12">+D92*1.5</f>
        <v>0.28949999999999998</v>
      </c>
      <c r="F92" s="2094">
        <f t="shared" ref="F92:F138" si="13">((1+E92)^(1/365)-1)</f>
        <v>6.9683047181468005E-4</v>
      </c>
      <c r="G92" s="2033">
        <f t="shared" si="11"/>
        <v>30</v>
      </c>
      <c r="H92" s="1356">
        <f t="shared" ref="H92:H97" si="14">ROUND(F92*$E$88*G92,2)</f>
        <v>594430.68999999994</v>
      </c>
    </row>
    <row r="93" spans="1:9" ht="13.5">
      <c r="A93" s="702">
        <v>3</v>
      </c>
      <c r="B93" s="2031">
        <v>43647</v>
      </c>
      <c r="C93" s="2031">
        <v>43677</v>
      </c>
      <c r="D93" s="1660">
        <v>0.1928</v>
      </c>
      <c r="E93" s="1660">
        <f t="shared" si="12"/>
        <v>0.28920000000000001</v>
      </c>
      <c r="F93" s="2094">
        <f t="shared" si="13"/>
        <v>6.9619256101671745E-4</v>
      </c>
      <c r="G93" s="2033">
        <f t="shared" si="11"/>
        <v>31</v>
      </c>
      <c r="H93" s="1356">
        <f t="shared" si="14"/>
        <v>613682.74</v>
      </c>
    </row>
    <row r="94" spans="1:9" ht="13.5">
      <c r="A94" s="702">
        <v>4</v>
      </c>
      <c r="B94" s="2031">
        <v>43678</v>
      </c>
      <c r="C94" s="2031">
        <v>43708</v>
      </c>
      <c r="D94" s="1660">
        <v>0.19320000000000001</v>
      </c>
      <c r="E94" s="1660">
        <f t="shared" si="12"/>
        <v>0.2898</v>
      </c>
      <c r="F94" s="2094">
        <f t="shared" si="13"/>
        <v>6.9746823462724095E-4</v>
      </c>
      <c r="G94" s="2033">
        <f t="shared" si="11"/>
        <v>31</v>
      </c>
      <c r="H94" s="1356">
        <f t="shared" si="14"/>
        <v>614807.22</v>
      </c>
    </row>
    <row r="95" spans="1:9" ht="13.5">
      <c r="A95" s="702">
        <v>5</v>
      </c>
      <c r="B95" s="2031">
        <v>43709</v>
      </c>
      <c r="C95" s="2031">
        <v>43738</v>
      </c>
      <c r="D95" s="1660">
        <v>0.19320000000000001</v>
      </c>
      <c r="E95" s="1660">
        <f t="shared" si="12"/>
        <v>0.2898</v>
      </c>
      <c r="F95" s="2094">
        <f t="shared" si="13"/>
        <v>6.9746823462724095E-4</v>
      </c>
      <c r="G95" s="2033">
        <f t="shared" si="11"/>
        <v>30</v>
      </c>
      <c r="H95" s="1356">
        <f t="shared" si="14"/>
        <v>594974.73</v>
      </c>
    </row>
    <row r="96" spans="1:9" ht="13.5">
      <c r="A96" s="702">
        <v>6</v>
      </c>
      <c r="B96" s="2031">
        <v>43739</v>
      </c>
      <c r="C96" s="2031">
        <v>43769</v>
      </c>
      <c r="D96" s="1660">
        <v>0.191</v>
      </c>
      <c r="E96" s="1660">
        <f t="shared" si="12"/>
        <v>0.28649999999999998</v>
      </c>
      <c r="F96" s="2094">
        <f t="shared" si="13"/>
        <v>6.9044469314105683E-4</v>
      </c>
      <c r="G96" s="2033">
        <f t="shared" si="11"/>
        <v>31</v>
      </c>
      <c r="H96" s="1356">
        <f t="shared" si="14"/>
        <v>608616.07999999996</v>
      </c>
    </row>
    <row r="97" spans="1:11" ht="13.5">
      <c r="A97" s="702">
        <v>7</v>
      </c>
      <c r="B97" s="2031">
        <v>43770</v>
      </c>
      <c r="C97" s="2031">
        <v>43799</v>
      </c>
      <c r="D97" s="1660">
        <v>0.1903</v>
      </c>
      <c r="E97" s="1660">
        <f t="shared" si="12"/>
        <v>0.28544999999999998</v>
      </c>
      <c r="F97" s="2094">
        <f t="shared" si="13"/>
        <v>6.8820616169262827E-4</v>
      </c>
      <c r="G97" s="2438">
        <f t="shared" si="11"/>
        <v>30</v>
      </c>
      <c r="H97" s="1356">
        <f t="shared" si="14"/>
        <v>587073.73</v>
      </c>
    </row>
    <row r="98" spans="1:11" ht="13.5">
      <c r="A98" s="702">
        <v>8</v>
      </c>
      <c r="B98" s="2031">
        <v>43800</v>
      </c>
      <c r="C98" s="2031">
        <v>43830</v>
      </c>
      <c r="D98" s="1660">
        <v>0.18959999999999999</v>
      </c>
      <c r="E98" s="1660">
        <f t="shared" si="12"/>
        <v>0.28439999999999999</v>
      </c>
      <c r="F98" s="2094">
        <f t="shared" si="13"/>
        <v>6.8596580600033263E-4</v>
      </c>
      <c r="G98" s="2438">
        <f t="shared" si="11"/>
        <v>31</v>
      </c>
      <c r="H98" s="1356">
        <v>0</v>
      </c>
    </row>
    <row r="99" spans="1:11" ht="13.5">
      <c r="B99" s="2031">
        <v>43831</v>
      </c>
      <c r="C99" s="2031">
        <v>43861</v>
      </c>
      <c r="D99" s="1660">
        <v>0.18770000000000001</v>
      </c>
      <c r="E99" s="1660">
        <f t="shared" si="12"/>
        <v>0.28155000000000002</v>
      </c>
      <c r="F99" s="2094">
        <f t="shared" si="13"/>
        <v>6.7987562124560696E-4</v>
      </c>
      <c r="G99" s="2438">
        <f t="shared" si="11"/>
        <v>31</v>
      </c>
      <c r="H99" s="1356">
        <v>0</v>
      </c>
      <c r="J99" s="697"/>
      <c r="K99" s="697"/>
    </row>
    <row r="100" spans="1:11" ht="13.5">
      <c r="B100" s="2031">
        <v>43862</v>
      </c>
      <c r="C100" s="2031">
        <v>43890</v>
      </c>
      <c r="D100" s="1660">
        <v>0.19059999999999999</v>
      </c>
      <c r="E100" s="1660">
        <f t="shared" si="12"/>
        <v>0.28589999999999999</v>
      </c>
      <c r="F100" s="2094">
        <f t="shared" si="13"/>
        <v>6.8916575551658532E-4</v>
      </c>
      <c r="G100" s="2438">
        <f t="shared" si="11"/>
        <v>29</v>
      </c>
      <c r="H100" s="1356">
        <v>0</v>
      </c>
    </row>
    <row r="101" spans="1:11" ht="13.5">
      <c r="B101" s="2031">
        <v>43891</v>
      </c>
      <c r="C101" s="2031">
        <v>43921</v>
      </c>
      <c r="D101" s="1660">
        <v>0.1895</v>
      </c>
      <c r="E101" s="1660">
        <f t="shared" si="12"/>
        <v>0.28425</v>
      </c>
      <c r="F101" s="2094">
        <f t="shared" si="13"/>
        <v>6.8564560609574166E-4</v>
      </c>
      <c r="G101" s="2438">
        <f t="shared" si="11"/>
        <v>31</v>
      </c>
      <c r="H101" s="1356">
        <v>0</v>
      </c>
    </row>
    <row r="102" spans="1:11" ht="13.5">
      <c r="B102" s="2031">
        <v>43922</v>
      </c>
      <c r="C102" s="2031">
        <v>43951</v>
      </c>
      <c r="D102" s="1660">
        <v>0.18690000000000001</v>
      </c>
      <c r="E102" s="1660">
        <f t="shared" si="12"/>
        <v>0.28034999999999999</v>
      </c>
      <c r="F102" s="2094">
        <f t="shared" si="13"/>
        <v>6.7730729113191224E-4</v>
      </c>
      <c r="G102" s="2438">
        <f t="shared" si="11"/>
        <v>30</v>
      </c>
      <c r="H102" s="1356">
        <v>0</v>
      </c>
    </row>
    <row r="103" spans="1:11" ht="13.5">
      <c r="B103" s="2031">
        <v>43952</v>
      </c>
      <c r="C103" s="2031">
        <v>43982</v>
      </c>
      <c r="D103" s="1660">
        <v>0.18190000000000001</v>
      </c>
      <c r="E103" s="1660">
        <f t="shared" si="12"/>
        <v>0.27285000000000004</v>
      </c>
      <c r="F103" s="2094">
        <f t="shared" si="13"/>
        <v>6.6120063584418354E-4</v>
      </c>
      <c r="G103" s="2438">
        <f t="shared" si="11"/>
        <v>31</v>
      </c>
      <c r="H103" s="1356">
        <v>0</v>
      </c>
    </row>
    <row r="104" spans="1:11" ht="13.5">
      <c r="B104" s="2031">
        <v>43983</v>
      </c>
      <c r="C104" s="2031">
        <v>44012</v>
      </c>
      <c r="D104" s="1660">
        <v>0.1812</v>
      </c>
      <c r="E104" s="1660">
        <f t="shared" si="12"/>
        <v>0.27179999999999999</v>
      </c>
      <c r="F104" s="2094">
        <f t="shared" si="13"/>
        <v>6.5893815469997286E-4</v>
      </c>
      <c r="G104" s="2438">
        <f t="shared" si="11"/>
        <v>30</v>
      </c>
      <c r="H104" s="1356">
        <v>0</v>
      </c>
    </row>
    <row r="105" spans="1:11" ht="13.5">
      <c r="B105" s="2031">
        <v>44013</v>
      </c>
      <c r="C105" s="2031">
        <v>44043</v>
      </c>
      <c r="D105" s="1660">
        <v>0.1812</v>
      </c>
      <c r="E105" s="1660">
        <f t="shared" si="12"/>
        <v>0.27179999999999999</v>
      </c>
      <c r="F105" s="2094">
        <f t="shared" si="13"/>
        <v>6.5893815469997286E-4</v>
      </c>
      <c r="G105" s="2438">
        <f t="shared" si="11"/>
        <v>31</v>
      </c>
      <c r="H105" s="1356">
        <v>0</v>
      </c>
    </row>
    <row r="106" spans="1:11" ht="13.5">
      <c r="B106" s="2031">
        <v>44044</v>
      </c>
      <c r="C106" s="2031">
        <v>44074</v>
      </c>
      <c r="D106" s="1660">
        <v>0.18290000000000001</v>
      </c>
      <c r="E106" s="1660">
        <f t="shared" si="12"/>
        <v>0.27434999999999998</v>
      </c>
      <c r="F106" s="2094">
        <f t="shared" si="13"/>
        <v>6.6442952514544906E-4</v>
      </c>
      <c r="G106" s="2438">
        <f t="shared" si="11"/>
        <v>31</v>
      </c>
      <c r="H106" s="1356">
        <v>0</v>
      </c>
    </row>
    <row r="107" spans="1:11" ht="13.5">
      <c r="B107" s="2031">
        <v>44075</v>
      </c>
      <c r="C107" s="2031">
        <v>44104</v>
      </c>
      <c r="D107" s="1660">
        <v>0.1835</v>
      </c>
      <c r="E107" s="1660">
        <f t="shared" si="12"/>
        <v>0.27524999999999999</v>
      </c>
      <c r="F107" s="2094">
        <f t="shared" si="13"/>
        <v>6.6636503991857055E-4</v>
      </c>
      <c r="G107" s="2438">
        <f t="shared" si="11"/>
        <v>30</v>
      </c>
      <c r="H107" s="1356">
        <v>0</v>
      </c>
    </row>
    <row r="108" spans="1:11" ht="13.5">
      <c r="B108" s="2031">
        <v>44105</v>
      </c>
      <c r="C108" s="2031">
        <v>44135</v>
      </c>
      <c r="D108" s="1660">
        <v>0.18090000000000001</v>
      </c>
      <c r="E108" s="1660">
        <f t="shared" si="12"/>
        <v>0.27134999999999998</v>
      </c>
      <c r="F108" s="2094">
        <f t="shared" si="13"/>
        <v>6.5796794962613703E-4</v>
      </c>
      <c r="G108" s="2438">
        <f t="shared" si="11"/>
        <v>31</v>
      </c>
      <c r="H108" s="1356">
        <v>0</v>
      </c>
    </row>
    <row r="109" spans="1:11" ht="13.5">
      <c r="B109" s="2031">
        <v>44136</v>
      </c>
      <c r="C109" s="2031">
        <v>44165</v>
      </c>
      <c r="D109" s="1660">
        <v>0.1784</v>
      </c>
      <c r="E109" s="1660">
        <f t="shared" si="12"/>
        <v>0.2676</v>
      </c>
      <c r="F109" s="2094">
        <f t="shared" si="13"/>
        <v>6.4986956374091243E-4</v>
      </c>
      <c r="G109" s="2438">
        <f t="shared" si="11"/>
        <v>30</v>
      </c>
      <c r="H109" s="1356">
        <v>0</v>
      </c>
    </row>
    <row r="110" spans="1:11" ht="13.5">
      <c r="B110" s="2031">
        <v>44166</v>
      </c>
      <c r="C110" s="2031">
        <v>44196</v>
      </c>
      <c r="D110" s="1660">
        <v>0.17460000000000001</v>
      </c>
      <c r="E110" s="1660">
        <f t="shared" si="12"/>
        <v>0.26190000000000002</v>
      </c>
      <c r="F110" s="2094">
        <f t="shared" si="13"/>
        <v>6.3751414410861962E-4</v>
      </c>
      <c r="G110" s="2438">
        <f t="shared" si="11"/>
        <v>31</v>
      </c>
      <c r="H110" s="1356">
        <v>0</v>
      </c>
    </row>
    <row r="111" spans="1:11" ht="13.5">
      <c r="B111" s="2031">
        <v>44197</v>
      </c>
      <c r="C111" s="2031">
        <v>44227</v>
      </c>
      <c r="D111" s="1660">
        <v>0.17319999999999999</v>
      </c>
      <c r="E111" s="1660">
        <f t="shared" si="12"/>
        <v>0.25979999999999998</v>
      </c>
      <c r="F111" s="2094">
        <f t="shared" si="13"/>
        <v>6.3294811266723094E-4</v>
      </c>
      <c r="G111" s="2438">
        <f t="shared" si="11"/>
        <v>31</v>
      </c>
      <c r="H111" s="1356">
        <v>0</v>
      </c>
    </row>
    <row r="112" spans="1:11" ht="13.5">
      <c r="B112" s="2031">
        <v>44228</v>
      </c>
      <c r="C112" s="2031">
        <v>44255</v>
      </c>
      <c r="D112" s="1660">
        <v>0.1754</v>
      </c>
      <c r="E112" s="1660">
        <f t="shared" si="12"/>
        <v>0.2631</v>
      </c>
      <c r="F112" s="2094">
        <f t="shared" si="13"/>
        <v>6.4011990387169426E-4</v>
      </c>
      <c r="G112" s="2438">
        <f t="shared" si="11"/>
        <v>28</v>
      </c>
      <c r="H112" s="1356">
        <v>0</v>
      </c>
    </row>
    <row r="113" spans="2:8" ht="13.5">
      <c r="B113" s="2031">
        <v>44256</v>
      </c>
      <c r="C113" s="2031">
        <v>44286</v>
      </c>
      <c r="D113" s="1660">
        <v>0.1741</v>
      </c>
      <c r="E113" s="1660">
        <f t="shared" si="12"/>
        <v>0.26114999999999999</v>
      </c>
      <c r="F113" s="2094">
        <f t="shared" si="13"/>
        <v>6.3588428907812578E-4</v>
      </c>
      <c r="G113" s="2438">
        <f t="shared" si="11"/>
        <v>31</v>
      </c>
      <c r="H113" s="1356">
        <v>0</v>
      </c>
    </row>
    <row r="114" spans="2:8" ht="13.5">
      <c r="B114" s="2031">
        <v>44287</v>
      </c>
      <c r="C114" s="2031">
        <v>44316</v>
      </c>
      <c r="D114" s="1660">
        <v>0.1731</v>
      </c>
      <c r="E114" s="1660">
        <f t="shared" si="12"/>
        <v>0.25964999999999999</v>
      </c>
      <c r="F114" s="2094">
        <f t="shared" si="13"/>
        <v>6.326216771728177E-4</v>
      </c>
      <c r="G114" s="2438">
        <f t="shared" si="11"/>
        <v>30</v>
      </c>
      <c r="H114" s="1356">
        <v>0</v>
      </c>
    </row>
    <row r="115" spans="2:8" ht="13.5">
      <c r="B115" s="2031">
        <v>44317</v>
      </c>
      <c r="C115" s="2031">
        <v>44347</v>
      </c>
      <c r="D115" s="1660">
        <v>0.17219999999999999</v>
      </c>
      <c r="E115" s="1660">
        <f t="shared" si="12"/>
        <v>0.25829999999999997</v>
      </c>
      <c r="F115" s="2094">
        <f t="shared" si="13"/>
        <v>6.2968201205726437E-4</v>
      </c>
      <c r="G115" s="2438">
        <f t="shared" si="11"/>
        <v>31</v>
      </c>
      <c r="H115" s="1356">
        <v>0</v>
      </c>
    </row>
    <row r="116" spans="2:8" ht="13.5">
      <c r="B116" s="2031">
        <v>44348</v>
      </c>
      <c r="C116" s="2031">
        <v>44377</v>
      </c>
      <c r="D116" s="1660">
        <v>0.1721</v>
      </c>
      <c r="E116" s="1660">
        <f t="shared" si="12"/>
        <v>0.25814999999999999</v>
      </c>
      <c r="F116" s="2094">
        <f t="shared" si="13"/>
        <v>6.2935518846773952E-4</v>
      </c>
      <c r="G116" s="2438">
        <f t="shared" si="11"/>
        <v>30</v>
      </c>
      <c r="H116" s="1356">
        <v>0</v>
      </c>
    </row>
    <row r="117" spans="2:8" ht="13.5">
      <c r="B117" s="2031">
        <v>44378</v>
      </c>
      <c r="C117" s="2031">
        <v>44408</v>
      </c>
      <c r="D117" s="1660">
        <v>0.17180000000000001</v>
      </c>
      <c r="E117" s="1660">
        <f t="shared" si="12"/>
        <v>0.25770000000000004</v>
      </c>
      <c r="F117" s="2094">
        <f t="shared" si="13"/>
        <v>6.2837448450037137E-4</v>
      </c>
      <c r="G117" s="2438">
        <f t="shared" si="11"/>
        <v>31</v>
      </c>
      <c r="H117" s="1356">
        <v>0</v>
      </c>
    </row>
    <row r="118" spans="2:8" ht="13.5">
      <c r="B118" s="2031">
        <v>44409</v>
      </c>
      <c r="C118" s="2031">
        <v>44439</v>
      </c>
      <c r="D118" s="1660">
        <v>0.1724</v>
      </c>
      <c r="E118" s="1660">
        <f t="shared" si="12"/>
        <v>0.2586</v>
      </c>
      <c r="F118" s="2094">
        <f t="shared" si="13"/>
        <v>6.3033554269220637E-4</v>
      </c>
      <c r="G118" s="2438">
        <f t="shared" si="11"/>
        <v>31</v>
      </c>
      <c r="H118" s="1356">
        <v>0</v>
      </c>
    </row>
    <row r="119" spans="2:8" ht="13.5">
      <c r="B119" s="2031">
        <v>44440</v>
      </c>
      <c r="C119" s="2031">
        <v>44469</v>
      </c>
      <c r="D119" s="1660">
        <v>0.1719</v>
      </c>
      <c r="E119" s="1660">
        <f t="shared" si="12"/>
        <v>0.25785000000000002</v>
      </c>
      <c r="F119" s="2094">
        <f t="shared" si="13"/>
        <v>6.2870142469861889E-4</v>
      </c>
      <c r="G119" s="2438">
        <f t="shared" si="11"/>
        <v>30</v>
      </c>
      <c r="H119" s="1356">
        <v>0</v>
      </c>
    </row>
    <row r="120" spans="2:8" ht="13.5">
      <c r="B120" s="2031">
        <v>44470</v>
      </c>
      <c r="C120" s="2031">
        <v>44500</v>
      </c>
      <c r="D120" s="1660">
        <v>0.17080000000000001</v>
      </c>
      <c r="E120" s="1660">
        <f t="shared" si="12"/>
        <v>0.25619999999999998</v>
      </c>
      <c r="F120" s="2094">
        <f t="shared" si="13"/>
        <v>6.2510294214179751E-4</v>
      </c>
      <c r="G120" s="2438">
        <f t="shared" si="11"/>
        <v>31</v>
      </c>
      <c r="H120" s="1356">
        <v>0</v>
      </c>
    </row>
    <row r="121" spans="2:8" ht="13.5">
      <c r="B121" s="2031">
        <v>44501</v>
      </c>
      <c r="C121" s="2031">
        <v>44530</v>
      </c>
      <c r="D121" s="1660">
        <v>0.17269999999999999</v>
      </c>
      <c r="E121" s="1660">
        <f t="shared" si="12"/>
        <v>0.25905</v>
      </c>
      <c r="F121" s="2094">
        <f t="shared" si="13"/>
        <v>6.3131554742335005E-4</v>
      </c>
      <c r="G121" s="2438">
        <f t="shared" si="11"/>
        <v>30</v>
      </c>
      <c r="H121" s="1356">
        <v>0</v>
      </c>
    </row>
    <row r="122" spans="2:8" ht="13.5">
      <c r="B122" s="2031">
        <v>44531</v>
      </c>
      <c r="C122" s="2031">
        <v>44561</v>
      </c>
      <c r="D122" s="1660">
        <v>0.17460000000000001</v>
      </c>
      <c r="E122" s="1660">
        <f t="shared" si="12"/>
        <v>0.26190000000000002</v>
      </c>
      <c r="F122" s="2094">
        <f t="shared" si="13"/>
        <v>6.3751414410861962E-4</v>
      </c>
      <c r="G122" s="2438">
        <f t="shared" si="11"/>
        <v>31</v>
      </c>
      <c r="H122" s="1356">
        <v>0</v>
      </c>
    </row>
    <row r="123" spans="2:8" ht="13.5">
      <c r="B123" s="2031">
        <v>44562</v>
      </c>
      <c r="C123" s="2031">
        <v>44592</v>
      </c>
      <c r="D123" s="1660">
        <v>0.17660000000000001</v>
      </c>
      <c r="E123" s="1660">
        <f t="shared" si="12"/>
        <v>0.26490000000000002</v>
      </c>
      <c r="F123" s="2094">
        <f t="shared" si="13"/>
        <v>6.4402391816376081E-4</v>
      </c>
      <c r="G123" s="2438">
        <f t="shared" si="11"/>
        <v>31</v>
      </c>
      <c r="H123" s="1356">
        <v>0</v>
      </c>
    </row>
    <row r="124" spans="2:8" ht="13.5">
      <c r="B124" s="2031">
        <v>44593</v>
      </c>
      <c r="C124" s="2031">
        <v>44620</v>
      </c>
      <c r="D124" s="1660">
        <v>0.183</v>
      </c>
      <c r="E124" s="1660">
        <f t="shared" si="12"/>
        <v>0.27449999999999997</v>
      </c>
      <c r="F124" s="2094">
        <f t="shared" si="13"/>
        <v>6.6475220558892545E-4</v>
      </c>
      <c r="G124" s="2438">
        <f t="shared" si="11"/>
        <v>28</v>
      </c>
      <c r="H124" s="1356">
        <v>0</v>
      </c>
    </row>
    <row r="125" spans="2:8" ht="13.5">
      <c r="B125" s="2031">
        <v>44621</v>
      </c>
      <c r="C125" s="2031">
        <v>44637</v>
      </c>
      <c r="D125" s="1660">
        <v>0.1847</v>
      </c>
      <c r="E125" s="1660">
        <f t="shared" si="12"/>
        <v>0.27705000000000002</v>
      </c>
      <c r="F125" s="2094">
        <f t="shared" si="13"/>
        <v>6.7023198611315671E-4</v>
      </c>
      <c r="G125" s="2438">
        <f t="shared" si="11"/>
        <v>17</v>
      </c>
      <c r="H125" s="1356">
        <v>0</v>
      </c>
    </row>
    <row r="126" spans="2:8" ht="13.5">
      <c r="B126" s="2212">
        <v>44638</v>
      </c>
      <c r="C126" s="2212">
        <v>44651</v>
      </c>
      <c r="D126" s="1660">
        <v>0.1847</v>
      </c>
      <c r="E126" s="1660">
        <f t="shared" si="12"/>
        <v>0.27705000000000002</v>
      </c>
      <c r="F126" s="2094">
        <f t="shared" si="13"/>
        <v>6.7023198611315671E-4</v>
      </c>
      <c r="G126" s="2438">
        <f t="shared" si="11"/>
        <v>14</v>
      </c>
      <c r="H126" s="1356">
        <f>ROUND(F126*$E$88*G126,2)</f>
        <v>266812.40999999997</v>
      </c>
    </row>
    <row r="127" spans="2:8" ht="13.5">
      <c r="B127" s="2031">
        <v>44652</v>
      </c>
      <c r="C127" s="2031">
        <v>44681</v>
      </c>
      <c r="D127" s="1660">
        <v>0.1905</v>
      </c>
      <c r="E127" s="1660">
        <f t="shared" si="12"/>
        <v>0.28575</v>
      </c>
      <c r="F127" s="2094">
        <f t="shared" si="13"/>
        <v>6.8884592812357148E-4</v>
      </c>
      <c r="G127" s="2438">
        <f t="shared" si="11"/>
        <v>30</v>
      </c>
      <c r="H127" s="1356">
        <f t="shared" ref="H127:H138" si="15">ROUND(F127*$E$88*G127,2)</f>
        <v>587619.48</v>
      </c>
    </row>
    <row r="128" spans="2:8" ht="13.5">
      <c r="B128" s="2031">
        <v>44682</v>
      </c>
      <c r="C128" s="2031">
        <v>44712</v>
      </c>
      <c r="D128" s="1660">
        <v>0.1971</v>
      </c>
      <c r="E128" s="1660">
        <f t="shared" si="12"/>
        <v>0.29564999999999997</v>
      </c>
      <c r="F128" s="2094">
        <f t="shared" si="13"/>
        <v>7.0987512909947981E-4</v>
      </c>
      <c r="G128" s="2438">
        <f t="shared" si="11"/>
        <v>31</v>
      </c>
      <c r="H128" s="1356">
        <f t="shared" si="15"/>
        <v>625743.71</v>
      </c>
    </row>
    <row r="129" spans="1:9" ht="13.5">
      <c r="B129" s="2031">
        <v>44713</v>
      </c>
      <c r="C129" s="2031">
        <v>44742</v>
      </c>
      <c r="D129" s="1660">
        <v>0.20399999999999999</v>
      </c>
      <c r="E129" s="1660">
        <f t="shared" si="12"/>
        <v>0.30599999999999999</v>
      </c>
      <c r="F129" s="2094">
        <f t="shared" si="13"/>
        <v>7.3168955664093538E-4</v>
      </c>
      <c r="G129" s="2438">
        <f t="shared" si="11"/>
        <v>30</v>
      </c>
      <c r="H129" s="1356">
        <f t="shared" si="15"/>
        <v>624167.21</v>
      </c>
    </row>
    <row r="130" spans="1:9" ht="13.5">
      <c r="B130" s="2031">
        <v>44743</v>
      </c>
      <c r="C130" s="2031">
        <v>44773</v>
      </c>
      <c r="D130" s="1660">
        <v>0.21279999999999999</v>
      </c>
      <c r="E130" s="1660">
        <f t="shared" si="12"/>
        <v>0.31919999999999998</v>
      </c>
      <c r="F130" s="2094">
        <f t="shared" si="13"/>
        <v>7.5926204501630679E-4</v>
      </c>
      <c r="G130" s="2438">
        <f t="shared" si="11"/>
        <v>31</v>
      </c>
      <c r="H130" s="1356">
        <f t="shared" si="15"/>
        <v>669277.49</v>
      </c>
    </row>
    <row r="131" spans="1:9" ht="13.5">
      <c r="B131" s="2031">
        <v>44774</v>
      </c>
      <c r="C131" s="2031">
        <v>44804</v>
      </c>
      <c r="D131" s="1660">
        <v>0.22209999999999999</v>
      </c>
      <c r="E131" s="1660">
        <f t="shared" si="12"/>
        <v>0.33315</v>
      </c>
      <c r="F131" s="2094">
        <f t="shared" si="13"/>
        <v>7.8810371394433254E-4</v>
      </c>
      <c r="G131" s="2438">
        <f t="shared" si="11"/>
        <v>31</v>
      </c>
      <c r="H131" s="1356">
        <f t="shared" si="15"/>
        <v>694700.97</v>
      </c>
    </row>
    <row r="132" spans="1:9" ht="13.5">
      <c r="B132" s="2031">
        <v>44805</v>
      </c>
      <c r="C132" s="2031">
        <v>44834</v>
      </c>
      <c r="D132" s="1660">
        <v>0.23499999999999999</v>
      </c>
      <c r="E132" s="1660">
        <f t="shared" si="12"/>
        <v>0.35249999999999998</v>
      </c>
      <c r="F132" s="2094">
        <f t="shared" si="13"/>
        <v>8.2761552252574866E-4</v>
      </c>
      <c r="G132" s="2438">
        <f t="shared" si="11"/>
        <v>30</v>
      </c>
      <c r="H132" s="1356">
        <f t="shared" si="15"/>
        <v>705996.78</v>
      </c>
    </row>
    <row r="133" spans="1:9" ht="13.5">
      <c r="B133" s="2031">
        <v>44835</v>
      </c>
      <c r="C133" s="2031">
        <v>44865</v>
      </c>
      <c r="D133" s="1660">
        <v>0.24610000000000001</v>
      </c>
      <c r="E133" s="1660">
        <f t="shared" si="12"/>
        <v>0.36915000000000003</v>
      </c>
      <c r="F133" s="2094">
        <f t="shared" si="13"/>
        <v>8.611654102768096E-4</v>
      </c>
      <c r="G133" s="2438">
        <f t="shared" si="11"/>
        <v>31</v>
      </c>
      <c r="H133" s="1356">
        <f t="shared" si="15"/>
        <v>759103.7</v>
      </c>
    </row>
    <row r="134" spans="1:9" ht="13.5">
      <c r="B134" s="2031">
        <v>44866</v>
      </c>
      <c r="C134" s="2031">
        <v>44895</v>
      </c>
      <c r="D134" s="1660">
        <v>0.25779999999999997</v>
      </c>
      <c r="E134" s="1660">
        <f t="shared" si="12"/>
        <v>0.38669999999999993</v>
      </c>
      <c r="F134" s="2094">
        <f t="shared" si="13"/>
        <v>8.9609117817124329E-4</v>
      </c>
      <c r="G134" s="2438">
        <f t="shared" si="11"/>
        <v>30</v>
      </c>
      <c r="H134" s="1356">
        <f t="shared" si="15"/>
        <v>764409.88</v>
      </c>
    </row>
    <row r="135" spans="1:9" ht="13.5">
      <c r="B135" s="2031">
        <v>44896</v>
      </c>
      <c r="C135" s="2031">
        <v>44926</v>
      </c>
      <c r="D135" s="1660">
        <v>0.27639999999999998</v>
      </c>
      <c r="E135" s="1660">
        <f t="shared" si="12"/>
        <v>0.41459999999999997</v>
      </c>
      <c r="F135" s="2094">
        <f t="shared" si="13"/>
        <v>9.5071686592063109E-4</v>
      </c>
      <c r="G135" s="2438">
        <f t="shared" si="11"/>
        <v>31</v>
      </c>
      <c r="H135" s="1356">
        <f t="shared" si="15"/>
        <v>838041.89</v>
      </c>
    </row>
    <row r="136" spans="1:9" ht="13.5">
      <c r="B136" s="2031">
        <v>44927</v>
      </c>
      <c r="C136" s="2031">
        <v>44957</v>
      </c>
      <c r="D136" s="1660">
        <v>0.28839999999999999</v>
      </c>
      <c r="E136" s="1660">
        <f t="shared" si="12"/>
        <v>0.43259999999999998</v>
      </c>
      <c r="F136" s="2094">
        <f t="shared" si="13"/>
        <v>9.8539196132163553E-4</v>
      </c>
      <c r="G136" s="2438">
        <f t="shared" si="11"/>
        <v>31</v>
      </c>
      <c r="H136" s="1356">
        <f t="shared" si="15"/>
        <v>868607.44</v>
      </c>
    </row>
    <row r="137" spans="1:9" ht="13.5">
      <c r="B137" s="2031">
        <v>44958</v>
      </c>
      <c r="C137" s="2031">
        <v>44985</v>
      </c>
      <c r="D137" s="1660">
        <v>0.30180000000000001</v>
      </c>
      <c r="E137" s="1660">
        <f t="shared" si="12"/>
        <v>0.45269999999999999</v>
      </c>
      <c r="F137" s="2094">
        <f t="shared" si="13"/>
        <v>1.0236026853662761E-3</v>
      </c>
      <c r="G137" s="2438">
        <f t="shared" si="11"/>
        <v>28</v>
      </c>
      <c r="H137" s="1356">
        <f t="shared" si="15"/>
        <v>814971.24</v>
      </c>
    </row>
    <row r="138" spans="1:9" ht="13.5">
      <c r="B138" s="2031">
        <v>44986</v>
      </c>
      <c r="C138" s="2031">
        <v>45006</v>
      </c>
      <c r="D138" s="1660">
        <v>0.30840000000000001</v>
      </c>
      <c r="E138" s="1660">
        <f t="shared" si="12"/>
        <v>0.46260000000000001</v>
      </c>
      <c r="F138" s="2094">
        <f t="shared" si="13"/>
        <v>1.0422295217955568E-3</v>
      </c>
      <c r="G138" s="2438">
        <f t="shared" si="11"/>
        <v>21</v>
      </c>
      <c r="H138" s="1356">
        <f t="shared" si="15"/>
        <v>622351.16</v>
      </c>
      <c r="I138" s="686">
        <v>622351.16</v>
      </c>
    </row>
    <row r="139" spans="1:9" ht="13.5">
      <c r="F139" s="2824" t="s">
        <v>338</v>
      </c>
      <c r="G139" s="2824"/>
      <c r="H139" s="2387">
        <f>SUM(H91:H138)</f>
        <v>12475239.170000002</v>
      </c>
      <c r="I139" s="686">
        <v>12475239.17</v>
      </c>
    </row>
    <row r="142" spans="1:9" ht="13.5">
      <c r="A142" s="686">
        <v>3</v>
      </c>
      <c r="B142" s="1348" t="str">
        <f>+C19</f>
        <v>JOSE DAVID ARISTIZABAL GIL</v>
      </c>
    </row>
    <row r="143" spans="1:9">
      <c r="B143" s="698" t="s">
        <v>1908</v>
      </c>
      <c r="E143" s="698" t="s">
        <v>1909</v>
      </c>
    </row>
    <row r="144" spans="1:9">
      <c r="B144" s="698" t="s">
        <v>1910</v>
      </c>
      <c r="C144" s="2031">
        <v>43615</v>
      </c>
      <c r="E144" s="2436">
        <f>+G19</f>
        <v>27603866.670000002</v>
      </c>
      <c r="F144" s="718"/>
    </row>
    <row r="145" spans="1:8">
      <c r="B145" s="702"/>
      <c r="C145" s="2663" t="s">
        <v>1406</v>
      </c>
      <c r="D145" s="2663"/>
      <c r="E145" s="2663"/>
      <c r="F145" s="2663"/>
      <c r="G145" s="2663"/>
      <c r="H145" s="2663"/>
    </row>
    <row r="146" spans="1:8" ht="38.25">
      <c r="B146" s="699" t="s">
        <v>147</v>
      </c>
      <c r="C146" s="699" t="s">
        <v>40</v>
      </c>
      <c r="D146" s="2441" t="s">
        <v>1911</v>
      </c>
      <c r="E146" s="700" t="s">
        <v>1830</v>
      </c>
      <c r="F146" s="1642" t="s">
        <v>43</v>
      </c>
      <c r="G146" s="1642" t="s">
        <v>47</v>
      </c>
      <c r="H146" s="1642" t="s">
        <v>48</v>
      </c>
    </row>
    <row r="147" spans="1:8" ht="13.5">
      <c r="A147" s="702">
        <v>1</v>
      </c>
      <c r="B147" s="2031">
        <v>43616</v>
      </c>
      <c r="C147" s="2031">
        <v>43616</v>
      </c>
      <c r="D147" s="1660">
        <v>0.19339999999999999</v>
      </c>
      <c r="E147" s="1660">
        <f>+D147*1.5</f>
        <v>0.29009999999999997</v>
      </c>
      <c r="F147" s="2094">
        <f>((1+E147)^(1/365)-1)</f>
        <v>6.9810584952367805E-4</v>
      </c>
      <c r="G147" s="2033">
        <f t="shared" ref="G147:G194" si="16">_xlfn.DAYS(C147,B147)+1</f>
        <v>1</v>
      </c>
      <c r="H147" s="1356">
        <f>ROUND(F147*$E$144*G147,2)</f>
        <v>19270.419999999998</v>
      </c>
    </row>
    <row r="148" spans="1:8" ht="13.5">
      <c r="A148" s="702">
        <v>2</v>
      </c>
      <c r="B148" s="2031">
        <v>43617</v>
      </c>
      <c r="C148" s="2031">
        <v>43646</v>
      </c>
      <c r="D148" s="1660">
        <v>0.193</v>
      </c>
      <c r="E148" s="1660">
        <f t="shared" ref="E148:E194" si="17">+D148*1.5</f>
        <v>0.28949999999999998</v>
      </c>
      <c r="F148" s="2094">
        <f t="shared" ref="F148:F194" si="18">((1+E148)^(1/365)-1)</f>
        <v>6.9683047181468005E-4</v>
      </c>
      <c r="G148" s="2033">
        <f t="shared" si="16"/>
        <v>30</v>
      </c>
      <c r="H148" s="1356">
        <f t="shared" ref="H148:H153" si="19">ROUND(F148*$E$144*G148,2)</f>
        <v>577056.46</v>
      </c>
    </row>
    <row r="149" spans="1:8" ht="13.5">
      <c r="A149" s="702">
        <v>3</v>
      </c>
      <c r="B149" s="2031">
        <v>43647</v>
      </c>
      <c r="C149" s="2031">
        <v>43677</v>
      </c>
      <c r="D149" s="1660">
        <v>0.1928</v>
      </c>
      <c r="E149" s="1660">
        <f t="shared" si="17"/>
        <v>0.28920000000000001</v>
      </c>
      <c r="F149" s="2094">
        <f t="shared" si="18"/>
        <v>6.9619256101671745E-4</v>
      </c>
      <c r="G149" s="2033">
        <f t="shared" si="16"/>
        <v>31</v>
      </c>
      <c r="H149" s="1356">
        <f t="shared" si="19"/>
        <v>595745.81000000006</v>
      </c>
    </row>
    <row r="150" spans="1:8" ht="13.5">
      <c r="A150" s="702">
        <v>4</v>
      </c>
      <c r="B150" s="2031">
        <v>43678</v>
      </c>
      <c r="C150" s="2031">
        <v>43708</v>
      </c>
      <c r="D150" s="1660">
        <v>0.19320000000000001</v>
      </c>
      <c r="E150" s="1660">
        <f t="shared" si="17"/>
        <v>0.2898</v>
      </c>
      <c r="F150" s="2094">
        <f t="shared" si="18"/>
        <v>6.9746823462724095E-4</v>
      </c>
      <c r="G150" s="2033">
        <f t="shared" si="16"/>
        <v>31</v>
      </c>
      <c r="H150" s="1356">
        <f t="shared" si="19"/>
        <v>596837.42000000004</v>
      </c>
    </row>
    <row r="151" spans="1:8" ht="13.5">
      <c r="A151" s="702">
        <v>5</v>
      </c>
      <c r="B151" s="2031">
        <v>43709</v>
      </c>
      <c r="C151" s="2031">
        <v>43738</v>
      </c>
      <c r="D151" s="1660">
        <v>0.19320000000000001</v>
      </c>
      <c r="E151" s="1660">
        <f t="shared" si="17"/>
        <v>0.2898</v>
      </c>
      <c r="F151" s="2094">
        <f t="shared" si="18"/>
        <v>6.9746823462724095E-4</v>
      </c>
      <c r="G151" s="2033">
        <f t="shared" si="16"/>
        <v>30</v>
      </c>
      <c r="H151" s="1356">
        <f t="shared" si="19"/>
        <v>577584.6</v>
      </c>
    </row>
    <row r="152" spans="1:8" ht="13.5">
      <c r="A152" s="702">
        <v>6</v>
      </c>
      <c r="B152" s="2031">
        <v>43739</v>
      </c>
      <c r="C152" s="2031">
        <v>43769</v>
      </c>
      <c r="D152" s="1660">
        <v>0.191</v>
      </c>
      <c r="E152" s="1660">
        <f t="shared" si="17"/>
        <v>0.28649999999999998</v>
      </c>
      <c r="F152" s="2094">
        <f t="shared" si="18"/>
        <v>6.9044469314105683E-4</v>
      </c>
      <c r="G152" s="2033">
        <f t="shared" si="16"/>
        <v>31</v>
      </c>
      <c r="H152" s="1356">
        <f t="shared" si="19"/>
        <v>590827.24</v>
      </c>
    </row>
    <row r="153" spans="1:8" ht="13.5">
      <c r="A153" s="702">
        <v>7</v>
      </c>
      <c r="B153" s="2031">
        <v>43770</v>
      </c>
      <c r="C153" s="2031">
        <v>43799</v>
      </c>
      <c r="D153" s="1660">
        <v>0.1903</v>
      </c>
      <c r="E153" s="1660">
        <f t="shared" si="17"/>
        <v>0.28544999999999998</v>
      </c>
      <c r="F153" s="2094">
        <f t="shared" si="18"/>
        <v>6.8820616169262827E-4</v>
      </c>
      <c r="G153" s="2438">
        <f t="shared" si="16"/>
        <v>30</v>
      </c>
      <c r="H153" s="1356">
        <f t="shared" si="19"/>
        <v>569914.53</v>
      </c>
    </row>
    <row r="154" spans="1:8" ht="13.5">
      <c r="A154" s="702">
        <v>8</v>
      </c>
      <c r="B154" s="2031">
        <v>43800</v>
      </c>
      <c r="C154" s="2031">
        <v>43830</v>
      </c>
      <c r="D154" s="1660">
        <v>0.18959999999999999</v>
      </c>
      <c r="E154" s="1660">
        <f t="shared" si="17"/>
        <v>0.28439999999999999</v>
      </c>
      <c r="F154" s="2094">
        <f t="shared" si="18"/>
        <v>6.8596580600033263E-4</v>
      </c>
      <c r="G154" s="2438">
        <f t="shared" si="16"/>
        <v>31</v>
      </c>
      <c r="H154" s="1356">
        <v>0</v>
      </c>
    </row>
    <row r="155" spans="1:8" ht="13.5">
      <c r="A155" s="702">
        <v>9</v>
      </c>
      <c r="B155" s="2031">
        <v>43831</v>
      </c>
      <c r="C155" s="2031">
        <v>43861</v>
      </c>
      <c r="D155" s="1660">
        <v>0.18770000000000001</v>
      </c>
      <c r="E155" s="1660">
        <f t="shared" si="17"/>
        <v>0.28155000000000002</v>
      </c>
      <c r="F155" s="2094">
        <f t="shared" si="18"/>
        <v>6.7987562124560696E-4</v>
      </c>
      <c r="G155" s="2438">
        <f t="shared" si="16"/>
        <v>31</v>
      </c>
      <c r="H155" s="1356">
        <v>0</v>
      </c>
    </row>
    <row r="156" spans="1:8" ht="13.5">
      <c r="A156" s="702">
        <v>10</v>
      </c>
      <c r="B156" s="2031">
        <v>43862</v>
      </c>
      <c r="C156" s="2031">
        <v>43890</v>
      </c>
      <c r="D156" s="1660">
        <v>0.19059999999999999</v>
      </c>
      <c r="E156" s="1660">
        <f t="shared" si="17"/>
        <v>0.28589999999999999</v>
      </c>
      <c r="F156" s="2094">
        <f t="shared" si="18"/>
        <v>6.8916575551658532E-4</v>
      </c>
      <c r="G156" s="2438">
        <f t="shared" si="16"/>
        <v>29</v>
      </c>
      <c r="H156" s="1356">
        <v>0</v>
      </c>
    </row>
    <row r="157" spans="1:8" ht="13.5">
      <c r="A157" s="702">
        <v>11</v>
      </c>
      <c r="B157" s="2031">
        <v>43891</v>
      </c>
      <c r="C157" s="2031">
        <v>43921</v>
      </c>
      <c r="D157" s="1660">
        <v>0.1895</v>
      </c>
      <c r="E157" s="1660">
        <f t="shared" si="17"/>
        <v>0.28425</v>
      </c>
      <c r="F157" s="2094">
        <f t="shared" si="18"/>
        <v>6.8564560609574166E-4</v>
      </c>
      <c r="G157" s="2438">
        <f t="shared" si="16"/>
        <v>31</v>
      </c>
      <c r="H157" s="1356">
        <v>0</v>
      </c>
    </row>
    <row r="158" spans="1:8" ht="13.5">
      <c r="A158" s="702">
        <v>12</v>
      </c>
      <c r="B158" s="2031">
        <v>43922</v>
      </c>
      <c r="C158" s="2031">
        <v>43951</v>
      </c>
      <c r="D158" s="1660">
        <v>0.18690000000000001</v>
      </c>
      <c r="E158" s="1660">
        <f t="shared" si="17"/>
        <v>0.28034999999999999</v>
      </c>
      <c r="F158" s="2094">
        <f t="shared" si="18"/>
        <v>6.7730729113191224E-4</v>
      </c>
      <c r="G158" s="2438">
        <f t="shared" si="16"/>
        <v>30</v>
      </c>
      <c r="H158" s="1356">
        <v>0</v>
      </c>
    </row>
    <row r="159" spans="1:8" ht="13.5">
      <c r="A159" s="702">
        <v>13</v>
      </c>
      <c r="B159" s="2031">
        <v>43952</v>
      </c>
      <c r="C159" s="2031">
        <v>43982</v>
      </c>
      <c r="D159" s="1660">
        <v>0.18190000000000001</v>
      </c>
      <c r="E159" s="1660">
        <f t="shared" si="17"/>
        <v>0.27285000000000004</v>
      </c>
      <c r="F159" s="2094">
        <f t="shared" si="18"/>
        <v>6.6120063584418354E-4</v>
      </c>
      <c r="G159" s="2438">
        <f t="shared" si="16"/>
        <v>31</v>
      </c>
      <c r="H159" s="1356">
        <v>0</v>
      </c>
    </row>
    <row r="160" spans="1:8" ht="13.5">
      <c r="A160" s="702">
        <v>14</v>
      </c>
      <c r="B160" s="2031">
        <v>43983</v>
      </c>
      <c r="C160" s="2031">
        <v>44012</v>
      </c>
      <c r="D160" s="1660">
        <v>0.1812</v>
      </c>
      <c r="E160" s="1660">
        <f t="shared" si="17"/>
        <v>0.27179999999999999</v>
      </c>
      <c r="F160" s="2094">
        <f t="shared" si="18"/>
        <v>6.5893815469997286E-4</v>
      </c>
      <c r="G160" s="2438">
        <f t="shared" si="16"/>
        <v>30</v>
      </c>
      <c r="H160" s="1356">
        <v>0</v>
      </c>
    </row>
    <row r="161" spans="1:8" ht="13.5">
      <c r="A161" s="702">
        <v>15</v>
      </c>
      <c r="B161" s="2031">
        <v>44013</v>
      </c>
      <c r="C161" s="2031">
        <v>44043</v>
      </c>
      <c r="D161" s="1660">
        <v>0.1812</v>
      </c>
      <c r="E161" s="1660">
        <f t="shared" si="17"/>
        <v>0.27179999999999999</v>
      </c>
      <c r="F161" s="2094">
        <f t="shared" si="18"/>
        <v>6.5893815469997286E-4</v>
      </c>
      <c r="G161" s="2438">
        <f t="shared" si="16"/>
        <v>31</v>
      </c>
      <c r="H161" s="1356">
        <v>0</v>
      </c>
    </row>
    <row r="162" spans="1:8" ht="13.5">
      <c r="A162" s="702">
        <v>16</v>
      </c>
      <c r="B162" s="2031">
        <v>44044</v>
      </c>
      <c r="C162" s="2031">
        <v>44074</v>
      </c>
      <c r="D162" s="1660">
        <v>0.18290000000000001</v>
      </c>
      <c r="E162" s="1660">
        <f t="shared" si="17"/>
        <v>0.27434999999999998</v>
      </c>
      <c r="F162" s="2094">
        <f t="shared" si="18"/>
        <v>6.6442952514544906E-4</v>
      </c>
      <c r="G162" s="2438">
        <f t="shared" si="16"/>
        <v>31</v>
      </c>
      <c r="H162" s="1356">
        <v>0</v>
      </c>
    </row>
    <row r="163" spans="1:8" ht="13.5">
      <c r="A163" s="702">
        <v>17</v>
      </c>
      <c r="B163" s="2031">
        <v>44075</v>
      </c>
      <c r="C163" s="2031">
        <v>44104</v>
      </c>
      <c r="D163" s="1660">
        <v>0.1835</v>
      </c>
      <c r="E163" s="1660">
        <f t="shared" si="17"/>
        <v>0.27524999999999999</v>
      </c>
      <c r="F163" s="2094">
        <f t="shared" si="18"/>
        <v>6.6636503991857055E-4</v>
      </c>
      <c r="G163" s="2438">
        <f t="shared" si="16"/>
        <v>30</v>
      </c>
      <c r="H163" s="1356">
        <v>0</v>
      </c>
    </row>
    <row r="164" spans="1:8" ht="13.5">
      <c r="A164" s="702">
        <v>18</v>
      </c>
      <c r="B164" s="2031">
        <v>44105</v>
      </c>
      <c r="C164" s="2031">
        <v>44135</v>
      </c>
      <c r="D164" s="1660">
        <v>0.18090000000000001</v>
      </c>
      <c r="E164" s="1660">
        <f t="shared" si="17"/>
        <v>0.27134999999999998</v>
      </c>
      <c r="F164" s="2094">
        <f t="shared" si="18"/>
        <v>6.5796794962613703E-4</v>
      </c>
      <c r="G164" s="2438">
        <f t="shared" si="16"/>
        <v>31</v>
      </c>
      <c r="H164" s="1356">
        <v>0</v>
      </c>
    </row>
    <row r="165" spans="1:8" ht="13.5">
      <c r="A165" s="702">
        <v>19</v>
      </c>
      <c r="B165" s="2031">
        <v>44136</v>
      </c>
      <c r="C165" s="2031">
        <v>44165</v>
      </c>
      <c r="D165" s="1660">
        <v>0.1784</v>
      </c>
      <c r="E165" s="1660">
        <f t="shared" si="17"/>
        <v>0.2676</v>
      </c>
      <c r="F165" s="2094">
        <f t="shared" si="18"/>
        <v>6.4986956374091243E-4</v>
      </c>
      <c r="G165" s="2438">
        <f t="shared" si="16"/>
        <v>30</v>
      </c>
      <c r="H165" s="1356">
        <v>0</v>
      </c>
    </row>
    <row r="166" spans="1:8" ht="13.5">
      <c r="A166" s="702">
        <v>20</v>
      </c>
      <c r="B166" s="2031">
        <v>44166</v>
      </c>
      <c r="C166" s="2031">
        <v>44196</v>
      </c>
      <c r="D166" s="1660">
        <v>0.17460000000000001</v>
      </c>
      <c r="E166" s="1660">
        <f t="shared" si="17"/>
        <v>0.26190000000000002</v>
      </c>
      <c r="F166" s="2094">
        <f t="shared" si="18"/>
        <v>6.3751414410861962E-4</v>
      </c>
      <c r="G166" s="2438">
        <f t="shared" si="16"/>
        <v>31</v>
      </c>
      <c r="H166" s="1356">
        <v>0</v>
      </c>
    </row>
    <row r="167" spans="1:8" ht="13.5">
      <c r="A167" s="702">
        <v>21</v>
      </c>
      <c r="B167" s="2031">
        <v>44197</v>
      </c>
      <c r="C167" s="2031">
        <v>44227</v>
      </c>
      <c r="D167" s="1660">
        <v>0.17319999999999999</v>
      </c>
      <c r="E167" s="1660">
        <f t="shared" si="17"/>
        <v>0.25979999999999998</v>
      </c>
      <c r="F167" s="2094">
        <f t="shared" si="18"/>
        <v>6.3294811266723094E-4</v>
      </c>
      <c r="G167" s="2438">
        <f t="shared" si="16"/>
        <v>31</v>
      </c>
      <c r="H167" s="1356">
        <v>0</v>
      </c>
    </row>
    <row r="168" spans="1:8" ht="13.5">
      <c r="A168" s="702">
        <v>22</v>
      </c>
      <c r="B168" s="2031">
        <v>44228</v>
      </c>
      <c r="C168" s="2031">
        <v>44255</v>
      </c>
      <c r="D168" s="1660">
        <v>0.1754</v>
      </c>
      <c r="E168" s="1660">
        <f t="shared" si="17"/>
        <v>0.2631</v>
      </c>
      <c r="F168" s="2094">
        <f t="shared" si="18"/>
        <v>6.4011990387169426E-4</v>
      </c>
      <c r="G168" s="2438">
        <f t="shared" si="16"/>
        <v>28</v>
      </c>
      <c r="H168" s="1356">
        <v>0</v>
      </c>
    </row>
    <row r="169" spans="1:8" ht="13.5">
      <c r="A169" s="702">
        <v>23</v>
      </c>
      <c r="B169" s="2031">
        <v>44256</v>
      </c>
      <c r="C169" s="2031">
        <v>44286</v>
      </c>
      <c r="D169" s="1660">
        <v>0.1741</v>
      </c>
      <c r="E169" s="1660">
        <f t="shared" si="17"/>
        <v>0.26114999999999999</v>
      </c>
      <c r="F169" s="2094">
        <f t="shared" si="18"/>
        <v>6.3588428907812578E-4</v>
      </c>
      <c r="G169" s="2438">
        <f t="shared" si="16"/>
        <v>31</v>
      </c>
      <c r="H169" s="1356">
        <v>0</v>
      </c>
    </row>
    <row r="170" spans="1:8" ht="13.5">
      <c r="A170" s="702">
        <v>24</v>
      </c>
      <c r="B170" s="2031">
        <v>44287</v>
      </c>
      <c r="C170" s="2031">
        <v>44316</v>
      </c>
      <c r="D170" s="1660">
        <v>0.1731</v>
      </c>
      <c r="E170" s="1660">
        <f t="shared" si="17"/>
        <v>0.25964999999999999</v>
      </c>
      <c r="F170" s="2094">
        <f t="shared" si="18"/>
        <v>6.326216771728177E-4</v>
      </c>
      <c r="G170" s="2438">
        <f t="shared" si="16"/>
        <v>30</v>
      </c>
      <c r="H170" s="1356">
        <v>0</v>
      </c>
    </row>
    <row r="171" spans="1:8" ht="13.5">
      <c r="A171" s="702">
        <v>25</v>
      </c>
      <c r="B171" s="2031">
        <v>44317</v>
      </c>
      <c r="C171" s="2031">
        <v>44347</v>
      </c>
      <c r="D171" s="1660">
        <v>0.17219999999999999</v>
      </c>
      <c r="E171" s="1660">
        <f t="shared" si="17"/>
        <v>0.25829999999999997</v>
      </c>
      <c r="F171" s="2094">
        <f t="shared" si="18"/>
        <v>6.2968201205726437E-4</v>
      </c>
      <c r="G171" s="2438">
        <f t="shared" si="16"/>
        <v>31</v>
      </c>
      <c r="H171" s="1356">
        <v>0</v>
      </c>
    </row>
    <row r="172" spans="1:8" ht="13.5">
      <c r="A172" s="702">
        <v>26</v>
      </c>
      <c r="B172" s="2031">
        <v>44348</v>
      </c>
      <c r="C172" s="2031">
        <v>44377</v>
      </c>
      <c r="D172" s="1660">
        <v>0.1721</v>
      </c>
      <c r="E172" s="1660">
        <f t="shared" si="17"/>
        <v>0.25814999999999999</v>
      </c>
      <c r="F172" s="2094">
        <f t="shared" si="18"/>
        <v>6.2935518846773952E-4</v>
      </c>
      <c r="G172" s="2438">
        <f t="shared" si="16"/>
        <v>30</v>
      </c>
      <c r="H172" s="1356">
        <v>0</v>
      </c>
    </row>
    <row r="173" spans="1:8" ht="13.5">
      <c r="A173" s="702">
        <v>27</v>
      </c>
      <c r="B173" s="2031">
        <v>44378</v>
      </c>
      <c r="C173" s="2031">
        <v>44408</v>
      </c>
      <c r="D173" s="1660">
        <v>0.17180000000000001</v>
      </c>
      <c r="E173" s="1660">
        <f t="shared" si="17"/>
        <v>0.25770000000000004</v>
      </c>
      <c r="F173" s="2094">
        <f t="shared" si="18"/>
        <v>6.2837448450037137E-4</v>
      </c>
      <c r="G173" s="2438">
        <f t="shared" si="16"/>
        <v>31</v>
      </c>
      <c r="H173" s="1356">
        <v>0</v>
      </c>
    </row>
    <row r="174" spans="1:8" ht="13.5">
      <c r="A174" s="702">
        <v>28</v>
      </c>
      <c r="B174" s="2031">
        <v>44409</v>
      </c>
      <c r="C174" s="2031">
        <v>44439</v>
      </c>
      <c r="D174" s="1660">
        <v>0.1724</v>
      </c>
      <c r="E174" s="1660">
        <f t="shared" si="17"/>
        <v>0.2586</v>
      </c>
      <c r="F174" s="2094">
        <f t="shared" si="18"/>
        <v>6.3033554269220637E-4</v>
      </c>
      <c r="G174" s="2438">
        <f t="shared" si="16"/>
        <v>31</v>
      </c>
      <c r="H174" s="1356">
        <v>0</v>
      </c>
    </row>
    <row r="175" spans="1:8" ht="13.5">
      <c r="A175" s="702">
        <v>29</v>
      </c>
      <c r="B175" s="2031">
        <v>44440</v>
      </c>
      <c r="C175" s="2031">
        <v>44469</v>
      </c>
      <c r="D175" s="1660">
        <v>0.1719</v>
      </c>
      <c r="E175" s="1660">
        <f t="shared" si="17"/>
        <v>0.25785000000000002</v>
      </c>
      <c r="F175" s="2094">
        <f t="shared" si="18"/>
        <v>6.2870142469861889E-4</v>
      </c>
      <c r="G175" s="2438">
        <f t="shared" si="16"/>
        <v>30</v>
      </c>
      <c r="H175" s="1356">
        <v>0</v>
      </c>
    </row>
    <row r="176" spans="1:8" ht="13.5">
      <c r="A176" s="702">
        <v>30</v>
      </c>
      <c r="B176" s="2031">
        <v>44470</v>
      </c>
      <c r="C176" s="2031">
        <v>44500</v>
      </c>
      <c r="D176" s="1660">
        <v>0.17080000000000001</v>
      </c>
      <c r="E176" s="1660">
        <f t="shared" si="17"/>
        <v>0.25619999999999998</v>
      </c>
      <c r="F176" s="2094">
        <f t="shared" si="18"/>
        <v>6.2510294214179751E-4</v>
      </c>
      <c r="G176" s="2438">
        <f t="shared" si="16"/>
        <v>31</v>
      </c>
      <c r="H176" s="1356">
        <v>0</v>
      </c>
    </row>
    <row r="177" spans="1:8" ht="13.5">
      <c r="A177" s="702">
        <v>31</v>
      </c>
      <c r="B177" s="2031">
        <v>44501</v>
      </c>
      <c r="C177" s="2031">
        <v>44530</v>
      </c>
      <c r="D177" s="1660">
        <v>0.17269999999999999</v>
      </c>
      <c r="E177" s="1660">
        <f t="shared" si="17"/>
        <v>0.25905</v>
      </c>
      <c r="F177" s="2094">
        <f t="shared" si="18"/>
        <v>6.3131554742335005E-4</v>
      </c>
      <c r="G177" s="2438">
        <f t="shared" si="16"/>
        <v>30</v>
      </c>
      <c r="H177" s="1356">
        <v>0</v>
      </c>
    </row>
    <row r="178" spans="1:8" ht="13.5">
      <c r="A178" s="702">
        <v>32</v>
      </c>
      <c r="B178" s="2031">
        <v>44531</v>
      </c>
      <c r="C178" s="2031">
        <v>44561</v>
      </c>
      <c r="D178" s="1660">
        <v>0.17460000000000001</v>
      </c>
      <c r="E178" s="1660">
        <f t="shared" si="17"/>
        <v>0.26190000000000002</v>
      </c>
      <c r="F178" s="2094">
        <f t="shared" si="18"/>
        <v>6.3751414410861962E-4</v>
      </c>
      <c r="G178" s="2438">
        <f t="shared" si="16"/>
        <v>31</v>
      </c>
      <c r="H178" s="1356">
        <v>0</v>
      </c>
    </row>
    <row r="179" spans="1:8" ht="13.5">
      <c r="A179" s="702">
        <v>33</v>
      </c>
      <c r="B179" s="2031">
        <v>44562</v>
      </c>
      <c r="C179" s="2031">
        <v>44592</v>
      </c>
      <c r="D179" s="1660">
        <v>0.17660000000000001</v>
      </c>
      <c r="E179" s="1660">
        <f t="shared" si="17"/>
        <v>0.26490000000000002</v>
      </c>
      <c r="F179" s="2094">
        <f t="shared" si="18"/>
        <v>6.4402391816376081E-4</v>
      </c>
      <c r="G179" s="2438">
        <f t="shared" si="16"/>
        <v>31</v>
      </c>
      <c r="H179" s="1356">
        <v>0</v>
      </c>
    </row>
    <row r="180" spans="1:8" ht="13.5">
      <c r="A180" s="702">
        <v>34</v>
      </c>
      <c r="B180" s="2031">
        <v>44593</v>
      </c>
      <c r="C180" s="2031">
        <v>44620</v>
      </c>
      <c r="D180" s="1660">
        <v>0.183</v>
      </c>
      <c r="E180" s="1660">
        <f t="shared" si="17"/>
        <v>0.27449999999999997</v>
      </c>
      <c r="F180" s="2094">
        <f t="shared" si="18"/>
        <v>6.6475220558892545E-4</v>
      </c>
      <c r="G180" s="2438">
        <f t="shared" si="16"/>
        <v>28</v>
      </c>
      <c r="H180" s="1356">
        <v>0</v>
      </c>
    </row>
    <row r="181" spans="1:8" ht="13.5">
      <c r="A181" s="702">
        <v>35</v>
      </c>
      <c r="B181" s="2031">
        <v>44621</v>
      </c>
      <c r="C181" s="2031">
        <v>44637</v>
      </c>
      <c r="D181" s="1660">
        <v>0.1847</v>
      </c>
      <c r="E181" s="1660">
        <f t="shared" si="17"/>
        <v>0.27705000000000002</v>
      </c>
      <c r="F181" s="2094">
        <f t="shared" si="18"/>
        <v>6.7023198611315671E-4</v>
      </c>
      <c r="G181" s="2438">
        <f t="shared" si="16"/>
        <v>17</v>
      </c>
      <c r="H181" s="1356">
        <v>0</v>
      </c>
    </row>
    <row r="182" spans="1:8" ht="13.5">
      <c r="A182" s="702">
        <v>36</v>
      </c>
      <c r="B182" s="2212">
        <v>44638</v>
      </c>
      <c r="C182" s="2212">
        <v>44651</v>
      </c>
      <c r="D182" s="1660">
        <v>0.1847</v>
      </c>
      <c r="E182" s="1660">
        <f t="shared" si="17"/>
        <v>0.27705000000000002</v>
      </c>
      <c r="F182" s="2094">
        <f t="shared" si="18"/>
        <v>6.7023198611315671E-4</v>
      </c>
      <c r="G182" s="2438">
        <f t="shared" si="16"/>
        <v>14</v>
      </c>
      <c r="H182" s="1356">
        <f t="shared" ref="H182:H194" si="20">ROUND(F182*$E$144*G182,2)</f>
        <v>259013.92</v>
      </c>
    </row>
    <row r="183" spans="1:8" ht="13.5">
      <c r="A183" s="702">
        <v>37</v>
      </c>
      <c r="B183" s="2031">
        <v>44652</v>
      </c>
      <c r="C183" s="2031">
        <v>44681</v>
      </c>
      <c r="D183" s="1660">
        <v>0.1905</v>
      </c>
      <c r="E183" s="1660">
        <f t="shared" si="17"/>
        <v>0.28575</v>
      </c>
      <c r="F183" s="2094">
        <f t="shared" si="18"/>
        <v>6.8884592812357148E-4</v>
      </c>
      <c r="G183" s="2438">
        <f t="shared" si="16"/>
        <v>30</v>
      </c>
      <c r="H183" s="1356">
        <f t="shared" si="20"/>
        <v>570444.32999999996</v>
      </c>
    </row>
    <row r="184" spans="1:8" ht="13.5">
      <c r="A184" s="702">
        <v>38</v>
      </c>
      <c r="B184" s="2031">
        <v>44682</v>
      </c>
      <c r="C184" s="2031">
        <v>44712</v>
      </c>
      <c r="D184" s="1660">
        <v>0.1971</v>
      </c>
      <c r="E184" s="1660">
        <f t="shared" si="17"/>
        <v>0.29564999999999997</v>
      </c>
      <c r="F184" s="2094">
        <f t="shared" si="18"/>
        <v>7.0987512909947981E-4</v>
      </c>
      <c r="G184" s="2438">
        <f t="shared" si="16"/>
        <v>31</v>
      </c>
      <c r="H184" s="1356">
        <f t="shared" si="20"/>
        <v>607454.25</v>
      </c>
    </row>
    <row r="185" spans="1:8" ht="13.5">
      <c r="A185" s="702">
        <v>39</v>
      </c>
      <c r="B185" s="2031">
        <v>44713</v>
      </c>
      <c r="C185" s="2031">
        <v>44742</v>
      </c>
      <c r="D185" s="1660">
        <v>0.20399999999999999</v>
      </c>
      <c r="E185" s="1660">
        <f t="shared" si="17"/>
        <v>0.30599999999999999</v>
      </c>
      <c r="F185" s="2094">
        <f t="shared" si="18"/>
        <v>7.3168955664093538E-4</v>
      </c>
      <c r="G185" s="2438">
        <f t="shared" si="16"/>
        <v>30</v>
      </c>
      <c r="H185" s="1356">
        <f t="shared" si="20"/>
        <v>605923.82999999996</v>
      </c>
    </row>
    <row r="186" spans="1:8" ht="13.5">
      <c r="A186" s="702">
        <v>40</v>
      </c>
      <c r="B186" s="2031">
        <v>44743</v>
      </c>
      <c r="C186" s="2031">
        <v>44773</v>
      </c>
      <c r="D186" s="1660">
        <v>0.21279999999999999</v>
      </c>
      <c r="E186" s="1660">
        <f t="shared" si="17"/>
        <v>0.31919999999999998</v>
      </c>
      <c r="F186" s="2094">
        <f t="shared" si="18"/>
        <v>7.5926204501630679E-4</v>
      </c>
      <c r="G186" s="2438">
        <f t="shared" si="16"/>
        <v>31</v>
      </c>
      <c r="H186" s="1356">
        <f t="shared" si="20"/>
        <v>649715.62</v>
      </c>
    </row>
    <row r="187" spans="1:8" ht="13.5">
      <c r="A187" s="702">
        <v>41</v>
      </c>
      <c r="B187" s="2031">
        <v>44774</v>
      </c>
      <c r="C187" s="2031">
        <v>44804</v>
      </c>
      <c r="D187" s="1660">
        <v>0.22209999999999999</v>
      </c>
      <c r="E187" s="1660">
        <f t="shared" si="17"/>
        <v>0.33315</v>
      </c>
      <c r="F187" s="2094">
        <f t="shared" si="18"/>
        <v>7.8810371394433254E-4</v>
      </c>
      <c r="G187" s="2438">
        <f t="shared" si="16"/>
        <v>31</v>
      </c>
      <c r="H187" s="1356">
        <f t="shared" si="20"/>
        <v>674396.01</v>
      </c>
    </row>
    <row r="188" spans="1:8" ht="13.5">
      <c r="A188" s="702">
        <v>42</v>
      </c>
      <c r="B188" s="2031">
        <v>44805</v>
      </c>
      <c r="C188" s="2031">
        <v>44834</v>
      </c>
      <c r="D188" s="1660">
        <v>0.23499999999999999</v>
      </c>
      <c r="E188" s="1660">
        <f t="shared" si="17"/>
        <v>0.35249999999999998</v>
      </c>
      <c r="F188" s="2094">
        <f t="shared" si="18"/>
        <v>8.2761552252574866E-4</v>
      </c>
      <c r="G188" s="2438">
        <f t="shared" si="16"/>
        <v>30</v>
      </c>
      <c r="H188" s="1356">
        <f t="shared" si="20"/>
        <v>685361.66</v>
      </c>
    </row>
    <row r="189" spans="1:8" ht="13.5">
      <c r="A189" s="702">
        <v>43</v>
      </c>
      <c r="B189" s="2031">
        <v>44835</v>
      </c>
      <c r="C189" s="2031">
        <v>44865</v>
      </c>
      <c r="D189" s="1660">
        <v>0.24610000000000001</v>
      </c>
      <c r="E189" s="1660">
        <f t="shared" si="17"/>
        <v>0.36915000000000003</v>
      </c>
      <c r="F189" s="2094">
        <f t="shared" si="18"/>
        <v>8.611654102768096E-4</v>
      </c>
      <c r="G189" s="2438">
        <f t="shared" si="16"/>
        <v>31</v>
      </c>
      <c r="H189" s="1356">
        <f t="shared" si="20"/>
        <v>736916.35</v>
      </c>
    </row>
    <row r="190" spans="1:8" ht="13.5">
      <c r="A190" s="702">
        <v>44</v>
      </c>
      <c r="B190" s="2031">
        <v>44866</v>
      </c>
      <c r="C190" s="2031">
        <v>44895</v>
      </c>
      <c r="D190" s="1660">
        <v>0.25779999999999997</v>
      </c>
      <c r="E190" s="1660">
        <f t="shared" si="17"/>
        <v>0.38669999999999993</v>
      </c>
      <c r="F190" s="2094">
        <f t="shared" si="18"/>
        <v>8.9609117817124329E-4</v>
      </c>
      <c r="G190" s="2438">
        <f t="shared" si="16"/>
        <v>30</v>
      </c>
      <c r="H190" s="1356">
        <f t="shared" si="20"/>
        <v>742067.44</v>
      </c>
    </row>
    <row r="191" spans="1:8" ht="13.5">
      <c r="A191" s="702">
        <v>45</v>
      </c>
      <c r="B191" s="2031">
        <v>44896</v>
      </c>
      <c r="C191" s="2031">
        <v>44926</v>
      </c>
      <c r="D191" s="1660">
        <v>0.27639999999999998</v>
      </c>
      <c r="E191" s="1660">
        <f t="shared" si="17"/>
        <v>0.41459999999999997</v>
      </c>
      <c r="F191" s="2094">
        <f t="shared" si="18"/>
        <v>9.5071686592063109E-4</v>
      </c>
      <c r="G191" s="2438">
        <f t="shared" si="16"/>
        <v>31</v>
      </c>
      <c r="H191" s="1356">
        <f t="shared" si="20"/>
        <v>813547.31</v>
      </c>
    </row>
    <row r="192" spans="1:8" ht="13.5">
      <c r="A192" s="702">
        <v>46</v>
      </c>
      <c r="B192" s="2031">
        <v>44927</v>
      </c>
      <c r="C192" s="2031">
        <v>44957</v>
      </c>
      <c r="D192" s="1660">
        <v>0.28839999999999999</v>
      </c>
      <c r="E192" s="1660">
        <f t="shared" si="17"/>
        <v>0.43259999999999998</v>
      </c>
      <c r="F192" s="2094">
        <f t="shared" si="18"/>
        <v>9.8539196132163553E-4</v>
      </c>
      <c r="G192" s="2438">
        <f t="shared" si="16"/>
        <v>31</v>
      </c>
      <c r="H192" s="1356">
        <f t="shared" si="20"/>
        <v>843219.48</v>
      </c>
    </row>
    <row r="193" spans="1:9" ht="13.5">
      <c r="A193" s="702">
        <v>47</v>
      </c>
      <c r="B193" s="2031">
        <v>44958</v>
      </c>
      <c r="C193" s="2031">
        <v>44985</v>
      </c>
      <c r="D193" s="1660">
        <v>0.30180000000000001</v>
      </c>
      <c r="E193" s="1660">
        <f t="shared" si="17"/>
        <v>0.45269999999999999</v>
      </c>
      <c r="F193" s="2094">
        <f t="shared" si="18"/>
        <v>1.0236026853662761E-3</v>
      </c>
      <c r="G193" s="2438">
        <f t="shared" si="16"/>
        <v>28</v>
      </c>
      <c r="H193" s="1356">
        <f t="shared" si="20"/>
        <v>791150.98</v>
      </c>
    </row>
    <row r="194" spans="1:9" ht="13.5">
      <c r="A194" s="702">
        <v>48</v>
      </c>
      <c r="B194" s="2031">
        <v>44986</v>
      </c>
      <c r="C194" s="2031">
        <v>45006</v>
      </c>
      <c r="D194" s="1660">
        <v>0.30840000000000001</v>
      </c>
      <c r="E194" s="1660">
        <f t="shared" si="17"/>
        <v>0.46260000000000001</v>
      </c>
      <c r="F194" s="2094">
        <f t="shared" si="18"/>
        <v>1.0422295217955568E-3</v>
      </c>
      <c r="G194" s="2438">
        <f t="shared" si="16"/>
        <v>21</v>
      </c>
      <c r="H194" s="1356">
        <f t="shared" si="20"/>
        <v>604160.86</v>
      </c>
      <c r="I194" s="686">
        <v>604160.86</v>
      </c>
    </row>
    <row r="195" spans="1:9" ht="13.5">
      <c r="F195" s="2852" t="s">
        <v>338</v>
      </c>
      <c r="G195" s="2852"/>
      <c r="H195" s="2387">
        <f>SUM(H147:H194)</f>
        <v>12110608.520000001</v>
      </c>
      <c r="I195" s="686">
        <v>12110608.52</v>
      </c>
    </row>
    <row r="198" spans="1:9" ht="13.5">
      <c r="A198" s="686">
        <v>4</v>
      </c>
      <c r="B198" s="1348" t="str">
        <f>+C20</f>
        <v>MARTHA EUGENIA ARISTIZABAL GIL</v>
      </c>
    </row>
    <row r="199" spans="1:9">
      <c r="B199" s="698" t="s">
        <v>1908</v>
      </c>
      <c r="E199" s="698" t="s">
        <v>1909</v>
      </c>
    </row>
    <row r="200" spans="1:9">
      <c r="B200" s="698" t="s">
        <v>1910</v>
      </c>
      <c r="C200" s="2031">
        <v>43615</v>
      </c>
      <c r="E200" s="2436">
        <f>+G20</f>
        <v>27603866.670000002</v>
      </c>
      <c r="F200" s="718"/>
    </row>
    <row r="201" spans="1:9">
      <c r="B201" s="702"/>
      <c r="C201" s="2663" t="s">
        <v>1406</v>
      </c>
      <c r="D201" s="2663"/>
      <c r="E201" s="2663"/>
      <c r="F201" s="2663"/>
      <c r="G201" s="2663"/>
      <c r="H201" s="2663"/>
    </row>
    <row r="202" spans="1:9" ht="38.25">
      <c r="B202" s="699" t="s">
        <v>147</v>
      </c>
      <c r="C202" s="699" t="s">
        <v>40</v>
      </c>
      <c r="D202" s="2441" t="s">
        <v>1911</v>
      </c>
      <c r="E202" s="700" t="s">
        <v>1830</v>
      </c>
      <c r="F202" s="1642" t="s">
        <v>43</v>
      </c>
      <c r="G202" s="1642" t="s">
        <v>47</v>
      </c>
      <c r="H202" s="1642" t="s">
        <v>48</v>
      </c>
    </row>
    <row r="203" spans="1:9" ht="13.5">
      <c r="A203" s="702">
        <v>1</v>
      </c>
      <c r="B203" s="2031">
        <v>43616</v>
      </c>
      <c r="C203" s="2031">
        <v>43616</v>
      </c>
      <c r="D203" s="1660">
        <v>0.19339999999999999</v>
      </c>
      <c r="E203" s="1660">
        <f>+D203*1.5</f>
        <v>0.29009999999999997</v>
      </c>
      <c r="F203" s="2094">
        <f>((1+E203)^(1/365)-1)</f>
        <v>6.9810584952367805E-4</v>
      </c>
      <c r="G203" s="2033">
        <f t="shared" ref="G203:G250" si="21">_xlfn.DAYS(C203,B203)+1</f>
        <v>1</v>
      </c>
      <c r="H203" s="1356">
        <f>ROUND(F203*$E$144*G203,2)</f>
        <v>19270.419999999998</v>
      </c>
    </row>
    <row r="204" spans="1:9" ht="13.5">
      <c r="A204" s="702">
        <v>2</v>
      </c>
      <c r="B204" s="2031">
        <v>43617</v>
      </c>
      <c r="C204" s="2031">
        <v>43646</v>
      </c>
      <c r="D204" s="1660">
        <v>0.193</v>
      </c>
      <c r="E204" s="1660">
        <f t="shared" ref="E204:E250" si="22">+D204*1.5</f>
        <v>0.28949999999999998</v>
      </c>
      <c r="F204" s="2094">
        <f t="shared" ref="F204:F250" si="23">((1+E204)^(1/365)-1)</f>
        <v>6.9683047181468005E-4</v>
      </c>
      <c r="G204" s="2033">
        <f t="shared" si="21"/>
        <v>30</v>
      </c>
      <c r="H204" s="1356">
        <f t="shared" ref="H204:H209" si="24">ROUND(F204*$E$144*G204,2)</f>
        <v>577056.46</v>
      </c>
    </row>
    <row r="205" spans="1:9" ht="13.5">
      <c r="A205" s="702">
        <v>3</v>
      </c>
      <c r="B205" s="2031">
        <v>43647</v>
      </c>
      <c r="C205" s="2031">
        <v>43677</v>
      </c>
      <c r="D205" s="1660">
        <v>0.1928</v>
      </c>
      <c r="E205" s="1660">
        <f t="shared" si="22"/>
        <v>0.28920000000000001</v>
      </c>
      <c r="F205" s="2094">
        <f t="shared" si="23"/>
        <v>6.9619256101671745E-4</v>
      </c>
      <c r="G205" s="2033">
        <f t="shared" si="21"/>
        <v>31</v>
      </c>
      <c r="H205" s="1356">
        <f t="shared" si="24"/>
        <v>595745.81000000006</v>
      </c>
    </row>
    <row r="206" spans="1:9" ht="13.5">
      <c r="A206" s="702">
        <v>4</v>
      </c>
      <c r="B206" s="2031">
        <v>43678</v>
      </c>
      <c r="C206" s="2031">
        <v>43708</v>
      </c>
      <c r="D206" s="1660">
        <v>0.19320000000000001</v>
      </c>
      <c r="E206" s="1660">
        <f t="shared" si="22"/>
        <v>0.2898</v>
      </c>
      <c r="F206" s="2094">
        <f t="shared" si="23"/>
        <v>6.9746823462724095E-4</v>
      </c>
      <c r="G206" s="2033">
        <f t="shared" si="21"/>
        <v>31</v>
      </c>
      <c r="H206" s="1356">
        <f t="shared" si="24"/>
        <v>596837.42000000004</v>
      </c>
    </row>
    <row r="207" spans="1:9" ht="13.5">
      <c r="A207" s="702">
        <v>5</v>
      </c>
      <c r="B207" s="2031">
        <v>43709</v>
      </c>
      <c r="C207" s="2031">
        <v>43738</v>
      </c>
      <c r="D207" s="1660">
        <v>0.19320000000000001</v>
      </c>
      <c r="E207" s="1660">
        <f t="shared" si="22"/>
        <v>0.2898</v>
      </c>
      <c r="F207" s="2094">
        <f t="shared" si="23"/>
        <v>6.9746823462724095E-4</v>
      </c>
      <c r="G207" s="2033">
        <f t="shared" si="21"/>
        <v>30</v>
      </c>
      <c r="H207" s="1356">
        <f t="shared" si="24"/>
        <v>577584.6</v>
      </c>
    </row>
    <row r="208" spans="1:9" ht="13.5">
      <c r="A208" s="702">
        <v>6</v>
      </c>
      <c r="B208" s="2031">
        <v>43739</v>
      </c>
      <c r="C208" s="2031">
        <v>43769</v>
      </c>
      <c r="D208" s="1660">
        <v>0.191</v>
      </c>
      <c r="E208" s="1660">
        <f t="shared" si="22"/>
        <v>0.28649999999999998</v>
      </c>
      <c r="F208" s="2094">
        <f t="shared" si="23"/>
        <v>6.9044469314105683E-4</v>
      </c>
      <c r="G208" s="2033">
        <f t="shared" si="21"/>
        <v>31</v>
      </c>
      <c r="H208" s="1356">
        <f t="shared" si="24"/>
        <v>590827.24</v>
      </c>
    </row>
    <row r="209" spans="1:8" ht="13.5">
      <c r="A209" s="702">
        <v>7</v>
      </c>
      <c r="B209" s="2031">
        <v>43770</v>
      </c>
      <c r="C209" s="2031">
        <v>43799</v>
      </c>
      <c r="D209" s="1660">
        <v>0.1903</v>
      </c>
      <c r="E209" s="1660">
        <f t="shared" si="22"/>
        <v>0.28544999999999998</v>
      </c>
      <c r="F209" s="2094">
        <f t="shared" si="23"/>
        <v>6.8820616169262827E-4</v>
      </c>
      <c r="G209" s="2438">
        <f t="shared" si="21"/>
        <v>30</v>
      </c>
      <c r="H209" s="1356">
        <f t="shared" si="24"/>
        <v>569914.53</v>
      </c>
    </row>
    <row r="210" spans="1:8" ht="13.5">
      <c r="A210" s="702">
        <v>8</v>
      </c>
      <c r="B210" s="2031">
        <v>43800</v>
      </c>
      <c r="C210" s="2031">
        <v>43830</v>
      </c>
      <c r="D210" s="1660">
        <v>0.18959999999999999</v>
      </c>
      <c r="E210" s="1660">
        <f t="shared" si="22"/>
        <v>0.28439999999999999</v>
      </c>
      <c r="F210" s="2094">
        <f t="shared" si="23"/>
        <v>6.8596580600033263E-4</v>
      </c>
      <c r="G210" s="2438">
        <f t="shared" si="21"/>
        <v>31</v>
      </c>
      <c r="H210" s="1356">
        <v>0</v>
      </c>
    </row>
    <row r="211" spans="1:8" ht="13.5">
      <c r="A211" s="702">
        <v>9</v>
      </c>
      <c r="B211" s="2031">
        <v>43831</v>
      </c>
      <c r="C211" s="2031">
        <v>43861</v>
      </c>
      <c r="D211" s="1660">
        <v>0.18770000000000001</v>
      </c>
      <c r="E211" s="1660">
        <f t="shared" si="22"/>
        <v>0.28155000000000002</v>
      </c>
      <c r="F211" s="2094">
        <f t="shared" si="23"/>
        <v>6.7987562124560696E-4</v>
      </c>
      <c r="G211" s="2438">
        <f t="shared" si="21"/>
        <v>31</v>
      </c>
      <c r="H211" s="1356">
        <v>0</v>
      </c>
    </row>
    <row r="212" spans="1:8" ht="13.5">
      <c r="A212" s="702">
        <v>10</v>
      </c>
      <c r="B212" s="2031">
        <v>43862</v>
      </c>
      <c r="C212" s="2031">
        <v>43890</v>
      </c>
      <c r="D212" s="1660">
        <v>0.19059999999999999</v>
      </c>
      <c r="E212" s="1660">
        <f t="shared" si="22"/>
        <v>0.28589999999999999</v>
      </c>
      <c r="F212" s="2094">
        <f t="shared" si="23"/>
        <v>6.8916575551658532E-4</v>
      </c>
      <c r="G212" s="2438">
        <f t="shared" si="21"/>
        <v>29</v>
      </c>
      <c r="H212" s="1356">
        <v>0</v>
      </c>
    </row>
    <row r="213" spans="1:8" ht="13.5">
      <c r="A213" s="702">
        <v>11</v>
      </c>
      <c r="B213" s="2031">
        <v>43891</v>
      </c>
      <c r="C213" s="2031">
        <v>43921</v>
      </c>
      <c r="D213" s="1660">
        <v>0.1895</v>
      </c>
      <c r="E213" s="1660">
        <f t="shared" si="22"/>
        <v>0.28425</v>
      </c>
      <c r="F213" s="2094">
        <f t="shared" si="23"/>
        <v>6.8564560609574166E-4</v>
      </c>
      <c r="G213" s="2438">
        <f t="shared" si="21"/>
        <v>31</v>
      </c>
      <c r="H213" s="1356">
        <v>0</v>
      </c>
    </row>
    <row r="214" spans="1:8" ht="13.5">
      <c r="A214" s="702">
        <v>12</v>
      </c>
      <c r="B214" s="2031">
        <v>43922</v>
      </c>
      <c r="C214" s="2031">
        <v>43951</v>
      </c>
      <c r="D214" s="1660">
        <v>0.18690000000000001</v>
      </c>
      <c r="E214" s="1660">
        <f t="shared" si="22"/>
        <v>0.28034999999999999</v>
      </c>
      <c r="F214" s="2094">
        <f t="shared" si="23"/>
        <v>6.7730729113191224E-4</v>
      </c>
      <c r="G214" s="2438">
        <f t="shared" si="21"/>
        <v>30</v>
      </c>
      <c r="H214" s="1356">
        <v>0</v>
      </c>
    </row>
    <row r="215" spans="1:8" ht="13.5">
      <c r="A215" s="702">
        <v>13</v>
      </c>
      <c r="B215" s="2031">
        <v>43952</v>
      </c>
      <c r="C215" s="2031">
        <v>43982</v>
      </c>
      <c r="D215" s="1660">
        <v>0.18190000000000001</v>
      </c>
      <c r="E215" s="1660">
        <f t="shared" si="22"/>
        <v>0.27285000000000004</v>
      </c>
      <c r="F215" s="2094">
        <f t="shared" si="23"/>
        <v>6.6120063584418354E-4</v>
      </c>
      <c r="G215" s="2438">
        <f t="shared" si="21"/>
        <v>31</v>
      </c>
      <c r="H215" s="1356">
        <v>0</v>
      </c>
    </row>
    <row r="216" spans="1:8" ht="13.5">
      <c r="A216" s="702">
        <v>14</v>
      </c>
      <c r="B216" s="2031">
        <v>43983</v>
      </c>
      <c r="C216" s="2031">
        <v>44012</v>
      </c>
      <c r="D216" s="1660">
        <v>0.1812</v>
      </c>
      <c r="E216" s="1660">
        <f t="shared" si="22"/>
        <v>0.27179999999999999</v>
      </c>
      <c r="F216" s="2094">
        <f t="shared" si="23"/>
        <v>6.5893815469997286E-4</v>
      </c>
      <c r="G216" s="2438">
        <f t="shared" si="21"/>
        <v>30</v>
      </c>
      <c r="H216" s="1356">
        <v>0</v>
      </c>
    </row>
    <row r="217" spans="1:8" ht="13.5">
      <c r="A217" s="702">
        <v>15</v>
      </c>
      <c r="B217" s="2031">
        <v>44013</v>
      </c>
      <c r="C217" s="2031">
        <v>44043</v>
      </c>
      <c r="D217" s="1660">
        <v>0.1812</v>
      </c>
      <c r="E217" s="1660">
        <f t="shared" si="22"/>
        <v>0.27179999999999999</v>
      </c>
      <c r="F217" s="2094">
        <f t="shared" si="23"/>
        <v>6.5893815469997286E-4</v>
      </c>
      <c r="G217" s="2438">
        <f t="shared" si="21"/>
        <v>31</v>
      </c>
      <c r="H217" s="1356">
        <v>0</v>
      </c>
    </row>
    <row r="218" spans="1:8" ht="13.5">
      <c r="A218" s="702">
        <v>16</v>
      </c>
      <c r="B218" s="2031">
        <v>44044</v>
      </c>
      <c r="C218" s="2031">
        <v>44074</v>
      </c>
      <c r="D218" s="1660">
        <v>0.18290000000000001</v>
      </c>
      <c r="E218" s="1660">
        <f t="shared" si="22"/>
        <v>0.27434999999999998</v>
      </c>
      <c r="F218" s="2094">
        <f t="shared" si="23"/>
        <v>6.6442952514544906E-4</v>
      </c>
      <c r="G218" s="2438">
        <f t="shared" si="21"/>
        <v>31</v>
      </c>
      <c r="H218" s="1356">
        <v>0</v>
      </c>
    </row>
    <row r="219" spans="1:8" ht="13.5">
      <c r="A219" s="702">
        <v>17</v>
      </c>
      <c r="B219" s="2031">
        <v>44075</v>
      </c>
      <c r="C219" s="2031">
        <v>44104</v>
      </c>
      <c r="D219" s="1660">
        <v>0.1835</v>
      </c>
      <c r="E219" s="1660">
        <f t="shared" si="22"/>
        <v>0.27524999999999999</v>
      </c>
      <c r="F219" s="2094">
        <f t="shared" si="23"/>
        <v>6.6636503991857055E-4</v>
      </c>
      <c r="G219" s="2438">
        <f t="shared" si="21"/>
        <v>30</v>
      </c>
      <c r="H219" s="1356">
        <v>0</v>
      </c>
    </row>
    <row r="220" spans="1:8" ht="13.5">
      <c r="A220" s="702">
        <v>18</v>
      </c>
      <c r="B220" s="2031">
        <v>44105</v>
      </c>
      <c r="C220" s="2031">
        <v>44135</v>
      </c>
      <c r="D220" s="1660">
        <v>0.18090000000000001</v>
      </c>
      <c r="E220" s="1660">
        <f t="shared" si="22"/>
        <v>0.27134999999999998</v>
      </c>
      <c r="F220" s="2094">
        <f t="shared" si="23"/>
        <v>6.5796794962613703E-4</v>
      </c>
      <c r="G220" s="2438">
        <f t="shared" si="21"/>
        <v>31</v>
      </c>
      <c r="H220" s="1356">
        <v>0</v>
      </c>
    </row>
    <row r="221" spans="1:8" ht="13.5">
      <c r="A221" s="702">
        <v>19</v>
      </c>
      <c r="B221" s="2031">
        <v>44136</v>
      </c>
      <c r="C221" s="2031">
        <v>44165</v>
      </c>
      <c r="D221" s="1660">
        <v>0.1784</v>
      </c>
      <c r="E221" s="1660">
        <f t="shared" si="22"/>
        <v>0.2676</v>
      </c>
      <c r="F221" s="2094">
        <f t="shared" si="23"/>
        <v>6.4986956374091243E-4</v>
      </c>
      <c r="G221" s="2438">
        <f t="shared" si="21"/>
        <v>30</v>
      </c>
      <c r="H221" s="1356">
        <v>0</v>
      </c>
    </row>
    <row r="222" spans="1:8" ht="13.5">
      <c r="A222" s="702">
        <v>20</v>
      </c>
      <c r="B222" s="2031">
        <v>44166</v>
      </c>
      <c r="C222" s="2031">
        <v>44196</v>
      </c>
      <c r="D222" s="1660">
        <v>0.17460000000000001</v>
      </c>
      <c r="E222" s="1660">
        <f t="shared" si="22"/>
        <v>0.26190000000000002</v>
      </c>
      <c r="F222" s="2094">
        <f t="shared" si="23"/>
        <v>6.3751414410861962E-4</v>
      </c>
      <c r="G222" s="2438">
        <f t="shared" si="21"/>
        <v>31</v>
      </c>
      <c r="H222" s="1356">
        <v>0</v>
      </c>
    </row>
    <row r="223" spans="1:8" ht="13.5">
      <c r="A223" s="702">
        <v>21</v>
      </c>
      <c r="B223" s="2031">
        <v>44197</v>
      </c>
      <c r="C223" s="2031">
        <v>44227</v>
      </c>
      <c r="D223" s="1660">
        <v>0.17319999999999999</v>
      </c>
      <c r="E223" s="1660">
        <f t="shared" si="22"/>
        <v>0.25979999999999998</v>
      </c>
      <c r="F223" s="2094">
        <f t="shared" si="23"/>
        <v>6.3294811266723094E-4</v>
      </c>
      <c r="G223" s="2438">
        <f t="shared" si="21"/>
        <v>31</v>
      </c>
      <c r="H223" s="1356">
        <v>0</v>
      </c>
    </row>
    <row r="224" spans="1:8" ht="13.5">
      <c r="A224" s="702">
        <v>22</v>
      </c>
      <c r="B224" s="2031">
        <v>44228</v>
      </c>
      <c r="C224" s="2031">
        <v>44255</v>
      </c>
      <c r="D224" s="1660">
        <v>0.1754</v>
      </c>
      <c r="E224" s="1660">
        <f t="shared" si="22"/>
        <v>0.2631</v>
      </c>
      <c r="F224" s="2094">
        <f t="shared" si="23"/>
        <v>6.4011990387169426E-4</v>
      </c>
      <c r="G224" s="2438">
        <f t="shared" si="21"/>
        <v>28</v>
      </c>
      <c r="H224" s="1356">
        <v>0</v>
      </c>
    </row>
    <row r="225" spans="1:8" ht="13.5">
      <c r="A225" s="702">
        <v>23</v>
      </c>
      <c r="B225" s="2031">
        <v>44256</v>
      </c>
      <c r="C225" s="2031">
        <v>44286</v>
      </c>
      <c r="D225" s="1660">
        <v>0.1741</v>
      </c>
      <c r="E225" s="1660">
        <f t="shared" si="22"/>
        <v>0.26114999999999999</v>
      </c>
      <c r="F225" s="2094">
        <f t="shared" si="23"/>
        <v>6.3588428907812578E-4</v>
      </c>
      <c r="G225" s="2438">
        <f t="shared" si="21"/>
        <v>31</v>
      </c>
      <c r="H225" s="1356">
        <v>0</v>
      </c>
    </row>
    <row r="226" spans="1:8" ht="13.5">
      <c r="A226" s="702">
        <v>24</v>
      </c>
      <c r="B226" s="2031">
        <v>44287</v>
      </c>
      <c r="C226" s="2031">
        <v>44316</v>
      </c>
      <c r="D226" s="1660">
        <v>0.1731</v>
      </c>
      <c r="E226" s="1660">
        <f t="shared" si="22"/>
        <v>0.25964999999999999</v>
      </c>
      <c r="F226" s="2094">
        <f t="shared" si="23"/>
        <v>6.326216771728177E-4</v>
      </c>
      <c r="G226" s="2438">
        <f t="shared" si="21"/>
        <v>30</v>
      </c>
      <c r="H226" s="1356">
        <v>0</v>
      </c>
    </row>
    <row r="227" spans="1:8" ht="13.5">
      <c r="A227" s="702">
        <v>25</v>
      </c>
      <c r="B227" s="2031">
        <v>44317</v>
      </c>
      <c r="C227" s="2031">
        <v>44347</v>
      </c>
      <c r="D227" s="1660">
        <v>0.17219999999999999</v>
      </c>
      <c r="E227" s="1660">
        <f t="shared" si="22"/>
        <v>0.25829999999999997</v>
      </c>
      <c r="F227" s="2094">
        <f t="shared" si="23"/>
        <v>6.2968201205726437E-4</v>
      </c>
      <c r="G227" s="2438">
        <f t="shared" si="21"/>
        <v>31</v>
      </c>
      <c r="H227" s="1356">
        <v>0</v>
      </c>
    </row>
    <row r="228" spans="1:8" ht="13.5">
      <c r="A228" s="702">
        <v>26</v>
      </c>
      <c r="B228" s="2031">
        <v>44348</v>
      </c>
      <c r="C228" s="2031">
        <v>44377</v>
      </c>
      <c r="D228" s="1660">
        <v>0.1721</v>
      </c>
      <c r="E228" s="1660">
        <f t="shared" si="22"/>
        <v>0.25814999999999999</v>
      </c>
      <c r="F228" s="2094">
        <f t="shared" si="23"/>
        <v>6.2935518846773952E-4</v>
      </c>
      <c r="G228" s="2438">
        <f t="shared" si="21"/>
        <v>30</v>
      </c>
      <c r="H228" s="1356">
        <v>0</v>
      </c>
    </row>
    <row r="229" spans="1:8" ht="13.5">
      <c r="A229" s="702">
        <v>27</v>
      </c>
      <c r="B229" s="2031">
        <v>44378</v>
      </c>
      <c r="C229" s="2031">
        <v>44408</v>
      </c>
      <c r="D229" s="1660">
        <v>0.17180000000000001</v>
      </c>
      <c r="E229" s="1660">
        <f t="shared" si="22"/>
        <v>0.25770000000000004</v>
      </c>
      <c r="F229" s="2094">
        <f t="shared" si="23"/>
        <v>6.2837448450037137E-4</v>
      </c>
      <c r="G229" s="2438">
        <f t="shared" si="21"/>
        <v>31</v>
      </c>
      <c r="H229" s="1356">
        <v>0</v>
      </c>
    </row>
    <row r="230" spans="1:8" ht="13.5">
      <c r="A230" s="702">
        <v>28</v>
      </c>
      <c r="B230" s="2031">
        <v>44409</v>
      </c>
      <c r="C230" s="2031">
        <v>44439</v>
      </c>
      <c r="D230" s="1660">
        <v>0.1724</v>
      </c>
      <c r="E230" s="1660">
        <f t="shared" si="22"/>
        <v>0.2586</v>
      </c>
      <c r="F230" s="2094">
        <f t="shared" si="23"/>
        <v>6.3033554269220637E-4</v>
      </c>
      <c r="G230" s="2438">
        <f t="shared" si="21"/>
        <v>31</v>
      </c>
      <c r="H230" s="1356">
        <v>0</v>
      </c>
    </row>
    <row r="231" spans="1:8" ht="13.5">
      <c r="A231" s="702">
        <v>29</v>
      </c>
      <c r="B231" s="2031">
        <v>44440</v>
      </c>
      <c r="C231" s="2031">
        <v>44469</v>
      </c>
      <c r="D231" s="1660">
        <v>0.1719</v>
      </c>
      <c r="E231" s="1660">
        <f t="shared" si="22"/>
        <v>0.25785000000000002</v>
      </c>
      <c r="F231" s="2094">
        <f t="shared" si="23"/>
        <v>6.2870142469861889E-4</v>
      </c>
      <c r="G231" s="2438">
        <f t="shared" si="21"/>
        <v>30</v>
      </c>
      <c r="H231" s="1356">
        <v>0</v>
      </c>
    </row>
    <row r="232" spans="1:8" ht="13.5">
      <c r="A232" s="702">
        <v>30</v>
      </c>
      <c r="B232" s="2031">
        <v>44470</v>
      </c>
      <c r="C232" s="2031">
        <v>44500</v>
      </c>
      <c r="D232" s="1660">
        <v>0.17080000000000001</v>
      </c>
      <c r="E232" s="1660">
        <f t="shared" si="22"/>
        <v>0.25619999999999998</v>
      </c>
      <c r="F232" s="2094">
        <f t="shared" si="23"/>
        <v>6.2510294214179751E-4</v>
      </c>
      <c r="G232" s="2438">
        <f t="shared" si="21"/>
        <v>31</v>
      </c>
      <c r="H232" s="1356">
        <v>0</v>
      </c>
    </row>
    <row r="233" spans="1:8" ht="13.5">
      <c r="A233" s="702">
        <v>31</v>
      </c>
      <c r="B233" s="2031">
        <v>44501</v>
      </c>
      <c r="C233" s="2031">
        <v>44530</v>
      </c>
      <c r="D233" s="1660">
        <v>0.17269999999999999</v>
      </c>
      <c r="E233" s="1660">
        <f t="shared" si="22"/>
        <v>0.25905</v>
      </c>
      <c r="F233" s="2094">
        <f t="shared" si="23"/>
        <v>6.3131554742335005E-4</v>
      </c>
      <c r="G233" s="2438">
        <f t="shared" si="21"/>
        <v>30</v>
      </c>
      <c r="H233" s="1356">
        <v>0</v>
      </c>
    </row>
    <row r="234" spans="1:8" ht="13.5">
      <c r="A234" s="702">
        <v>32</v>
      </c>
      <c r="B234" s="2031">
        <v>44531</v>
      </c>
      <c r="C234" s="2031">
        <v>44561</v>
      </c>
      <c r="D234" s="1660">
        <v>0.17460000000000001</v>
      </c>
      <c r="E234" s="1660">
        <f t="shared" si="22"/>
        <v>0.26190000000000002</v>
      </c>
      <c r="F234" s="2094">
        <f t="shared" si="23"/>
        <v>6.3751414410861962E-4</v>
      </c>
      <c r="G234" s="2438">
        <f t="shared" si="21"/>
        <v>31</v>
      </c>
      <c r="H234" s="1356">
        <v>0</v>
      </c>
    </row>
    <row r="235" spans="1:8" ht="13.5">
      <c r="A235" s="702">
        <v>33</v>
      </c>
      <c r="B235" s="2031">
        <v>44562</v>
      </c>
      <c r="C235" s="2031">
        <v>44592</v>
      </c>
      <c r="D235" s="1660">
        <v>0.17660000000000001</v>
      </c>
      <c r="E235" s="1660">
        <f t="shared" si="22"/>
        <v>0.26490000000000002</v>
      </c>
      <c r="F235" s="2094">
        <f t="shared" si="23"/>
        <v>6.4402391816376081E-4</v>
      </c>
      <c r="G235" s="2438">
        <f t="shared" si="21"/>
        <v>31</v>
      </c>
      <c r="H235" s="1356">
        <v>0</v>
      </c>
    </row>
    <row r="236" spans="1:8" ht="13.5">
      <c r="A236" s="702">
        <v>34</v>
      </c>
      <c r="B236" s="2031">
        <v>44593</v>
      </c>
      <c r="C236" s="2031">
        <v>44620</v>
      </c>
      <c r="D236" s="1660">
        <v>0.183</v>
      </c>
      <c r="E236" s="1660">
        <f t="shared" si="22"/>
        <v>0.27449999999999997</v>
      </c>
      <c r="F236" s="2094">
        <f t="shared" si="23"/>
        <v>6.6475220558892545E-4</v>
      </c>
      <c r="G236" s="2438">
        <f t="shared" si="21"/>
        <v>28</v>
      </c>
      <c r="H236" s="1356">
        <v>0</v>
      </c>
    </row>
    <row r="237" spans="1:8" ht="13.5">
      <c r="A237" s="702">
        <v>35</v>
      </c>
      <c r="B237" s="2031">
        <v>44621</v>
      </c>
      <c r="C237" s="2031">
        <v>44637</v>
      </c>
      <c r="D237" s="1660">
        <v>0.1847</v>
      </c>
      <c r="E237" s="1660">
        <f t="shared" si="22"/>
        <v>0.27705000000000002</v>
      </c>
      <c r="F237" s="2094">
        <f t="shared" si="23"/>
        <v>6.7023198611315671E-4</v>
      </c>
      <c r="G237" s="2438">
        <f t="shared" si="21"/>
        <v>17</v>
      </c>
      <c r="H237" s="1356">
        <v>0</v>
      </c>
    </row>
    <row r="238" spans="1:8" ht="13.5">
      <c r="A238" s="702">
        <v>36</v>
      </c>
      <c r="B238" s="2212">
        <v>44638</v>
      </c>
      <c r="C238" s="2212">
        <v>44651</v>
      </c>
      <c r="D238" s="1660">
        <v>0.1847</v>
      </c>
      <c r="E238" s="1660">
        <f t="shared" si="22"/>
        <v>0.27705000000000002</v>
      </c>
      <c r="F238" s="2094">
        <f t="shared" si="23"/>
        <v>6.7023198611315671E-4</v>
      </c>
      <c r="G238" s="2438">
        <f t="shared" si="21"/>
        <v>14</v>
      </c>
      <c r="H238" s="1356">
        <f t="shared" ref="H238:H249" si="25">ROUND(F238*$E$144*G238,2)</f>
        <v>259013.92</v>
      </c>
    </row>
    <row r="239" spans="1:8" ht="13.5">
      <c r="A239" s="702">
        <v>37</v>
      </c>
      <c r="B239" s="2031">
        <v>44652</v>
      </c>
      <c r="C239" s="2031">
        <v>44681</v>
      </c>
      <c r="D239" s="1660">
        <v>0.1905</v>
      </c>
      <c r="E239" s="1660">
        <f t="shared" si="22"/>
        <v>0.28575</v>
      </c>
      <c r="F239" s="2094">
        <f t="shared" si="23"/>
        <v>6.8884592812357148E-4</v>
      </c>
      <c r="G239" s="2438">
        <f t="shared" si="21"/>
        <v>30</v>
      </c>
      <c r="H239" s="1356">
        <f t="shared" si="25"/>
        <v>570444.32999999996</v>
      </c>
    </row>
    <row r="240" spans="1:8" ht="13.5">
      <c r="A240" s="702">
        <v>38</v>
      </c>
      <c r="B240" s="2031">
        <v>44682</v>
      </c>
      <c r="C240" s="2031">
        <v>44712</v>
      </c>
      <c r="D240" s="1660">
        <v>0.1971</v>
      </c>
      <c r="E240" s="1660">
        <f t="shared" si="22"/>
        <v>0.29564999999999997</v>
      </c>
      <c r="F240" s="2094">
        <f t="shared" si="23"/>
        <v>7.0987512909947981E-4</v>
      </c>
      <c r="G240" s="2438">
        <f t="shared" si="21"/>
        <v>31</v>
      </c>
      <c r="H240" s="1356">
        <f t="shared" si="25"/>
        <v>607454.25</v>
      </c>
    </row>
    <row r="241" spans="1:9" ht="13.5">
      <c r="A241" s="702">
        <v>39</v>
      </c>
      <c r="B241" s="2031">
        <v>44713</v>
      </c>
      <c r="C241" s="2031">
        <v>44742</v>
      </c>
      <c r="D241" s="1660">
        <v>0.20399999999999999</v>
      </c>
      <c r="E241" s="1660">
        <f t="shared" si="22"/>
        <v>0.30599999999999999</v>
      </c>
      <c r="F241" s="2094">
        <f t="shared" si="23"/>
        <v>7.3168955664093538E-4</v>
      </c>
      <c r="G241" s="2438">
        <f t="shared" si="21"/>
        <v>30</v>
      </c>
      <c r="H241" s="1356">
        <f t="shared" si="25"/>
        <v>605923.82999999996</v>
      </c>
    </row>
    <row r="242" spans="1:9" ht="13.5">
      <c r="A242" s="702">
        <v>40</v>
      </c>
      <c r="B242" s="2031">
        <v>44743</v>
      </c>
      <c r="C242" s="2031">
        <v>44773</v>
      </c>
      <c r="D242" s="1660">
        <v>0.21279999999999999</v>
      </c>
      <c r="E242" s="1660">
        <f t="shared" si="22"/>
        <v>0.31919999999999998</v>
      </c>
      <c r="F242" s="2094">
        <f t="shared" si="23"/>
        <v>7.5926204501630679E-4</v>
      </c>
      <c r="G242" s="2438">
        <f t="shared" si="21"/>
        <v>31</v>
      </c>
      <c r="H242" s="1356">
        <f t="shared" si="25"/>
        <v>649715.62</v>
      </c>
    </row>
    <row r="243" spans="1:9" ht="13.5">
      <c r="A243" s="702">
        <v>41</v>
      </c>
      <c r="B243" s="2031">
        <v>44774</v>
      </c>
      <c r="C243" s="2031">
        <v>44804</v>
      </c>
      <c r="D243" s="1660">
        <v>0.22209999999999999</v>
      </c>
      <c r="E243" s="1660">
        <f t="shared" si="22"/>
        <v>0.33315</v>
      </c>
      <c r="F243" s="2094">
        <f t="shared" si="23"/>
        <v>7.8810371394433254E-4</v>
      </c>
      <c r="G243" s="2438">
        <f t="shared" si="21"/>
        <v>31</v>
      </c>
      <c r="H243" s="1356">
        <f t="shared" si="25"/>
        <v>674396.01</v>
      </c>
    </row>
    <row r="244" spans="1:9" ht="13.5">
      <c r="A244" s="702">
        <v>42</v>
      </c>
      <c r="B244" s="2031">
        <v>44805</v>
      </c>
      <c r="C244" s="2031">
        <v>44834</v>
      </c>
      <c r="D244" s="1660">
        <v>0.23499999999999999</v>
      </c>
      <c r="E244" s="1660">
        <f t="shared" si="22"/>
        <v>0.35249999999999998</v>
      </c>
      <c r="F244" s="2094">
        <f t="shared" si="23"/>
        <v>8.2761552252574866E-4</v>
      </c>
      <c r="G244" s="2438">
        <f t="shared" si="21"/>
        <v>30</v>
      </c>
      <c r="H244" s="1356">
        <f t="shared" si="25"/>
        <v>685361.66</v>
      </c>
    </row>
    <row r="245" spans="1:9" ht="13.5">
      <c r="A245" s="702">
        <v>43</v>
      </c>
      <c r="B245" s="2031">
        <v>44835</v>
      </c>
      <c r="C245" s="2031">
        <v>44865</v>
      </c>
      <c r="D245" s="1660">
        <v>0.24610000000000001</v>
      </c>
      <c r="E245" s="1660">
        <f t="shared" si="22"/>
        <v>0.36915000000000003</v>
      </c>
      <c r="F245" s="2094">
        <f t="shared" si="23"/>
        <v>8.611654102768096E-4</v>
      </c>
      <c r="G245" s="2438">
        <f t="shared" si="21"/>
        <v>31</v>
      </c>
      <c r="H245" s="1356">
        <f t="shared" si="25"/>
        <v>736916.35</v>
      </c>
    </row>
    <row r="246" spans="1:9" ht="13.5">
      <c r="A246" s="702">
        <v>44</v>
      </c>
      <c r="B246" s="2031">
        <v>44866</v>
      </c>
      <c r="C246" s="2031">
        <v>44895</v>
      </c>
      <c r="D246" s="1660">
        <v>0.25779999999999997</v>
      </c>
      <c r="E246" s="1660">
        <f t="shared" si="22"/>
        <v>0.38669999999999993</v>
      </c>
      <c r="F246" s="2094">
        <f t="shared" si="23"/>
        <v>8.9609117817124329E-4</v>
      </c>
      <c r="G246" s="2438">
        <f t="shared" si="21"/>
        <v>30</v>
      </c>
      <c r="H246" s="1356">
        <f t="shared" si="25"/>
        <v>742067.44</v>
      </c>
    </row>
    <row r="247" spans="1:9" ht="13.5">
      <c r="A247" s="702">
        <v>45</v>
      </c>
      <c r="B247" s="2031">
        <v>44896</v>
      </c>
      <c r="C247" s="2031">
        <v>44926</v>
      </c>
      <c r="D247" s="1660">
        <v>0.27639999999999998</v>
      </c>
      <c r="E247" s="1660">
        <f t="shared" si="22"/>
        <v>0.41459999999999997</v>
      </c>
      <c r="F247" s="2094">
        <f t="shared" si="23"/>
        <v>9.5071686592063109E-4</v>
      </c>
      <c r="G247" s="2438">
        <f t="shared" si="21"/>
        <v>31</v>
      </c>
      <c r="H247" s="1356">
        <f t="shared" si="25"/>
        <v>813547.31</v>
      </c>
    </row>
    <row r="248" spans="1:9" ht="13.5">
      <c r="A248" s="702">
        <v>46</v>
      </c>
      <c r="B248" s="2031">
        <v>44927</v>
      </c>
      <c r="C248" s="2031">
        <v>44957</v>
      </c>
      <c r="D248" s="1660">
        <v>0.28839999999999999</v>
      </c>
      <c r="E248" s="1660">
        <f t="shared" si="22"/>
        <v>0.43259999999999998</v>
      </c>
      <c r="F248" s="2094">
        <f t="shared" si="23"/>
        <v>9.8539196132163553E-4</v>
      </c>
      <c r="G248" s="2438">
        <f t="shared" si="21"/>
        <v>31</v>
      </c>
      <c r="H248" s="1356">
        <f t="shared" si="25"/>
        <v>843219.48</v>
      </c>
    </row>
    <row r="249" spans="1:9" ht="13.5">
      <c r="A249" s="702">
        <v>47</v>
      </c>
      <c r="B249" s="2031">
        <v>44958</v>
      </c>
      <c r="C249" s="2031">
        <v>44985</v>
      </c>
      <c r="D249" s="1660">
        <v>0.30180000000000001</v>
      </c>
      <c r="E249" s="1660">
        <f t="shared" si="22"/>
        <v>0.45269999999999999</v>
      </c>
      <c r="F249" s="2094">
        <f t="shared" si="23"/>
        <v>1.0236026853662761E-3</v>
      </c>
      <c r="G249" s="2438">
        <f t="shared" si="21"/>
        <v>28</v>
      </c>
      <c r="H249" s="1356">
        <f t="shared" si="25"/>
        <v>791150.98</v>
      </c>
    </row>
    <row r="250" spans="1:9" ht="13.5">
      <c r="A250" s="702">
        <v>48</v>
      </c>
      <c r="B250" s="2031">
        <v>44986</v>
      </c>
      <c r="C250" s="2031">
        <v>45006</v>
      </c>
      <c r="D250" s="1660">
        <v>0.30840000000000001</v>
      </c>
      <c r="E250" s="1660">
        <f t="shared" si="22"/>
        <v>0.46260000000000001</v>
      </c>
      <c r="F250" s="2094">
        <f t="shared" si="23"/>
        <v>1.0422295217955568E-3</v>
      </c>
      <c r="G250" s="2438">
        <f t="shared" si="21"/>
        <v>21</v>
      </c>
      <c r="H250" s="1356">
        <f>ROUND(F250*$E$144*G250,2)</f>
        <v>604160.86</v>
      </c>
      <c r="I250" s="686">
        <v>604160.86</v>
      </c>
    </row>
    <row r="251" spans="1:9" ht="13.5">
      <c r="F251" s="2824" t="s">
        <v>338</v>
      </c>
      <c r="G251" s="2824"/>
      <c r="H251" s="2387">
        <f>SUM(H203:H250)</f>
        <v>12110608.520000001</v>
      </c>
      <c r="I251" s="686">
        <v>12110608.52</v>
      </c>
    </row>
    <row r="254" spans="1:9" ht="13.5">
      <c r="A254" s="686">
        <v>5</v>
      </c>
      <c r="B254" s="800" t="s">
        <v>1906</v>
      </c>
    </row>
    <row r="255" spans="1:9">
      <c r="B255" s="698" t="s">
        <v>1908</v>
      </c>
      <c r="E255" s="698" t="s">
        <v>1909</v>
      </c>
    </row>
    <row r="256" spans="1:9">
      <c r="B256" s="698" t="s">
        <v>1910</v>
      </c>
      <c r="C256" s="2031">
        <v>43615</v>
      </c>
      <c r="E256" s="2436">
        <f>+G21</f>
        <v>27603866.670000002</v>
      </c>
      <c r="F256" s="718"/>
    </row>
    <row r="257" spans="1:8">
      <c r="B257" s="702"/>
      <c r="C257" s="2663" t="s">
        <v>1406</v>
      </c>
      <c r="D257" s="2663"/>
      <c r="E257" s="2663"/>
      <c r="F257" s="2663"/>
      <c r="G257" s="2663"/>
      <c r="H257" s="2663"/>
    </row>
    <row r="258" spans="1:8" ht="38.25">
      <c r="B258" s="699" t="s">
        <v>147</v>
      </c>
      <c r="C258" s="699" t="s">
        <v>40</v>
      </c>
      <c r="D258" s="2441" t="s">
        <v>1911</v>
      </c>
      <c r="E258" s="700" t="s">
        <v>1830</v>
      </c>
      <c r="F258" s="1642" t="s">
        <v>43</v>
      </c>
      <c r="G258" s="1642" t="s">
        <v>47</v>
      </c>
      <c r="H258" s="1642" t="s">
        <v>48</v>
      </c>
    </row>
    <row r="259" spans="1:8" ht="13.5">
      <c r="A259" s="702">
        <v>1</v>
      </c>
      <c r="B259" s="2031">
        <v>43616</v>
      </c>
      <c r="C259" s="2031">
        <v>43616</v>
      </c>
      <c r="D259" s="1660">
        <v>0.19339999999999999</v>
      </c>
      <c r="E259" s="1660">
        <f>+D259*1.5</f>
        <v>0.29009999999999997</v>
      </c>
      <c r="F259" s="2094">
        <f>((1+E259)^(1/365)-1)</f>
        <v>6.9810584952367805E-4</v>
      </c>
      <c r="G259" s="2033">
        <f t="shared" ref="G259:G306" si="26">_xlfn.DAYS(C259,B259)+1</f>
        <v>1</v>
      </c>
      <c r="H259" s="1356">
        <f>ROUND(F259*$E$256*G259,2)</f>
        <v>19270.419999999998</v>
      </c>
    </row>
    <row r="260" spans="1:8" ht="13.5">
      <c r="A260" s="702">
        <v>2</v>
      </c>
      <c r="B260" s="2031">
        <v>43617</v>
      </c>
      <c r="C260" s="2031">
        <v>43646</v>
      </c>
      <c r="D260" s="1660">
        <v>0.193</v>
      </c>
      <c r="E260" s="1660">
        <f t="shared" ref="E260:E306" si="27">+D260*1.5</f>
        <v>0.28949999999999998</v>
      </c>
      <c r="F260" s="2094">
        <f t="shared" ref="F260:F306" si="28">((1+E260)^(1/365)-1)</f>
        <v>6.9683047181468005E-4</v>
      </c>
      <c r="G260" s="2033">
        <f t="shared" si="26"/>
        <v>30</v>
      </c>
      <c r="H260" s="1356">
        <f t="shared" ref="H260:H265" si="29">ROUND(F260*$E$256*G260,2)</f>
        <v>577056.46</v>
      </c>
    </row>
    <row r="261" spans="1:8" ht="13.5">
      <c r="A261" s="702">
        <v>3</v>
      </c>
      <c r="B261" s="2031">
        <v>43647</v>
      </c>
      <c r="C261" s="2031">
        <v>43677</v>
      </c>
      <c r="D261" s="1660">
        <v>0.1928</v>
      </c>
      <c r="E261" s="1660">
        <f t="shared" si="27"/>
        <v>0.28920000000000001</v>
      </c>
      <c r="F261" s="2094">
        <f t="shared" si="28"/>
        <v>6.9619256101671745E-4</v>
      </c>
      <c r="G261" s="2033">
        <f t="shared" si="26"/>
        <v>31</v>
      </c>
      <c r="H261" s="1356">
        <f t="shared" si="29"/>
        <v>595745.81000000006</v>
      </c>
    </row>
    <row r="262" spans="1:8" ht="13.5">
      <c r="A262" s="702">
        <v>4</v>
      </c>
      <c r="B262" s="2031">
        <v>43678</v>
      </c>
      <c r="C262" s="2031">
        <v>43708</v>
      </c>
      <c r="D262" s="1660">
        <v>0.19320000000000001</v>
      </c>
      <c r="E262" s="1660">
        <f t="shared" si="27"/>
        <v>0.2898</v>
      </c>
      <c r="F262" s="2094">
        <f t="shared" si="28"/>
        <v>6.9746823462724095E-4</v>
      </c>
      <c r="G262" s="2033">
        <f t="shared" si="26"/>
        <v>31</v>
      </c>
      <c r="H262" s="1356">
        <f t="shared" si="29"/>
        <v>596837.42000000004</v>
      </c>
    </row>
    <row r="263" spans="1:8" ht="13.5">
      <c r="A263" s="702">
        <v>5</v>
      </c>
      <c r="B263" s="2031">
        <v>43709</v>
      </c>
      <c r="C263" s="2031">
        <v>43738</v>
      </c>
      <c r="D263" s="1660">
        <v>0.19320000000000001</v>
      </c>
      <c r="E263" s="1660">
        <f t="shared" si="27"/>
        <v>0.2898</v>
      </c>
      <c r="F263" s="2094">
        <f t="shared" si="28"/>
        <v>6.9746823462724095E-4</v>
      </c>
      <c r="G263" s="2033">
        <f t="shared" si="26"/>
        <v>30</v>
      </c>
      <c r="H263" s="1356">
        <f t="shared" si="29"/>
        <v>577584.6</v>
      </c>
    </row>
    <row r="264" spans="1:8" ht="13.5">
      <c r="A264" s="702">
        <v>6</v>
      </c>
      <c r="B264" s="2031">
        <v>43739</v>
      </c>
      <c r="C264" s="2031">
        <v>43769</v>
      </c>
      <c r="D264" s="1660">
        <v>0.191</v>
      </c>
      <c r="E264" s="1660">
        <f t="shared" si="27"/>
        <v>0.28649999999999998</v>
      </c>
      <c r="F264" s="2094">
        <f t="shared" si="28"/>
        <v>6.9044469314105683E-4</v>
      </c>
      <c r="G264" s="2033">
        <f t="shared" si="26"/>
        <v>31</v>
      </c>
      <c r="H264" s="1356">
        <f t="shared" si="29"/>
        <v>590827.24</v>
      </c>
    </row>
    <row r="265" spans="1:8" ht="13.5">
      <c r="A265" s="702">
        <v>7</v>
      </c>
      <c r="B265" s="2031">
        <v>43770</v>
      </c>
      <c r="C265" s="2031">
        <v>43799</v>
      </c>
      <c r="D265" s="1660">
        <v>0.1903</v>
      </c>
      <c r="E265" s="1660">
        <f t="shared" si="27"/>
        <v>0.28544999999999998</v>
      </c>
      <c r="F265" s="2094">
        <f t="shared" si="28"/>
        <v>6.8820616169262827E-4</v>
      </c>
      <c r="G265" s="2438">
        <f t="shared" si="26"/>
        <v>30</v>
      </c>
      <c r="H265" s="1356">
        <f t="shared" si="29"/>
        <v>569914.53</v>
      </c>
    </row>
    <row r="266" spans="1:8" ht="13.5">
      <c r="A266" s="702">
        <v>8</v>
      </c>
      <c r="B266" s="2031">
        <v>43800</v>
      </c>
      <c r="C266" s="2031">
        <v>43830</v>
      </c>
      <c r="D266" s="1660">
        <v>0.18959999999999999</v>
      </c>
      <c r="E266" s="1660">
        <f t="shared" si="27"/>
        <v>0.28439999999999999</v>
      </c>
      <c r="F266" s="2094">
        <f t="shared" si="28"/>
        <v>6.8596580600033263E-4</v>
      </c>
      <c r="G266" s="2438">
        <f t="shared" si="26"/>
        <v>31</v>
      </c>
      <c r="H266" s="1356">
        <v>0</v>
      </c>
    </row>
    <row r="267" spans="1:8" ht="13.5">
      <c r="A267" s="702">
        <v>9</v>
      </c>
      <c r="B267" s="2031">
        <v>43831</v>
      </c>
      <c r="C267" s="2031">
        <v>43861</v>
      </c>
      <c r="D267" s="1660">
        <v>0.18770000000000001</v>
      </c>
      <c r="E267" s="1660">
        <f t="shared" si="27"/>
        <v>0.28155000000000002</v>
      </c>
      <c r="F267" s="2094">
        <f t="shared" si="28"/>
        <v>6.7987562124560696E-4</v>
      </c>
      <c r="G267" s="2438">
        <f t="shared" si="26"/>
        <v>31</v>
      </c>
      <c r="H267" s="1356">
        <v>0</v>
      </c>
    </row>
    <row r="268" spans="1:8" ht="13.5">
      <c r="A268" s="702">
        <v>10</v>
      </c>
      <c r="B268" s="2031">
        <v>43862</v>
      </c>
      <c r="C268" s="2031">
        <v>43890</v>
      </c>
      <c r="D268" s="1660">
        <v>0.19059999999999999</v>
      </c>
      <c r="E268" s="1660">
        <f t="shared" si="27"/>
        <v>0.28589999999999999</v>
      </c>
      <c r="F268" s="2094">
        <f t="shared" si="28"/>
        <v>6.8916575551658532E-4</v>
      </c>
      <c r="G268" s="2438">
        <f t="shared" si="26"/>
        <v>29</v>
      </c>
      <c r="H268" s="1356">
        <v>0</v>
      </c>
    </row>
    <row r="269" spans="1:8" ht="13.5">
      <c r="A269" s="702">
        <v>11</v>
      </c>
      <c r="B269" s="2031">
        <v>43891</v>
      </c>
      <c r="C269" s="2031">
        <v>43921</v>
      </c>
      <c r="D269" s="1660">
        <v>0.1895</v>
      </c>
      <c r="E269" s="1660">
        <f t="shared" si="27"/>
        <v>0.28425</v>
      </c>
      <c r="F269" s="2094">
        <f t="shared" si="28"/>
        <v>6.8564560609574166E-4</v>
      </c>
      <c r="G269" s="2438">
        <f t="shared" si="26"/>
        <v>31</v>
      </c>
      <c r="H269" s="1356">
        <v>0</v>
      </c>
    </row>
    <row r="270" spans="1:8" ht="13.5">
      <c r="A270" s="702">
        <v>12</v>
      </c>
      <c r="B270" s="2031">
        <v>43922</v>
      </c>
      <c r="C270" s="2031">
        <v>43951</v>
      </c>
      <c r="D270" s="1660">
        <v>0.18690000000000001</v>
      </c>
      <c r="E270" s="1660">
        <f t="shared" si="27"/>
        <v>0.28034999999999999</v>
      </c>
      <c r="F270" s="2094">
        <f t="shared" si="28"/>
        <v>6.7730729113191224E-4</v>
      </c>
      <c r="G270" s="2438">
        <f t="shared" si="26"/>
        <v>30</v>
      </c>
      <c r="H270" s="1356">
        <v>0</v>
      </c>
    </row>
    <row r="271" spans="1:8" ht="13.5">
      <c r="A271" s="702">
        <v>13</v>
      </c>
      <c r="B271" s="2031">
        <v>43952</v>
      </c>
      <c r="C271" s="2031">
        <v>43982</v>
      </c>
      <c r="D271" s="1660">
        <v>0.18190000000000001</v>
      </c>
      <c r="E271" s="1660">
        <f t="shared" si="27"/>
        <v>0.27285000000000004</v>
      </c>
      <c r="F271" s="2094">
        <f t="shared" si="28"/>
        <v>6.6120063584418354E-4</v>
      </c>
      <c r="G271" s="2438">
        <f t="shared" si="26"/>
        <v>31</v>
      </c>
      <c r="H271" s="1356">
        <v>0</v>
      </c>
    </row>
    <row r="272" spans="1:8" ht="13.5">
      <c r="A272" s="702">
        <v>14</v>
      </c>
      <c r="B272" s="2031">
        <v>43983</v>
      </c>
      <c r="C272" s="2031">
        <v>44012</v>
      </c>
      <c r="D272" s="1660">
        <v>0.1812</v>
      </c>
      <c r="E272" s="1660">
        <f t="shared" si="27"/>
        <v>0.27179999999999999</v>
      </c>
      <c r="F272" s="2094">
        <f t="shared" si="28"/>
        <v>6.5893815469997286E-4</v>
      </c>
      <c r="G272" s="2438">
        <f t="shared" si="26"/>
        <v>30</v>
      </c>
      <c r="H272" s="1356">
        <v>0</v>
      </c>
    </row>
    <row r="273" spans="1:8" ht="13.5">
      <c r="A273" s="702">
        <v>15</v>
      </c>
      <c r="B273" s="2031">
        <v>44013</v>
      </c>
      <c r="C273" s="2031">
        <v>44043</v>
      </c>
      <c r="D273" s="1660">
        <v>0.1812</v>
      </c>
      <c r="E273" s="1660">
        <f t="shared" si="27"/>
        <v>0.27179999999999999</v>
      </c>
      <c r="F273" s="2094">
        <f t="shared" si="28"/>
        <v>6.5893815469997286E-4</v>
      </c>
      <c r="G273" s="2438">
        <f t="shared" si="26"/>
        <v>31</v>
      </c>
      <c r="H273" s="1356">
        <v>0</v>
      </c>
    </row>
    <row r="274" spans="1:8" ht="13.5">
      <c r="A274" s="702">
        <v>16</v>
      </c>
      <c r="B274" s="2031">
        <v>44044</v>
      </c>
      <c r="C274" s="2031">
        <v>44074</v>
      </c>
      <c r="D274" s="1660">
        <v>0.18290000000000001</v>
      </c>
      <c r="E274" s="1660">
        <f t="shared" si="27"/>
        <v>0.27434999999999998</v>
      </c>
      <c r="F274" s="2094">
        <f t="shared" si="28"/>
        <v>6.6442952514544906E-4</v>
      </c>
      <c r="G274" s="2438">
        <f t="shared" si="26"/>
        <v>31</v>
      </c>
      <c r="H274" s="1356">
        <v>0</v>
      </c>
    </row>
    <row r="275" spans="1:8" ht="13.5">
      <c r="A275" s="702">
        <v>17</v>
      </c>
      <c r="B275" s="2031">
        <v>44075</v>
      </c>
      <c r="C275" s="2031">
        <v>44104</v>
      </c>
      <c r="D275" s="1660">
        <v>0.1835</v>
      </c>
      <c r="E275" s="1660">
        <f t="shared" si="27"/>
        <v>0.27524999999999999</v>
      </c>
      <c r="F275" s="2094">
        <f t="shared" si="28"/>
        <v>6.6636503991857055E-4</v>
      </c>
      <c r="G275" s="2438">
        <f t="shared" si="26"/>
        <v>30</v>
      </c>
      <c r="H275" s="1356">
        <v>0</v>
      </c>
    </row>
    <row r="276" spans="1:8" ht="13.5">
      <c r="A276" s="702">
        <v>18</v>
      </c>
      <c r="B276" s="2031">
        <v>44105</v>
      </c>
      <c r="C276" s="2031">
        <v>44135</v>
      </c>
      <c r="D276" s="1660">
        <v>0.18090000000000001</v>
      </c>
      <c r="E276" s="1660">
        <f t="shared" si="27"/>
        <v>0.27134999999999998</v>
      </c>
      <c r="F276" s="2094">
        <f t="shared" si="28"/>
        <v>6.5796794962613703E-4</v>
      </c>
      <c r="G276" s="2438">
        <f t="shared" si="26"/>
        <v>31</v>
      </c>
      <c r="H276" s="1356">
        <v>0</v>
      </c>
    </row>
    <row r="277" spans="1:8" ht="13.5">
      <c r="A277" s="702">
        <v>19</v>
      </c>
      <c r="B277" s="2031">
        <v>44136</v>
      </c>
      <c r="C277" s="2031">
        <v>44165</v>
      </c>
      <c r="D277" s="1660">
        <v>0.1784</v>
      </c>
      <c r="E277" s="1660">
        <f t="shared" si="27"/>
        <v>0.2676</v>
      </c>
      <c r="F277" s="2094">
        <f t="shared" si="28"/>
        <v>6.4986956374091243E-4</v>
      </c>
      <c r="G277" s="2438">
        <f t="shared" si="26"/>
        <v>30</v>
      </c>
      <c r="H277" s="1356">
        <v>0</v>
      </c>
    </row>
    <row r="278" spans="1:8" ht="13.5">
      <c r="A278" s="702">
        <v>20</v>
      </c>
      <c r="B278" s="2031">
        <v>44166</v>
      </c>
      <c r="C278" s="2031">
        <v>44196</v>
      </c>
      <c r="D278" s="1660">
        <v>0.17460000000000001</v>
      </c>
      <c r="E278" s="1660">
        <f t="shared" si="27"/>
        <v>0.26190000000000002</v>
      </c>
      <c r="F278" s="2094">
        <f t="shared" si="28"/>
        <v>6.3751414410861962E-4</v>
      </c>
      <c r="G278" s="2438">
        <f t="shared" si="26"/>
        <v>31</v>
      </c>
      <c r="H278" s="1356">
        <v>0</v>
      </c>
    </row>
    <row r="279" spans="1:8" ht="13.5">
      <c r="A279" s="702">
        <v>21</v>
      </c>
      <c r="B279" s="2031">
        <v>44197</v>
      </c>
      <c r="C279" s="2031">
        <v>44227</v>
      </c>
      <c r="D279" s="1660">
        <v>0.17319999999999999</v>
      </c>
      <c r="E279" s="1660">
        <f t="shared" si="27"/>
        <v>0.25979999999999998</v>
      </c>
      <c r="F279" s="2094">
        <f t="shared" si="28"/>
        <v>6.3294811266723094E-4</v>
      </c>
      <c r="G279" s="2438">
        <f t="shared" si="26"/>
        <v>31</v>
      </c>
      <c r="H279" s="1356">
        <v>0</v>
      </c>
    </row>
    <row r="280" spans="1:8" ht="13.5">
      <c r="A280" s="702">
        <v>22</v>
      </c>
      <c r="B280" s="2031">
        <v>44228</v>
      </c>
      <c r="C280" s="2031">
        <v>44255</v>
      </c>
      <c r="D280" s="1660">
        <v>0.1754</v>
      </c>
      <c r="E280" s="1660">
        <f t="shared" si="27"/>
        <v>0.2631</v>
      </c>
      <c r="F280" s="2094">
        <f t="shared" si="28"/>
        <v>6.4011990387169426E-4</v>
      </c>
      <c r="G280" s="2438">
        <f t="shared" si="26"/>
        <v>28</v>
      </c>
      <c r="H280" s="1356">
        <v>0</v>
      </c>
    </row>
    <row r="281" spans="1:8" ht="13.5">
      <c r="A281" s="702">
        <v>23</v>
      </c>
      <c r="B281" s="2031">
        <v>44256</v>
      </c>
      <c r="C281" s="2031">
        <v>44286</v>
      </c>
      <c r="D281" s="1660">
        <v>0.1741</v>
      </c>
      <c r="E281" s="1660">
        <f t="shared" si="27"/>
        <v>0.26114999999999999</v>
      </c>
      <c r="F281" s="2094">
        <f t="shared" si="28"/>
        <v>6.3588428907812578E-4</v>
      </c>
      <c r="G281" s="2438">
        <f t="shared" si="26"/>
        <v>31</v>
      </c>
      <c r="H281" s="1356">
        <v>0</v>
      </c>
    </row>
    <row r="282" spans="1:8" ht="13.5">
      <c r="A282" s="702">
        <v>24</v>
      </c>
      <c r="B282" s="2031">
        <v>44287</v>
      </c>
      <c r="C282" s="2031">
        <v>44316</v>
      </c>
      <c r="D282" s="1660">
        <v>0.1731</v>
      </c>
      <c r="E282" s="1660">
        <f t="shared" si="27"/>
        <v>0.25964999999999999</v>
      </c>
      <c r="F282" s="2094">
        <f t="shared" si="28"/>
        <v>6.326216771728177E-4</v>
      </c>
      <c r="G282" s="2438">
        <f t="shared" si="26"/>
        <v>30</v>
      </c>
      <c r="H282" s="1356">
        <v>0</v>
      </c>
    </row>
    <row r="283" spans="1:8" ht="13.5">
      <c r="A283" s="702">
        <v>25</v>
      </c>
      <c r="B283" s="2031">
        <v>44317</v>
      </c>
      <c r="C283" s="2031">
        <v>44347</v>
      </c>
      <c r="D283" s="1660">
        <v>0.17219999999999999</v>
      </c>
      <c r="E283" s="1660">
        <f t="shared" si="27"/>
        <v>0.25829999999999997</v>
      </c>
      <c r="F283" s="2094">
        <f t="shared" si="28"/>
        <v>6.2968201205726437E-4</v>
      </c>
      <c r="G283" s="2438">
        <f t="shared" si="26"/>
        <v>31</v>
      </c>
      <c r="H283" s="1356">
        <v>0</v>
      </c>
    </row>
    <row r="284" spans="1:8" ht="13.5">
      <c r="A284" s="702">
        <v>26</v>
      </c>
      <c r="B284" s="2031">
        <v>44348</v>
      </c>
      <c r="C284" s="2031">
        <v>44377</v>
      </c>
      <c r="D284" s="1660">
        <v>0.1721</v>
      </c>
      <c r="E284" s="1660">
        <f t="shared" si="27"/>
        <v>0.25814999999999999</v>
      </c>
      <c r="F284" s="2094">
        <f t="shared" si="28"/>
        <v>6.2935518846773952E-4</v>
      </c>
      <c r="G284" s="2438">
        <f t="shared" si="26"/>
        <v>30</v>
      </c>
      <c r="H284" s="1356">
        <v>0</v>
      </c>
    </row>
    <row r="285" spans="1:8" ht="13.5">
      <c r="A285" s="702">
        <v>27</v>
      </c>
      <c r="B285" s="2031">
        <v>44378</v>
      </c>
      <c r="C285" s="2031">
        <v>44408</v>
      </c>
      <c r="D285" s="1660">
        <v>0.17180000000000001</v>
      </c>
      <c r="E285" s="1660">
        <f t="shared" si="27"/>
        <v>0.25770000000000004</v>
      </c>
      <c r="F285" s="2094">
        <f t="shared" si="28"/>
        <v>6.2837448450037137E-4</v>
      </c>
      <c r="G285" s="2438">
        <f t="shared" si="26"/>
        <v>31</v>
      </c>
      <c r="H285" s="1356">
        <v>0</v>
      </c>
    </row>
    <row r="286" spans="1:8" ht="13.5">
      <c r="A286" s="702">
        <v>28</v>
      </c>
      <c r="B286" s="2031">
        <v>44409</v>
      </c>
      <c r="C286" s="2031">
        <v>44439</v>
      </c>
      <c r="D286" s="1660">
        <v>0.1724</v>
      </c>
      <c r="E286" s="1660">
        <f t="shared" si="27"/>
        <v>0.2586</v>
      </c>
      <c r="F286" s="2094">
        <f t="shared" si="28"/>
        <v>6.3033554269220637E-4</v>
      </c>
      <c r="G286" s="2438">
        <f t="shared" si="26"/>
        <v>31</v>
      </c>
      <c r="H286" s="1356">
        <v>0</v>
      </c>
    </row>
    <row r="287" spans="1:8" ht="13.5">
      <c r="A287" s="702">
        <v>29</v>
      </c>
      <c r="B287" s="2031">
        <v>44440</v>
      </c>
      <c r="C287" s="2031">
        <v>44469</v>
      </c>
      <c r="D287" s="1660">
        <v>0.1719</v>
      </c>
      <c r="E287" s="1660">
        <f t="shared" si="27"/>
        <v>0.25785000000000002</v>
      </c>
      <c r="F287" s="2094">
        <f t="shared" si="28"/>
        <v>6.2870142469861889E-4</v>
      </c>
      <c r="G287" s="2438">
        <f t="shared" si="26"/>
        <v>30</v>
      </c>
      <c r="H287" s="1356">
        <v>0</v>
      </c>
    </row>
    <row r="288" spans="1:8" ht="13.5">
      <c r="A288" s="702">
        <v>30</v>
      </c>
      <c r="B288" s="2031">
        <v>44470</v>
      </c>
      <c r="C288" s="2031">
        <v>44500</v>
      </c>
      <c r="D288" s="1660">
        <v>0.17080000000000001</v>
      </c>
      <c r="E288" s="1660">
        <f t="shared" si="27"/>
        <v>0.25619999999999998</v>
      </c>
      <c r="F288" s="2094">
        <f t="shared" si="28"/>
        <v>6.2510294214179751E-4</v>
      </c>
      <c r="G288" s="2438">
        <f t="shared" si="26"/>
        <v>31</v>
      </c>
      <c r="H288" s="1356">
        <v>0</v>
      </c>
    </row>
    <row r="289" spans="1:8" ht="13.5">
      <c r="A289" s="702">
        <v>31</v>
      </c>
      <c r="B289" s="2031">
        <v>44501</v>
      </c>
      <c r="C289" s="2031">
        <v>44530</v>
      </c>
      <c r="D289" s="1660">
        <v>0.17269999999999999</v>
      </c>
      <c r="E289" s="1660">
        <f t="shared" si="27"/>
        <v>0.25905</v>
      </c>
      <c r="F289" s="2094">
        <f t="shared" si="28"/>
        <v>6.3131554742335005E-4</v>
      </c>
      <c r="G289" s="2438">
        <f t="shared" si="26"/>
        <v>30</v>
      </c>
      <c r="H289" s="1356">
        <v>0</v>
      </c>
    </row>
    <row r="290" spans="1:8" ht="13.5">
      <c r="A290" s="702">
        <v>32</v>
      </c>
      <c r="B290" s="2031">
        <v>44531</v>
      </c>
      <c r="C290" s="2031">
        <v>44561</v>
      </c>
      <c r="D290" s="1660">
        <v>0.17460000000000001</v>
      </c>
      <c r="E290" s="1660">
        <f t="shared" si="27"/>
        <v>0.26190000000000002</v>
      </c>
      <c r="F290" s="2094">
        <f t="shared" si="28"/>
        <v>6.3751414410861962E-4</v>
      </c>
      <c r="G290" s="2438">
        <f t="shared" si="26"/>
        <v>31</v>
      </c>
      <c r="H290" s="1356">
        <v>0</v>
      </c>
    </row>
    <row r="291" spans="1:8" ht="13.5">
      <c r="A291" s="702">
        <v>33</v>
      </c>
      <c r="B291" s="2031">
        <v>44562</v>
      </c>
      <c r="C291" s="2031">
        <v>44592</v>
      </c>
      <c r="D291" s="1660">
        <v>0.17660000000000001</v>
      </c>
      <c r="E291" s="1660">
        <f t="shared" si="27"/>
        <v>0.26490000000000002</v>
      </c>
      <c r="F291" s="2094">
        <f t="shared" si="28"/>
        <v>6.4402391816376081E-4</v>
      </c>
      <c r="G291" s="2438">
        <f t="shared" si="26"/>
        <v>31</v>
      </c>
      <c r="H291" s="1356">
        <v>0</v>
      </c>
    </row>
    <row r="292" spans="1:8" ht="13.5">
      <c r="A292" s="702">
        <v>34</v>
      </c>
      <c r="B292" s="2031">
        <v>44593</v>
      </c>
      <c r="C292" s="2031">
        <v>44620</v>
      </c>
      <c r="D292" s="1660">
        <v>0.183</v>
      </c>
      <c r="E292" s="1660">
        <f t="shared" si="27"/>
        <v>0.27449999999999997</v>
      </c>
      <c r="F292" s="2094">
        <f t="shared" si="28"/>
        <v>6.6475220558892545E-4</v>
      </c>
      <c r="G292" s="2438">
        <f t="shared" si="26"/>
        <v>28</v>
      </c>
      <c r="H292" s="1356">
        <v>0</v>
      </c>
    </row>
    <row r="293" spans="1:8" ht="13.5">
      <c r="A293" s="702">
        <v>35</v>
      </c>
      <c r="B293" s="2031">
        <v>44621</v>
      </c>
      <c r="C293" s="2031">
        <v>44637</v>
      </c>
      <c r="D293" s="1660">
        <v>0.1847</v>
      </c>
      <c r="E293" s="1660">
        <f t="shared" si="27"/>
        <v>0.27705000000000002</v>
      </c>
      <c r="F293" s="2094">
        <f t="shared" si="28"/>
        <v>6.7023198611315671E-4</v>
      </c>
      <c r="G293" s="2438">
        <f t="shared" si="26"/>
        <v>17</v>
      </c>
      <c r="H293" s="1356">
        <v>0</v>
      </c>
    </row>
    <row r="294" spans="1:8" ht="13.5">
      <c r="A294" s="702">
        <v>36</v>
      </c>
      <c r="B294" s="2212">
        <v>44638</v>
      </c>
      <c r="C294" s="2212">
        <v>44651</v>
      </c>
      <c r="D294" s="1660">
        <v>0.1847</v>
      </c>
      <c r="E294" s="1660">
        <f t="shared" si="27"/>
        <v>0.27705000000000002</v>
      </c>
      <c r="F294" s="2094">
        <f t="shared" si="28"/>
        <v>6.7023198611315671E-4</v>
      </c>
      <c r="G294" s="2438">
        <f t="shared" si="26"/>
        <v>14</v>
      </c>
      <c r="H294" s="1356">
        <f t="shared" ref="H294:H306" si="30">ROUND(F294*$E$256*G294,2)</f>
        <v>259013.92</v>
      </c>
    </row>
    <row r="295" spans="1:8" ht="13.5">
      <c r="A295" s="702">
        <v>37</v>
      </c>
      <c r="B295" s="2031">
        <v>44652</v>
      </c>
      <c r="C295" s="2031">
        <v>44681</v>
      </c>
      <c r="D295" s="1660">
        <v>0.1905</v>
      </c>
      <c r="E295" s="1660">
        <f t="shared" si="27"/>
        <v>0.28575</v>
      </c>
      <c r="F295" s="2094">
        <f t="shared" si="28"/>
        <v>6.8884592812357148E-4</v>
      </c>
      <c r="G295" s="2438">
        <f t="shared" si="26"/>
        <v>30</v>
      </c>
      <c r="H295" s="1356">
        <f t="shared" si="30"/>
        <v>570444.32999999996</v>
      </c>
    </row>
    <row r="296" spans="1:8" ht="13.5">
      <c r="A296" s="702">
        <v>38</v>
      </c>
      <c r="B296" s="2031">
        <v>44682</v>
      </c>
      <c r="C296" s="2031">
        <v>44712</v>
      </c>
      <c r="D296" s="1660">
        <v>0.1971</v>
      </c>
      <c r="E296" s="1660">
        <f t="shared" si="27"/>
        <v>0.29564999999999997</v>
      </c>
      <c r="F296" s="2094">
        <f t="shared" si="28"/>
        <v>7.0987512909947981E-4</v>
      </c>
      <c r="G296" s="2438">
        <f t="shared" si="26"/>
        <v>31</v>
      </c>
      <c r="H296" s="1356">
        <f t="shared" si="30"/>
        <v>607454.25</v>
      </c>
    </row>
    <row r="297" spans="1:8" ht="13.5">
      <c r="A297" s="702">
        <v>39</v>
      </c>
      <c r="B297" s="2031">
        <v>44713</v>
      </c>
      <c r="C297" s="2031">
        <v>44742</v>
      </c>
      <c r="D297" s="1660">
        <v>0.20399999999999999</v>
      </c>
      <c r="E297" s="1660">
        <f t="shared" si="27"/>
        <v>0.30599999999999999</v>
      </c>
      <c r="F297" s="2094">
        <f t="shared" si="28"/>
        <v>7.3168955664093538E-4</v>
      </c>
      <c r="G297" s="2438">
        <f t="shared" si="26"/>
        <v>30</v>
      </c>
      <c r="H297" s="1356">
        <f t="shared" si="30"/>
        <v>605923.82999999996</v>
      </c>
    </row>
    <row r="298" spans="1:8" ht="13.5">
      <c r="A298" s="702">
        <v>40</v>
      </c>
      <c r="B298" s="2031">
        <v>44743</v>
      </c>
      <c r="C298" s="2031">
        <v>44773</v>
      </c>
      <c r="D298" s="1660">
        <v>0.21279999999999999</v>
      </c>
      <c r="E298" s="1660">
        <f t="shared" si="27"/>
        <v>0.31919999999999998</v>
      </c>
      <c r="F298" s="2094">
        <f t="shared" si="28"/>
        <v>7.5926204501630679E-4</v>
      </c>
      <c r="G298" s="2438">
        <f t="shared" si="26"/>
        <v>31</v>
      </c>
      <c r="H298" s="1356">
        <f t="shared" si="30"/>
        <v>649715.62</v>
      </c>
    </row>
    <row r="299" spans="1:8" ht="13.5">
      <c r="A299" s="702">
        <v>41</v>
      </c>
      <c r="B299" s="2031">
        <v>44774</v>
      </c>
      <c r="C299" s="2031">
        <v>44804</v>
      </c>
      <c r="D299" s="1660">
        <v>0.22209999999999999</v>
      </c>
      <c r="E299" s="1660">
        <f t="shared" si="27"/>
        <v>0.33315</v>
      </c>
      <c r="F299" s="2094">
        <f t="shared" si="28"/>
        <v>7.8810371394433254E-4</v>
      </c>
      <c r="G299" s="2438">
        <f t="shared" si="26"/>
        <v>31</v>
      </c>
      <c r="H299" s="1356">
        <f t="shared" si="30"/>
        <v>674396.01</v>
      </c>
    </row>
    <row r="300" spans="1:8" ht="13.5">
      <c r="A300" s="702">
        <v>42</v>
      </c>
      <c r="B300" s="2031">
        <v>44805</v>
      </c>
      <c r="C300" s="2031">
        <v>44834</v>
      </c>
      <c r="D300" s="1660">
        <v>0.23499999999999999</v>
      </c>
      <c r="E300" s="1660">
        <f t="shared" si="27"/>
        <v>0.35249999999999998</v>
      </c>
      <c r="F300" s="2094">
        <f t="shared" si="28"/>
        <v>8.2761552252574866E-4</v>
      </c>
      <c r="G300" s="2438">
        <f t="shared" si="26"/>
        <v>30</v>
      </c>
      <c r="H300" s="1356">
        <f t="shared" si="30"/>
        <v>685361.66</v>
      </c>
    </row>
    <row r="301" spans="1:8" ht="13.5">
      <c r="A301" s="702">
        <v>43</v>
      </c>
      <c r="B301" s="2031">
        <v>44835</v>
      </c>
      <c r="C301" s="2031">
        <v>44865</v>
      </c>
      <c r="D301" s="1660">
        <v>0.24610000000000001</v>
      </c>
      <c r="E301" s="1660">
        <f t="shared" si="27"/>
        <v>0.36915000000000003</v>
      </c>
      <c r="F301" s="2094">
        <f t="shared" si="28"/>
        <v>8.611654102768096E-4</v>
      </c>
      <c r="G301" s="2438">
        <f t="shared" si="26"/>
        <v>31</v>
      </c>
      <c r="H301" s="1356">
        <f t="shared" si="30"/>
        <v>736916.35</v>
      </c>
    </row>
    <row r="302" spans="1:8" ht="13.5">
      <c r="A302" s="702">
        <v>44</v>
      </c>
      <c r="B302" s="2031">
        <v>44866</v>
      </c>
      <c r="C302" s="2031">
        <v>44895</v>
      </c>
      <c r="D302" s="1660">
        <v>0.25779999999999997</v>
      </c>
      <c r="E302" s="1660">
        <f t="shared" si="27"/>
        <v>0.38669999999999993</v>
      </c>
      <c r="F302" s="2094">
        <f t="shared" si="28"/>
        <v>8.9609117817124329E-4</v>
      </c>
      <c r="G302" s="2438">
        <f t="shared" si="26"/>
        <v>30</v>
      </c>
      <c r="H302" s="1356">
        <f t="shared" si="30"/>
        <v>742067.44</v>
      </c>
    </row>
    <row r="303" spans="1:8" ht="13.5">
      <c r="A303" s="702">
        <v>45</v>
      </c>
      <c r="B303" s="2031">
        <v>44896</v>
      </c>
      <c r="C303" s="2031">
        <v>44926</v>
      </c>
      <c r="D303" s="1660">
        <v>0.27639999999999998</v>
      </c>
      <c r="E303" s="1660">
        <f t="shared" si="27"/>
        <v>0.41459999999999997</v>
      </c>
      <c r="F303" s="2094">
        <f t="shared" si="28"/>
        <v>9.5071686592063109E-4</v>
      </c>
      <c r="G303" s="2438">
        <f t="shared" si="26"/>
        <v>31</v>
      </c>
      <c r="H303" s="1356">
        <f t="shared" si="30"/>
        <v>813547.31</v>
      </c>
    </row>
    <row r="304" spans="1:8" ht="13.5">
      <c r="A304" s="702">
        <v>46</v>
      </c>
      <c r="B304" s="2031">
        <v>44927</v>
      </c>
      <c r="C304" s="2031">
        <v>44957</v>
      </c>
      <c r="D304" s="1660">
        <v>0.28839999999999999</v>
      </c>
      <c r="E304" s="1660">
        <f t="shared" si="27"/>
        <v>0.43259999999999998</v>
      </c>
      <c r="F304" s="2094">
        <f t="shared" si="28"/>
        <v>9.8539196132163553E-4</v>
      </c>
      <c r="G304" s="2438">
        <f t="shared" si="26"/>
        <v>31</v>
      </c>
      <c r="H304" s="1356">
        <f t="shared" si="30"/>
        <v>843219.48</v>
      </c>
    </row>
    <row r="305" spans="1:8" ht="13.5">
      <c r="A305" s="702">
        <v>47</v>
      </c>
      <c r="B305" s="2031">
        <v>44958</v>
      </c>
      <c r="C305" s="2031">
        <v>44985</v>
      </c>
      <c r="D305" s="1660">
        <v>0.30180000000000001</v>
      </c>
      <c r="E305" s="1660">
        <f t="shared" si="27"/>
        <v>0.45269999999999999</v>
      </c>
      <c r="F305" s="2094">
        <f t="shared" si="28"/>
        <v>1.0236026853662761E-3</v>
      </c>
      <c r="G305" s="2438">
        <f t="shared" si="26"/>
        <v>28</v>
      </c>
      <c r="H305" s="1356">
        <f t="shared" si="30"/>
        <v>791150.98</v>
      </c>
    </row>
    <row r="306" spans="1:8" ht="13.5">
      <c r="A306" s="702">
        <v>48</v>
      </c>
      <c r="B306" s="2031">
        <v>44986</v>
      </c>
      <c r="C306" s="2031">
        <v>45006</v>
      </c>
      <c r="D306" s="1660">
        <v>0.30840000000000001</v>
      </c>
      <c r="E306" s="1660">
        <f t="shared" si="27"/>
        <v>0.46260000000000001</v>
      </c>
      <c r="F306" s="2094">
        <f t="shared" si="28"/>
        <v>1.0422295217955568E-3</v>
      </c>
      <c r="G306" s="2438">
        <f t="shared" si="26"/>
        <v>21</v>
      </c>
      <c r="H306" s="1356">
        <f t="shared" si="30"/>
        <v>604160.86</v>
      </c>
    </row>
    <row r="307" spans="1:8" ht="13.5">
      <c r="F307" s="2824" t="s">
        <v>338</v>
      </c>
      <c r="G307" s="2824"/>
      <c r="H307" s="2387">
        <f>SUM(H259:H306)</f>
        <v>12110608.520000001</v>
      </c>
    </row>
    <row r="309" spans="1:8">
      <c r="B309" s="2281" t="s">
        <v>346</v>
      </c>
      <c r="C309" s="2281"/>
    </row>
    <row r="310" spans="1:8" ht="13.5">
      <c r="B310" s="1667" t="s">
        <v>67</v>
      </c>
      <c r="C310" s="1616">
        <f>+E32+E88+E144+E200+E256</f>
        <v>167818762.68333334</v>
      </c>
    </row>
    <row r="311" spans="1:8" ht="13.5">
      <c r="B311" s="1667" t="s">
        <v>241</v>
      </c>
      <c r="C311" s="1616">
        <f>+H83+H139+H195+H251+H307</f>
        <v>73626907.49000001</v>
      </c>
    </row>
    <row r="312" spans="1:8">
      <c r="B312" s="1628" t="s">
        <v>1177</v>
      </c>
      <c r="C312" s="2037">
        <f>ROUND(SUM(C310:C311),2)</f>
        <v>241445670.16999999</v>
      </c>
    </row>
    <row r="315" spans="1:8">
      <c r="B315" s="2282" t="s">
        <v>62</v>
      </c>
    </row>
    <row r="316" spans="1:8">
      <c r="B316" s="2278"/>
    </row>
    <row r="317" spans="1:8">
      <c r="B317" s="2278"/>
    </row>
    <row r="318" spans="1:8">
      <c r="B318" s="2282" t="s">
        <v>63</v>
      </c>
    </row>
    <row r="319" spans="1:8">
      <c r="B319" s="2282" t="s">
        <v>64</v>
      </c>
    </row>
    <row r="320" spans="1:8">
      <c r="B320" s="2282" t="s">
        <v>65</v>
      </c>
    </row>
    <row r="324" spans="2:7">
      <c r="B324" s="2480" t="s">
        <v>1912</v>
      </c>
    </row>
    <row r="325" spans="2:7">
      <c r="B325" s="2478" t="s">
        <v>1049</v>
      </c>
    </row>
    <row r="326" spans="2:7">
      <c r="B326" s="2478" t="s">
        <v>1705</v>
      </c>
    </row>
    <row r="327" spans="2:7" ht="13.5">
      <c r="B327" s="1472" t="s">
        <v>1902</v>
      </c>
    </row>
    <row r="328" spans="2:7">
      <c r="B328" s="2479" t="s">
        <v>1913</v>
      </c>
    </row>
    <row r="329" spans="2:7" ht="13.5">
      <c r="B329" s="1472" t="s">
        <v>1903</v>
      </c>
      <c r="G329" s="686">
        <f>1698-1582</f>
        <v>116</v>
      </c>
    </row>
    <row r="330" spans="2:7">
      <c r="B330" s="2479" t="s">
        <v>1914</v>
      </c>
    </row>
    <row r="331" spans="2:7" ht="13.5">
      <c r="B331" s="1472" t="s">
        <v>1904</v>
      </c>
    </row>
    <row r="332" spans="2:7">
      <c r="B332" s="2479" t="s">
        <v>1915</v>
      </c>
    </row>
    <row r="333" spans="2:7" ht="13.5">
      <c r="B333" s="1472" t="s">
        <v>1905</v>
      </c>
    </row>
    <row r="334" spans="2:7">
      <c r="B334" s="2479" t="s">
        <v>1915</v>
      </c>
    </row>
    <row r="335" spans="2:7" ht="13.5">
      <c r="B335" s="1472" t="s">
        <v>1906</v>
      </c>
    </row>
    <row r="336" spans="2:7">
      <c r="B336" s="2479" t="s">
        <v>1915</v>
      </c>
    </row>
    <row r="337" spans="2:2">
      <c r="B337" s="2478" t="s">
        <v>61</v>
      </c>
    </row>
    <row r="338" spans="2:2">
      <c r="B338" s="2479" t="s">
        <v>1916</v>
      </c>
    </row>
  </sheetData>
  <mergeCells count="13">
    <mergeCell ref="F195:G195"/>
    <mergeCell ref="C201:H201"/>
    <mergeCell ref="F251:G251"/>
    <mergeCell ref="C257:H257"/>
    <mergeCell ref="F307:G307"/>
    <mergeCell ref="F83:G83"/>
    <mergeCell ref="C89:H89"/>
    <mergeCell ref="F139:G139"/>
    <mergeCell ref="C145:H145"/>
    <mergeCell ref="C22:D22"/>
    <mergeCell ref="C28:D28"/>
    <mergeCell ref="C29:D29"/>
    <mergeCell ref="C33:H33"/>
  </mergeCells>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E7E20-7B64-48A6-AE71-FF08B1C05730}">
  <sheetPr codeName="Hoja118"/>
  <dimension ref="A2:C34"/>
  <sheetViews>
    <sheetView tabSelected="1" topLeftCell="A13" workbookViewId="0">
      <selection activeCell="A26" sqref="A26"/>
    </sheetView>
  </sheetViews>
  <sheetFormatPr defaultColWidth="11.42578125" defaultRowHeight="12.75"/>
  <cols>
    <col min="1" max="1" width="44.42578125" bestFit="1" customWidth="1"/>
    <col min="2" max="2" width="43.42578125" bestFit="1" customWidth="1"/>
    <col min="3" max="3" width="38.28515625" bestFit="1" customWidth="1"/>
    <col min="4" max="5" width="16.5703125" bestFit="1" customWidth="1"/>
    <col min="6" max="6" width="18.5703125" bestFit="1" customWidth="1"/>
    <col min="7" max="7" width="38.28515625" bestFit="1" customWidth="1"/>
    <col min="8" max="11" width="6.7109375" bestFit="1" customWidth="1"/>
    <col min="12" max="12" width="48.7109375" bestFit="1" customWidth="1"/>
    <col min="13" max="13" width="43.5703125" bestFit="1" customWidth="1"/>
    <col min="14" max="14" width="13.85546875" bestFit="1" customWidth="1"/>
    <col min="15" max="15" width="16.5703125" bestFit="1" customWidth="1"/>
    <col min="16" max="16" width="17.5703125" bestFit="1" customWidth="1"/>
    <col min="17" max="19" width="14.85546875" bestFit="1" customWidth="1"/>
    <col min="20" max="20" width="13.85546875" bestFit="1" customWidth="1"/>
    <col min="21" max="22" width="14.85546875" bestFit="1" customWidth="1"/>
    <col min="23" max="23" width="6.7109375" bestFit="1" customWidth="1"/>
    <col min="24" max="24" width="16.5703125" bestFit="1" customWidth="1"/>
    <col min="25" max="25" width="14.85546875" bestFit="1" customWidth="1"/>
    <col min="26" max="26" width="16.5703125" bestFit="1" customWidth="1"/>
    <col min="27" max="28" width="18.5703125" bestFit="1" customWidth="1"/>
    <col min="29" max="29" width="16.5703125" bestFit="1" customWidth="1"/>
    <col min="30" max="30" width="14.85546875" bestFit="1" customWidth="1"/>
    <col min="31" max="31" width="16.5703125" bestFit="1" customWidth="1"/>
    <col min="32" max="32" width="38.28515625" bestFit="1" customWidth="1"/>
    <col min="33" max="33" width="16.5703125" bestFit="1" customWidth="1"/>
    <col min="34" max="34" width="7" bestFit="1" customWidth="1"/>
    <col min="35" max="35" width="10.140625" bestFit="1" customWidth="1"/>
    <col min="36" max="36" width="7" bestFit="1" customWidth="1"/>
    <col min="37" max="37" width="6.7109375" bestFit="1" customWidth="1"/>
    <col min="38" max="38" width="10.140625" bestFit="1" customWidth="1"/>
    <col min="39" max="39" width="7" bestFit="1" customWidth="1"/>
    <col min="40" max="40" width="10.140625" bestFit="1" customWidth="1"/>
    <col min="41" max="41" width="7" bestFit="1" customWidth="1"/>
    <col min="42" max="42" width="10.140625" bestFit="1" customWidth="1"/>
    <col min="43" max="43" width="7" bestFit="1" customWidth="1"/>
    <col min="44" max="45" width="6.7109375" bestFit="1" customWidth="1"/>
    <col min="46" max="46" width="10.140625" bestFit="1" customWidth="1"/>
    <col min="47" max="47" width="7" bestFit="1" customWidth="1"/>
    <col min="48" max="48" width="6.7109375" bestFit="1" customWidth="1"/>
    <col min="49" max="49" width="10.140625" bestFit="1" customWidth="1"/>
    <col min="50" max="50" width="7" bestFit="1" customWidth="1"/>
    <col min="51" max="53" width="6.7109375" bestFit="1" customWidth="1"/>
    <col min="54" max="54" width="10.140625" bestFit="1" customWidth="1"/>
    <col min="55" max="55" width="7" bestFit="1" customWidth="1"/>
    <col min="56" max="57" width="6.7109375" bestFit="1" customWidth="1"/>
    <col min="58" max="58" width="10.140625" bestFit="1" customWidth="1"/>
    <col min="59" max="59" width="7" bestFit="1" customWidth="1"/>
    <col min="60" max="60" width="6.7109375" bestFit="1" customWidth="1"/>
    <col min="61" max="61" width="10.140625" bestFit="1" customWidth="1"/>
    <col min="62" max="62" width="48.7109375" bestFit="1" customWidth="1"/>
    <col min="63" max="63" width="43.5703125" bestFit="1" customWidth="1"/>
    <col min="64" max="64" width="16.5703125" bestFit="1" customWidth="1"/>
    <col min="65" max="65" width="8.7109375" bestFit="1" customWidth="1"/>
    <col min="66" max="66" width="11.85546875" bestFit="1" customWidth="1"/>
    <col min="67" max="67" width="10.140625" bestFit="1" customWidth="1"/>
    <col min="68" max="68" width="8.7109375" bestFit="1" customWidth="1"/>
    <col min="69" max="69" width="11.85546875" bestFit="1" customWidth="1"/>
    <col min="70" max="70" width="8.7109375" bestFit="1" customWidth="1"/>
    <col min="71" max="71" width="11.85546875" bestFit="1" customWidth="1"/>
    <col min="72" max="72" width="10.140625" bestFit="1" customWidth="1"/>
    <col min="73" max="73" width="8.7109375" bestFit="1" customWidth="1"/>
    <col min="74" max="74" width="11.85546875" bestFit="1" customWidth="1"/>
    <col min="75" max="75" width="10.140625" bestFit="1" customWidth="1"/>
    <col min="76" max="76" width="8.7109375" bestFit="1" customWidth="1"/>
    <col min="77" max="77" width="11.85546875" bestFit="1" customWidth="1"/>
    <col min="78" max="78" width="10.140625" bestFit="1" customWidth="1"/>
    <col min="79" max="79" width="8.7109375" bestFit="1" customWidth="1"/>
    <col min="80" max="80" width="11.85546875" bestFit="1" customWidth="1"/>
    <col min="81" max="81" width="8.7109375" bestFit="1" customWidth="1"/>
    <col min="82" max="82" width="5.7109375" bestFit="1" customWidth="1"/>
    <col min="83" max="83" width="11.85546875" bestFit="1" customWidth="1"/>
    <col min="84" max="84" width="8.7109375" bestFit="1" customWidth="1"/>
    <col min="85" max="85" width="11.85546875" bestFit="1" customWidth="1"/>
    <col min="86" max="86" width="10.140625" bestFit="1" customWidth="1"/>
    <col min="87" max="87" width="8.7109375" bestFit="1" customWidth="1"/>
    <col min="88" max="88" width="11.85546875" bestFit="1" customWidth="1"/>
    <col min="89" max="89" width="8.7109375" bestFit="1" customWidth="1"/>
    <col min="90" max="91" width="5.7109375" bestFit="1" customWidth="1"/>
    <col min="92" max="92" width="11.85546875" bestFit="1" customWidth="1"/>
    <col min="93" max="93" width="10.140625" bestFit="1" customWidth="1"/>
    <col min="94" max="94" width="8.7109375" bestFit="1" customWidth="1"/>
    <col min="95" max="96" width="5.7109375" bestFit="1" customWidth="1"/>
    <col min="97" max="97" width="11.85546875" bestFit="1" customWidth="1"/>
    <col min="98" max="98" width="8.7109375" bestFit="1" customWidth="1"/>
    <col min="99" max="99" width="11.85546875" bestFit="1" customWidth="1"/>
    <col min="100" max="100" width="8.7109375" bestFit="1" customWidth="1"/>
    <col min="101" max="102" width="5.7109375" bestFit="1" customWidth="1"/>
    <col min="103" max="103" width="11.85546875" bestFit="1" customWidth="1"/>
    <col min="104" max="104" width="8.7109375" bestFit="1" customWidth="1"/>
    <col min="105" max="105" width="11.85546875" bestFit="1" customWidth="1"/>
    <col min="106" max="106" width="10.140625" bestFit="1" customWidth="1"/>
    <col min="107" max="107" width="8.7109375" bestFit="1" customWidth="1"/>
    <col min="108" max="108" width="11.85546875" bestFit="1" customWidth="1"/>
    <col min="109" max="109" width="8.7109375" bestFit="1" customWidth="1"/>
    <col min="110" max="110" width="5.7109375" bestFit="1" customWidth="1"/>
    <col min="111" max="111" width="11.85546875" bestFit="1" customWidth="1"/>
    <col min="112" max="112" width="8.7109375" bestFit="1" customWidth="1"/>
    <col min="113" max="113" width="5.7109375" bestFit="1" customWidth="1"/>
    <col min="114" max="114" width="11.85546875" bestFit="1" customWidth="1"/>
    <col min="115" max="115" width="10.140625" bestFit="1" customWidth="1"/>
    <col min="116" max="116" width="8.7109375" bestFit="1" customWidth="1"/>
    <col min="117" max="117" width="5.7109375" bestFit="1" customWidth="1"/>
    <col min="118" max="118" width="11.85546875" bestFit="1" customWidth="1"/>
    <col min="119" max="119" width="8.7109375" bestFit="1" customWidth="1"/>
    <col min="120" max="120" width="11.85546875" bestFit="1" customWidth="1"/>
    <col min="121" max="121" width="10.140625" bestFit="1" customWidth="1"/>
    <col min="122" max="122" width="48.7109375" bestFit="1" customWidth="1"/>
    <col min="123" max="123" width="43.5703125" bestFit="1" customWidth="1"/>
  </cols>
  <sheetData>
    <row r="2" spans="1:3">
      <c r="A2" s="2447" t="s">
        <v>1917</v>
      </c>
      <c r="B2" t="s">
        <v>1918</v>
      </c>
    </row>
    <row r="4" spans="1:3">
      <c r="A4" s="2447" t="s">
        <v>1919</v>
      </c>
      <c r="B4" t="s">
        <v>1920</v>
      </c>
      <c r="C4" t="s">
        <v>1921</v>
      </c>
    </row>
    <row r="5" spans="1:3">
      <c r="A5" s="2448" t="s">
        <v>1922</v>
      </c>
      <c r="B5" s="95">
        <v>124978109119.74329</v>
      </c>
      <c r="C5" s="95">
        <v>1</v>
      </c>
    </row>
    <row r="6" spans="1:3">
      <c r="A6" s="2449" t="s">
        <v>1923</v>
      </c>
      <c r="B6" s="95">
        <v>11083600000</v>
      </c>
      <c r="C6" s="95">
        <v>1</v>
      </c>
    </row>
    <row r="7" spans="1:3">
      <c r="A7" s="2448" t="s">
        <v>1924</v>
      </c>
      <c r="B7" s="95">
        <v>1967194695.1499999</v>
      </c>
      <c r="C7" s="95">
        <v>4</v>
      </c>
    </row>
    <row r="8" spans="1:3">
      <c r="A8" s="2449" t="s">
        <v>1925</v>
      </c>
      <c r="B8" s="95">
        <v>257726232.62</v>
      </c>
      <c r="C8" s="95">
        <v>2</v>
      </c>
    </row>
    <row r="9" spans="1:3">
      <c r="A9" s="2449" t="s">
        <v>1926</v>
      </c>
      <c r="B9" s="95">
        <v>1443558696.6647935</v>
      </c>
      <c r="C9" s="95">
        <v>7</v>
      </c>
    </row>
    <row r="10" spans="1:3">
      <c r="A10" s="2448" t="s">
        <v>1467</v>
      </c>
      <c r="B10" s="95">
        <v>3728655894.3484006</v>
      </c>
      <c r="C10" s="95">
        <v>2</v>
      </c>
    </row>
    <row r="11" spans="1:3">
      <c r="A11" s="2449" t="s">
        <v>851</v>
      </c>
      <c r="B11" s="95">
        <v>12034126983.649858</v>
      </c>
      <c r="C11" s="95">
        <v>39</v>
      </c>
    </row>
    <row r="12" spans="1:3">
      <c r="A12" s="2449" t="s">
        <v>1631</v>
      </c>
      <c r="B12" s="95">
        <v>61363194</v>
      </c>
      <c r="C12" s="95">
        <v>1</v>
      </c>
    </row>
    <row r="13" spans="1:3">
      <c r="A13" s="2449" t="s">
        <v>1057</v>
      </c>
      <c r="B13" s="95">
        <v>4640294782.2576971</v>
      </c>
      <c r="C13" s="95">
        <v>13</v>
      </c>
    </row>
    <row r="14" spans="1:3">
      <c r="A14" s="2448" t="s">
        <v>1927</v>
      </c>
      <c r="B14" s="95">
        <v>5306290.2622293532</v>
      </c>
      <c r="C14" s="95">
        <v>1</v>
      </c>
    </row>
    <row r="15" spans="1:3">
      <c r="A15" s="2448" t="s">
        <v>1928</v>
      </c>
      <c r="B15" s="95">
        <v>160199935888.69626</v>
      </c>
      <c r="C15" s="95">
        <v>71</v>
      </c>
    </row>
    <row r="19" spans="1:3">
      <c r="B19" s="8"/>
    </row>
    <row r="20" spans="1:3">
      <c r="B20" s="8"/>
    </row>
    <row r="21" spans="1:3">
      <c r="B21" s="8">
        <v>161836661207</v>
      </c>
    </row>
    <row r="22" spans="1:3">
      <c r="A22" t="s">
        <v>1929</v>
      </c>
      <c r="B22" s="8">
        <f>+B21-GETPIVOTDATA("Suma de TOTAL LIQUIDACION ACTUALIZADA ",$A$4)</f>
        <v>1636725318.3037415</v>
      </c>
    </row>
    <row r="24" spans="1:3">
      <c r="A24" s="2451" t="s">
        <v>1922</v>
      </c>
      <c r="B24" s="2450">
        <v>124978109119.74329</v>
      </c>
      <c r="C24" s="2163">
        <f>+B24+B29+B33</f>
        <v>128614732850.18512</v>
      </c>
    </row>
    <row r="25" spans="1:3">
      <c r="A25" t="s">
        <v>1923</v>
      </c>
      <c r="B25" s="8">
        <v>11083600000</v>
      </c>
    </row>
    <row r="26" spans="1:3">
      <c r="A26" s="60" t="s">
        <v>1924</v>
      </c>
      <c r="B26" s="2452">
        <v>1896256319.0003693</v>
      </c>
      <c r="C26" s="95">
        <f>+B26</f>
        <v>1896256319.0003693</v>
      </c>
    </row>
    <row r="27" spans="1:3">
      <c r="A27" t="s">
        <v>1925</v>
      </c>
      <c r="B27" s="8">
        <v>257726232.62</v>
      </c>
    </row>
    <row r="28" spans="1:3">
      <c r="A28" t="s">
        <v>1926</v>
      </c>
      <c r="B28" s="8">
        <v>1429050961.3357935</v>
      </c>
      <c r="C28" s="95">
        <f>+C26-GETPIVOTDATA("Suma de TOTAL LIQUIDACION ACTUALIZADA ",$A$4)</f>
        <v>-158303679569.69589</v>
      </c>
    </row>
    <row r="29" spans="1:3">
      <c r="A29" s="2451" t="s">
        <v>1467</v>
      </c>
      <c r="B29" s="2450">
        <v>3631392234.2169642</v>
      </c>
    </row>
    <row r="30" spans="1:3">
      <c r="A30" t="s">
        <v>851</v>
      </c>
      <c r="B30" s="8">
        <v>13076532767.015266</v>
      </c>
    </row>
    <row r="31" spans="1:3">
      <c r="A31" t="s">
        <v>1631</v>
      </c>
      <c r="B31" s="8">
        <v>61363194</v>
      </c>
    </row>
    <row r="32" spans="1:3">
      <c r="A32" t="s">
        <v>1057</v>
      </c>
      <c r="B32" s="8">
        <v>4572231202.5218172</v>
      </c>
    </row>
    <row r="33" spans="1:2">
      <c r="A33" s="2451" t="s">
        <v>1927</v>
      </c>
      <c r="B33" s="2450">
        <v>5231496.2248651609</v>
      </c>
    </row>
    <row r="34" spans="1:2">
      <c r="A34" t="s">
        <v>1928</v>
      </c>
      <c r="B34" s="8">
        <f>SUM(B24:B33)</f>
        <v>160991493526.67831</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78" filterMode="1">
    <tabColor rgb="FF00B0F0"/>
    <pageSetUpPr fitToPage="1"/>
  </sheetPr>
  <dimension ref="A1:AB1048576"/>
  <sheetViews>
    <sheetView topLeftCell="H1" zoomScale="90" zoomScaleNormal="90" zoomScaleSheetLayoutView="44" workbookViewId="0">
      <pane ySplit="2" topLeftCell="A90" activePane="bottomLeft" state="frozen"/>
      <selection pane="bottomLeft" activeCell="R92" sqref="R92"/>
    </sheetView>
  </sheetViews>
  <sheetFormatPr defaultColWidth="9.140625" defaultRowHeight="12.75"/>
  <cols>
    <col min="1" max="1" width="10.5703125" style="1704" customWidth="1"/>
    <col min="2" max="2" width="23.28515625" style="1705" customWidth="1"/>
    <col min="3" max="3" width="18.140625" style="1705" customWidth="1"/>
    <col min="4" max="4" width="22.140625" style="115" customWidth="1"/>
    <col min="5" max="5" width="13" style="115" customWidth="1"/>
    <col min="6" max="6" width="19.7109375" style="1702" customWidth="1"/>
    <col min="7" max="7" width="16.140625" customWidth="1"/>
    <col min="8" max="8" width="17.7109375" customWidth="1"/>
    <col min="9" max="9" width="23.42578125" style="1909" customWidth="1"/>
    <col min="10" max="10" width="14.7109375" style="115" customWidth="1"/>
    <col min="11" max="11" width="16" style="1706" customWidth="1"/>
    <col min="12" max="12" width="13.42578125" style="1702" customWidth="1"/>
    <col min="13" max="14" width="13.7109375" style="115" customWidth="1"/>
    <col min="15" max="15" width="22.42578125" style="1707" customWidth="1"/>
    <col min="16" max="16" width="20.5703125" style="1708" customWidth="1"/>
    <col min="17" max="17" width="20.28515625" style="115" customWidth="1"/>
    <col min="18" max="18" width="20.42578125" style="115" bestFit="1" customWidth="1"/>
    <col min="19" max="19" width="17.42578125" style="1705" bestFit="1" customWidth="1"/>
    <col min="20" max="20" width="19.140625" customWidth="1"/>
    <col min="21" max="22" width="14.7109375" customWidth="1"/>
    <col min="23" max="23" width="22" customWidth="1"/>
    <col min="24" max="24" width="25.85546875" customWidth="1"/>
    <col min="25" max="27" width="11.42578125" customWidth="1"/>
    <col min="28" max="28" width="15.140625" bestFit="1" customWidth="1"/>
    <col min="29" max="253" width="11.42578125" customWidth="1"/>
  </cols>
  <sheetData>
    <row r="1" spans="1:28" ht="21" customHeight="1">
      <c r="A1" s="2218" t="s">
        <v>1930</v>
      </c>
      <c r="B1" s="2080"/>
      <c r="C1" s="2080"/>
      <c r="D1" s="2080"/>
      <c r="E1" s="2080"/>
      <c r="F1" s="2080"/>
      <c r="G1" s="2080"/>
      <c r="H1" s="2080"/>
      <c r="I1" s="2080"/>
      <c r="J1" s="2080"/>
      <c r="K1" s="2080"/>
      <c r="L1" s="2080"/>
      <c r="M1" s="2080"/>
      <c r="N1" s="2080"/>
      <c r="O1" s="2080"/>
      <c r="P1" s="2080"/>
      <c r="Q1" s="2080"/>
      <c r="R1" s="2080"/>
      <c r="S1" s="2080"/>
      <c r="T1" s="2081"/>
      <c r="U1" s="188"/>
      <c r="V1" s="188"/>
      <c r="W1" t="s">
        <v>1931</v>
      </c>
      <c r="X1" s="118"/>
      <c r="Y1" s="460" t="s">
        <v>1932</v>
      </c>
      <c r="Z1" s="118" t="s">
        <v>86</v>
      </c>
      <c r="AA1" s="118" t="s">
        <v>1655</v>
      </c>
      <c r="AB1" s="118" t="s">
        <v>1933</v>
      </c>
    </row>
    <row r="2" spans="1:28" s="93" customFormat="1" ht="66.75" customHeight="1">
      <c r="A2" s="1911" t="s">
        <v>1934</v>
      </c>
      <c r="B2" s="1911" t="s">
        <v>1935</v>
      </c>
      <c r="C2" s="1911" t="s">
        <v>1936</v>
      </c>
      <c r="D2" s="1911" t="s">
        <v>1937</v>
      </c>
      <c r="E2" s="1911" t="s">
        <v>1917</v>
      </c>
      <c r="F2" s="1911" t="s">
        <v>1938</v>
      </c>
      <c r="G2" s="1911" t="s">
        <v>1939</v>
      </c>
      <c r="H2" s="1911" t="s">
        <v>1940</v>
      </c>
      <c r="I2" s="1911" t="s">
        <v>69</v>
      </c>
      <c r="J2" s="2082" t="s">
        <v>1941</v>
      </c>
      <c r="K2" s="2082" t="s">
        <v>1000</v>
      </c>
      <c r="L2" s="2082" t="s">
        <v>1942</v>
      </c>
      <c r="M2" s="2082" t="s">
        <v>1389</v>
      </c>
      <c r="N2" s="2082" t="s">
        <v>1435</v>
      </c>
      <c r="O2" s="2083" t="s">
        <v>1943</v>
      </c>
      <c r="P2" s="2084" t="s">
        <v>1944</v>
      </c>
      <c r="Q2" s="2085" t="s">
        <v>1945</v>
      </c>
      <c r="R2" s="2085" t="s">
        <v>1946</v>
      </c>
      <c r="S2" s="1911" t="s">
        <v>1947</v>
      </c>
      <c r="T2" s="1911" t="s">
        <v>1948</v>
      </c>
      <c r="U2" s="267" t="s">
        <v>1949</v>
      </c>
      <c r="V2" s="267" t="s">
        <v>1950</v>
      </c>
      <c r="W2" s="1911" t="s">
        <v>1951</v>
      </c>
      <c r="X2" s="456">
        <f>+K3</f>
        <v>41380</v>
      </c>
      <c r="Y2" s="456">
        <f ca="1">+TODAY()</f>
        <v>45071</v>
      </c>
      <c r="Z2" s="457">
        <f ca="1">+Y2-X2</f>
        <v>3691</v>
      </c>
      <c r="AA2" s="457">
        <f ca="1">+Z2/30</f>
        <v>123.03333333333333</v>
      </c>
      <c r="AB2" s="457">
        <f ca="1">+Z2/360</f>
        <v>10.252777777777778</v>
      </c>
    </row>
    <row r="3" spans="1:28" ht="59.25" hidden="1" customHeight="1">
      <c r="A3" s="268">
        <f t="shared" ref="A3:A67" si="0">ROW(A1)</f>
        <v>1</v>
      </c>
      <c r="B3" s="269" t="s">
        <v>1952</v>
      </c>
      <c r="C3" s="269" t="s">
        <v>1953</v>
      </c>
      <c r="D3" s="269" t="s">
        <v>1954</v>
      </c>
      <c r="E3" s="269" t="s">
        <v>1955</v>
      </c>
      <c r="F3" s="269" t="s">
        <v>851</v>
      </c>
      <c r="G3" s="269" t="s">
        <v>1956</v>
      </c>
      <c r="H3" s="270" t="s">
        <v>1957</v>
      </c>
      <c r="I3" s="1790" t="s">
        <v>1958</v>
      </c>
      <c r="J3" s="271">
        <v>41368</v>
      </c>
      <c r="K3" s="271">
        <v>41380</v>
      </c>
      <c r="L3" s="271">
        <v>41928</v>
      </c>
      <c r="M3" s="272">
        <v>42866</v>
      </c>
      <c r="N3" s="458">
        <f t="shared" ref="N3:N34" ca="1" si="1">+_xlfn.DAYS($Y$2,K3)</f>
        <v>3691</v>
      </c>
      <c r="O3" s="273">
        <f>+'Nilda Melendez '!C136</f>
        <v>144494450.83120006</v>
      </c>
      <c r="P3" s="273">
        <f>+'Nilda Melendez '!C138</f>
        <v>18665079.335345764</v>
      </c>
      <c r="Q3" s="273">
        <f>+'Nilda Melendez '!C137</f>
        <v>228807135.8757152</v>
      </c>
      <c r="R3" s="273">
        <f>SUM(O3:Q3)</f>
        <v>391966666.042261</v>
      </c>
      <c r="S3" s="274">
        <v>44531</v>
      </c>
      <c r="T3" s="1891" t="s">
        <v>1959</v>
      </c>
      <c r="U3" s="275">
        <v>2013</v>
      </c>
      <c r="V3" s="275"/>
      <c r="W3" s="1700" t="s">
        <v>1960</v>
      </c>
    </row>
    <row r="4" spans="1:28" s="190" customFormat="1" ht="70.5" hidden="1" customHeight="1">
      <c r="A4" s="268">
        <f t="shared" si="0"/>
        <v>2</v>
      </c>
      <c r="B4" s="269" t="s">
        <v>1961</v>
      </c>
      <c r="C4" s="269">
        <v>73089766</v>
      </c>
      <c r="D4" s="269" t="s">
        <v>1129</v>
      </c>
      <c r="E4" s="269" t="s">
        <v>1955</v>
      </c>
      <c r="F4" s="269" t="s">
        <v>851</v>
      </c>
      <c r="G4" s="269" t="s">
        <v>1962</v>
      </c>
      <c r="H4" s="269" t="s">
        <v>1110</v>
      </c>
      <c r="I4" s="269" t="s">
        <v>1963</v>
      </c>
      <c r="J4" s="271">
        <v>41848</v>
      </c>
      <c r="K4" s="278">
        <v>41879</v>
      </c>
      <c r="L4" s="271">
        <v>42428</v>
      </c>
      <c r="M4" s="271">
        <v>43397</v>
      </c>
      <c r="N4" s="458">
        <f t="shared" ca="1" si="1"/>
        <v>3192</v>
      </c>
      <c r="O4" s="273">
        <v>174296500</v>
      </c>
      <c r="P4" s="273">
        <v>0</v>
      </c>
      <c r="Q4" s="273"/>
      <c r="R4" s="273">
        <f t="shared" ref="R4" si="2">SUM(O4:Q4)</f>
        <v>174296500</v>
      </c>
      <c r="S4" s="274">
        <v>44531</v>
      </c>
      <c r="T4" s="279" t="s">
        <v>1964</v>
      </c>
      <c r="U4" s="275">
        <v>2016</v>
      </c>
      <c r="V4" s="275"/>
      <c r="W4" s="1701" t="s">
        <v>1965</v>
      </c>
    </row>
    <row r="5" spans="1:28" s="260" customFormat="1" ht="76.5" hidden="1" customHeight="1">
      <c r="A5" s="268">
        <f t="shared" si="0"/>
        <v>3</v>
      </c>
      <c r="B5" s="283" t="s">
        <v>1966</v>
      </c>
      <c r="C5" s="283">
        <v>890903938</v>
      </c>
      <c r="D5" s="284" t="s">
        <v>1129</v>
      </c>
      <c r="E5" s="269" t="s">
        <v>1955</v>
      </c>
      <c r="F5" s="283" t="s">
        <v>1926</v>
      </c>
      <c r="G5" s="283" t="s">
        <v>125</v>
      </c>
      <c r="H5" s="283" t="s">
        <v>1967</v>
      </c>
      <c r="I5" s="285" t="s">
        <v>1968</v>
      </c>
      <c r="J5" s="286">
        <v>43738</v>
      </c>
      <c r="K5" s="278">
        <v>42074</v>
      </c>
      <c r="L5" s="287">
        <v>42628</v>
      </c>
      <c r="M5" s="287"/>
      <c r="N5" s="458">
        <f t="shared" ca="1" si="1"/>
        <v>2997</v>
      </c>
      <c r="O5" s="281">
        <v>470900355</v>
      </c>
      <c r="P5" s="281">
        <f>13900000+Bancolombia.conavi!C99</f>
        <v>15556232</v>
      </c>
      <c r="Q5" s="281">
        <f>+Bancolombia.conavi!H92</f>
        <v>183215928.87955415</v>
      </c>
      <c r="R5" s="273">
        <f t="shared" ref="R5:R34" si="3">SUM(O5:Q5)</f>
        <v>669672515.87955415</v>
      </c>
      <c r="S5" s="274">
        <v>44531</v>
      </c>
      <c r="T5" s="288" t="s">
        <v>1969</v>
      </c>
      <c r="U5" s="289">
        <v>2016</v>
      </c>
      <c r="V5" s="289"/>
      <c r="W5" s="1912" t="s">
        <v>1970</v>
      </c>
    </row>
    <row r="6" spans="1:28" s="115" customFormat="1" ht="81.75" hidden="1" customHeight="1">
      <c r="A6" s="268">
        <f t="shared" si="0"/>
        <v>4</v>
      </c>
      <c r="B6" s="290" t="s">
        <v>1971</v>
      </c>
      <c r="C6" s="290"/>
      <c r="D6" s="290" t="s">
        <v>1129</v>
      </c>
      <c r="E6" s="269" t="s">
        <v>1955</v>
      </c>
      <c r="F6" s="290" t="s">
        <v>1057</v>
      </c>
      <c r="G6" s="290" t="s">
        <v>138</v>
      </c>
      <c r="H6" s="290" t="s">
        <v>1972</v>
      </c>
      <c r="I6" s="292" t="s">
        <v>1973</v>
      </c>
      <c r="J6" s="293">
        <v>42132</v>
      </c>
      <c r="K6" s="293">
        <v>42164</v>
      </c>
      <c r="L6" s="293">
        <v>42713</v>
      </c>
      <c r="M6" s="293">
        <v>43808</v>
      </c>
      <c r="N6" s="458">
        <f t="shared" ca="1" si="1"/>
        <v>2907</v>
      </c>
      <c r="O6" s="273">
        <f>+'Medical Universal'!C13</f>
        <v>55976668.108711697</v>
      </c>
      <c r="P6" s="273">
        <v>0</v>
      </c>
      <c r="Q6" s="273">
        <f>+'Medical Universal'!I97</f>
        <v>7137943.779267665</v>
      </c>
      <c r="R6" s="273">
        <f t="shared" si="3"/>
        <v>63114611.887979358</v>
      </c>
      <c r="S6" s="274">
        <v>44531</v>
      </c>
      <c r="T6" s="306" t="s">
        <v>1974</v>
      </c>
      <c r="U6" s="275">
        <v>2016</v>
      </c>
      <c r="V6" s="275"/>
      <c r="W6" s="1701" t="s">
        <v>1975</v>
      </c>
    </row>
    <row r="7" spans="1:28" s="115" customFormat="1" ht="69.75" hidden="1" customHeight="1">
      <c r="A7" s="268">
        <f t="shared" si="0"/>
        <v>5</v>
      </c>
      <c r="B7" s="117" t="s">
        <v>1976</v>
      </c>
      <c r="C7" s="117" t="s">
        <v>1977</v>
      </c>
      <c r="D7" s="117" t="s">
        <v>1129</v>
      </c>
      <c r="E7" s="269" t="s">
        <v>1955</v>
      </c>
      <c r="F7" s="298" t="s">
        <v>1922</v>
      </c>
      <c r="G7" s="117" t="s">
        <v>152</v>
      </c>
      <c r="H7" s="117" t="s">
        <v>1978</v>
      </c>
      <c r="I7" s="117" t="s">
        <v>1979</v>
      </c>
      <c r="J7" s="261">
        <v>43947</v>
      </c>
      <c r="K7" s="293">
        <v>42669</v>
      </c>
      <c r="L7" s="293">
        <v>43306</v>
      </c>
      <c r="M7" s="293">
        <v>42796</v>
      </c>
      <c r="N7" s="458">
        <f t="shared" ca="1" si="1"/>
        <v>2402</v>
      </c>
      <c r="O7" s="146">
        <f>+'Ricardo Tapias Morales y OTROS'!E12</f>
        <v>148922280</v>
      </c>
      <c r="P7" s="273">
        <v>0</v>
      </c>
      <c r="Q7" s="273">
        <f>+'Ricardo Tapias Morales y OTROS'!H79</f>
        <v>194593305.6570228</v>
      </c>
      <c r="R7" s="273">
        <f t="shared" si="3"/>
        <v>343515585.65702283</v>
      </c>
      <c r="S7" s="274">
        <v>44531</v>
      </c>
      <c r="T7" s="146"/>
      <c r="U7" s="275">
        <v>2021</v>
      </c>
      <c r="V7" s="275"/>
      <c r="W7" s="1701" t="s">
        <v>1980</v>
      </c>
    </row>
    <row r="8" spans="1:28" ht="84" hidden="1" customHeight="1">
      <c r="A8" s="268">
        <f t="shared" si="0"/>
        <v>6</v>
      </c>
      <c r="B8" s="297" t="s">
        <v>1981</v>
      </c>
      <c r="C8" s="297">
        <v>860005114</v>
      </c>
      <c r="D8" s="297" t="s">
        <v>1129</v>
      </c>
      <c r="E8" s="269" t="s">
        <v>1955</v>
      </c>
      <c r="F8" s="298" t="s">
        <v>1057</v>
      </c>
      <c r="G8" s="297" t="s">
        <v>167</v>
      </c>
      <c r="H8" s="297" t="s">
        <v>1982</v>
      </c>
      <c r="I8" s="290" t="s">
        <v>1983</v>
      </c>
      <c r="J8" s="299">
        <v>42325</v>
      </c>
      <c r="K8" s="300">
        <v>42871</v>
      </c>
      <c r="L8" s="301" t="s">
        <v>1984</v>
      </c>
      <c r="M8" s="302">
        <v>43641</v>
      </c>
      <c r="N8" s="458">
        <f t="shared" ca="1" si="1"/>
        <v>2200</v>
      </c>
      <c r="O8" s="273">
        <f>+'Oxigeno Optimus'!C9</f>
        <v>6089980</v>
      </c>
      <c r="P8" s="273">
        <f>+'Oxigeno Optimus'!C10</f>
        <v>913497</v>
      </c>
      <c r="Q8" s="273">
        <f>+'Oxigeno Optimus'!I70</f>
        <v>4400937.0708124777</v>
      </c>
      <c r="R8" s="273">
        <f t="shared" si="3"/>
        <v>11404414.070812479</v>
      </c>
      <c r="S8" s="274">
        <v>44531</v>
      </c>
      <c r="T8" s="303" t="s">
        <v>1985</v>
      </c>
      <c r="U8" s="275">
        <v>2017</v>
      </c>
      <c r="V8" s="275"/>
      <c r="W8" s="1700" t="s">
        <v>1986</v>
      </c>
    </row>
    <row r="9" spans="1:28" s="262" customFormat="1" ht="70.5" hidden="1" customHeight="1">
      <c r="A9" s="268">
        <f t="shared" si="0"/>
        <v>7</v>
      </c>
      <c r="B9" s="280" t="s">
        <v>1987</v>
      </c>
      <c r="C9" s="280">
        <v>73572424</v>
      </c>
      <c r="D9" s="284" t="s">
        <v>1129</v>
      </c>
      <c r="E9" s="269" t="s">
        <v>1955</v>
      </c>
      <c r="F9" s="280" t="s">
        <v>851</v>
      </c>
      <c r="G9" s="312" t="s">
        <v>1988</v>
      </c>
      <c r="H9" s="312" t="s">
        <v>1989</v>
      </c>
      <c r="I9" s="312" t="s">
        <v>1990</v>
      </c>
      <c r="J9" s="295">
        <v>42485</v>
      </c>
      <c r="K9" s="313">
        <v>42514</v>
      </c>
      <c r="L9" s="295">
        <v>43063</v>
      </c>
      <c r="M9" s="313">
        <v>42635</v>
      </c>
      <c r="N9" s="458">
        <f t="shared" ca="1" si="1"/>
        <v>2557</v>
      </c>
      <c r="O9" s="273">
        <f>+'Ruben Vasquez'!N56</f>
        <v>45331378.255031615</v>
      </c>
      <c r="P9" s="273">
        <v>0</v>
      </c>
      <c r="Q9" s="273">
        <f>+'Ruben Vasquez'!S126</f>
        <v>59390548.366564155</v>
      </c>
      <c r="R9" s="273">
        <f t="shared" si="3"/>
        <v>104721926.62159577</v>
      </c>
      <c r="S9" s="274">
        <v>44531</v>
      </c>
      <c r="T9" s="282" t="s">
        <v>1991</v>
      </c>
      <c r="U9" s="314">
        <v>2017</v>
      </c>
      <c r="V9" s="314"/>
      <c r="W9" s="1760" t="s">
        <v>1992</v>
      </c>
    </row>
    <row r="10" spans="1:28" s="115" customFormat="1" ht="75.75" hidden="1" customHeight="1">
      <c r="A10" s="268">
        <f t="shared" si="0"/>
        <v>8</v>
      </c>
      <c r="B10" s="290" t="s">
        <v>1993</v>
      </c>
      <c r="C10" s="290">
        <v>45762233</v>
      </c>
      <c r="D10" s="290" t="s">
        <v>1129</v>
      </c>
      <c r="E10" s="269" t="s">
        <v>1955</v>
      </c>
      <c r="F10" s="290" t="s">
        <v>1926</v>
      </c>
      <c r="G10" s="290" t="s">
        <v>1994</v>
      </c>
      <c r="H10" s="290" t="s">
        <v>1995</v>
      </c>
      <c r="I10" s="290" t="s">
        <v>1996</v>
      </c>
      <c r="J10" s="310">
        <v>42641</v>
      </c>
      <c r="K10" s="310">
        <v>42579</v>
      </c>
      <c r="L10" s="293">
        <v>42883</v>
      </c>
      <c r="M10" s="310">
        <v>42975</v>
      </c>
      <c r="N10" s="458">
        <f t="shared" ca="1" si="1"/>
        <v>2492</v>
      </c>
      <c r="O10" s="273">
        <f>+'Monica Agamez'!B31</f>
        <v>16648652.430882577</v>
      </c>
      <c r="P10" s="273">
        <v>0</v>
      </c>
      <c r="Q10" s="273">
        <f>+'Monica Agamez'!I29+'Monica Agamez'!B32</f>
        <v>19728853.421049766</v>
      </c>
      <c r="R10" s="273">
        <f t="shared" si="3"/>
        <v>36377505.851932347</v>
      </c>
      <c r="S10" s="274">
        <v>44531</v>
      </c>
      <c r="T10" s="292" t="s">
        <v>1997</v>
      </c>
      <c r="U10" s="275">
        <v>2017</v>
      </c>
      <c r="V10" s="275"/>
      <c r="W10" s="1701" t="s">
        <v>1998</v>
      </c>
    </row>
    <row r="11" spans="1:28" s="115" customFormat="1" ht="75.75" hidden="1" customHeight="1">
      <c r="A11" s="268">
        <f t="shared" si="0"/>
        <v>9</v>
      </c>
      <c r="B11" s="269" t="s">
        <v>1999</v>
      </c>
      <c r="C11" s="636">
        <v>73091071</v>
      </c>
      <c r="D11" s="269" t="s">
        <v>1129</v>
      </c>
      <c r="E11" s="269" t="s">
        <v>1955</v>
      </c>
      <c r="F11" s="269" t="s">
        <v>851</v>
      </c>
      <c r="G11" s="269" t="s">
        <v>2000</v>
      </c>
      <c r="H11" s="269" t="s">
        <v>2001</v>
      </c>
      <c r="I11" s="277" t="s">
        <v>2002</v>
      </c>
      <c r="J11" s="271">
        <v>42653</v>
      </c>
      <c r="K11" s="278">
        <v>42657</v>
      </c>
      <c r="L11" s="271" t="s">
        <v>2003</v>
      </c>
      <c r="M11" s="293">
        <v>42753</v>
      </c>
      <c r="N11" s="458">
        <f t="shared" ca="1" si="1"/>
        <v>2414</v>
      </c>
      <c r="O11" s="273">
        <f>+'Edgar Meza'!C93</f>
        <v>6471887.5192869734</v>
      </c>
      <c r="P11" s="273">
        <v>0</v>
      </c>
      <c r="Q11" s="273">
        <f>+'Edgar Meza'!H89</f>
        <v>104812.19092003426</v>
      </c>
      <c r="R11" s="273">
        <f t="shared" si="3"/>
        <v>6576699.7102070078</v>
      </c>
      <c r="S11" s="274">
        <v>44531</v>
      </c>
      <c r="T11" s="320" t="s">
        <v>2004</v>
      </c>
      <c r="U11" s="275">
        <v>2018</v>
      </c>
      <c r="V11" s="275"/>
      <c r="W11" s="1701" t="s">
        <v>2005</v>
      </c>
    </row>
    <row r="12" spans="1:28" ht="45.75" hidden="1" customHeight="1">
      <c r="A12" s="268">
        <f t="shared" si="0"/>
        <v>10</v>
      </c>
      <c r="B12" s="290" t="s">
        <v>2006</v>
      </c>
      <c r="C12" s="290">
        <v>9080246</v>
      </c>
      <c r="D12" s="290" t="s">
        <v>1129</v>
      </c>
      <c r="E12" s="269" t="s">
        <v>1955</v>
      </c>
      <c r="F12" s="269" t="s">
        <v>851</v>
      </c>
      <c r="G12" s="291" t="s">
        <v>2007</v>
      </c>
      <c r="H12" s="291" t="s">
        <v>2008</v>
      </c>
      <c r="I12" s="290" t="s">
        <v>2009</v>
      </c>
      <c r="J12" s="293">
        <v>42692</v>
      </c>
      <c r="K12" s="293">
        <v>42761</v>
      </c>
      <c r="L12" s="293">
        <v>43066</v>
      </c>
      <c r="M12" s="293">
        <v>43131</v>
      </c>
      <c r="N12" s="458">
        <f t="shared" ca="1" si="1"/>
        <v>2310</v>
      </c>
      <c r="O12" s="273">
        <f>+'Jose  Madero'!C145</f>
        <v>5528295.5339726657</v>
      </c>
      <c r="P12" s="273">
        <v>0</v>
      </c>
      <c r="Q12" s="273">
        <f>+'Jose  Madero'!C146</f>
        <v>6027091.5505696759</v>
      </c>
      <c r="R12" s="273">
        <f t="shared" si="3"/>
        <v>11555387.084542342</v>
      </c>
      <c r="S12" s="274">
        <v>44531</v>
      </c>
      <c r="T12" s="277" t="s">
        <v>2010</v>
      </c>
      <c r="U12" s="275">
        <v>2017</v>
      </c>
      <c r="V12" s="275"/>
      <c r="W12" s="1700" t="s">
        <v>2011</v>
      </c>
    </row>
    <row r="13" spans="1:28" ht="67.5" hidden="1" customHeight="1">
      <c r="A13" s="268">
        <f t="shared" si="0"/>
        <v>11</v>
      </c>
      <c r="B13" s="290" t="s">
        <v>2012</v>
      </c>
      <c r="C13" s="290" t="s">
        <v>2013</v>
      </c>
      <c r="D13" s="290" t="s">
        <v>2014</v>
      </c>
      <c r="E13" s="269" t="s">
        <v>1955</v>
      </c>
      <c r="F13" s="298" t="s">
        <v>1057</v>
      </c>
      <c r="G13" s="290" t="s">
        <v>334</v>
      </c>
      <c r="H13" s="291" t="s">
        <v>2015</v>
      </c>
      <c r="I13" s="290" t="s">
        <v>2016</v>
      </c>
      <c r="J13" s="293">
        <v>42439</v>
      </c>
      <c r="K13" s="293">
        <v>42818</v>
      </c>
      <c r="L13" s="293">
        <v>43367</v>
      </c>
      <c r="M13" s="310">
        <v>43153</v>
      </c>
      <c r="N13" s="458">
        <f t="shared" ca="1" si="1"/>
        <v>2253</v>
      </c>
      <c r="O13" s="273">
        <f>+'Betilda Teheran'!D10</f>
        <v>36885850</v>
      </c>
      <c r="P13" s="273">
        <v>0</v>
      </c>
      <c r="Q13" s="273">
        <f>+'Betilda Teheran'!H73</f>
        <v>40062482.424817294</v>
      </c>
      <c r="R13" s="273">
        <f t="shared" si="3"/>
        <v>76948332.424817294</v>
      </c>
      <c r="S13" s="274">
        <v>44531</v>
      </c>
      <c r="T13" s="321"/>
      <c r="U13" s="275">
        <v>2018</v>
      </c>
      <c r="V13" s="275"/>
      <c r="W13" s="1714" t="s">
        <v>2017</v>
      </c>
    </row>
    <row r="14" spans="1:28" s="265" customFormat="1" ht="42" hidden="1" customHeight="1">
      <c r="A14" s="268">
        <f t="shared" si="0"/>
        <v>12</v>
      </c>
      <c r="B14" s="290" t="s">
        <v>340</v>
      </c>
      <c r="C14" s="290" t="s">
        <v>2018</v>
      </c>
      <c r="D14" s="290" t="s">
        <v>1129</v>
      </c>
      <c r="E14" s="269" t="s">
        <v>1955</v>
      </c>
      <c r="F14" s="290" t="s">
        <v>1926</v>
      </c>
      <c r="G14" s="291" t="s">
        <v>341</v>
      </c>
      <c r="H14" s="291" t="s">
        <v>2019</v>
      </c>
      <c r="I14" s="290" t="s">
        <v>2020</v>
      </c>
      <c r="J14" s="310">
        <v>42891</v>
      </c>
      <c r="K14" s="310">
        <v>42891</v>
      </c>
      <c r="L14" s="290" t="s">
        <v>2021</v>
      </c>
      <c r="M14" s="310">
        <v>42909</v>
      </c>
      <c r="N14" s="458">
        <f t="shared" ca="1" si="1"/>
        <v>2180</v>
      </c>
      <c r="O14" s="273">
        <f>+'Lime (2)'!E132</f>
        <v>782985430.75</v>
      </c>
      <c r="P14" s="273">
        <f>+'Lime (2)'!E134</f>
        <v>96049354</v>
      </c>
      <c r="Q14" s="273">
        <f>+'Lime (2)'!E133</f>
        <v>1977962007.0473516</v>
      </c>
      <c r="R14" s="273">
        <f t="shared" si="3"/>
        <v>2856996791.7973518</v>
      </c>
      <c r="S14" s="274">
        <v>44531</v>
      </c>
      <c r="T14" s="321"/>
      <c r="U14" s="289">
        <v>2018</v>
      </c>
      <c r="V14" s="289"/>
      <c r="W14" s="1760" t="s">
        <v>2022</v>
      </c>
    </row>
    <row r="15" spans="1:28" ht="77.25" hidden="1" customHeight="1">
      <c r="A15" s="268">
        <f t="shared" si="0"/>
        <v>13</v>
      </c>
      <c r="B15" s="290" t="s">
        <v>349</v>
      </c>
      <c r="C15" s="290">
        <v>73094516</v>
      </c>
      <c r="D15" s="290" t="s">
        <v>1129</v>
      </c>
      <c r="E15" s="269" t="s">
        <v>1955</v>
      </c>
      <c r="F15" s="269" t="s">
        <v>851</v>
      </c>
      <c r="G15" s="290" t="s">
        <v>2023</v>
      </c>
      <c r="H15" s="291" t="s">
        <v>2024</v>
      </c>
      <c r="I15" s="290" t="s">
        <v>2025</v>
      </c>
      <c r="J15" s="293">
        <v>42947</v>
      </c>
      <c r="K15" s="293">
        <v>42969</v>
      </c>
      <c r="L15" s="290" t="s">
        <v>2026</v>
      </c>
      <c r="M15" s="310">
        <v>42990</v>
      </c>
      <c r="N15" s="458">
        <f t="shared" ca="1" si="1"/>
        <v>2102</v>
      </c>
      <c r="O15" s="273">
        <f>+'Jafet Gomez'!C138+'Jafet Gomez'!D40+'Jafet Gomez'!D41+'Jafet Gomez'!D42+'Jafet Gomez'!D43-'Jafet Gomez'!D44-'Jafet Gomez'!D43</f>
        <v>544852616</v>
      </c>
      <c r="P15" s="273"/>
      <c r="Q15" s="273">
        <f>+'Jafet Gomez'!D43</f>
        <v>70095842.057282597</v>
      </c>
      <c r="R15" s="273">
        <f t="shared" si="3"/>
        <v>614948458.05728257</v>
      </c>
      <c r="S15" s="274">
        <v>44531</v>
      </c>
      <c r="T15" s="321"/>
      <c r="U15" s="275">
        <v>2019</v>
      </c>
      <c r="V15" s="275"/>
      <c r="W15" s="1700" t="s">
        <v>2027</v>
      </c>
    </row>
    <row r="16" spans="1:28" s="60" customFormat="1" ht="84" hidden="1" customHeight="1">
      <c r="A16" s="268">
        <f t="shared" si="0"/>
        <v>14</v>
      </c>
      <c r="B16" s="290" t="s">
        <v>2028</v>
      </c>
      <c r="C16" s="290" t="s">
        <v>2029</v>
      </c>
      <c r="D16" s="290" t="s">
        <v>1129</v>
      </c>
      <c r="E16" s="269" t="s">
        <v>1955</v>
      </c>
      <c r="F16" s="269" t="s">
        <v>851</v>
      </c>
      <c r="G16" s="290" t="s">
        <v>2030</v>
      </c>
      <c r="H16" s="290" t="s">
        <v>2031</v>
      </c>
      <c r="I16" s="290" t="s">
        <v>2032</v>
      </c>
      <c r="J16" s="293">
        <v>41424</v>
      </c>
      <c r="K16" s="293">
        <v>42979</v>
      </c>
      <c r="L16" s="293">
        <v>43525</v>
      </c>
      <c r="M16" s="293">
        <v>43159</v>
      </c>
      <c r="N16" s="458">
        <f t="shared" ca="1" si="1"/>
        <v>2092</v>
      </c>
      <c r="O16" s="273">
        <f>+'Luis Carlos Julio '!C88</f>
        <v>39319447.688387245</v>
      </c>
      <c r="P16" s="273">
        <v>0</v>
      </c>
      <c r="Q16" s="273">
        <f>+'Luis Carlos Julio '!H145</f>
        <v>28757823.795212403</v>
      </c>
      <c r="R16" s="273">
        <f t="shared" si="3"/>
        <v>68077271.483599648</v>
      </c>
      <c r="S16" s="274">
        <v>44531</v>
      </c>
      <c r="T16" s="277" t="s">
        <v>2033</v>
      </c>
      <c r="U16" s="289">
        <v>2019</v>
      </c>
      <c r="V16" s="289"/>
      <c r="W16" s="1760" t="s">
        <v>2034</v>
      </c>
    </row>
    <row r="17" spans="1:28" ht="49.5" hidden="1" customHeight="1">
      <c r="A17" s="268">
        <f t="shared" si="0"/>
        <v>15</v>
      </c>
      <c r="B17" s="290" t="s">
        <v>2035</v>
      </c>
      <c r="C17" s="290">
        <v>73108912</v>
      </c>
      <c r="D17" s="290" t="s">
        <v>1129</v>
      </c>
      <c r="E17" s="269" t="s">
        <v>1955</v>
      </c>
      <c r="F17" s="269" t="s">
        <v>851</v>
      </c>
      <c r="G17" s="291" t="s">
        <v>2036</v>
      </c>
      <c r="H17" s="291" t="s">
        <v>2037</v>
      </c>
      <c r="I17" s="290" t="s">
        <v>2038</v>
      </c>
      <c r="J17" s="293" t="s">
        <v>2039</v>
      </c>
      <c r="K17" s="310">
        <v>42989</v>
      </c>
      <c r="L17" s="293" t="s">
        <v>2040</v>
      </c>
      <c r="M17" s="310">
        <v>43214</v>
      </c>
      <c r="N17" s="458">
        <f t="shared" ca="1" si="1"/>
        <v>2082</v>
      </c>
      <c r="O17" s="273">
        <f>+'Klaus Naeder'!E141</f>
        <v>55124857.946683422</v>
      </c>
      <c r="P17" s="273">
        <v>0</v>
      </c>
      <c r="Q17" s="273">
        <f>+'Klaus Naeder'!E142</f>
        <v>7523154.3638922628</v>
      </c>
      <c r="R17" s="273">
        <f t="shared" si="3"/>
        <v>62648012.310575686</v>
      </c>
      <c r="S17" s="274">
        <v>44531</v>
      </c>
      <c r="T17" s="277" t="s">
        <v>2041</v>
      </c>
      <c r="U17" s="275">
        <v>2019</v>
      </c>
      <c r="V17" s="275"/>
      <c r="W17" s="1700" t="s">
        <v>2042</v>
      </c>
    </row>
    <row r="18" spans="1:28" ht="51" hidden="1" customHeight="1">
      <c r="A18" s="268">
        <f t="shared" si="0"/>
        <v>16</v>
      </c>
      <c r="B18" s="290" t="s">
        <v>539</v>
      </c>
      <c r="C18" s="290">
        <v>45694413</v>
      </c>
      <c r="D18" s="290" t="s">
        <v>1129</v>
      </c>
      <c r="E18" s="269" t="s">
        <v>1955</v>
      </c>
      <c r="F18" s="269" t="s">
        <v>851</v>
      </c>
      <c r="G18" s="290" t="s">
        <v>543</v>
      </c>
      <c r="H18" s="290" t="s">
        <v>2031</v>
      </c>
      <c r="I18" s="290" t="s">
        <v>2043</v>
      </c>
      <c r="J18" s="293">
        <v>43035</v>
      </c>
      <c r="K18" s="293">
        <v>43070</v>
      </c>
      <c r="L18" s="293">
        <v>43345</v>
      </c>
      <c r="M18" s="293">
        <v>43236</v>
      </c>
      <c r="N18" s="458">
        <f t="shared" ca="1" si="1"/>
        <v>2001</v>
      </c>
      <c r="O18" s="273">
        <f>+'Ibeth Jimenez Correccion (Angie'!D146</f>
        <v>46512809.938691542</v>
      </c>
      <c r="P18" s="273">
        <f>+'Ibeth Jimenez Correccion (Angie'!D148+'Ibeth Jimenez Correccion (Angie'!D149+'Ibeth Jimenez Correccion (Angie'!D150</f>
        <v>286589</v>
      </c>
      <c r="Q18" s="273">
        <f>+'Ibeth Jimenez Correccion (Angie'!D147</f>
        <v>37657401.419780523</v>
      </c>
      <c r="R18" s="273">
        <f t="shared" si="3"/>
        <v>84456800.358472064</v>
      </c>
      <c r="S18" s="274">
        <v>44531</v>
      </c>
      <c r="T18" s="277" t="s">
        <v>2044</v>
      </c>
      <c r="U18" s="275">
        <v>2018</v>
      </c>
      <c r="V18" s="275"/>
      <c r="W18" s="1700" t="s">
        <v>2042</v>
      </c>
    </row>
    <row r="19" spans="1:28" ht="56.25" hidden="1" customHeight="1">
      <c r="A19" s="268">
        <f t="shared" si="0"/>
        <v>17</v>
      </c>
      <c r="B19" s="290" t="s">
        <v>2045</v>
      </c>
      <c r="C19" s="290"/>
      <c r="D19" s="290" t="s">
        <v>1129</v>
      </c>
      <c r="E19" s="269" t="s">
        <v>1955</v>
      </c>
      <c r="F19" s="298" t="s">
        <v>1057</v>
      </c>
      <c r="G19" s="290" t="s">
        <v>2046</v>
      </c>
      <c r="H19" s="290" t="s">
        <v>2047</v>
      </c>
      <c r="I19" s="290" t="s">
        <v>2048</v>
      </c>
      <c r="J19" s="310">
        <v>43020</v>
      </c>
      <c r="K19" s="310">
        <v>43084</v>
      </c>
      <c r="L19" s="293">
        <v>43631</v>
      </c>
      <c r="M19" s="310">
        <v>43277</v>
      </c>
      <c r="N19" s="458">
        <f t="shared" ca="1" si="1"/>
        <v>1987</v>
      </c>
      <c r="O19" s="273">
        <f>+'Francia Evan'!E313</f>
        <v>420415919</v>
      </c>
      <c r="P19" s="273">
        <f>+'Francia Evan'!M79</f>
        <v>12612477.57</v>
      </c>
      <c r="Q19" s="273">
        <f>+'Francia Evan'!P73</f>
        <v>407061603.85489714</v>
      </c>
      <c r="R19" s="273">
        <f t="shared" si="3"/>
        <v>840090000.42489719</v>
      </c>
      <c r="S19" s="274">
        <v>44531</v>
      </c>
      <c r="T19" s="291" t="s">
        <v>2049</v>
      </c>
      <c r="U19" s="275">
        <v>2019</v>
      </c>
      <c r="V19" s="275"/>
      <c r="W19" s="1700" t="s">
        <v>2050</v>
      </c>
    </row>
    <row r="20" spans="1:28" ht="78.75" hidden="1" customHeight="1">
      <c r="A20" s="268">
        <f t="shared" si="0"/>
        <v>18</v>
      </c>
      <c r="B20" s="317" t="s">
        <v>2051</v>
      </c>
      <c r="C20" s="317">
        <v>52335069</v>
      </c>
      <c r="D20" s="290" t="s">
        <v>1129</v>
      </c>
      <c r="E20" s="269" t="s">
        <v>1955</v>
      </c>
      <c r="F20" s="269" t="s">
        <v>1924</v>
      </c>
      <c r="G20" s="324" t="s">
        <v>632</v>
      </c>
      <c r="H20" s="324" t="s">
        <v>2052</v>
      </c>
      <c r="I20" s="317" t="s">
        <v>2053</v>
      </c>
      <c r="J20" s="318">
        <v>43180</v>
      </c>
      <c r="K20" s="325">
        <v>43195</v>
      </c>
      <c r="L20" s="319">
        <v>43486</v>
      </c>
      <c r="M20" s="318">
        <v>43210</v>
      </c>
      <c r="N20" s="458">
        <f t="shared" ca="1" si="1"/>
        <v>1876</v>
      </c>
      <c r="O20" s="273">
        <f>+'Monica Merchan'!E277</f>
        <v>168086459.80788821</v>
      </c>
      <c r="P20" s="273">
        <v>0</v>
      </c>
      <c r="Q20" s="273">
        <f>+'Monica Merchan'!E278</f>
        <v>49855047.204811946</v>
      </c>
      <c r="R20" s="273">
        <f t="shared" si="3"/>
        <v>217941507.01270014</v>
      </c>
      <c r="S20" s="274">
        <v>44531</v>
      </c>
      <c r="T20" s="322" t="s">
        <v>2054</v>
      </c>
      <c r="U20" s="275">
        <v>2019</v>
      </c>
      <c r="V20" s="275"/>
      <c r="W20" s="1700" t="s">
        <v>2055</v>
      </c>
    </row>
    <row r="21" spans="1:28" s="60" customFormat="1" ht="90" hidden="1" customHeight="1">
      <c r="A21" s="268">
        <f t="shared" si="0"/>
        <v>19</v>
      </c>
      <c r="B21" s="290" t="s">
        <v>2056</v>
      </c>
      <c r="C21" s="290" t="s">
        <v>2057</v>
      </c>
      <c r="D21" s="290" t="s">
        <v>1129</v>
      </c>
      <c r="E21" s="269" t="s">
        <v>1955</v>
      </c>
      <c r="F21" s="290" t="s">
        <v>1924</v>
      </c>
      <c r="G21" s="290" t="s">
        <v>2058</v>
      </c>
      <c r="H21" s="290" t="s">
        <v>2059</v>
      </c>
      <c r="I21" s="290" t="s">
        <v>2060</v>
      </c>
      <c r="J21" s="310">
        <v>43068</v>
      </c>
      <c r="K21" s="310">
        <v>42877</v>
      </c>
      <c r="L21" s="293"/>
      <c r="M21" s="310" t="s">
        <v>254</v>
      </c>
      <c r="N21" s="458">
        <f t="shared" ca="1" si="1"/>
        <v>2194</v>
      </c>
      <c r="O21" s="273">
        <f>+Vise!B49</f>
        <v>842486064.20111811</v>
      </c>
      <c r="P21" s="273">
        <f>+Vise!B51</f>
        <v>25274581.926033542</v>
      </c>
      <c r="Q21" s="273">
        <f>+Vise!J46</f>
        <v>320068091.20868218</v>
      </c>
      <c r="R21" s="273">
        <f t="shared" si="3"/>
        <v>1187828737.3358338</v>
      </c>
      <c r="S21" s="274">
        <v>44531</v>
      </c>
      <c r="T21" s="326"/>
      <c r="U21" s="289">
        <v>2019</v>
      </c>
      <c r="V21" s="289"/>
      <c r="W21" s="1760" t="s">
        <v>2061</v>
      </c>
    </row>
    <row r="22" spans="1:28" ht="105" hidden="1" customHeight="1">
      <c r="A22" s="268">
        <f t="shared" si="0"/>
        <v>20</v>
      </c>
      <c r="B22" s="290" t="s">
        <v>2062</v>
      </c>
      <c r="C22" s="290" t="s">
        <v>2063</v>
      </c>
      <c r="D22" s="290" t="s">
        <v>1794</v>
      </c>
      <c r="E22" s="269" t="s">
        <v>1955</v>
      </c>
      <c r="F22" s="298" t="s">
        <v>1057</v>
      </c>
      <c r="G22" s="290" t="s">
        <v>680</v>
      </c>
      <c r="H22" s="290" t="s">
        <v>1110</v>
      </c>
      <c r="I22" s="290" t="s">
        <v>678</v>
      </c>
      <c r="J22" s="310">
        <v>43374</v>
      </c>
      <c r="K22" s="310">
        <v>43420</v>
      </c>
      <c r="L22" s="293" t="s">
        <v>2064</v>
      </c>
      <c r="M22" s="310"/>
      <c r="N22" s="458">
        <f t="shared" ca="1" si="1"/>
        <v>1651</v>
      </c>
      <c r="O22" s="273">
        <f>+'Roger Martinez y Otros'!C269</f>
        <v>210935340</v>
      </c>
      <c r="P22" s="273">
        <v>0</v>
      </c>
      <c r="Q22" s="273">
        <f>+'Roger Martinez y Otros'!C270</f>
        <v>130618864.82574897</v>
      </c>
      <c r="R22" s="273">
        <f t="shared" si="3"/>
        <v>341554204.82574898</v>
      </c>
      <c r="S22" s="274">
        <v>44531</v>
      </c>
      <c r="T22" s="321"/>
      <c r="U22" s="275">
        <v>2020</v>
      </c>
      <c r="V22" s="275"/>
      <c r="W22" s="1700" t="s">
        <v>2065</v>
      </c>
    </row>
    <row r="23" spans="1:28" s="61" customFormat="1" ht="49.5" hidden="1" customHeight="1">
      <c r="A23" s="268">
        <f t="shared" si="0"/>
        <v>21</v>
      </c>
      <c r="B23" s="290" t="s">
        <v>2066</v>
      </c>
      <c r="C23" s="290">
        <v>73573082</v>
      </c>
      <c r="D23" s="290" t="s">
        <v>1129</v>
      </c>
      <c r="E23" s="269" t="s">
        <v>1955</v>
      </c>
      <c r="F23" s="269" t="s">
        <v>851</v>
      </c>
      <c r="G23" s="291" t="s">
        <v>2067</v>
      </c>
      <c r="H23" s="291" t="s">
        <v>2068</v>
      </c>
      <c r="I23" s="290" t="s">
        <v>2069</v>
      </c>
      <c r="J23" s="293">
        <v>43235</v>
      </c>
      <c r="K23" s="293">
        <v>43430</v>
      </c>
      <c r="L23" s="293">
        <v>43734</v>
      </c>
      <c r="M23" s="293">
        <v>43538</v>
      </c>
      <c r="N23" s="458">
        <f t="shared" ca="1" si="1"/>
        <v>1641</v>
      </c>
      <c r="O23" s="273">
        <f>+'Neil Carrasquilla '!F297+'Neil Carrasquilla '!C352</f>
        <v>207973746.42427427</v>
      </c>
      <c r="P23" s="273">
        <f>+'Neil Carrasquilla '!C349</f>
        <v>14770825.962472904</v>
      </c>
      <c r="Q23" s="273">
        <f>+'Neil Carrasquilla '!H342</f>
        <v>27204783.388090272</v>
      </c>
      <c r="R23" s="273">
        <f t="shared" si="3"/>
        <v>249949355.77483746</v>
      </c>
      <c r="S23" s="274">
        <v>44531</v>
      </c>
      <c r="T23" s="330" t="s">
        <v>2070</v>
      </c>
      <c r="U23" s="289">
        <v>2019</v>
      </c>
      <c r="V23" s="289"/>
      <c r="W23" s="1760" t="s">
        <v>2071</v>
      </c>
      <c r="X23" s="262"/>
      <c r="Y23" s="262"/>
      <c r="Z23" s="262"/>
      <c r="AA23" s="262"/>
      <c r="AB23" s="262"/>
    </row>
    <row r="24" spans="1:28" ht="42.75" hidden="1" customHeight="1">
      <c r="A24" s="268">
        <f t="shared" si="0"/>
        <v>22</v>
      </c>
      <c r="B24" s="290" t="s">
        <v>2072</v>
      </c>
      <c r="C24" s="290">
        <v>9068848</v>
      </c>
      <c r="D24" s="290" t="s">
        <v>1129</v>
      </c>
      <c r="E24" s="269" t="s">
        <v>1955</v>
      </c>
      <c r="F24" s="269" t="s">
        <v>851</v>
      </c>
      <c r="G24" s="291" t="s">
        <v>771</v>
      </c>
      <c r="H24" s="291" t="s">
        <v>2073</v>
      </c>
      <c r="I24" s="290" t="s">
        <v>2074</v>
      </c>
      <c r="J24" s="310">
        <v>43404</v>
      </c>
      <c r="K24" s="310">
        <v>43517</v>
      </c>
      <c r="L24" s="293">
        <v>43779</v>
      </c>
      <c r="M24" s="310">
        <v>43529</v>
      </c>
      <c r="N24" s="458">
        <f t="shared" ca="1" si="1"/>
        <v>1554</v>
      </c>
      <c r="O24" s="273">
        <f>+'Damaso Bellido'!E10</f>
        <v>17533257.700000003</v>
      </c>
      <c r="P24" s="273">
        <v>0</v>
      </c>
      <c r="Q24" s="273">
        <f>+'Damaso Bellido'!H49</f>
        <v>8705016.2262141015</v>
      </c>
      <c r="R24" s="273">
        <f t="shared" si="3"/>
        <v>26238273.926214106</v>
      </c>
      <c r="S24" s="274">
        <v>44531</v>
      </c>
      <c r="T24" s="328" t="s">
        <v>2075</v>
      </c>
      <c r="U24" s="275">
        <v>2019</v>
      </c>
      <c r="V24" s="275"/>
      <c r="W24" s="1700" t="s">
        <v>2076</v>
      </c>
    </row>
    <row r="25" spans="1:28" ht="45" hidden="1" customHeight="1">
      <c r="A25" s="268">
        <f t="shared" si="0"/>
        <v>23</v>
      </c>
      <c r="B25" s="317" t="s">
        <v>2077</v>
      </c>
      <c r="C25" s="317" t="s">
        <v>2078</v>
      </c>
      <c r="D25" s="290" t="s">
        <v>1129</v>
      </c>
      <c r="E25" s="269" t="s">
        <v>1955</v>
      </c>
      <c r="F25" s="290" t="s">
        <v>1926</v>
      </c>
      <c r="G25" s="324" t="s">
        <v>2079</v>
      </c>
      <c r="H25" s="324" t="s">
        <v>2080</v>
      </c>
      <c r="I25" s="317" t="s">
        <v>2081</v>
      </c>
      <c r="J25" s="318">
        <v>42633</v>
      </c>
      <c r="K25" s="293">
        <v>43525</v>
      </c>
      <c r="L25" s="319"/>
      <c r="M25" s="318">
        <v>43705</v>
      </c>
      <c r="N25" s="458">
        <f t="shared" ca="1" si="1"/>
        <v>1546</v>
      </c>
      <c r="O25" s="273">
        <v>6687500</v>
      </c>
      <c r="P25" s="273">
        <f>+'Antonio Sotelo'!D87</f>
        <v>554821.75</v>
      </c>
      <c r="Q25" s="273">
        <f>+'Antonio Sotelo'!D85+'Antonio Sotelo'!D86</f>
        <v>8961123.6500000022</v>
      </c>
      <c r="R25" s="273">
        <f t="shared" si="3"/>
        <v>16203445.400000002</v>
      </c>
      <c r="S25" s="274">
        <v>44531</v>
      </c>
      <c r="T25" s="291" t="s">
        <v>2082</v>
      </c>
      <c r="U25" s="275">
        <v>2020</v>
      </c>
      <c r="V25" s="275"/>
      <c r="W25" s="1700" t="s">
        <v>2083</v>
      </c>
      <c r="AB25">
        <v>1680</v>
      </c>
    </row>
    <row r="26" spans="1:28" ht="40.5" hidden="1" customHeight="1">
      <c r="A26" s="268">
        <f t="shared" si="0"/>
        <v>24</v>
      </c>
      <c r="B26" s="332" t="s">
        <v>783</v>
      </c>
      <c r="C26" s="332"/>
      <c r="D26" s="290" t="s">
        <v>1129</v>
      </c>
      <c r="E26" s="269" t="s">
        <v>1955</v>
      </c>
      <c r="F26" s="290" t="s">
        <v>1924</v>
      </c>
      <c r="G26" s="333" t="s">
        <v>785</v>
      </c>
      <c r="H26" s="333" t="s">
        <v>2084</v>
      </c>
      <c r="I26" s="332" t="s">
        <v>2085</v>
      </c>
      <c r="J26" s="334">
        <v>43529</v>
      </c>
      <c r="K26" s="334">
        <v>43536</v>
      </c>
      <c r="L26" s="503">
        <v>43843</v>
      </c>
      <c r="M26" s="334">
        <v>43539</v>
      </c>
      <c r="N26" s="458">
        <f t="shared" ca="1" si="1"/>
        <v>1535</v>
      </c>
      <c r="O26" s="273">
        <v>216778388.41</v>
      </c>
      <c r="P26" s="273">
        <v>0</v>
      </c>
      <c r="Q26" s="273">
        <f>+'Araujo y Segovia '!I47</f>
        <v>84466782.227062494</v>
      </c>
      <c r="R26" s="273">
        <f t="shared" si="3"/>
        <v>301245170.63706249</v>
      </c>
      <c r="S26" s="274">
        <v>44531</v>
      </c>
      <c r="T26" s="335"/>
      <c r="U26" s="275">
        <v>2019</v>
      </c>
      <c r="V26" s="275"/>
      <c r="W26" s="1700" t="s">
        <v>2086</v>
      </c>
      <c r="AB26">
        <v>36308</v>
      </c>
    </row>
    <row r="27" spans="1:28" ht="79.5" hidden="1" customHeight="1">
      <c r="A27" s="268">
        <f t="shared" si="0"/>
        <v>25</v>
      </c>
      <c r="B27" s="290" t="s">
        <v>2087</v>
      </c>
      <c r="C27" s="290">
        <v>3129359</v>
      </c>
      <c r="D27" s="290" t="s">
        <v>1129</v>
      </c>
      <c r="E27" s="269" t="s">
        <v>1955</v>
      </c>
      <c r="F27" s="290" t="s">
        <v>1924</v>
      </c>
      <c r="G27" s="290" t="s">
        <v>794</v>
      </c>
      <c r="H27" s="332" t="s">
        <v>2088</v>
      </c>
      <c r="I27" s="290" t="s">
        <v>2089</v>
      </c>
      <c r="J27" s="310">
        <v>41876</v>
      </c>
      <c r="K27" s="310">
        <v>43537</v>
      </c>
      <c r="L27" s="293">
        <v>43843</v>
      </c>
      <c r="M27" s="310">
        <v>43538</v>
      </c>
      <c r="N27" s="458">
        <f t="shared" ca="1" si="1"/>
        <v>1534</v>
      </c>
      <c r="O27" s="273">
        <f>+'Francisco Barrios,Araujo'!C49</f>
        <v>68796979</v>
      </c>
      <c r="P27" s="273">
        <f>+'Francisco Barrios,Araujo'!C51</f>
        <v>2006000</v>
      </c>
      <c r="Q27" s="273">
        <f>+'Francisco Barrios,Araujo'!C50</f>
        <v>45872422.577787578</v>
      </c>
      <c r="R27" s="273">
        <f t="shared" si="3"/>
        <v>116675401.57778758</v>
      </c>
      <c r="S27" s="274">
        <v>44531</v>
      </c>
      <c r="T27" s="336"/>
      <c r="U27" s="275">
        <v>2020</v>
      </c>
      <c r="V27" s="275"/>
      <c r="W27" s="1700" t="s">
        <v>2090</v>
      </c>
      <c r="AB27" s="8">
        <f>+AB26*AB25</f>
        <v>60997440</v>
      </c>
    </row>
    <row r="28" spans="1:28" ht="89.25" hidden="1">
      <c r="A28" s="268">
        <f t="shared" si="0"/>
        <v>26</v>
      </c>
      <c r="B28" s="332" t="s">
        <v>2091</v>
      </c>
      <c r="C28" s="332">
        <v>24432479</v>
      </c>
      <c r="D28" s="290" t="s">
        <v>1129</v>
      </c>
      <c r="E28" s="269" t="s">
        <v>1955</v>
      </c>
      <c r="F28" s="290" t="s">
        <v>1924</v>
      </c>
      <c r="G28" s="332" t="s">
        <v>2092</v>
      </c>
      <c r="H28" s="332" t="s">
        <v>2093</v>
      </c>
      <c r="I28" s="332" t="s">
        <v>2094</v>
      </c>
      <c r="J28" s="334">
        <v>43594</v>
      </c>
      <c r="K28" s="334">
        <v>43601</v>
      </c>
      <c r="L28" s="503">
        <v>43906</v>
      </c>
      <c r="M28" s="334">
        <v>43629</v>
      </c>
      <c r="N28" s="458">
        <f t="shared" ca="1" si="1"/>
        <v>1470</v>
      </c>
      <c r="O28" s="273">
        <v>183655609.5</v>
      </c>
      <c r="P28" s="273">
        <v>0</v>
      </c>
      <c r="Q28" s="273">
        <f>+'Maria E Zuluaga'!I44</f>
        <v>59217979.195283949</v>
      </c>
      <c r="R28" s="273">
        <f t="shared" si="3"/>
        <v>242873588.69528395</v>
      </c>
      <c r="S28" s="274">
        <v>44531</v>
      </c>
      <c r="T28" s="335"/>
      <c r="U28" s="275">
        <v>2019</v>
      </c>
      <c r="V28" s="275"/>
      <c r="W28" s="1700" t="s">
        <v>2095</v>
      </c>
    </row>
    <row r="29" spans="1:28" ht="89.25" hidden="1">
      <c r="A29" s="268">
        <f t="shared" si="0"/>
        <v>27</v>
      </c>
      <c r="B29" s="290" t="s">
        <v>2096</v>
      </c>
      <c r="C29" s="290"/>
      <c r="D29" s="290" t="s">
        <v>1129</v>
      </c>
      <c r="E29" s="269" t="s">
        <v>1955</v>
      </c>
      <c r="F29" s="290" t="s">
        <v>1926</v>
      </c>
      <c r="G29" s="290" t="s">
        <v>810</v>
      </c>
      <c r="H29" s="332" t="s">
        <v>2097</v>
      </c>
      <c r="I29" s="290" t="s">
        <v>2098</v>
      </c>
      <c r="J29" s="310">
        <v>43545</v>
      </c>
      <c r="K29" s="310">
        <v>43623</v>
      </c>
      <c r="L29" s="293">
        <v>43928</v>
      </c>
      <c r="M29" s="310"/>
      <c r="N29" s="458">
        <f t="shared" ca="1" si="1"/>
        <v>1448</v>
      </c>
      <c r="O29" s="273">
        <f>+Pastoral!C7</f>
        <v>24250050</v>
      </c>
      <c r="P29" s="273">
        <f>+Pastoral!C24</f>
        <v>2425005</v>
      </c>
      <c r="Q29" s="273">
        <f>+Pastoral!J19</f>
        <v>21261434.984493144</v>
      </c>
      <c r="R29" s="273">
        <f t="shared" si="3"/>
        <v>47936489.984493144</v>
      </c>
      <c r="S29" s="274">
        <v>44531</v>
      </c>
      <c r="T29" s="336"/>
      <c r="U29" s="275">
        <v>2020</v>
      </c>
      <c r="V29" s="275"/>
      <c r="W29" s="1700" t="s">
        <v>2099</v>
      </c>
    </row>
    <row r="30" spans="1:28" ht="102" hidden="1">
      <c r="A30" s="268">
        <f t="shared" si="0"/>
        <v>28</v>
      </c>
      <c r="B30" s="317" t="s">
        <v>2100</v>
      </c>
      <c r="C30" s="317" t="s">
        <v>2101</v>
      </c>
      <c r="D30" s="290" t="s">
        <v>1129</v>
      </c>
      <c r="E30" s="269" t="s">
        <v>1955</v>
      </c>
      <c r="F30" s="298" t="s">
        <v>815</v>
      </c>
      <c r="G30" s="317" t="s">
        <v>816</v>
      </c>
      <c r="H30" s="324" t="s">
        <v>2102</v>
      </c>
      <c r="I30" s="317" t="s">
        <v>2103</v>
      </c>
      <c r="J30" s="318">
        <v>43507</v>
      </c>
      <c r="K30" s="318">
        <v>43628</v>
      </c>
      <c r="L30" s="319">
        <v>43933</v>
      </c>
      <c r="M30" s="318">
        <v>43658</v>
      </c>
      <c r="N30" s="458">
        <f t="shared" ca="1" si="1"/>
        <v>1443</v>
      </c>
      <c r="O30" s="273">
        <f>+'Ricardo Leon Gomez'!C10</f>
        <v>34393673</v>
      </c>
      <c r="P30" s="273">
        <v>0</v>
      </c>
      <c r="Q30" s="273">
        <f>+'Ricardo Leon Gomez'!I43</f>
        <v>14429104.993535837</v>
      </c>
      <c r="R30" s="273">
        <f t="shared" si="3"/>
        <v>48822777.993535839</v>
      </c>
      <c r="S30" s="274">
        <v>44531</v>
      </c>
      <c r="T30" s="324"/>
      <c r="U30" s="275">
        <v>2020</v>
      </c>
      <c r="V30" s="275"/>
      <c r="W30" s="1700" t="s">
        <v>2104</v>
      </c>
    </row>
    <row r="31" spans="1:28" ht="89.25" hidden="1">
      <c r="A31" s="268">
        <f t="shared" si="0"/>
        <v>29</v>
      </c>
      <c r="B31" s="323" t="s">
        <v>2105</v>
      </c>
      <c r="C31" s="323">
        <v>45468060</v>
      </c>
      <c r="D31" s="269" t="s">
        <v>1129</v>
      </c>
      <c r="E31" s="269" t="s">
        <v>1955</v>
      </c>
      <c r="F31" s="290" t="s">
        <v>1924</v>
      </c>
      <c r="G31" s="269" t="s">
        <v>828</v>
      </c>
      <c r="H31" s="269" t="s">
        <v>2106</v>
      </c>
      <c r="I31" s="317" t="s">
        <v>2107</v>
      </c>
      <c r="J31" s="293">
        <v>43635</v>
      </c>
      <c r="K31" s="293">
        <v>43642</v>
      </c>
      <c r="L31" s="329"/>
      <c r="M31" s="296"/>
      <c r="N31" s="458">
        <f t="shared" ca="1" si="1"/>
        <v>1429</v>
      </c>
      <c r="O31" s="273">
        <v>8700000</v>
      </c>
      <c r="P31" s="273">
        <v>0</v>
      </c>
      <c r="Q31" s="273">
        <f>+'Liscenia Torres'!I46</f>
        <v>211891.49319861628</v>
      </c>
      <c r="R31" s="273">
        <f t="shared" si="3"/>
        <v>8911891.4931986164</v>
      </c>
      <c r="S31" s="274">
        <v>44531</v>
      </c>
      <c r="T31" s="269"/>
      <c r="U31" s="275">
        <v>2020</v>
      </c>
      <c r="V31" s="275"/>
      <c r="W31" s="1700" t="s">
        <v>2108</v>
      </c>
    </row>
    <row r="32" spans="1:28" s="60" customFormat="1" ht="72.75" hidden="1" customHeight="1">
      <c r="A32" s="268">
        <f t="shared" si="0"/>
        <v>30</v>
      </c>
      <c r="B32" s="290" t="s">
        <v>833</v>
      </c>
      <c r="C32" s="290" t="s">
        <v>2109</v>
      </c>
      <c r="D32" s="290" t="s">
        <v>1129</v>
      </c>
      <c r="E32" s="269" t="s">
        <v>1955</v>
      </c>
      <c r="F32" s="269" t="s">
        <v>851</v>
      </c>
      <c r="G32" s="290" t="s">
        <v>837</v>
      </c>
      <c r="H32" s="290" t="s">
        <v>2110</v>
      </c>
      <c r="I32" s="411" t="s">
        <v>2111</v>
      </c>
      <c r="J32" s="310">
        <v>43650</v>
      </c>
      <c r="K32" s="310">
        <v>43672</v>
      </c>
      <c r="L32" s="290" t="s">
        <v>2112</v>
      </c>
      <c r="M32" s="310">
        <v>43714</v>
      </c>
      <c r="N32" s="458">
        <f t="shared" ca="1" si="1"/>
        <v>1399</v>
      </c>
      <c r="O32" s="273">
        <f>+'Natalia Batista'!C60</f>
        <v>28475876.30273056</v>
      </c>
      <c r="P32" s="273">
        <v>0</v>
      </c>
      <c r="Q32" s="273">
        <f>+'Natalia Batista'!H93</f>
        <v>16401788</v>
      </c>
      <c r="R32" s="273">
        <f t="shared" si="3"/>
        <v>44877664.30273056</v>
      </c>
      <c r="S32" s="274">
        <v>44531</v>
      </c>
      <c r="T32" s="337" t="s">
        <v>2113</v>
      </c>
      <c r="U32" s="289">
        <v>2021</v>
      </c>
      <c r="V32" s="289"/>
      <c r="W32" s="1760" t="s">
        <v>2114</v>
      </c>
    </row>
    <row r="33" spans="1:24" s="263" customFormat="1" ht="39.75" hidden="1" customHeight="1">
      <c r="A33" s="268">
        <f t="shared" si="0"/>
        <v>31</v>
      </c>
      <c r="B33" s="290" t="s">
        <v>2115</v>
      </c>
      <c r="C33" s="290">
        <v>73141999</v>
      </c>
      <c r="D33" s="290" t="s">
        <v>1129</v>
      </c>
      <c r="E33" s="269" t="s">
        <v>1955</v>
      </c>
      <c r="F33" s="269" t="s">
        <v>851</v>
      </c>
      <c r="G33" s="290" t="s">
        <v>845</v>
      </c>
      <c r="H33" s="290" t="s">
        <v>2116</v>
      </c>
      <c r="I33" s="290" t="s">
        <v>2117</v>
      </c>
      <c r="J33" s="310">
        <v>43664</v>
      </c>
      <c r="K33" s="310">
        <v>43720</v>
      </c>
      <c r="L33" s="290" t="s">
        <v>2118</v>
      </c>
      <c r="M33" s="310"/>
      <c r="N33" s="458">
        <f t="shared" ca="1" si="1"/>
        <v>1351</v>
      </c>
      <c r="O33" s="273">
        <f>+'Yamal Afiuni'!C97</f>
        <v>18128233.774925742</v>
      </c>
      <c r="P33" s="273">
        <v>0</v>
      </c>
      <c r="Q33" s="273">
        <f>+'Yamal Afiuni'!H93</f>
        <v>2310923.9804479722</v>
      </c>
      <c r="R33" s="273">
        <f t="shared" si="3"/>
        <v>20439157.755373716</v>
      </c>
      <c r="S33" s="274">
        <v>44531</v>
      </c>
      <c r="T33" s="338" t="s">
        <v>2119</v>
      </c>
      <c r="U33" s="289">
        <v>2021</v>
      </c>
      <c r="V33" s="289"/>
      <c r="W33" s="1912" t="s">
        <v>2120</v>
      </c>
    </row>
    <row r="34" spans="1:24" s="263" customFormat="1" ht="63.75" hidden="1" customHeight="1">
      <c r="A34" s="268">
        <f t="shared" si="0"/>
        <v>32</v>
      </c>
      <c r="B34" s="269" t="s">
        <v>2121</v>
      </c>
      <c r="C34" s="269"/>
      <c r="D34" s="269" t="s">
        <v>1954</v>
      </c>
      <c r="E34" s="269" t="s">
        <v>1955</v>
      </c>
      <c r="F34" s="269" t="s">
        <v>851</v>
      </c>
      <c r="G34" s="114" t="s">
        <v>852</v>
      </c>
      <c r="H34" s="269" t="s">
        <v>1110</v>
      </c>
      <c r="I34" s="269" t="s">
        <v>2122</v>
      </c>
      <c r="J34" s="271">
        <v>41698</v>
      </c>
      <c r="K34" s="271">
        <v>41873</v>
      </c>
      <c r="L34" s="271" t="s">
        <v>2123</v>
      </c>
      <c r="M34" s="271">
        <v>42443</v>
      </c>
      <c r="N34" s="458">
        <f t="shared" ca="1" si="1"/>
        <v>3198</v>
      </c>
      <c r="O34" s="273">
        <f>+'Vilma Ortiz Leon '!C165</f>
        <v>10562035.614856331</v>
      </c>
      <c r="P34" s="146">
        <v>0</v>
      </c>
      <c r="Q34" s="273">
        <f>+'Vilma Ortiz Leon '!C166</f>
        <v>17091783.058718421</v>
      </c>
      <c r="R34" s="273">
        <f t="shared" si="3"/>
        <v>27653818.673574753</v>
      </c>
      <c r="S34" s="274">
        <v>44531</v>
      </c>
      <c r="T34" s="277" t="s">
        <v>2124</v>
      </c>
      <c r="U34" s="289">
        <v>2017</v>
      </c>
      <c r="V34" s="2492"/>
      <c r="W34" s="1912" t="s">
        <v>2125</v>
      </c>
      <c r="X34" s="2078" t="s">
        <v>2126</v>
      </c>
    </row>
    <row r="35" spans="1:24" ht="42">
      <c r="A35" s="268">
        <f>ROW(A33)</f>
        <v>33</v>
      </c>
      <c r="B35" s="317" t="s">
        <v>2127</v>
      </c>
      <c r="C35" s="1712"/>
      <c r="D35" s="284" t="s">
        <v>2128</v>
      </c>
      <c r="E35" s="284" t="s">
        <v>1918</v>
      </c>
      <c r="F35" s="2393" t="s">
        <v>1926</v>
      </c>
      <c r="G35" s="2393" t="s">
        <v>1884</v>
      </c>
      <c r="H35" s="317" t="s">
        <v>2129</v>
      </c>
      <c r="I35" s="1908"/>
      <c r="J35" s="2395">
        <v>41410</v>
      </c>
      <c r="K35" s="1936">
        <v>41410</v>
      </c>
      <c r="L35" s="319">
        <v>41714</v>
      </c>
      <c r="M35" s="145"/>
      <c r="N35" s="458">
        <f ca="1">+_xlfn.DAYS($Y$2,K35)</f>
        <v>3661</v>
      </c>
      <c r="O35" s="1715">
        <f>+'Amira Diaz'!B38</f>
        <v>38823755</v>
      </c>
      <c r="P35" s="1713"/>
      <c r="Q35" s="1715">
        <f>+'Amira Diaz'!B39+'Amira Diaz'!B40</f>
        <v>42098744.32</v>
      </c>
      <c r="R35" s="2088">
        <f>SUM(O35:Q35)</f>
        <v>80922499.319999993</v>
      </c>
      <c r="S35" s="274">
        <v>45047</v>
      </c>
      <c r="T35" s="2"/>
      <c r="U35" s="2"/>
      <c r="V35" s="2376" t="s">
        <v>2130</v>
      </c>
    </row>
    <row r="36" spans="1:24" s="263" customFormat="1" ht="49.5" customHeight="1">
      <c r="A36" s="268">
        <f t="shared" ref="A36:A38" si="4">ROW(A34)</f>
        <v>34</v>
      </c>
      <c r="B36" s="317" t="s">
        <v>2131</v>
      </c>
      <c r="C36" s="317"/>
      <c r="D36" s="317" t="s">
        <v>1129</v>
      </c>
      <c r="E36" s="269" t="s">
        <v>1918</v>
      </c>
      <c r="F36" s="290" t="s">
        <v>1926</v>
      </c>
      <c r="G36" s="114" t="s">
        <v>1533</v>
      </c>
      <c r="H36" s="317" t="s">
        <v>2132</v>
      </c>
      <c r="I36" s="1898" t="s">
        <v>2133</v>
      </c>
      <c r="J36" s="318">
        <v>41873</v>
      </c>
      <c r="K36" s="309">
        <v>42024</v>
      </c>
      <c r="L36" s="319">
        <v>42428</v>
      </c>
      <c r="M36" s="318">
        <v>42699</v>
      </c>
      <c r="N36" s="458">
        <f ca="1">+_xlfn.DAYS($Y$2,K36)</f>
        <v>3047</v>
      </c>
      <c r="O36" s="2088">
        <f>+'Richard Beltran'!B34</f>
        <v>20836946.483378906</v>
      </c>
      <c r="P36" s="273">
        <v>0</v>
      </c>
      <c r="Q36" s="273">
        <f>+'Richard Beltran'!B35</f>
        <v>48350426.949999996</v>
      </c>
      <c r="R36" s="2088">
        <f t="shared" ref="R36:R38" si="5">SUM(O36:Q36)</f>
        <v>69187373.433378905</v>
      </c>
      <c r="S36" s="274">
        <v>45047</v>
      </c>
      <c r="T36" s="2213" t="s">
        <v>2134</v>
      </c>
      <c r="U36" s="289">
        <v>2017</v>
      </c>
      <c r="V36" s="2376" t="s">
        <v>2135</v>
      </c>
      <c r="W36" s="2537" t="s">
        <v>2136</v>
      </c>
      <c r="X36" s="2164">
        <f>+R36+R77</f>
        <v>273018566.51337886</v>
      </c>
    </row>
    <row r="37" spans="1:24" s="263" customFormat="1" ht="39.75" customHeight="1">
      <c r="A37" s="268">
        <f t="shared" si="4"/>
        <v>35</v>
      </c>
      <c r="B37" s="304" t="s">
        <v>2137</v>
      </c>
      <c r="C37" s="304"/>
      <c r="D37" s="304" t="s">
        <v>1129</v>
      </c>
      <c r="E37" s="269" t="s">
        <v>1918</v>
      </c>
      <c r="F37" s="290" t="s">
        <v>1926</v>
      </c>
      <c r="G37" s="114" t="s">
        <v>2138</v>
      </c>
      <c r="H37" s="304" t="s">
        <v>2139</v>
      </c>
      <c r="I37" s="1899" t="s">
        <v>2140</v>
      </c>
      <c r="J37" s="305">
        <v>42230</v>
      </c>
      <c r="K37" s="305">
        <v>42230</v>
      </c>
      <c r="L37" s="305">
        <v>42780</v>
      </c>
      <c r="M37" s="305">
        <v>42230</v>
      </c>
      <c r="N37" s="458">
        <f t="shared" ref="N37:N52" ca="1" si="6">+_xlfn.DAYS($Y$2,K37)</f>
        <v>2841</v>
      </c>
      <c r="O37" s="2088">
        <v>27099171</v>
      </c>
      <c r="P37" s="273">
        <v>3522892</v>
      </c>
      <c r="Q37" s="273"/>
      <c r="R37" s="2088">
        <f t="shared" si="5"/>
        <v>30622063</v>
      </c>
      <c r="S37" s="274"/>
      <c r="T37" s="2531" t="s">
        <v>2141</v>
      </c>
      <c r="U37" s="289">
        <v>2017</v>
      </c>
      <c r="V37" s="2376" t="s">
        <v>2142</v>
      </c>
      <c r="W37" s="2538" t="s">
        <v>2143</v>
      </c>
    </row>
    <row r="38" spans="1:24" s="263" customFormat="1" ht="39.75" customHeight="1">
      <c r="A38" s="268">
        <f t="shared" si="4"/>
        <v>36</v>
      </c>
      <c r="B38" s="269" t="s">
        <v>2144</v>
      </c>
      <c r="C38" s="269"/>
      <c r="D38" s="269" t="s">
        <v>1129</v>
      </c>
      <c r="E38" s="269" t="s">
        <v>1918</v>
      </c>
      <c r="F38" s="269" t="s">
        <v>851</v>
      </c>
      <c r="G38" s="269" t="s">
        <v>1542</v>
      </c>
      <c r="H38" s="270" t="s">
        <v>2145</v>
      </c>
      <c r="I38" s="1901" t="s">
        <v>2146</v>
      </c>
      <c r="J38" s="271">
        <v>42572</v>
      </c>
      <c r="K38" s="278">
        <v>42587</v>
      </c>
      <c r="L38" s="271">
        <v>42891</v>
      </c>
      <c r="M38" s="271" t="s">
        <v>2147</v>
      </c>
      <c r="N38" s="458">
        <f t="shared" ca="1" si="6"/>
        <v>2484</v>
      </c>
      <c r="O38" s="2365">
        <f>+'Lilia Cueto'!N93+'Lilia Cueto'!O93</f>
        <v>5972500.6164253503</v>
      </c>
      <c r="P38" s="146">
        <v>0</v>
      </c>
      <c r="Q38" s="146">
        <v>0</v>
      </c>
      <c r="R38" s="2088">
        <f t="shared" si="5"/>
        <v>5972500.6164253503</v>
      </c>
      <c r="S38" s="1541"/>
      <c r="T38" s="437" t="s">
        <v>2148</v>
      </c>
      <c r="U38" s="289">
        <v>2017</v>
      </c>
      <c r="V38" s="2376" t="s">
        <v>2135</v>
      </c>
      <c r="W38" s="2537" t="s">
        <v>2149</v>
      </c>
    </row>
    <row r="39" spans="1:24" s="263" customFormat="1" ht="44.25" hidden="1" customHeight="1">
      <c r="A39" s="268">
        <f t="shared" si="0"/>
        <v>37</v>
      </c>
      <c r="B39" s="322" t="s">
        <v>1466</v>
      </c>
      <c r="C39" s="322" t="s">
        <v>2150</v>
      </c>
      <c r="D39" s="322" t="s">
        <v>1129</v>
      </c>
      <c r="E39" s="269" t="s">
        <v>1955</v>
      </c>
      <c r="F39" s="322" t="s">
        <v>1467</v>
      </c>
      <c r="G39" s="417"/>
      <c r="H39" s="418" t="s">
        <v>1159</v>
      </c>
      <c r="I39" s="1900" t="s">
        <v>2151</v>
      </c>
      <c r="J39" s="419">
        <v>42507</v>
      </c>
      <c r="K39" s="419">
        <v>42522</v>
      </c>
      <c r="L39" s="414" t="s">
        <v>2152</v>
      </c>
      <c r="M39" s="305">
        <v>42634</v>
      </c>
      <c r="N39" s="458">
        <f t="shared" ca="1" si="6"/>
        <v>2549</v>
      </c>
      <c r="O39" s="420">
        <f>+'Cons Barú 15 Dic'!C106</f>
        <v>4186949028</v>
      </c>
      <c r="P39" s="146">
        <f>+'Cons Barú 15 Dic'!C108+'Cons Barú 15 Dic'!C109</f>
        <v>350335510.41000003</v>
      </c>
      <c r="Q39" s="420">
        <f>+'Cons Barú 15 Dic'!I104</f>
        <v>6509412409.5699997</v>
      </c>
      <c r="R39" s="273">
        <f t="shared" ref="R39:R41" si="7">SUM(O39:Q39)</f>
        <v>11046696947.98</v>
      </c>
      <c r="S39" s="274">
        <v>44896</v>
      </c>
      <c r="T39" s="341" t="s">
        <v>2153</v>
      </c>
      <c r="U39" s="289">
        <v>2017</v>
      </c>
      <c r="V39" s="188"/>
      <c r="W39" s="1912" t="s">
        <v>2154</v>
      </c>
    </row>
    <row r="40" spans="1:24" s="263" customFormat="1" ht="39.75" customHeight="1">
      <c r="A40" s="268">
        <f t="shared" si="0"/>
        <v>38</v>
      </c>
      <c r="B40" s="269" t="s">
        <v>2155</v>
      </c>
      <c r="C40" s="269"/>
      <c r="D40" s="269" t="s">
        <v>1129</v>
      </c>
      <c r="E40" s="269" t="s">
        <v>1918</v>
      </c>
      <c r="F40" s="269" t="s">
        <v>851</v>
      </c>
      <c r="G40" s="269" t="s">
        <v>2156</v>
      </c>
      <c r="H40" s="269" t="s">
        <v>2047</v>
      </c>
      <c r="I40" s="1901" t="s">
        <v>2157</v>
      </c>
      <c r="J40" s="308">
        <v>42492</v>
      </c>
      <c r="K40" s="309">
        <v>42917</v>
      </c>
      <c r="L40" s="271">
        <v>43071</v>
      </c>
      <c r="M40" s="310"/>
      <c r="N40" s="458">
        <f t="shared" ca="1" si="6"/>
        <v>2154</v>
      </c>
      <c r="O40" s="2088">
        <v>110492098.98999999</v>
      </c>
      <c r="P40" s="273">
        <v>0</v>
      </c>
      <c r="Q40" s="273">
        <v>0</v>
      </c>
      <c r="R40" s="2088">
        <f t="shared" si="7"/>
        <v>110492098.98999999</v>
      </c>
      <c r="S40" s="1541" t="s">
        <v>2158</v>
      </c>
      <c r="T40" s="2496" t="s">
        <v>2159</v>
      </c>
      <c r="U40" s="289">
        <v>2018</v>
      </c>
      <c r="V40" s="2376" t="s">
        <v>2142</v>
      </c>
      <c r="W40" s="2537" t="s">
        <v>2160</v>
      </c>
      <c r="X40" s="2496"/>
    </row>
    <row r="41" spans="1:24" s="263" customFormat="1" ht="39.75" customHeight="1">
      <c r="A41" s="268">
        <f t="shared" si="0"/>
        <v>39</v>
      </c>
      <c r="B41" s="284" t="s">
        <v>1565</v>
      </c>
      <c r="C41" s="2519"/>
      <c r="D41" s="269" t="s">
        <v>2128</v>
      </c>
      <c r="E41" s="269" t="s">
        <v>1918</v>
      </c>
      <c r="F41" s="269" t="s">
        <v>851</v>
      </c>
      <c r="G41" s="412" t="s">
        <v>1566</v>
      </c>
      <c r="H41" s="412" t="s">
        <v>2161</v>
      </c>
      <c r="I41" s="412" t="s">
        <v>2162</v>
      </c>
      <c r="J41" s="342">
        <v>44344</v>
      </c>
      <c r="K41" s="342">
        <v>44435</v>
      </c>
      <c r="L41" s="293">
        <v>44739</v>
      </c>
      <c r="M41" s="423"/>
      <c r="N41" s="458">
        <f t="shared" ca="1" si="6"/>
        <v>636</v>
      </c>
      <c r="O41" s="2088">
        <f>+'Orlando del Rio'!C186</f>
        <v>144211020.33333334</v>
      </c>
      <c r="P41" s="273">
        <v>0</v>
      </c>
      <c r="Q41" s="273">
        <f>+'Orlando del Rio'!H252</f>
        <v>162476023.65000004</v>
      </c>
      <c r="R41" s="2088">
        <f t="shared" si="7"/>
        <v>306687043.98333335</v>
      </c>
      <c r="S41" s="274">
        <v>45047</v>
      </c>
      <c r="T41" s="311" t="s">
        <v>2163</v>
      </c>
      <c r="U41" s="289">
        <v>2020</v>
      </c>
      <c r="V41" s="2376" t="s">
        <v>2142</v>
      </c>
      <c r="W41" s="1714" t="s">
        <v>2164</v>
      </c>
    </row>
    <row r="42" spans="1:24" s="263" customFormat="1" ht="39.75" hidden="1" customHeight="1">
      <c r="A42" s="268">
        <f t="shared" si="0"/>
        <v>40</v>
      </c>
      <c r="B42" s="290" t="s">
        <v>2165</v>
      </c>
      <c r="C42" s="290"/>
      <c r="D42" s="290" t="s">
        <v>1129</v>
      </c>
      <c r="E42" s="269" t="s">
        <v>1955</v>
      </c>
      <c r="F42" s="290" t="s">
        <v>1926</v>
      </c>
      <c r="G42" s="291" t="s">
        <v>942</v>
      </c>
      <c r="H42" s="291" t="s">
        <v>1110</v>
      </c>
      <c r="I42" s="290" t="s">
        <v>2166</v>
      </c>
      <c r="J42" s="293">
        <v>43007</v>
      </c>
      <c r="K42" s="310">
        <v>43025</v>
      </c>
      <c r="L42" s="293">
        <v>43572</v>
      </c>
      <c r="M42" s="293">
        <v>43357</v>
      </c>
      <c r="N42" s="458">
        <f t="shared" ca="1" si="6"/>
        <v>2046</v>
      </c>
      <c r="O42" s="273">
        <v>0</v>
      </c>
      <c r="P42" s="273">
        <f>+'Albertina Guerrero'!C20</f>
        <v>747225</v>
      </c>
      <c r="Q42" s="273">
        <f>+'Albertina Guerrero'!J17</f>
        <v>4810236.6733604912</v>
      </c>
      <c r="R42" s="273">
        <f t="shared" ref="R42:R55" si="8">SUM(O42:Q42)</f>
        <v>5557461.6733604912</v>
      </c>
      <c r="S42" s="274">
        <v>44531</v>
      </c>
      <c r="T42" s="322" t="s">
        <v>2167</v>
      </c>
      <c r="U42" s="289">
        <v>2019</v>
      </c>
      <c r="V42" s="289"/>
      <c r="W42" s="1912" t="s">
        <v>2168</v>
      </c>
    </row>
    <row r="43" spans="1:24" s="263" customFormat="1" ht="39.75" hidden="1" customHeight="1">
      <c r="A43" s="268">
        <f t="shared" si="0"/>
        <v>41</v>
      </c>
      <c r="B43" s="290" t="s">
        <v>2169</v>
      </c>
      <c r="C43" s="290"/>
      <c r="D43" s="269" t="s">
        <v>1129</v>
      </c>
      <c r="E43" s="269" t="s">
        <v>1955</v>
      </c>
      <c r="F43" s="290" t="s">
        <v>1926</v>
      </c>
      <c r="G43" s="291" t="s">
        <v>2170</v>
      </c>
      <c r="H43" s="341" t="s">
        <v>2171</v>
      </c>
      <c r="I43" s="290" t="s">
        <v>2172</v>
      </c>
      <c r="J43" s="310">
        <v>43040</v>
      </c>
      <c r="K43" s="310">
        <v>43040</v>
      </c>
      <c r="L43" s="293">
        <v>43344</v>
      </c>
      <c r="M43" s="310" t="s">
        <v>2173</v>
      </c>
      <c r="N43" s="459">
        <f t="shared" ca="1" si="6"/>
        <v>2031</v>
      </c>
      <c r="O43" s="273">
        <f>+'Eduardo Hernandez'!B20</f>
        <v>322355834.22268075</v>
      </c>
      <c r="P43" s="273">
        <f>+'Eduardo Hernandez'!B23</f>
        <v>2240940</v>
      </c>
      <c r="Q43" s="273">
        <f>+'Eduardo Hernandez'!B21+'Eduardo Hernandez'!B22</f>
        <v>334270534.72731906</v>
      </c>
      <c r="R43" s="273">
        <f t="shared" si="8"/>
        <v>658867308.94999981</v>
      </c>
      <c r="S43" s="274">
        <v>44531</v>
      </c>
      <c r="T43" s="336"/>
      <c r="U43" s="289">
        <v>2020</v>
      </c>
      <c r="V43" s="289"/>
      <c r="W43" s="1760" t="s">
        <v>2174</v>
      </c>
    </row>
    <row r="44" spans="1:24" s="263" customFormat="1" ht="39.75" customHeight="1">
      <c r="A44" s="268">
        <f>ROW(A42)</f>
        <v>42</v>
      </c>
      <c r="B44" s="290" t="s">
        <v>2175</v>
      </c>
      <c r="C44" s="290"/>
      <c r="D44" s="290" t="s">
        <v>1129</v>
      </c>
      <c r="E44" s="269" t="s">
        <v>1918</v>
      </c>
      <c r="F44" s="269" t="s">
        <v>851</v>
      </c>
      <c r="G44" s="290" t="s">
        <v>1591</v>
      </c>
      <c r="H44" s="290" t="s">
        <v>2047</v>
      </c>
      <c r="I44" s="1902" t="s">
        <v>2176</v>
      </c>
      <c r="J44" s="310">
        <v>43223</v>
      </c>
      <c r="K44" s="310">
        <v>43241</v>
      </c>
      <c r="L44" s="293">
        <v>43790</v>
      </c>
      <c r="M44" s="310">
        <v>43425</v>
      </c>
      <c r="N44" s="458">
        <f t="shared" ca="1" si="6"/>
        <v>1830</v>
      </c>
      <c r="O44" s="2088">
        <f>+'Fabiola Botero'!I81</f>
        <v>2974655617.4543009</v>
      </c>
      <c r="P44" s="273">
        <v>0</v>
      </c>
      <c r="Q44" s="273">
        <f>+'Fabiola Botero'!I79</f>
        <v>3934706937.1840868</v>
      </c>
      <c r="R44" s="2088">
        <f>SUM(O44:Q44)</f>
        <v>6909362554.6383877</v>
      </c>
      <c r="S44" s="274">
        <v>45047</v>
      </c>
      <c r="T44" s="277" t="s">
        <v>2177</v>
      </c>
      <c r="U44" s="289">
        <v>2021</v>
      </c>
      <c r="V44" s="2376" t="s">
        <v>2142</v>
      </c>
      <c r="W44" s="1912" t="s">
        <v>2178</v>
      </c>
      <c r="X44" s="2164">
        <f>+R44+R50</f>
        <v>10099381862.388388</v>
      </c>
    </row>
    <row r="45" spans="1:24" s="263" customFormat="1" ht="24" hidden="1" customHeight="1">
      <c r="A45" s="268">
        <f t="shared" si="0"/>
        <v>43</v>
      </c>
      <c r="B45" s="290" t="s">
        <v>2179</v>
      </c>
      <c r="C45" s="290"/>
      <c r="D45" s="290" t="s">
        <v>1129</v>
      </c>
      <c r="E45" s="269" t="s">
        <v>1955</v>
      </c>
      <c r="F45" s="269" t="s">
        <v>851</v>
      </c>
      <c r="G45" s="291" t="s">
        <v>2180</v>
      </c>
      <c r="H45" s="291" t="s">
        <v>2047</v>
      </c>
      <c r="I45" s="290" t="s">
        <v>2181</v>
      </c>
      <c r="J45" s="310">
        <v>43209</v>
      </c>
      <c r="K45" s="310">
        <v>43237</v>
      </c>
      <c r="L45" s="293">
        <v>43786</v>
      </c>
      <c r="M45" s="310">
        <v>43364</v>
      </c>
      <c r="N45" s="458">
        <f t="shared" ca="1" si="6"/>
        <v>1834</v>
      </c>
      <c r="O45" s="273">
        <f>+'Julian Arrieta'!C80</f>
        <v>103463268.20516202</v>
      </c>
      <c r="P45" s="273">
        <v>0</v>
      </c>
      <c r="Q45" s="273">
        <f>+'Julian Arrieta'!H127</f>
        <v>91603474.290969789</v>
      </c>
      <c r="R45" s="273">
        <f t="shared" si="8"/>
        <v>195066742.49613181</v>
      </c>
      <c r="S45" s="274">
        <v>44531</v>
      </c>
      <c r="T45" s="277" t="s">
        <v>2182</v>
      </c>
      <c r="U45" s="289">
        <v>2019</v>
      </c>
      <c r="V45" s="289"/>
      <c r="W45" s="1912" t="s">
        <v>2183</v>
      </c>
    </row>
    <row r="46" spans="1:24" s="263" customFormat="1" ht="39.75" customHeight="1">
      <c r="A46" s="268">
        <f t="shared" si="0"/>
        <v>44</v>
      </c>
      <c r="B46" s="290" t="s">
        <v>1606</v>
      </c>
      <c r="C46" s="290"/>
      <c r="D46" s="290" t="s">
        <v>1129</v>
      </c>
      <c r="E46" s="269" t="s">
        <v>1918</v>
      </c>
      <c r="F46" s="290" t="s">
        <v>1927</v>
      </c>
      <c r="G46" s="290" t="s">
        <v>1152</v>
      </c>
      <c r="H46" s="1902" t="s">
        <v>2184</v>
      </c>
      <c r="I46" s="1902" t="s">
        <v>2185</v>
      </c>
      <c r="J46" s="310">
        <v>43279</v>
      </c>
      <c r="K46" s="293">
        <v>43297</v>
      </c>
      <c r="L46" s="310">
        <v>43846</v>
      </c>
      <c r="M46" s="310">
        <v>43328</v>
      </c>
      <c r="N46" s="458">
        <f t="shared" ca="1" si="6"/>
        <v>1774</v>
      </c>
      <c r="O46" s="2088">
        <f>+Asocopor!C4</f>
        <v>2357226.14</v>
      </c>
      <c r="P46" s="273">
        <v>0</v>
      </c>
      <c r="Q46" s="273">
        <f>+Asocopor!I71</f>
        <v>2949064.1222293535</v>
      </c>
      <c r="R46" s="2088">
        <f t="shared" si="8"/>
        <v>5306290.2622293532</v>
      </c>
      <c r="S46" s="274">
        <v>45047</v>
      </c>
      <c r="T46" s="1913" t="s">
        <v>2186</v>
      </c>
      <c r="U46" s="289">
        <v>2021</v>
      </c>
      <c r="V46" s="2376" t="s">
        <v>2130</v>
      </c>
      <c r="W46" s="1912" t="s">
        <v>2187</v>
      </c>
    </row>
    <row r="47" spans="1:24" s="263" customFormat="1" ht="39.75" customHeight="1">
      <c r="A47" s="268">
        <f t="shared" si="0"/>
        <v>45</v>
      </c>
      <c r="B47" s="290" t="s">
        <v>1608</v>
      </c>
      <c r="C47" s="290"/>
      <c r="D47" s="290" t="s">
        <v>1129</v>
      </c>
      <c r="E47" s="269" t="s">
        <v>1918</v>
      </c>
      <c r="F47" s="269" t="s">
        <v>851</v>
      </c>
      <c r="G47" s="290" t="s">
        <v>1609</v>
      </c>
      <c r="H47" s="290" t="s">
        <v>2015</v>
      </c>
      <c r="I47" s="1902" t="s">
        <v>2188</v>
      </c>
      <c r="J47" s="293">
        <v>43293</v>
      </c>
      <c r="K47" s="293">
        <v>43339</v>
      </c>
      <c r="L47" s="293">
        <v>43888</v>
      </c>
      <c r="M47" s="293">
        <v>43349</v>
      </c>
      <c r="N47" s="458">
        <f t="shared" ca="1" si="6"/>
        <v>1732</v>
      </c>
      <c r="O47" s="2088">
        <f>+'Francisco Madero'!C111</f>
        <v>13509219.8275444</v>
      </c>
      <c r="P47" s="273">
        <v>0</v>
      </c>
      <c r="Q47" s="273">
        <f>+'Francisco Madero'!C112</f>
        <v>1702810.1522173418</v>
      </c>
      <c r="R47" s="2088">
        <f t="shared" si="8"/>
        <v>15212029.979761742</v>
      </c>
      <c r="S47" s="274">
        <v>45047</v>
      </c>
      <c r="T47" s="1913" t="s">
        <v>2189</v>
      </c>
      <c r="U47" s="289">
        <v>2020</v>
      </c>
      <c r="V47" s="2376" t="s">
        <v>2130</v>
      </c>
      <c r="W47" s="1912" t="s">
        <v>2190</v>
      </c>
    </row>
    <row r="48" spans="1:24" s="263" customFormat="1" ht="62.25" customHeight="1">
      <c r="A48" s="268">
        <f t="shared" si="0"/>
        <v>46</v>
      </c>
      <c r="B48" s="284" t="s">
        <v>1629</v>
      </c>
      <c r="C48" s="284"/>
      <c r="D48" s="269" t="s">
        <v>1129</v>
      </c>
      <c r="E48" s="269" t="s">
        <v>1918</v>
      </c>
      <c r="F48" s="290" t="s">
        <v>1631</v>
      </c>
      <c r="G48" s="322" t="s">
        <v>1632</v>
      </c>
      <c r="H48" s="270" t="s">
        <v>2191</v>
      </c>
      <c r="I48" s="1903" t="s">
        <v>2192</v>
      </c>
      <c r="J48" s="342">
        <v>43607</v>
      </c>
      <c r="K48" s="342">
        <v>43608</v>
      </c>
      <c r="L48" s="342">
        <v>43914</v>
      </c>
      <c r="M48" s="339"/>
      <c r="N48" s="458">
        <f t="shared" ca="1" si="6"/>
        <v>1463</v>
      </c>
      <c r="O48" s="2088">
        <f>892222+892222+86842+446111+2933333+52800000</f>
        <v>58050730</v>
      </c>
      <c r="P48" s="273">
        <v>3312464</v>
      </c>
      <c r="Q48" s="273">
        <v>0</v>
      </c>
      <c r="R48" s="2088">
        <f t="shared" si="8"/>
        <v>61363194</v>
      </c>
      <c r="S48" s="1541" t="s">
        <v>2193</v>
      </c>
      <c r="T48" s="1896" t="s">
        <v>2194</v>
      </c>
      <c r="U48" s="289">
        <v>2020</v>
      </c>
      <c r="V48" s="2376" t="s">
        <v>2130</v>
      </c>
      <c r="W48" s="1760" t="s">
        <v>2195</v>
      </c>
    </row>
    <row r="49" spans="1:24" s="263" customFormat="1" ht="39.75" hidden="1" customHeight="1">
      <c r="A49" s="268">
        <f t="shared" si="0"/>
        <v>47</v>
      </c>
      <c r="B49" s="290" t="s">
        <v>2196</v>
      </c>
      <c r="C49" s="290"/>
      <c r="D49" s="269" t="s">
        <v>1954</v>
      </c>
      <c r="E49" s="269" t="s">
        <v>1955</v>
      </c>
      <c r="F49" s="290" t="s">
        <v>1926</v>
      </c>
      <c r="G49" s="317" t="s">
        <v>2197</v>
      </c>
      <c r="H49" s="412" t="s">
        <v>2198</v>
      </c>
      <c r="I49" s="411" t="s">
        <v>2199</v>
      </c>
      <c r="J49" s="293">
        <v>43384</v>
      </c>
      <c r="K49" s="342">
        <v>43389</v>
      </c>
      <c r="L49" s="342">
        <v>43693</v>
      </c>
      <c r="M49" s="414">
        <v>44053</v>
      </c>
      <c r="N49" s="458">
        <f t="shared" ca="1" si="6"/>
        <v>1682</v>
      </c>
      <c r="O49" s="273">
        <f>+'Consorcio Vias'!C17</f>
        <v>245012539.11138374</v>
      </c>
      <c r="P49" s="273">
        <v>0</v>
      </c>
      <c r="Q49" s="273">
        <f>+'Consorcio Vias'!C18+'Consorcio Vias'!C19</f>
        <v>146240454.05032757</v>
      </c>
      <c r="R49" s="273">
        <f t="shared" si="8"/>
        <v>391252993.16171134</v>
      </c>
      <c r="S49" s="274">
        <v>44531</v>
      </c>
      <c r="T49" s="327" t="s">
        <v>2200</v>
      </c>
      <c r="U49" s="289">
        <v>2019</v>
      </c>
      <c r="V49" s="289"/>
      <c r="W49" s="1912" t="s">
        <v>2201</v>
      </c>
    </row>
    <row r="50" spans="1:24" s="60" customFormat="1" ht="33.75" customHeight="1">
      <c r="A50" s="268">
        <f t="shared" si="0"/>
        <v>48</v>
      </c>
      <c r="B50" s="322" t="s">
        <v>2202</v>
      </c>
      <c r="C50" s="322" t="s">
        <v>2203</v>
      </c>
      <c r="D50" s="322" t="s">
        <v>1129</v>
      </c>
      <c r="E50" s="269" t="s">
        <v>1918</v>
      </c>
      <c r="F50" s="322" t="s">
        <v>1467</v>
      </c>
      <c r="G50" s="322"/>
      <c r="H50" s="322" t="s">
        <v>2204</v>
      </c>
      <c r="I50" s="1900" t="s">
        <v>2205</v>
      </c>
      <c r="J50" s="414">
        <v>43397</v>
      </c>
      <c r="K50" s="414">
        <v>43405</v>
      </c>
      <c r="L50" s="414">
        <v>43709</v>
      </c>
      <c r="M50" s="414">
        <v>43431</v>
      </c>
      <c r="N50" s="458">
        <f t="shared" ca="1" si="6"/>
        <v>1666</v>
      </c>
      <c r="O50" s="2366">
        <f>+'Corrreccion GAM Laudo 15 Dic'!C108</f>
        <v>2725885628.5500007</v>
      </c>
      <c r="P50" s="273"/>
      <c r="Q50" s="420">
        <f>+'Corrreccion GAM Laudo 15 Dic'!C109</f>
        <v>464133679.19999999</v>
      </c>
      <c r="R50" s="2088">
        <f t="shared" si="8"/>
        <v>3190019307.7500005</v>
      </c>
      <c r="S50" s="274">
        <v>45017</v>
      </c>
      <c r="T50" s="1896" t="s">
        <v>2206</v>
      </c>
      <c r="U50" s="289">
        <v>2019</v>
      </c>
      <c r="V50" s="289"/>
      <c r="W50" s="1912" t="s">
        <v>2207</v>
      </c>
      <c r="X50" s="2358"/>
    </row>
    <row r="51" spans="1:24" s="60" customFormat="1" ht="33.75" customHeight="1">
      <c r="A51" s="268">
        <f t="shared" si="0"/>
        <v>49</v>
      </c>
      <c r="B51" s="284" t="s">
        <v>2208</v>
      </c>
      <c r="C51" s="284"/>
      <c r="D51" s="269" t="s">
        <v>1894</v>
      </c>
      <c r="E51" s="269" t="s">
        <v>1918</v>
      </c>
      <c r="F51" s="269" t="s">
        <v>1057</v>
      </c>
      <c r="G51" s="412" t="s">
        <v>1895</v>
      </c>
      <c r="H51" s="412" t="s">
        <v>2047</v>
      </c>
      <c r="I51" s="1896" t="s">
        <v>2209</v>
      </c>
      <c r="J51" s="342">
        <v>43593</v>
      </c>
      <c r="K51" s="342">
        <v>43612</v>
      </c>
      <c r="L51" s="342">
        <v>44162</v>
      </c>
      <c r="M51" s="2319"/>
      <c r="N51" s="458">
        <f t="shared" ca="1" si="6"/>
        <v>1459</v>
      </c>
      <c r="O51" s="2088">
        <f>+'Beatriz Gil'!C310</f>
        <v>167818762.68333334</v>
      </c>
      <c r="P51" s="273">
        <v>0</v>
      </c>
      <c r="Q51" s="273">
        <f>+'Beatriz Gil'!C311</f>
        <v>73626907.49000001</v>
      </c>
      <c r="R51" s="2088">
        <f t="shared" si="8"/>
        <v>241445670.17333335</v>
      </c>
      <c r="S51" s="2530">
        <v>44986</v>
      </c>
      <c r="T51" s="1896" t="s">
        <v>2210</v>
      </c>
      <c r="U51" s="289">
        <v>2020</v>
      </c>
      <c r="V51" s="289"/>
      <c r="W51" s="1760" t="s">
        <v>2211</v>
      </c>
    </row>
    <row r="52" spans="1:24" s="60" customFormat="1" ht="33.75" customHeight="1">
      <c r="A52" s="268">
        <f t="shared" si="0"/>
        <v>50</v>
      </c>
      <c r="B52" s="284" t="s">
        <v>2212</v>
      </c>
      <c r="C52" s="284"/>
      <c r="D52" s="269" t="s">
        <v>2128</v>
      </c>
      <c r="E52" s="269" t="s">
        <v>1918</v>
      </c>
      <c r="F52" s="269" t="s">
        <v>1926</v>
      </c>
      <c r="G52" s="269" t="s">
        <v>1662</v>
      </c>
      <c r="H52" s="1896" t="s">
        <v>2213</v>
      </c>
      <c r="I52" s="1896" t="s">
        <v>2214</v>
      </c>
      <c r="J52" s="342">
        <v>43521</v>
      </c>
      <c r="K52" s="342">
        <v>43649</v>
      </c>
      <c r="L52" s="342">
        <v>44201</v>
      </c>
      <c r="M52" s="342">
        <v>43802</v>
      </c>
      <c r="N52" s="458">
        <f t="shared" ca="1" si="6"/>
        <v>1422</v>
      </c>
      <c r="O52" s="2088">
        <f>+'Elida Martinez'!C55</f>
        <v>135245922.13</v>
      </c>
      <c r="P52" s="273">
        <f>+'Elida Martinez'!C57</f>
        <v>4057377.6638999996</v>
      </c>
      <c r="Q52" s="273">
        <f>+'Elida Martinez'!C56</f>
        <v>88252149.86999999</v>
      </c>
      <c r="R52" s="2088">
        <f t="shared" si="8"/>
        <v>227555449.66389996</v>
      </c>
      <c r="S52" s="274">
        <v>45017</v>
      </c>
      <c r="T52" s="1541"/>
      <c r="U52" s="289">
        <v>2020</v>
      </c>
      <c r="V52" s="289"/>
      <c r="W52" s="1760" t="s">
        <v>2215</v>
      </c>
    </row>
    <row r="53" spans="1:24" s="60" customFormat="1" ht="57.75" customHeight="1">
      <c r="A53" s="268">
        <f t="shared" si="0"/>
        <v>51</v>
      </c>
      <c r="B53" s="284" t="s">
        <v>2216</v>
      </c>
      <c r="C53" s="2442"/>
      <c r="D53" s="269" t="s">
        <v>2128</v>
      </c>
      <c r="E53" s="269" t="s">
        <v>1918</v>
      </c>
      <c r="F53" s="2393" t="s">
        <v>1925</v>
      </c>
      <c r="G53" s="412" t="s">
        <v>1865</v>
      </c>
      <c r="H53" s="412" t="s">
        <v>2217</v>
      </c>
      <c r="I53" s="412" t="s">
        <v>2218</v>
      </c>
      <c r="J53" s="2127">
        <v>43903</v>
      </c>
      <c r="K53" s="342">
        <v>44033</v>
      </c>
      <c r="L53" s="342">
        <v>44337</v>
      </c>
      <c r="M53" s="145"/>
      <c r="N53" s="458"/>
      <c r="O53" s="2088">
        <v>170357492</v>
      </c>
      <c r="P53" s="1713"/>
      <c r="Q53" s="2380">
        <f>+'Branium Liquidacion'!D52</f>
        <v>87368740.61999999</v>
      </c>
      <c r="R53" s="2088">
        <f t="shared" si="8"/>
        <v>257726232.62</v>
      </c>
      <c r="S53" s="2530">
        <v>45013</v>
      </c>
      <c r="T53" s="1541" t="s">
        <v>2219</v>
      </c>
      <c r="U53" s="189">
        <v>2021</v>
      </c>
      <c r="V53" s="189"/>
      <c r="W53" s="1714"/>
    </row>
    <row r="54" spans="1:24" s="60" customFormat="1" ht="57.75" customHeight="1">
      <c r="A54" s="268">
        <f t="shared" si="0"/>
        <v>52</v>
      </c>
      <c r="B54" s="284" t="s">
        <v>2220</v>
      </c>
      <c r="C54" s="284"/>
      <c r="D54" s="269" t="s">
        <v>1954</v>
      </c>
      <c r="E54" s="269" t="s">
        <v>1918</v>
      </c>
      <c r="F54" s="269" t="s">
        <v>1666</v>
      </c>
      <c r="G54" s="284" t="s">
        <v>2221</v>
      </c>
      <c r="H54" s="1903" t="s">
        <v>2222</v>
      </c>
      <c r="I54" s="1895" t="s">
        <v>2223</v>
      </c>
      <c r="J54" s="313">
        <v>43686</v>
      </c>
      <c r="K54" s="313">
        <v>43706</v>
      </c>
      <c r="L54" s="313">
        <v>44011</v>
      </c>
      <c r="M54" s="2539" t="s">
        <v>2224</v>
      </c>
      <c r="N54" s="458">
        <f t="shared" ref="N54:N61" ca="1" si="9">+_xlfn.DAYS($Y$2,K54)</f>
        <v>1365</v>
      </c>
      <c r="O54" s="2088">
        <f>+'Jacobo Forero'!C74</f>
        <v>16419216.491987161</v>
      </c>
      <c r="P54" s="273">
        <v>0</v>
      </c>
      <c r="Q54" s="273">
        <f>+'Jacobo Forero'!I83</f>
        <v>1057039.8700000001</v>
      </c>
      <c r="R54" s="2088">
        <f t="shared" si="8"/>
        <v>17476256.361987162</v>
      </c>
      <c r="S54" s="274">
        <v>45046</v>
      </c>
      <c r="T54" s="312" t="s">
        <v>2225</v>
      </c>
      <c r="U54" s="289">
        <v>2020</v>
      </c>
      <c r="V54" s="289"/>
      <c r="W54" s="1760" t="s">
        <v>2226</v>
      </c>
      <c r="X54" s="496"/>
    </row>
    <row r="55" spans="1:24" s="60" customFormat="1" ht="33.75" customHeight="1">
      <c r="A55" s="268">
        <f t="shared" si="0"/>
        <v>53</v>
      </c>
      <c r="B55" s="284" t="s">
        <v>2227</v>
      </c>
      <c r="C55" s="284"/>
      <c r="D55" s="269" t="s">
        <v>1954</v>
      </c>
      <c r="E55" s="269" t="s">
        <v>1918</v>
      </c>
      <c r="F55" s="269" t="s">
        <v>851</v>
      </c>
      <c r="G55" s="412" t="s">
        <v>2228</v>
      </c>
      <c r="H55" s="1896" t="s">
        <v>2229</v>
      </c>
      <c r="I55" s="413" t="s">
        <v>2230</v>
      </c>
      <c r="J55" s="342">
        <v>42801</v>
      </c>
      <c r="K55" s="342">
        <v>43731</v>
      </c>
      <c r="L55" s="313">
        <v>44035</v>
      </c>
      <c r="M55" s="339"/>
      <c r="N55" s="458">
        <f t="shared" ca="1" si="9"/>
        <v>1340</v>
      </c>
      <c r="O55" s="2088">
        <v>0</v>
      </c>
      <c r="P55" s="273">
        <v>0</v>
      </c>
      <c r="Q55" s="273">
        <v>0</v>
      </c>
      <c r="R55" s="2088">
        <f t="shared" si="8"/>
        <v>0</v>
      </c>
      <c r="S55" s="1541" t="s">
        <v>2193</v>
      </c>
      <c r="T55" s="2324" t="s">
        <v>2231</v>
      </c>
      <c r="U55" s="2175">
        <v>2015</v>
      </c>
      <c r="V55" s="2175"/>
      <c r="W55" s="2176" t="s">
        <v>2232</v>
      </c>
    </row>
    <row r="56" spans="1:24" s="60" customFormat="1" ht="42.75" hidden="1" customHeight="1">
      <c r="A56" s="268">
        <f t="shared" si="0"/>
        <v>54</v>
      </c>
      <c r="B56" s="317" t="s">
        <v>953</v>
      </c>
      <c r="C56" s="317"/>
      <c r="D56" s="317" t="s">
        <v>1954</v>
      </c>
      <c r="E56" s="269" t="s">
        <v>1955</v>
      </c>
      <c r="F56" s="290" t="s">
        <v>1924</v>
      </c>
      <c r="G56" s="317" t="s">
        <v>955</v>
      </c>
      <c r="H56" s="317" t="s">
        <v>2233</v>
      </c>
      <c r="I56" s="317" t="s">
        <v>2234</v>
      </c>
      <c r="J56" s="318">
        <v>43721</v>
      </c>
      <c r="K56" s="318">
        <v>43726</v>
      </c>
      <c r="L56" s="319"/>
      <c r="M56" s="318"/>
      <c r="N56" s="458">
        <f t="shared" ca="1" si="9"/>
        <v>1345</v>
      </c>
      <c r="O56" s="273">
        <v>152114021.47</v>
      </c>
      <c r="P56" s="273">
        <v>0</v>
      </c>
      <c r="Q56" s="273">
        <f>+'Lozano E Cabel SAS'!I36</f>
        <v>41412021.412922382</v>
      </c>
      <c r="R56" s="273">
        <f t="shared" ref="R56:R61" si="10">SUM(O56:Q56)</f>
        <v>193526042.88292238</v>
      </c>
      <c r="S56" s="274">
        <v>44531</v>
      </c>
      <c r="T56" s="331"/>
      <c r="U56" s="289">
        <v>2020</v>
      </c>
      <c r="V56" s="289"/>
      <c r="W56" s="1760" t="s">
        <v>2235</v>
      </c>
    </row>
    <row r="57" spans="1:24" s="60" customFormat="1" ht="34.5" hidden="1" customHeight="1">
      <c r="A57" s="268">
        <f t="shared" si="0"/>
        <v>55</v>
      </c>
      <c r="B57" s="284" t="s">
        <v>1022</v>
      </c>
      <c r="C57" s="284"/>
      <c r="D57" s="269" t="s">
        <v>1129</v>
      </c>
      <c r="E57" s="269" t="s">
        <v>1955</v>
      </c>
      <c r="F57" s="290" t="s">
        <v>1924</v>
      </c>
      <c r="G57" s="270" t="s">
        <v>2236</v>
      </c>
      <c r="H57" s="324" t="s">
        <v>2237</v>
      </c>
      <c r="I57" s="428" t="s">
        <v>2238</v>
      </c>
      <c r="J57" s="342">
        <v>43738</v>
      </c>
      <c r="K57" s="293">
        <v>43741</v>
      </c>
      <c r="L57" s="339"/>
      <c r="M57" s="415">
        <v>43789</v>
      </c>
      <c r="N57" s="458">
        <f t="shared" ca="1" si="9"/>
        <v>1330</v>
      </c>
      <c r="O57" s="273">
        <v>91691504</v>
      </c>
      <c r="P57" s="273">
        <v>0</v>
      </c>
      <c r="Q57" s="273">
        <f>+Invermas!I37</f>
        <v>21374211.532081332</v>
      </c>
      <c r="R57" s="273">
        <f t="shared" si="10"/>
        <v>113065715.53208134</v>
      </c>
      <c r="S57" s="274">
        <v>44531</v>
      </c>
      <c r="T57" s="340"/>
      <c r="U57" s="289">
        <v>2020</v>
      </c>
      <c r="V57" s="289"/>
      <c r="W57" s="1760" t="s">
        <v>2239</v>
      </c>
    </row>
    <row r="58" spans="1:24" s="60" customFormat="1" ht="46.5" hidden="1" customHeight="1">
      <c r="A58" s="268">
        <f t="shared" si="0"/>
        <v>56</v>
      </c>
      <c r="B58" s="290" t="s">
        <v>2240</v>
      </c>
      <c r="C58" s="290"/>
      <c r="D58" s="290" t="s">
        <v>1129</v>
      </c>
      <c r="E58" s="269" t="s">
        <v>1955</v>
      </c>
      <c r="F58" s="269" t="s">
        <v>851</v>
      </c>
      <c r="G58" s="290" t="s">
        <v>998</v>
      </c>
      <c r="H58" s="290" t="s">
        <v>2241</v>
      </c>
      <c r="I58" s="290" t="s">
        <v>2242</v>
      </c>
      <c r="J58" s="310">
        <v>43686</v>
      </c>
      <c r="K58" s="310">
        <v>43747</v>
      </c>
      <c r="L58" s="293">
        <v>44002</v>
      </c>
      <c r="M58" s="310"/>
      <c r="N58" s="458">
        <f t="shared" ca="1" si="9"/>
        <v>1324</v>
      </c>
      <c r="O58" s="273">
        <f>+'Anyelis '!F118</f>
        <v>175350596.40898219</v>
      </c>
      <c r="P58" s="273">
        <f>+'Anyelis '!C162</f>
        <v>5508000</v>
      </c>
      <c r="Q58" s="273">
        <f>+'Anyelis '!I157</f>
        <v>14437190.644998804</v>
      </c>
      <c r="R58" s="273">
        <f t="shared" si="10"/>
        <v>195295787.05398101</v>
      </c>
      <c r="S58" s="274">
        <v>44531</v>
      </c>
      <c r="T58" s="328" t="s">
        <v>2243</v>
      </c>
      <c r="U58" s="289">
        <v>2020</v>
      </c>
      <c r="V58" s="289"/>
      <c r="W58" s="1760" t="s">
        <v>2244</v>
      </c>
    </row>
    <row r="59" spans="1:24" s="60" customFormat="1" ht="48.75" hidden="1" customHeight="1">
      <c r="A59" s="268">
        <f t="shared" si="0"/>
        <v>57</v>
      </c>
      <c r="B59" s="284" t="s">
        <v>2245</v>
      </c>
      <c r="C59" s="284"/>
      <c r="D59" s="269" t="s">
        <v>1129</v>
      </c>
      <c r="E59" s="269" t="s">
        <v>1955</v>
      </c>
      <c r="F59" s="298" t="s">
        <v>1057</v>
      </c>
      <c r="G59" s="270" t="s">
        <v>1045</v>
      </c>
      <c r="H59" s="2087" t="s">
        <v>2246</v>
      </c>
      <c r="I59" s="269" t="s">
        <v>2247</v>
      </c>
      <c r="J59" s="342">
        <v>43747</v>
      </c>
      <c r="K59" s="342">
        <v>43747</v>
      </c>
      <c r="L59" s="342">
        <v>44052</v>
      </c>
      <c r="M59" s="415">
        <v>43756</v>
      </c>
      <c r="N59" s="458">
        <f t="shared" ca="1" si="9"/>
        <v>1324</v>
      </c>
      <c r="O59" s="273">
        <v>180000000</v>
      </c>
      <c r="P59" s="273">
        <v>0</v>
      </c>
      <c r="Q59" s="273">
        <f>+'Ileana Estremor'!D45</f>
        <v>47321200.563464805</v>
      </c>
      <c r="R59" s="273">
        <f t="shared" si="10"/>
        <v>227321200.56346482</v>
      </c>
      <c r="S59" s="274">
        <v>44531</v>
      </c>
      <c r="T59" s="340"/>
      <c r="U59" s="289">
        <v>2020</v>
      </c>
      <c r="V59" s="289"/>
      <c r="W59" s="1760" t="s">
        <v>2248</v>
      </c>
    </row>
    <row r="60" spans="1:24" s="60" customFormat="1" ht="62.25" hidden="1" customHeight="1">
      <c r="A60" s="268">
        <f t="shared" si="0"/>
        <v>58</v>
      </c>
      <c r="B60" s="284" t="s">
        <v>1855</v>
      </c>
      <c r="C60" s="326"/>
      <c r="D60" s="269" t="s">
        <v>1129</v>
      </c>
      <c r="E60" s="269" t="s">
        <v>1955</v>
      </c>
      <c r="F60" s="290" t="s">
        <v>1924</v>
      </c>
      <c r="G60" s="284" t="s">
        <v>1033</v>
      </c>
      <c r="H60" s="1438" t="s">
        <v>2249</v>
      </c>
      <c r="I60" s="284" t="s">
        <v>2250</v>
      </c>
      <c r="J60" s="313">
        <v>43811</v>
      </c>
      <c r="K60" s="293">
        <v>43818</v>
      </c>
      <c r="L60" s="343"/>
      <c r="M60" s="343">
        <v>43845</v>
      </c>
      <c r="N60" s="458">
        <f t="shared" ca="1" si="9"/>
        <v>1253</v>
      </c>
      <c r="O60" s="273">
        <v>277358683</v>
      </c>
      <c r="P60" s="273">
        <v>0</v>
      </c>
      <c r="Q60" s="273">
        <f>+'Inmobiliaria Ctg'!I33</f>
        <v>55912534.879611202</v>
      </c>
      <c r="R60" s="273">
        <f t="shared" si="10"/>
        <v>333271217.87961119</v>
      </c>
      <c r="S60" s="274">
        <v>44531</v>
      </c>
      <c r="T60" s="312" t="s">
        <v>2251</v>
      </c>
      <c r="U60" s="289">
        <v>2020</v>
      </c>
      <c r="V60" s="289"/>
      <c r="W60" s="1760" t="s">
        <v>2252</v>
      </c>
    </row>
    <row r="61" spans="1:24" s="60" customFormat="1" ht="60" hidden="1" customHeight="1">
      <c r="A61" s="268">
        <f t="shared" si="0"/>
        <v>59</v>
      </c>
      <c r="B61" s="284" t="s">
        <v>2253</v>
      </c>
      <c r="C61" s="284"/>
      <c r="D61" s="269" t="s">
        <v>1129</v>
      </c>
      <c r="E61" s="269" t="s">
        <v>1955</v>
      </c>
      <c r="F61" s="269" t="s">
        <v>851</v>
      </c>
      <c r="G61" s="269" t="s">
        <v>1402</v>
      </c>
      <c r="H61" s="317" t="s">
        <v>1110</v>
      </c>
      <c r="I61" s="1895" t="s">
        <v>2254</v>
      </c>
      <c r="J61" s="313">
        <v>43783</v>
      </c>
      <c r="K61" s="342">
        <v>43843</v>
      </c>
      <c r="L61" s="342">
        <v>44148</v>
      </c>
      <c r="M61" s="339"/>
      <c r="N61" s="458">
        <f t="shared" ca="1" si="9"/>
        <v>1228</v>
      </c>
      <c r="O61" s="273">
        <f>+'Ims EU Liq'!D134</f>
        <v>285675005</v>
      </c>
      <c r="P61" s="273">
        <v>0</v>
      </c>
      <c r="Q61" s="273">
        <f>+'Ims EU Liq'!D135</f>
        <v>526976396.05000001</v>
      </c>
      <c r="R61" s="273">
        <f t="shared" si="10"/>
        <v>812651401.04999995</v>
      </c>
      <c r="S61" s="274">
        <v>44835</v>
      </c>
      <c r="T61" s="340"/>
      <c r="U61" s="289">
        <v>2020</v>
      </c>
      <c r="V61" s="289"/>
      <c r="W61" s="1760" t="s">
        <v>2255</v>
      </c>
    </row>
    <row r="62" spans="1:24" ht="93" customHeight="1">
      <c r="A62" s="268">
        <f>ROW(A60)</f>
        <v>60</v>
      </c>
      <c r="B62" s="1895" t="s">
        <v>2256</v>
      </c>
      <c r="C62" s="2519"/>
      <c r="D62" s="269" t="s">
        <v>2128</v>
      </c>
      <c r="E62" s="269" t="s">
        <v>1918</v>
      </c>
      <c r="F62" s="269" t="s">
        <v>851</v>
      </c>
      <c r="G62" s="412" t="s">
        <v>2257</v>
      </c>
      <c r="H62" s="412" t="s">
        <v>2161</v>
      </c>
      <c r="I62" s="412" t="s">
        <v>2258</v>
      </c>
      <c r="J62" s="342">
        <v>43812</v>
      </c>
      <c r="K62" s="342">
        <v>43852</v>
      </c>
      <c r="L62" s="293">
        <v>44157</v>
      </c>
      <c r="M62" s="423"/>
      <c r="N62" s="423"/>
      <c r="O62" s="2367"/>
      <c r="P62" s="424"/>
      <c r="Q62" s="423"/>
      <c r="R62" s="2088">
        <f>SUM(O62:Q62)</f>
        <v>0</v>
      </c>
      <c r="S62" s="1541" t="s">
        <v>2193</v>
      </c>
      <c r="T62" s="1896" t="s">
        <v>2259</v>
      </c>
      <c r="U62" s="189">
        <v>2020</v>
      </c>
      <c r="V62" s="189"/>
      <c r="W62" s="1714" t="s">
        <v>2260</v>
      </c>
    </row>
    <row r="63" spans="1:24" s="60" customFormat="1" ht="21.75" hidden="1" customHeight="1">
      <c r="A63" s="268">
        <f t="shared" si="0"/>
        <v>61</v>
      </c>
      <c r="B63" s="290" t="s">
        <v>1128</v>
      </c>
      <c r="C63" s="290"/>
      <c r="D63" s="269" t="s">
        <v>1129</v>
      </c>
      <c r="E63" s="269" t="s">
        <v>1955</v>
      </c>
      <c r="F63" s="290" t="s">
        <v>1057</v>
      </c>
      <c r="G63" s="322" t="s">
        <v>1133</v>
      </c>
      <c r="H63" s="270" t="s">
        <v>2261</v>
      </c>
      <c r="I63" s="495" t="s">
        <v>1138</v>
      </c>
      <c r="J63" s="342">
        <v>43875</v>
      </c>
      <c r="K63" s="342">
        <v>43875</v>
      </c>
      <c r="L63" s="342">
        <v>44179</v>
      </c>
      <c r="M63" s="339"/>
      <c r="N63" s="458">
        <f t="shared" ref="N63:N77" ca="1" si="11">+_xlfn.DAYS($Y$2,K63)</f>
        <v>1196</v>
      </c>
      <c r="O63" s="273">
        <f>+'Tomas Tatis'!E12</f>
        <v>90852600</v>
      </c>
      <c r="P63" s="273">
        <v>0</v>
      </c>
      <c r="Q63" s="273">
        <f>+'Tomas Tatis'!D33</f>
        <v>1073026.0924109698</v>
      </c>
      <c r="R63" s="273">
        <f>SUM(O63:Q63)</f>
        <v>91925626.092410967</v>
      </c>
      <c r="S63" s="274">
        <v>44531</v>
      </c>
      <c r="T63" s="341" t="s">
        <v>2262</v>
      </c>
      <c r="U63" s="289">
        <v>2020</v>
      </c>
      <c r="V63" s="289"/>
      <c r="W63" s="1760" t="s">
        <v>2263</v>
      </c>
    </row>
    <row r="64" spans="1:24" s="36" customFormat="1" ht="54" customHeight="1">
      <c r="A64" s="268">
        <f t="shared" si="0"/>
        <v>62</v>
      </c>
      <c r="B64" s="290" t="s">
        <v>2264</v>
      </c>
      <c r="C64" s="290"/>
      <c r="D64" s="290" t="s">
        <v>2265</v>
      </c>
      <c r="E64" s="269" t="s">
        <v>1918</v>
      </c>
      <c r="F64" s="269" t="s">
        <v>851</v>
      </c>
      <c r="G64" s="290" t="s">
        <v>2266</v>
      </c>
      <c r="H64" s="290" t="s">
        <v>2267</v>
      </c>
      <c r="I64" s="1902" t="s">
        <v>2268</v>
      </c>
      <c r="J64" s="310">
        <v>43763</v>
      </c>
      <c r="K64" s="310">
        <v>43886</v>
      </c>
      <c r="L64" s="293">
        <v>44190</v>
      </c>
      <c r="M64" s="310"/>
      <c r="N64" s="458">
        <f t="shared" ca="1" si="11"/>
        <v>1185</v>
      </c>
      <c r="O64" s="2088">
        <v>0</v>
      </c>
      <c r="P64" s="273">
        <v>0</v>
      </c>
      <c r="Q64" s="273">
        <v>0</v>
      </c>
      <c r="R64" s="2088">
        <f t="shared" ref="R64:R67" si="12">SUM(O64:Q64)</f>
        <v>0</v>
      </c>
      <c r="S64" s="1541" t="s">
        <v>2193</v>
      </c>
      <c r="T64" s="411" t="s">
        <v>2269</v>
      </c>
      <c r="U64" s="289">
        <v>2020</v>
      </c>
      <c r="V64" s="289"/>
      <c r="W64" s="1760" t="s">
        <v>2270</v>
      </c>
    </row>
    <row r="65" spans="1:25" s="60" customFormat="1" ht="51.75" customHeight="1">
      <c r="A65" s="268">
        <f t="shared" si="0"/>
        <v>63</v>
      </c>
      <c r="B65" s="290" t="s">
        <v>2271</v>
      </c>
      <c r="C65" s="290"/>
      <c r="D65" s="290" t="s">
        <v>2272</v>
      </c>
      <c r="E65" s="269" t="s">
        <v>1918</v>
      </c>
      <c r="F65" s="269" t="s">
        <v>851</v>
      </c>
      <c r="G65" s="291" t="s">
        <v>2273</v>
      </c>
      <c r="H65" s="290" t="s">
        <v>1972</v>
      </c>
      <c r="I65" s="1902" t="s">
        <v>2274</v>
      </c>
      <c r="J65" s="310">
        <v>43776</v>
      </c>
      <c r="K65" s="310">
        <v>43897</v>
      </c>
      <c r="L65" s="293">
        <v>43837</v>
      </c>
      <c r="M65" s="310"/>
      <c r="N65" s="458">
        <f t="shared" ca="1" si="11"/>
        <v>1174</v>
      </c>
      <c r="O65" s="2088">
        <f>+'Carlos Gastelbondo'!C57</f>
        <v>14872436</v>
      </c>
      <c r="P65" s="273">
        <v>0</v>
      </c>
      <c r="Q65" s="273">
        <f>+'Carlos Gastelbondo'!I99</f>
        <v>12362602.119999999</v>
      </c>
      <c r="R65" s="2088">
        <f t="shared" si="12"/>
        <v>27235038.119999997</v>
      </c>
      <c r="S65" s="274">
        <v>45017</v>
      </c>
      <c r="T65" s="411" t="s">
        <v>2275</v>
      </c>
      <c r="U65" s="289">
        <v>2021</v>
      </c>
      <c r="V65" s="289"/>
      <c r="W65" s="1760" t="s">
        <v>2276</v>
      </c>
    </row>
    <row r="66" spans="1:25" s="60" customFormat="1" ht="51.75" customHeight="1">
      <c r="A66" s="268">
        <f t="shared" si="0"/>
        <v>64</v>
      </c>
      <c r="B66" s="284" t="s">
        <v>2277</v>
      </c>
      <c r="C66" s="284"/>
      <c r="D66" s="269" t="s">
        <v>1129</v>
      </c>
      <c r="E66" s="269" t="s">
        <v>1918</v>
      </c>
      <c r="F66" s="290" t="s">
        <v>1057</v>
      </c>
      <c r="G66" s="322" t="s">
        <v>2278</v>
      </c>
      <c r="H66" s="269" t="s">
        <v>1110</v>
      </c>
      <c r="I66" s="413" t="s">
        <v>2279</v>
      </c>
      <c r="J66" s="342">
        <v>43994</v>
      </c>
      <c r="K66" s="414">
        <v>43999</v>
      </c>
      <c r="L66" s="342">
        <v>44303</v>
      </c>
      <c r="M66" s="264"/>
      <c r="N66" s="458">
        <f t="shared" ca="1" si="11"/>
        <v>1072</v>
      </c>
      <c r="O66" s="2088">
        <f>+'Roberto Davila y Otros'!E27</f>
        <v>372905744</v>
      </c>
      <c r="P66" s="273">
        <f>+'Roberto Davila y Otros'!C357+'Roberto Davila y Otros'!C358-'Roberto Davila y Otros'!C360</f>
        <v>12451521.949999999</v>
      </c>
      <c r="Q66" s="273">
        <f>+'Roberto Davila y Otros'!C355</f>
        <v>265959168.30000001</v>
      </c>
      <c r="R66" s="2088">
        <f t="shared" si="12"/>
        <v>651316434.25</v>
      </c>
      <c r="S66" s="274">
        <v>45017</v>
      </c>
      <c r="T66" s="1910"/>
      <c r="U66" s="289">
        <v>2021</v>
      </c>
      <c r="V66" s="289"/>
      <c r="W66" s="1760" t="s">
        <v>2280</v>
      </c>
    </row>
    <row r="67" spans="1:25" s="60" customFormat="1" ht="33" customHeight="1">
      <c r="A67" s="268">
        <f t="shared" si="0"/>
        <v>65</v>
      </c>
      <c r="B67" s="290" t="s">
        <v>2281</v>
      </c>
      <c r="C67" s="290"/>
      <c r="D67" s="269" t="s">
        <v>1129</v>
      </c>
      <c r="E67" s="269" t="s">
        <v>1918</v>
      </c>
      <c r="F67" s="269" t="s">
        <v>851</v>
      </c>
      <c r="G67" s="269" t="s">
        <v>1709</v>
      </c>
      <c r="H67" s="1898" t="s">
        <v>2282</v>
      </c>
      <c r="I67" s="1896" t="s">
        <v>2283</v>
      </c>
      <c r="J67" s="342">
        <v>43994</v>
      </c>
      <c r="K67" s="310">
        <v>44047</v>
      </c>
      <c r="L67" s="342">
        <v>44298</v>
      </c>
      <c r="M67" s="339"/>
      <c r="N67" s="458">
        <f t="shared" ca="1" si="11"/>
        <v>1024</v>
      </c>
      <c r="O67" s="2088">
        <f>+'Esperanza Cabrera'!C83</f>
        <v>77387222.486013249</v>
      </c>
      <c r="P67" s="273">
        <v>0</v>
      </c>
      <c r="Q67" s="273">
        <f>+'Esperanza Cabrera'!H124</f>
        <v>42677229</v>
      </c>
      <c r="R67" s="2088">
        <f t="shared" si="12"/>
        <v>120064451.48601325</v>
      </c>
      <c r="S67" s="274">
        <v>45017</v>
      </c>
      <c r="T67" s="1903" t="s">
        <v>2284</v>
      </c>
      <c r="U67" s="289">
        <v>2021</v>
      </c>
      <c r="V67" s="289"/>
      <c r="W67" s="1760" t="s">
        <v>2285</v>
      </c>
    </row>
    <row r="68" spans="1:25" s="60" customFormat="1" ht="33.75" hidden="1" customHeight="1">
      <c r="A68" s="268">
        <f t="shared" ref="A68:A106" si="13">ROW(A66)</f>
        <v>66</v>
      </c>
      <c r="B68" s="284" t="s">
        <v>1489</v>
      </c>
      <c r="C68" s="344"/>
      <c r="D68" s="269" t="s">
        <v>1129</v>
      </c>
      <c r="E68" s="269" t="s">
        <v>1955</v>
      </c>
      <c r="F68" s="269" t="s">
        <v>851</v>
      </c>
      <c r="G68" s="269" t="s">
        <v>1492</v>
      </c>
      <c r="H68" s="324" t="s">
        <v>1110</v>
      </c>
      <c r="I68" s="1901" t="s">
        <v>2286</v>
      </c>
      <c r="J68" s="342">
        <v>44043</v>
      </c>
      <c r="K68" s="342">
        <v>44043</v>
      </c>
      <c r="L68" s="342">
        <v>43982</v>
      </c>
      <c r="M68" s="339"/>
      <c r="N68" s="458">
        <f t="shared" ca="1" si="11"/>
        <v>1028</v>
      </c>
      <c r="O68" s="273">
        <v>0</v>
      </c>
      <c r="P68" s="273">
        <f>+'Alfonso Mayorga'!D107</f>
        <v>0</v>
      </c>
      <c r="Q68" s="273">
        <v>0</v>
      </c>
      <c r="R68" s="273">
        <f t="shared" ref="R68:R81" si="14">SUM(O68:Q68)</f>
        <v>0</v>
      </c>
      <c r="S68" s="274" t="s">
        <v>2287</v>
      </c>
      <c r="T68" s="341" t="s">
        <v>2288</v>
      </c>
      <c r="U68" s="289">
        <v>2021</v>
      </c>
      <c r="V68" s="289"/>
      <c r="W68" s="1760" t="s">
        <v>2289</v>
      </c>
    </row>
    <row r="69" spans="1:25" s="60" customFormat="1" ht="75.75" hidden="1" customHeight="1">
      <c r="A69" s="268">
        <f t="shared" si="13"/>
        <v>67</v>
      </c>
      <c r="B69" s="280" t="s">
        <v>2290</v>
      </c>
      <c r="C69" s="280"/>
      <c r="D69" s="280" t="s">
        <v>1129</v>
      </c>
      <c r="E69" s="269" t="s">
        <v>1955</v>
      </c>
      <c r="F69" s="280" t="s">
        <v>851</v>
      </c>
      <c r="G69" s="280" t="s">
        <v>2291</v>
      </c>
      <c r="H69" s="294" t="s">
        <v>2292</v>
      </c>
      <c r="I69" s="1904" t="s">
        <v>2293</v>
      </c>
      <c r="J69" s="342">
        <v>43889</v>
      </c>
      <c r="K69" s="295">
        <v>44053</v>
      </c>
      <c r="L69" s="295">
        <v>44357</v>
      </c>
      <c r="M69" s="339"/>
      <c r="N69" s="458">
        <f t="shared" ca="1" si="11"/>
        <v>1018</v>
      </c>
      <c r="O69" s="273">
        <f>+'Miriam Buelvas'!E12</f>
        <v>10144157.666666668</v>
      </c>
      <c r="P69" s="273">
        <v>101441.57666666668</v>
      </c>
      <c r="Q69" s="281">
        <f>+'Miriam Buelvas'!I47</f>
        <v>4329061.78</v>
      </c>
      <c r="R69" s="273">
        <f t="shared" si="14"/>
        <v>14574661.023333333</v>
      </c>
      <c r="S69" s="274">
        <v>44896</v>
      </c>
      <c r="T69" s="282" t="s">
        <v>2294</v>
      </c>
      <c r="U69" s="289">
        <v>2021</v>
      </c>
      <c r="V69" s="289"/>
      <c r="W69" s="1760" t="s">
        <v>2295</v>
      </c>
    </row>
    <row r="70" spans="1:25" s="60" customFormat="1" ht="45.75" hidden="1" customHeight="1">
      <c r="A70" s="268">
        <f t="shared" si="13"/>
        <v>68</v>
      </c>
      <c r="B70" s="344" t="s">
        <v>1118</v>
      </c>
      <c r="C70" s="344"/>
      <c r="D70" s="269" t="s">
        <v>1129</v>
      </c>
      <c r="E70" s="269" t="s">
        <v>1955</v>
      </c>
      <c r="F70" s="298" t="s">
        <v>1057</v>
      </c>
      <c r="G70" s="269" t="s">
        <v>2296</v>
      </c>
      <c r="H70" s="317" t="s">
        <v>1110</v>
      </c>
      <c r="I70" s="277" t="s">
        <v>2297</v>
      </c>
      <c r="J70" s="342">
        <v>43980</v>
      </c>
      <c r="K70" s="342">
        <v>44068</v>
      </c>
      <c r="L70" s="342">
        <v>44372</v>
      </c>
      <c r="M70" s="342">
        <v>44246</v>
      </c>
      <c r="N70" s="458">
        <f t="shared" ca="1" si="11"/>
        <v>1003</v>
      </c>
      <c r="O70" s="273">
        <f>+'Omar Manrique Franco'!C103</f>
        <v>155127375</v>
      </c>
      <c r="P70" s="273"/>
      <c r="Q70" s="273">
        <f>+'Omar Manrique Franco'!C104</f>
        <v>850608.44301906822</v>
      </c>
      <c r="R70" s="273">
        <f t="shared" si="14"/>
        <v>155977983.44301906</v>
      </c>
      <c r="S70" s="274">
        <v>44531</v>
      </c>
      <c r="T70" s="341" t="s">
        <v>2298</v>
      </c>
      <c r="U70" s="289">
        <v>2021</v>
      </c>
      <c r="V70" s="289"/>
      <c r="W70" s="1760" t="s">
        <v>2299</v>
      </c>
    </row>
    <row r="71" spans="1:25" s="60" customFormat="1" ht="68.25" customHeight="1">
      <c r="A71" s="268">
        <f>ROW(A69)</f>
        <v>69</v>
      </c>
      <c r="B71" s="284" t="s">
        <v>2300</v>
      </c>
      <c r="C71" s="284"/>
      <c r="D71" s="269" t="s">
        <v>1954</v>
      </c>
      <c r="E71" s="269" t="s">
        <v>1918</v>
      </c>
      <c r="F71" s="290" t="s">
        <v>1924</v>
      </c>
      <c r="G71" s="322" t="s">
        <v>1719</v>
      </c>
      <c r="H71" s="269" t="s">
        <v>2301</v>
      </c>
      <c r="I71" s="1901" t="s">
        <v>2302</v>
      </c>
      <c r="J71" s="342">
        <v>44077</v>
      </c>
      <c r="K71" s="342">
        <v>44083</v>
      </c>
      <c r="L71" s="342">
        <v>44386</v>
      </c>
      <c r="M71" s="342">
        <v>44110</v>
      </c>
      <c r="N71" s="458">
        <f t="shared" ca="1" si="11"/>
        <v>988</v>
      </c>
      <c r="O71" s="2088">
        <f>+'Cabel SAS '!B14</f>
        <v>379098332</v>
      </c>
      <c r="P71" s="273">
        <v>0</v>
      </c>
      <c r="Q71" s="273">
        <f>+'Cabel SAS '!G44</f>
        <v>223779057.08999997</v>
      </c>
      <c r="R71" s="2088">
        <f>SUM(O71:Q71)</f>
        <v>602877389.08999991</v>
      </c>
      <c r="S71" s="274">
        <v>45017</v>
      </c>
      <c r="T71" s="340"/>
      <c r="U71" s="289">
        <v>2021</v>
      </c>
      <c r="V71" s="289"/>
      <c r="W71" s="1760" t="s">
        <v>2303</v>
      </c>
    </row>
    <row r="72" spans="1:25" s="60" customFormat="1" ht="55.5" hidden="1" customHeight="1">
      <c r="A72" s="268">
        <f t="shared" si="13"/>
        <v>70</v>
      </c>
      <c r="B72" s="284" t="s">
        <v>1149</v>
      </c>
      <c r="C72" s="284"/>
      <c r="D72" s="269" t="s">
        <v>2304</v>
      </c>
      <c r="E72" s="269" t="s">
        <v>1955</v>
      </c>
      <c r="F72" s="298" t="s">
        <v>1057</v>
      </c>
      <c r="G72" s="269" t="s">
        <v>2305</v>
      </c>
      <c r="H72" s="317" t="s">
        <v>2306</v>
      </c>
      <c r="I72" s="277" t="s">
        <v>2307</v>
      </c>
      <c r="J72" s="342">
        <v>43915</v>
      </c>
      <c r="K72" s="293">
        <v>44090</v>
      </c>
      <c r="L72" s="342">
        <v>44393</v>
      </c>
      <c r="M72" s="342">
        <v>44024</v>
      </c>
      <c r="N72" s="458">
        <f t="shared" ca="1" si="11"/>
        <v>981</v>
      </c>
      <c r="O72" s="273">
        <f>+'Julia Soleno'!C39</f>
        <v>26537295</v>
      </c>
      <c r="P72" s="273">
        <v>0</v>
      </c>
      <c r="Q72" s="273">
        <f>+'Julia Soleno'!H36</f>
        <v>3159782.5266295685</v>
      </c>
      <c r="R72" s="273">
        <f t="shared" si="14"/>
        <v>29697077.526629567</v>
      </c>
      <c r="S72" s="274">
        <v>44531</v>
      </c>
      <c r="T72" s="340"/>
      <c r="U72" s="289">
        <v>2021</v>
      </c>
      <c r="V72" s="289"/>
      <c r="W72" s="1760" t="s">
        <v>2308</v>
      </c>
      <c r="X72" s="2079"/>
    </row>
    <row r="73" spans="1:25" s="60" customFormat="1" ht="85.5" hidden="1" customHeight="1">
      <c r="A73" s="268">
        <f t="shared" si="13"/>
        <v>71</v>
      </c>
      <c r="B73" s="290" t="s">
        <v>2309</v>
      </c>
      <c r="C73" s="290"/>
      <c r="D73" s="290" t="s">
        <v>2310</v>
      </c>
      <c r="E73" s="269" t="s">
        <v>1955</v>
      </c>
      <c r="F73" s="298" t="s">
        <v>1057</v>
      </c>
      <c r="G73" s="290" t="s">
        <v>2311</v>
      </c>
      <c r="H73" s="291" t="s">
        <v>2312</v>
      </c>
      <c r="I73" s="464" t="s">
        <v>2313</v>
      </c>
      <c r="J73" s="293">
        <v>42723</v>
      </c>
      <c r="K73" s="293">
        <v>44172</v>
      </c>
      <c r="L73" s="290" t="s">
        <v>2314</v>
      </c>
      <c r="M73" s="293">
        <v>42984</v>
      </c>
      <c r="N73" s="458">
        <f t="shared" ca="1" si="11"/>
        <v>899</v>
      </c>
      <c r="O73" s="273">
        <f>+'Plinio Romero'!C247</f>
        <v>79002180</v>
      </c>
      <c r="P73" s="273"/>
      <c r="Q73" s="273">
        <f>+'Plinio Romero'!C248</f>
        <v>365352.76128906652</v>
      </c>
      <c r="R73" s="273">
        <f t="shared" si="14"/>
        <v>79367532.76128906</v>
      </c>
      <c r="S73" s="274">
        <v>44531</v>
      </c>
      <c r="T73" s="277" t="s">
        <v>2315</v>
      </c>
      <c r="U73" s="289">
        <v>2017</v>
      </c>
      <c r="V73" s="289"/>
      <c r="W73" s="1912" t="s">
        <v>2316</v>
      </c>
      <c r="X73" s="496" t="s">
        <v>2317</v>
      </c>
      <c r="Y73" s="273" t="s">
        <v>2318</v>
      </c>
    </row>
    <row r="74" spans="1:25" s="60" customFormat="1" ht="67.5" hidden="1" customHeight="1">
      <c r="A74" s="268">
        <f t="shared" si="13"/>
        <v>72</v>
      </c>
      <c r="B74" s="284" t="s">
        <v>2319</v>
      </c>
      <c r="C74" s="284"/>
      <c r="D74" s="269" t="s">
        <v>1954</v>
      </c>
      <c r="E74" s="269" t="s">
        <v>1955</v>
      </c>
      <c r="F74" s="269" t="s">
        <v>851</v>
      </c>
      <c r="G74" s="412" t="s">
        <v>243</v>
      </c>
      <c r="H74" s="412" t="s">
        <v>2320</v>
      </c>
      <c r="I74" s="412" t="s">
        <v>2321</v>
      </c>
      <c r="J74" s="342">
        <v>44158</v>
      </c>
      <c r="K74" s="342">
        <v>44183</v>
      </c>
      <c r="L74" s="342">
        <v>44487</v>
      </c>
      <c r="M74" s="342">
        <v>44280</v>
      </c>
      <c r="N74" s="458">
        <f t="shared" ca="1" si="11"/>
        <v>888</v>
      </c>
      <c r="O74" s="273">
        <f>+'Edgar Castro'!C148</f>
        <v>79875302</v>
      </c>
      <c r="P74" s="273">
        <f>+'Edgar Castro'!C150</f>
        <v>773772.1</v>
      </c>
      <c r="Q74" s="273">
        <f>+'Edgar Castro'!C149</f>
        <v>365608.84012792545</v>
      </c>
      <c r="R74" s="273">
        <f t="shared" si="14"/>
        <v>81014682.940127924</v>
      </c>
      <c r="S74" s="274">
        <v>44531</v>
      </c>
      <c r="T74" s="467" t="s">
        <v>2322</v>
      </c>
      <c r="U74" s="289">
        <v>2021</v>
      </c>
      <c r="V74" s="289"/>
      <c r="W74" s="1760"/>
    </row>
    <row r="75" spans="1:25" s="60" customFormat="1" ht="73.5" customHeight="1">
      <c r="A75" s="268">
        <f t="shared" si="13"/>
        <v>73</v>
      </c>
      <c r="B75" s="284" t="s">
        <v>2323</v>
      </c>
      <c r="C75" s="2442"/>
      <c r="D75" s="269" t="s">
        <v>2128</v>
      </c>
      <c r="E75" s="269" t="s">
        <v>1918</v>
      </c>
      <c r="F75" s="269" t="s">
        <v>851</v>
      </c>
      <c r="G75" s="412" t="s">
        <v>2324</v>
      </c>
      <c r="H75" s="412" t="s">
        <v>2325</v>
      </c>
      <c r="I75" s="412" t="s">
        <v>2326</v>
      </c>
      <c r="J75" s="342">
        <v>43889</v>
      </c>
      <c r="K75" s="342">
        <v>44109</v>
      </c>
      <c r="L75" s="342">
        <v>44413</v>
      </c>
      <c r="M75" s="342">
        <v>44662</v>
      </c>
      <c r="N75" s="458">
        <f t="shared" ca="1" si="11"/>
        <v>962</v>
      </c>
      <c r="O75" s="2368"/>
      <c r="P75" s="1713"/>
      <c r="Q75" s="145"/>
      <c r="R75" s="2088">
        <f t="shared" si="14"/>
        <v>0</v>
      </c>
      <c r="S75" s="1541" t="s">
        <v>2193</v>
      </c>
      <c r="T75" s="2193" t="s">
        <v>2327</v>
      </c>
      <c r="U75" s="189">
        <v>2020</v>
      </c>
      <c r="V75" s="189"/>
      <c r="W75" s="1714" t="s">
        <v>2328</v>
      </c>
    </row>
    <row r="76" spans="1:25" s="60" customFormat="1" ht="73.5" customHeight="1">
      <c r="A76" s="268">
        <f t="shared" si="13"/>
        <v>74</v>
      </c>
      <c r="B76" s="284" t="s">
        <v>2329</v>
      </c>
      <c r="C76" s="322">
        <v>45447274</v>
      </c>
      <c r="D76" s="269" t="s">
        <v>2128</v>
      </c>
      <c r="E76" s="269" t="s">
        <v>1918</v>
      </c>
      <c r="F76" s="269" t="s">
        <v>851</v>
      </c>
      <c r="G76" s="412" t="s">
        <v>2330</v>
      </c>
      <c r="H76" s="412" t="s">
        <v>2331</v>
      </c>
      <c r="I76" s="413" t="s">
        <v>2332</v>
      </c>
      <c r="J76" s="342">
        <v>43994</v>
      </c>
      <c r="K76" s="342">
        <v>44062</v>
      </c>
      <c r="L76" s="342">
        <v>44366</v>
      </c>
      <c r="M76" s="342">
        <v>44998</v>
      </c>
      <c r="N76" s="458">
        <f t="shared" ca="1" si="11"/>
        <v>1009</v>
      </c>
      <c r="O76" s="2368">
        <v>0</v>
      </c>
      <c r="P76" s="1713">
        <v>0</v>
      </c>
      <c r="Q76" s="145">
        <v>0</v>
      </c>
      <c r="R76" s="2088">
        <f t="shared" si="14"/>
        <v>0</v>
      </c>
      <c r="S76" s="1541" t="s">
        <v>2193</v>
      </c>
      <c r="T76" s="2193"/>
      <c r="U76" s="189"/>
      <c r="V76" s="189"/>
      <c r="W76" s="1714"/>
    </row>
    <row r="77" spans="1:25" s="60" customFormat="1" ht="73.5" customHeight="1">
      <c r="A77" s="268">
        <f t="shared" si="13"/>
        <v>75</v>
      </c>
      <c r="B77" s="284" t="s">
        <v>1743</v>
      </c>
      <c r="C77" s="322" t="s">
        <v>2333</v>
      </c>
      <c r="D77" s="269" t="s">
        <v>2128</v>
      </c>
      <c r="E77" s="269" t="s">
        <v>1918</v>
      </c>
      <c r="F77" s="269" t="s">
        <v>1057</v>
      </c>
      <c r="G77" s="322" t="s">
        <v>1744</v>
      </c>
      <c r="H77" s="270" t="s">
        <v>2334</v>
      </c>
      <c r="I77" s="1896" t="s">
        <v>2335</v>
      </c>
      <c r="J77" s="342">
        <v>44048</v>
      </c>
      <c r="K77" s="342">
        <v>44245</v>
      </c>
      <c r="L77" s="342">
        <v>44548</v>
      </c>
      <c r="M77" s="1758"/>
      <c r="N77" s="458">
        <f t="shared" ca="1" si="11"/>
        <v>826</v>
      </c>
      <c r="O77" s="2088">
        <f>+'Dionisio Pautt'!C218</f>
        <v>127193639.99999999</v>
      </c>
      <c r="P77" s="273">
        <v>0</v>
      </c>
      <c r="Q77" s="273">
        <f>+'Dionisio Pautt'!C219</f>
        <v>76637553.080000013</v>
      </c>
      <c r="R77" s="2088">
        <f t="shared" si="14"/>
        <v>203831193.07999998</v>
      </c>
      <c r="S77" s="274">
        <v>45017</v>
      </c>
      <c r="T77" s="1759"/>
      <c r="U77" s="289">
        <v>2021</v>
      </c>
      <c r="V77" s="289"/>
      <c r="W77" s="1760" t="s">
        <v>2336</v>
      </c>
      <c r="X77" s="496" t="s">
        <v>2337</v>
      </c>
    </row>
    <row r="78" spans="1:25" s="60" customFormat="1" ht="63" customHeight="1">
      <c r="A78" s="268">
        <f t="shared" si="13"/>
        <v>76</v>
      </c>
      <c r="B78" s="284" t="s">
        <v>1758</v>
      </c>
      <c r="C78" s="284"/>
      <c r="D78" s="269" t="s">
        <v>2128</v>
      </c>
      <c r="E78" s="269" t="s">
        <v>1918</v>
      </c>
      <c r="F78" s="290" t="s">
        <v>1924</v>
      </c>
      <c r="G78" s="412" t="s">
        <v>1760</v>
      </c>
      <c r="H78" s="412" t="s">
        <v>2338</v>
      </c>
      <c r="I78" s="1896" t="s">
        <v>2339</v>
      </c>
      <c r="J78" s="342">
        <v>44316</v>
      </c>
      <c r="K78" s="342">
        <v>44403</v>
      </c>
      <c r="L78" s="342">
        <v>44708</v>
      </c>
      <c r="M78" s="342">
        <v>44410</v>
      </c>
      <c r="N78" s="423"/>
      <c r="O78" s="2088">
        <v>864619708.61000001</v>
      </c>
      <c r="P78" s="273"/>
      <c r="Q78" s="273">
        <f>+'Alba Rodriguez'!I34</f>
        <v>301070286.16000009</v>
      </c>
      <c r="R78" s="2088">
        <f t="shared" si="14"/>
        <v>1165689994.77</v>
      </c>
      <c r="S78" s="274">
        <v>45017</v>
      </c>
      <c r="T78" s="2320"/>
      <c r="U78" s="289">
        <v>2022</v>
      </c>
      <c r="V78" s="289"/>
      <c r="W78" s="1760" t="s">
        <v>2340</v>
      </c>
    </row>
    <row r="79" spans="1:25" s="60" customFormat="1" ht="83.25" customHeight="1">
      <c r="A79" s="268">
        <f t="shared" si="13"/>
        <v>77</v>
      </c>
      <c r="B79" s="284" t="s">
        <v>2341</v>
      </c>
      <c r="C79" s="284"/>
      <c r="D79" s="269" t="s">
        <v>2128</v>
      </c>
      <c r="E79" s="269" t="s">
        <v>1918</v>
      </c>
      <c r="F79" s="269" t="s">
        <v>851</v>
      </c>
      <c r="G79" s="412" t="s">
        <v>2342</v>
      </c>
      <c r="H79" s="1896" t="s">
        <v>2343</v>
      </c>
      <c r="I79" s="1896" t="s">
        <v>2344</v>
      </c>
      <c r="J79" s="342">
        <v>43585</v>
      </c>
      <c r="K79" s="342">
        <v>44407</v>
      </c>
      <c r="L79" s="342">
        <v>44711</v>
      </c>
      <c r="M79" s="2319"/>
      <c r="N79" s="458">
        <f ca="1">+_xlfn.DAYS($Y$2,K79)</f>
        <v>664</v>
      </c>
      <c r="O79" s="2088"/>
      <c r="P79" s="273">
        <v>254567</v>
      </c>
      <c r="Q79" s="273"/>
      <c r="R79" s="2088">
        <f t="shared" si="14"/>
        <v>254567</v>
      </c>
      <c r="S79" s="274">
        <v>45017</v>
      </c>
      <c r="T79" s="412" t="s">
        <v>2345</v>
      </c>
      <c r="U79" s="289">
        <v>2020</v>
      </c>
      <c r="V79" s="289"/>
      <c r="W79" s="1760" t="s">
        <v>2346</v>
      </c>
    </row>
    <row r="80" spans="1:25" s="36" customFormat="1" ht="50.25" customHeight="1">
      <c r="A80" s="268">
        <f t="shared" si="13"/>
        <v>78</v>
      </c>
      <c r="B80" s="1895" t="s">
        <v>2347</v>
      </c>
      <c r="C80" s="2520"/>
      <c r="D80" s="269" t="s">
        <v>2128</v>
      </c>
      <c r="E80" s="269" t="s">
        <v>1918</v>
      </c>
      <c r="F80" s="290" t="s">
        <v>1924</v>
      </c>
      <c r="G80" s="412" t="s">
        <v>2348</v>
      </c>
      <c r="H80" s="412" t="s">
        <v>2349</v>
      </c>
      <c r="I80" s="1896" t="s">
        <v>2350</v>
      </c>
      <c r="J80" s="342">
        <v>43851</v>
      </c>
      <c r="K80" s="342">
        <v>44460</v>
      </c>
      <c r="L80" s="342">
        <v>44763</v>
      </c>
      <c r="M80" s="342">
        <v>44609</v>
      </c>
      <c r="N80" s="458">
        <f ca="1">+_xlfn.DAYS($Y$2,K80)</f>
        <v>611</v>
      </c>
      <c r="O80" s="2088">
        <v>111583205</v>
      </c>
      <c r="P80" s="424"/>
      <c r="Q80" s="273">
        <f>+'Inversiones Leonor Arocha'!I33</f>
        <v>34936528.289999999</v>
      </c>
      <c r="R80" s="2088">
        <f t="shared" si="14"/>
        <v>146519733.28999999</v>
      </c>
      <c r="S80" s="274">
        <v>45017</v>
      </c>
      <c r="T80" s="412" t="s">
        <v>2351</v>
      </c>
      <c r="U80" s="289">
        <v>2022</v>
      </c>
      <c r="V80" s="289"/>
      <c r="W80" s="1714" t="s">
        <v>2352</v>
      </c>
    </row>
    <row r="81" spans="1:23" s="36" customFormat="1" ht="50.25" customHeight="1">
      <c r="A81" s="268">
        <f t="shared" si="13"/>
        <v>79</v>
      </c>
      <c r="B81" s="301" t="s">
        <v>2353</v>
      </c>
      <c r="C81" s="315"/>
      <c r="D81" s="301" t="s">
        <v>2354</v>
      </c>
      <c r="E81" s="269" t="s">
        <v>1918</v>
      </c>
      <c r="F81" s="290" t="s">
        <v>1922</v>
      </c>
      <c r="G81" s="301" t="s">
        <v>2355</v>
      </c>
      <c r="H81" s="315" t="s">
        <v>2356</v>
      </c>
      <c r="I81" s="1905" t="s">
        <v>2357</v>
      </c>
      <c r="J81" s="302">
        <v>43743</v>
      </c>
      <c r="K81" s="466">
        <v>44474</v>
      </c>
      <c r="L81" s="316">
        <v>44829</v>
      </c>
      <c r="M81" s="423"/>
      <c r="N81" s="458">
        <f ca="1">+_xlfn.DAYS('RESUMEN LIQUIDACION SANEAMIENTO'!$Y$2,K81)</f>
        <v>597</v>
      </c>
      <c r="O81" s="2088">
        <v>86423566678</v>
      </c>
      <c r="P81" s="424"/>
      <c r="Q81" s="273">
        <v>38554542441.743286</v>
      </c>
      <c r="R81" s="2088">
        <f t="shared" si="14"/>
        <v>124978109119.74329</v>
      </c>
      <c r="S81" s="1541" t="s">
        <v>2358</v>
      </c>
      <c r="T81" s="264"/>
      <c r="U81" s="289">
        <v>2022</v>
      </c>
      <c r="V81" s="289"/>
      <c r="W81" s="1760" t="s">
        <v>2359</v>
      </c>
    </row>
    <row r="82" spans="1:23" s="36" customFormat="1" ht="89.25" hidden="1" customHeight="1">
      <c r="A82" s="268">
        <f t="shared" si="13"/>
        <v>80</v>
      </c>
      <c r="B82" s="284" t="s">
        <v>2360</v>
      </c>
      <c r="C82" s="284"/>
      <c r="D82" s="269" t="s">
        <v>2128</v>
      </c>
      <c r="E82" s="269" t="s">
        <v>1955</v>
      </c>
      <c r="F82" s="269" t="s">
        <v>2361</v>
      </c>
      <c r="G82" s="412" t="s">
        <v>2362</v>
      </c>
      <c r="H82" s="412" t="s">
        <v>2363</v>
      </c>
      <c r="I82" s="412" t="s">
        <v>2364</v>
      </c>
      <c r="J82" s="342"/>
      <c r="K82" s="342"/>
      <c r="L82" s="432"/>
      <c r="M82" s="37"/>
      <c r="N82" s="458">
        <f t="shared" ref="N82:N90" ca="1" si="15">+_xlfn.DAYS($Y$2,K82)</f>
        <v>45071</v>
      </c>
      <c r="O82" s="273">
        <v>0</v>
      </c>
      <c r="P82" s="273">
        <v>813592</v>
      </c>
      <c r="Q82" s="273">
        <v>0</v>
      </c>
      <c r="R82" s="273">
        <f t="shared" ref="R82:R130" si="16">SUM(O82:Q82)</f>
        <v>813592</v>
      </c>
      <c r="S82" s="274">
        <v>44926</v>
      </c>
      <c r="T82" s="432"/>
      <c r="U82" s="289">
        <v>2017</v>
      </c>
      <c r="V82" s="289"/>
      <c r="W82" s="1760" t="s">
        <v>2365</v>
      </c>
    </row>
    <row r="83" spans="1:23" s="36" customFormat="1" ht="69" customHeight="1">
      <c r="A83" s="268">
        <f>ROW(A81)</f>
        <v>81</v>
      </c>
      <c r="B83" s="284" t="s">
        <v>1764</v>
      </c>
      <c r="C83" s="284"/>
      <c r="D83" s="269" t="s">
        <v>2128</v>
      </c>
      <c r="E83" s="269" t="s">
        <v>1918</v>
      </c>
      <c r="F83" s="269" t="s">
        <v>1057</v>
      </c>
      <c r="G83" s="412" t="s">
        <v>1765</v>
      </c>
      <c r="H83" s="412" t="s">
        <v>2366</v>
      </c>
      <c r="I83" s="412" t="s">
        <v>1802</v>
      </c>
      <c r="J83" s="342">
        <v>44407</v>
      </c>
      <c r="K83" s="342">
        <v>44546</v>
      </c>
      <c r="L83" s="342">
        <v>44850</v>
      </c>
      <c r="M83" s="2319"/>
      <c r="N83" s="458">
        <f t="shared" ca="1" si="15"/>
        <v>525</v>
      </c>
      <c r="O83" s="2088">
        <f>+'Myrna Drago'!C416</f>
        <v>1106266111</v>
      </c>
      <c r="P83" s="2319"/>
      <c r="Q83" s="2088">
        <f>+'Myrna Drago'!D416</f>
        <v>62202535.886418507</v>
      </c>
      <c r="R83" s="2088">
        <f>SUM(O83:Q83)</f>
        <v>1168468646.8864186</v>
      </c>
      <c r="S83" s="274">
        <v>45017</v>
      </c>
      <c r="T83" s="2325"/>
      <c r="U83" s="289">
        <v>2022</v>
      </c>
      <c r="V83" s="289"/>
      <c r="W83" s="1700" t="s">
        <v>2367</v>
      </c>
    </row>
    <row r="84" spans="1:23" s="36" customFormat="1" ht="31.5" hidden="1" customHeight="1">
      <c r="A84" s="268">
        <f t="shared" si="13"/>
        <v>82</v>
      </c>
      <c r="B84" s="2172" t="s">
        <v>2368</v>
      </c>
      <c r="C84" s="2172"/>
      <c r="D84" s="2173" t="s">
        <v>2128</v>
      </c>
      <c r="E84" s="2173" t="s">
        <v>1955</v>
      </c>
      <c r="F84" s="2173" t="s">
        <v>851</v>
      </c>
      <c r="G84" s="2174" t="s">
        <v>2369</v>
      </c>
      <c r="H84" s="2174" t="s">
        <v>2370</v>
      </c>
      <c r="I84" s="2174" t="s">
        <v>2371</v>
      </c>
      <c r="J84" s="2211">
        <v>41619</v>
      </c>
      <c r="K84" s="432"/>
      <c r="L84" s="432"/>
      <c r="M84" s="432"/>
      <c r="N84" s="458">
        <f t="shared" ca="1" si="15"/>
        <v>45071</v>
      </c>
      <c r="O84" s="273">
        <v>208394200</v>
      </c>
      <c r="P84" s="432"/>
      <c r="Q84" s="432"/>
      <c r="R84" s="273">
        <f t="shared" si="16"/>
        <v>208394200</v>
      </c>
      <c r="S84" s="1541" t="s">
        <v>2372</v>
      </c>
      <c r="T84" s="499" t="s">
        <v>2373</v>
      </c>
      <c r="U84" s="289">
        <v>2015</v>
      </c>
      <c r="V84" s="289"/>
      <c r="W84" s="432"/>
    </row>
    <row r="85" spans="1:23" s="36" customFormat="1" ht="45" customHeight="1">
      <c r="A85" s="268">
        <f t="shared" si="13"/>
        <v>83</v>
      </c>
      <c r="B85" s="284" t="s">
        <v>2374</v>
      </c>
      <c r="C85" s="1625"/>
      <c r="D85" s="269" t="s">
        <v>2128</v>
      </c>
      <c r="E85" s="269" t="s">
        <v>1918</v>
      </c>
      <c r="F85" s="269" t="s">
        <v>851</v>
      </c>
      <c r="G85" s="412" t="s">
        <v>2375</v>
      </c>
      <c r="H85" s="412"/>
      <c r="I85" s="1907"/>
      <c r="J85" s="342">
        <v>44525</v>
      </c>
      <c r="K85" s="342">
        <v>44585</v>
      </c>
      <c r="L85" s="342">
        <v>44889</v>
      </c>
      <c r="M85" s="2431"/>
      <c r="N85" s="458">
        <f t="shared" ca="1" si="15"/>
        <v>486</v>
      </c>
      <c r="O85" s="2369"/>
      <c r="P85" s="1626"/>
      <c r="Q85" s="1538"/>
      <c r="R85" s="2088">
        <f t="shared" si="16"/>
        <v>0</v>
      </c>
      <c r="S85" s="1541" t="s">
        <v>2376</v>
      </c>
      <c r="T85" s="1893" t="s">
        <v>2377</v>
      </c>
      <c r="U85" s="289">
        <v>2022</v>
      </c>
      <c r="V85" s="289"/>
      <c r="W85" s="1700" t="s">
        <v>2378</v>
      </c>
    </row>
    <row r="86" spans="1:23" s="36" customFormat="1" ht="29.25" customHeight="1">
      <c r="A86" s="268">
        <f t="shared" si="13"/>
        <v>84</v>
      </c>
      <c r="B86" s="290" t="s">
        <v>1793</v>
      </c>
      <c r="C86" s="290"/>
      <c r="D86" s="290" t="s">
        <v>1129</v>
      </c>
      <c r="E86" s="269" t="s">
        <v>1918</v>
      </c>
      <c r="F86" s="290" t="s">
        <v>1926</v>
      </c>
      <c r="G86" s="291" t="s">
        <v>2379</v>
      </c>
      <c r="H86" s="291"/>
      <c r="I86" s="1902"/>
      <c r="J86" s="293">
        <v>41838</v>
      </c>
      <c r="K86" s="293">
        <v>44596</v>
      </c>
      <c r="L86" s="293">
        <v>44899</v>
      </c>
      <c r="M86" s="293"/>
      <c r="N86" s="458">
        <f t="shared" ca="1" si="15"/>
        <v>475</v>
      </c>
      <c r="O86" s="2088">
        <f>+'Consor. vias caribe'!B33</f>
        <v>75301989.523514643</v>
      </c>
      <c r="P86" s="273">
        <v>0</v>
      </c>
      <c r="Q86" s="273">
        <f>+'Consor. vias caribe'!B34</f>
        <v>65381411.290000007</v>
      </c>
      <c r="R86" s="2088">
        <f t="shared" si="16"/>
        <v>140683400.81351465</v>
      </c>
      <c r="S86" s="274">
        <v>45017</v>
      </c>
      <c r="T86" s="2025"/>
      <c r="U86" s="289">
        <v>2022</v>
      </c>
      <c r="V86" s="289"/>
      <c r="W86" s="1912"/>
    </row>
    <row r="87" spans="1:23" s="36" customFormat="1" ht="78.75" customHeight="1">
      <c r="A87" s="268">
        <f t="shared" si="13"/>
        <v>85</v>
      </c>
      <c r="B87" s="284" t="s">
        <v>2380</v>
      </c>
      <c r="C87" s="432"/>
      <c r="D87" s="2329" t="s">
        <v>2128</v>
      </c>
      <c r="E87" s="269" t="s">
        <v>1918</v>
      </c>
      <c r="F87" s="269" t="s">
        <v>1057</v>
      </c>
      <c r="G87" s="412" t="s">
        <v>2381</v>
      </c>
      <c r="H87" s="412" t="s">
        <v>2382</v>
      </c>
      <c r="I87" s="412" t="s">
        <v>1802</v>
      </c>
      <c r="J87" s="342">
        <v>44421</v>
      </c>
      <c r="K87" s="342">
        <v>44608</v>
      </c>
      <c r="L87" s="342">
        <v>44911</v>
      </c>
      <c r="M87" s="37"/>
      <c r="N87" s="458">
        <f t="shared" ca="1" si="15"/>
        <v>463</v>
      </c>
      <c r="O87" s="2088">
        <f>+'Luis Gutierrez'!C329</f>
        <v>1043680180.61</v>
      </c>
      <c r="P87" s="273">
        <f>+'Luis Gutierrez'!C331+'Luis Gutierrez'!C332</f>
        <v>20435508.070909098</v>
      </c>
      <c r="Q87" s="273">
        <f>+'Luis Gutierrez'!C330</f>
        <v>194345673.94999999</v>
      </c>
      <c r="R87" s="2088">
        <f t="shared" si="16"/>
        <v>1258461362.6309092</v>
      </c>
      <c r="S87" s="2530">
        <v>44986</v>
      </c>
      <c r="T87" s="1892" t="s">
        <v>2383</v>
      </c>
      <c r="U87" s="289">
        <v>2021</v>
      </c>
      <c r="V87" s="289"/>
      <c r="W87" s="1700" t="s">
        <v>2384</v>
      </c>
    </row>
    <row r="88" spans="1:23" s="36" customFormat="1" ht="78.75" customHeight="1">
      <c r="A88" s="268">
        <f t="shared" si="13"/>
        <v>86</v>
      </c>
      <c r="B88" s="284" t="s">
        <v>1834</v>
      </c>
      <c r="C88" s="2442"/>
      <c r="D88" s="269" t="s">
        <v>2128</v>
      </c>
      <c r="E88" s="269" t="s">
        <v>1918</v>
      </c>
      <c r="F88" s="269" t="s">
        <v>1057</v>
      </c>
      <c r="G88" s="412" t="s">
        <v>1835</v>
      </c>
      <c r="H88" s="412" t="s">
        <v>2349</v>
      </c>
      <c r="I88" s="1896" t="s">
        <v>2385</v>
      </c>
      <c r="J88" s="342">
        <v>43875</v>
      </c>
      <c r="K88" s="342">
        <v>44614</v>
      </c>
      <c r="L88" s="342">
        <v>44917</v>
      </c>
      <c r="M88" s="342">
        <v>44628</v>
      </c>
      <c r="N88" s="458">
        <f t="shared" ca="1" si="15"/>
        <v>457</v>
      </c>
      <c r="O88" s="2088">
        <f>+'Jesus Mercado Caballero'!E26</f>
        <v>450000000</v>
      </c>
      <c r="P88" s="1713"/>
      <c r="Q88" s="273">
        <f>+'Jesus Mercado Caballero'!D306</f>
        <v>120665520.22000001</v>
      </c>
      <c r="R88" s="2088">
        <f t="shared" si="16"/>
        <v>570665520.22000003</v>
      </c>
      <c r="S88" s="274">
        <v>45017</v>
      </c>
      <c r="T88" s="2"/>
      <c r="U88" s="189">
        <v>2022</v>
      </c>
      <c r="V88" s="189"/>
      <c r="W88" s="1714" t="s">
        <v>2386</v>
      </c>
    </row>
    <row r="89" spans="1:23" s="36" customFormat="1" ht="78.75" customHeight="1">
      <c r="A89" s="268">
        <f t="shared" si="13"/>
        <v>87</v>
      </c>
      <c r="B89" s="284" t="s">
        <v>2387</v>
      </c>
      <c r="C89" s="322" t="s">
        <v>2388</v>
      </c>
      <c r="D89" s="269" t="s">
        <v>2128</v>
      </c>
      <c r="E89" s="269" t="s">
        <v>1918</v>
      </c>
      <c r="F89" s="269" t="s">
        <v>851</v>
      </c>
      <c r="G89" s="412" t="s">
        <v>2389</v>
      </c>
      <c r="H89" s="1896" t="s">
        <v>2390</v>
      </c>
      <c r="I89" s="1896" t="s">
        <v>2391</v>
      </c>
      <c r="J89" s="342">
        <v>44686</v>
      </c>
      <c r="K89" s="342">
        <v>44700</v>
      </c>
      <c r="L89" s="342">
        <v>45004</v>
      </c>
      <c r="M89" s="342"/>
      <c r="N89" s="458">
        <f t="shared" ca="1" si="15"/>
        <v>371</v>
      </c>
      <c r="O89" s="2088">
        <v>1155190069</v>
      </c>
      <c r="P89" s="1713"/>
      <c r="Q89" s="273"/>
      <c r="R89" s="2088">
        <f t="shared" si="16"/>
        <v>1155190069</v>
      </c>
      <c r="S89" s="274"/>
      <c r="T89" s="2"/>
      <c r="U89" s="189"/>
      <c r="V89" s="189"/>
      <c r="W89" s="1714"/>
    </row>
    <row r="90" spans="1:23" s="36" customFormat="1" ht="50.25" customHeight="1">
      <c r="A90" s="268">
        <f t="shared" si="13"/>
        <v>88</v>
      </c>
      <c r="B90" s="284" t="s">
        <v>1855</v>
      </c>
      <c r="C90" s="284"/>
      <c r="D90" s="269" t="s">
        <v>2128</v>
      </c>
      <c r="E90" s="269" t="s">
        <v>1918</v>
      </c>
      <c r="F90" s="269" t="s">
        <v>1057</v>
      </c>
      <c r="G90" s="412" t="s">
        <v>2392</v>
      </c>
      <c r="H90" s="412" t="s">
        <v>2393</v>
      </c>
      <c r="I90" s="1896" t="s">
        <v>2394</v>
      </c>
      <c r="J90" s="414">
        <v>44239</v>
      </c>
      <c r="K90" s="414">
        <v>44784</v>
      </c>
      <c r="L90" s="414">
        <v>45088</v>
      </c>
      <c r="M90" s="2319"/>
      <c r="N90" s="458">
        <f t="shared" ca="1" si="15"/>
        <v>287</v>
      </c>
      <c r="O90" s="2088">
        <v>219545704.31</v>
      </c>
      <c r="P90" s="2088">
        <v>15368199</v>
      </c>
      <c r="Q90" s="2088">
        <f>+'Inmobiliaria Cart 2021'!D26</f>
        <v>16233415.689999999</v>
      </c>
      <c r="R90" s="2088">
        <f t="shared" si="16"/>
        <v>251147319</v>
      </c>
      <c r="S90" s="274">
        <v>45017</v>
      </c>
      <c r="T90" s="2326" t="s">
        <v>2395</v>
      </c>
      <c r="U90" s="289">
        <v>2022</v>
      </c>
      <c r="V90" s="289"/>
      <c r="W90" s="1700"/>
    </row>
    <row r="91" spans="1:23" s="36" customFormat="1" ht="32.25" customHeight="1">
      <c r="A91" s="268">
        <f t="shared" si="13"/>
        <v>89</v>
      </c>
      <c r="B91" s="290" t="s">
        <v>2396</v>
      </c>
      <c r="C91" s="322" t="s">
        <v>2397</v>
      </c>
      <c r="D91" s="269" t="s">
        <v>1954</v>
      </c>
      <c r="E91" s="269" t="s">
        <v>1918</v>
      </c>
      <c r="F91" s="290" t="s">
        <v>1923</v>
      </c>
      <c r="G91" s="114" t="s">
        <v>2398</v>
      </c>
      <c r="H91" s="270" t="s">
        <v>2080</v>
      </c>
      <c r="I91" s="1897"/>
      <c r="J91" s="271">
        <v>39853</v>
      </c>
      <c r="K91" s="423"/>
      <c r="L91" s="421"/>
      <c r="M91" s="421"/>
      <c r="N91" s="458">
        <f ca="1">+_xlfn.DAYS('RESUMEN LIQUIDACION SANEAMIENTO'!$Y$2,J91)</f>
        <v>5218</v>
      </c>
      <c r="O91" s="2088">
        <f>+'Inversiones Cesareo'!E10</f>
        <v>11083600000</v>
      </c>
      <c r="P91" s="146">
        <v>0</v>
      </c>
      <c r="Q91" s="422">
        <v>0</v>
      </c>
      <c r="R91" s="2088">
        <f t="shared" si="16"/>
        <v>11083600000</v>
      </c>
      <c r="S91" s="1541" t="s">
        <v>2193</v>
      </c>
      <c r="T91" s="306" t="s">
        <v>2399</v>
      </c>
      <c r="U91" s="289">
        <v>2010</v>
      </c>
      <c r="V91" s="289"/>
      <c r="W91" s="1912" t="s">
        <v>2400</v>
      </c>
    </row>
    <row r="92" spans="1:23" s="1761" customFormat="1" ht="41.25" customHeight="1">
      <c r="A92" s="268">
        <f t="shared" si="13"/>
        <v>90</v>
      </c>
      <c r="B92" s="284" t="s">
        <v>2401</v>
      </c>
      <c r="C92" s="284"/>
      <c r="D92" s="269" t="s">
        <v>1129</v>
      </c>
      <c r="E92" s="269" t="s">
        <v>1918</v>
      </c>
      <c r="F92" s="290" t="s">
        <v>1926</v>
      </c>
      <c r="G92" s="322" t="s">
        <v>2402</v>
      </c>
      <c r="H92" s="412" t="s">
        <v>2403</v>
      </c>
      <c r="I92" s="1902" t="s">
        <v>2404</v>
      </c>
      <c r="J92" s="342">
        <v>43529</v>
      </c>
      <c r="K92" s="342"/>
      <c r="L92" s="339"/>
      <c r="M92" s="339"/>
      <c r="N92" s="458">
        <f t="shared" ref="N92:N98" ca="1" si="17">+_xlfn.DAYS($Y$2,K92)</f>
        <v>45071</v>
      </c>
      <c r="O92" s="2370">
        <f>+'Carlos Ayola'!B115</f>
        <v>258919444</v>
      </c>
      <c r="P92" s="273">
        <f>+'Carlos Ayola (auto que aprueba)'!B135</f>
        <v>78324827.644000009</v>
      </c>
      <c r="Q92" s="273">
        <f>+'Carlos Ayola (auto que aprueba)'!B134</f>
        <v>524328832.44000006</v>
      </c>
      <c r="R92" s="2088">
        <f>SUM(O92:Q92)</f>
        <v>861573104.08400011</v>
      </c>
      <c r="S92" s="274">
        <v>45017</v>
      </c>
      <c r="T92" s="290" t="s">
        <v>2405</v>
      </c>
      <c r="U92" s="289">
        <v>2021</v>
      </c>
      <c r="V92" s="289"/>
      <c r="W92" s="1760" t="s">
        <v>2406</v>
      </c>
    </row>
    <row r="93" spans="1:23" ht="39.950000000000003" customHeight="1">
      <c r="A93" s="268">
        <f t="shared" si="13"/>
        <v>91</v>
      </c>
      <c r="B93" s="290" t="s">
        <v>2407</v>
      </c>
      <c r="C93" s="290"/>
      <c r="D93" s="269" t="s">
        <v>1954</v>
      </c>
      <c r="E93" s="269" t="s">
        <v>1918</v>
      </c>
      <c r="F93" s="269" t="s">
        <v>851</v>
      </c>
      <c r="G93" s="412" t="s">
        <v>2408</v>
      </c>
      <c r="H93" s="269" t="s">
        <v>2409</v>
      </c>
      <c r="I93" s="1896" t="s">
        <v>2410</v>
      </c>
      <c r="J93" s="342">
        <v>44253</v>
      </c>
      <c r="K93" s="342">
        <v>44301</v>
      </c>
      <c r="L93" s="342">
        <v>44607</v>
      </c>
      <c r="M93" s="339"/>
      <c r="N93" s="458">
        <f t="shared" ca="1" si="17"/>
        <v>770</v>
      </c>
      <c r="O93" s="2088">
        <v>0</v>
      </c>
      <c r="P93" s="273">
        <v>0</v>
      </c>
      <c r="Q93" s="273">
        <v>0</v>
      </c>
      <c r="R93" s="2088">
        <f t="shared" si="16"/>
        <v>0</v>
      </c>
      <c r="S93" s="1541" t="s">
        <v>2193</v>
      </c>
      <c r="T93" s="2213" t="s">
        <v>2411</v>
      </c>
      <c r="U93" s="289">
        <v>2021</v>
      </c>
      <c r="V93" s="289"/>
      <c r="W93" s="1760" t="s">
        <v>2412</v>
      </c>
    </row>
    <row r="94" spans="1:23" s="36" customFormat="1" ht="39" customHeight="1">
      <c r="A94" s="268">
        <f t="shared" si="13"/>
        <v>92</v>
      </c>
      <c r="B94" s="284" t="s">
        <v>2413</v>
      </c>
      <c r="C94" s="284">
        <v>33156035</v>
      </c>
      <c r="D94" s="269" t="s">
        <v>2128</v>
      </c>
      <c r="E94" s="269" t="s">
        <v>1918</v>
      </c>
      <c r="F94" s="269" t="s">
        <v>851</v>
      </c>
      <c r="G94" s="412" t="s">
        <v>2414</v>
      </c>
      <c r="H94" s="412" t="s">
        <v>2415</v>
      </c>
      <c r="I94" s="1896" t="s">
        <v>2371</v>
      </c>
      <c r="J94" s="414">
        <v>42510</v>
      </c>
      <c r="K94" s="2320"/>
      <c r="L94" s="2320"/>
      <c r="M94" s="2320"/>
      <c r="N94" s="458">
        <f t="shared" ca="1" si="17"/>
        <v>45071</v>
      </c>
      <c r="O94" s="2371"/>
      <c r="P94" s="2320"/>
      <c r="Q94" s="2320"/>
      <c r="R94" s="2088">
        <f t="shared" si="16"/>
        <v>0</v>
      </c>
      <c r="S94" s="1541" t="s">
        <v>2372</v>
      </c>
      <c r="U94" s="289">
        <v>2017</v>
      </c>
      <c r="V94" s="289"/>
      <c r="W94" s="1701" t="s">
        <v>2416</v>
      </c>
    </row>
    <row r="95" spans="1:23" s="36" customFormat="1" ht="59.25" customHeight="1">
      <c r="A95" s="268">
        <f t="shared" si="13"/>
        <v>93</v>
      </c>
      <c r="B95" s="284" t="s">
        <v>2417</v>
      </c>
      <c r="C95" s="284"/>
      <c r="D95" s="269" t="s">
        <v>2128</v>
      </c>
      <c r="E95" s="269" t="s">
        <v>1918</v>
      </c>
      <c r="F95" s="269" t="s">
        <v>851</v>
      </c>
      <c r="G95" s="412" t="s">
        <v>2418</v>
      </c>
      <c r="H95" s="2320"/>
      <c r="I95" s="1896" t="s">
        <v>2371</v>
      </c>
      <c r="J95" s="414">
        <v>41411</v>
      </c>
      <c r="K95" s="2320"/>
      <c r="L95" s="2320"/>
      <c r="M95" s="2320"/>
      <c r="N95" s="458">
        <f t="shared" ca="1" si="17"/>
        <v>45071</v>
      </c>
      <c r="O95" s="2371"/>
      <c r="P95" s="2320"/>
      <c r="Q95" s="2320"/>
      <c r="R95" s="2088">
        <f t="shared" si="16"/>
        <v>0</v>
      </c>
      <c r="S95" s="1541" t="s">
        <v>2193</v>
      </c>
      <c r="T95" s="1942" t="s">
        <v>2419</v>
      </c>
      <c r="U95" s="289">
        <v>2014</v>
      </c>
      <c r="V95" s="289"/>
      <c r="W95" s="1701" t="s">
        <v>2420</v>
      </c>
    </row>
    <row r="96" spans="1:23" s="36" customFormat="1" ht="75.75" customHeight="1">
      <c r="A96" s="268">
        <f t="shared" si="13"/>
        <v>94</v>
      </c>
      <c r="B96" s="284" t="s">
        <v>2421</v>
      </c>
      <c r="C96" s="284"/>
      <c r="D96" s="2319"/>
      <c r="E96" s="269" t="s">
        <v>1918</v>
      </c>
      <c r="F96" s="269" t="s">
        <v>851</v>
      </c>
      <c r="G96" s="412" t="s">
        <v>2422</v>
      </c>
      <c r="H96" s="412" t="s">
        <v>2423</v>
      </c>
      <c r="I96" s="1896" t="s">
        <v>2424</v>
      </c>
      <c r="J96" s="2321">
        <v>41354</v>
      </c>
      <c r="K96" s="423"/>
      <c r="L96" s="2320"/>
      <c r="M96" s="2319"/>
      <c r="N96" s="458">
        <f t="shared" ca="1" si="17"/>
        <v>45071</v>
      </c>
      <c r="O96" s="2372"/>
      <c r="P96" s="2319"/>
      <c r="Q96" s="2319"/>
      <c r="R96" s="2088">
        <f t="shared" si="16"/>
        <v>0</v>
      </c>
      <c r="S96" s="1541" t="s">
        <v>2193</v>
      </c>
      <c r="T96" s="2325" t="s">
        <v>2425</v>
      </c>
      <c r="U96" s="289">
        <v>2003</v>
      </c>
      <c r="V96" s="289"/>
      <c r="W96" s="1700" t="s">
        <v>2426</v>
      </c>
    </row>
    <row r="97" spans="1:24" ht="89.25">
      <c r="A97" s="268">
        <f t="shared" si="13"/>
        <v>95</v>
      </c>
      <c r="B97" s="284" t="s">
        <v>1407</v>
      </c>
      <c r="C97" s="284"/>
      <c r="D97" s="269" t="s">
        <v>2128</v>
      </c>
      <c r="E97" s="269" t="s">
        <v>1918</v>
      </c>
      <c r="F97" s="269" t="s">
        <v>1057</v>
      </c>
      <c r="G97" s="412" t="s">
        <v>1408</v>
      </c>
      <c r="H97" s="412" t="s">
        <v>2306</v>
      </c>
      <c r="I97" s="412" t="s">
        <v>1802</v>
      </c>
      <c r="J97" s="342">
        <v>43088</v>
      </c>
      <c r="K97" s="423"/>
      <c r="L97" s="2320"/>
      <c r="M97" s="2319"/>
      <c r="N97" s="458">
        <f t="shared" ca="1" si="17"/>
        <v>45071</v>
      </c>
      <c r="O97" s="2088">
        <f>+'Margarita Sanchez'!B30</f>
        <v>217702856.01703569</v>
      </c>
      <c r="P97" s="2414"/>
      <c r="Q97" s="2414"/>
      <c r="R97" s="2088">
        <f t="shared" si="16"/>
        <v>217702856.01703569</v>
      </c>
      <c r="S97" s="274">
        <v>44958</v>
      </c>
      <c r="T97" s="2327" t="s">
        <v>2427</v>
      </c>
      <c r="U97" s="275">
        <v>2018</v>
      </c>
      <c r="V97" s="275"/>
      <c r="W97" s="1700" t="s">
        <v>2428</v>
      </c>
    </row>
    <row r="98" spans="1:24" ht="57" customHeight="1">
      <c r="A98" s="268">
        <f t="shared" si="13"/>
        <v>96</v>
      </c>
      <c r="B98" s="284" t="s">
        <v>1466</v>
      </c>
      <c r="C98" s="2322" t="s">
        <v>2150</v>
      </c>
      <c r="D98" s="269" t="s">
        <v>2128</v>
      </c>
      <c r="E98" s="269" t="s">
        <v>1918</v>
      </c>
      <c r="F98" s="269" t="s">
        <v>1467</v>
      </c>
      <c r="H98" s="269" t="s">
        <v>1468</v>
      </c>
      <c r="I98" s="1896" t="s">
        <v>2429</v>
      </c>
      <c r="J98" s="342">
        <v>44293</v>
      </c>
      <c r="K98" s="1757"/>
      <c r="L98" s="1758"/>
      <c r="M98" s="1758"/>
      <c r="N98" s="458">
        <f t="shared" ca="1" si="17"/>
        <v>45071</v>
      </c>
      <c r="O98" s="2088">
        <v>479899395</v>
      </c>
      <c r="P98" s="273">
        <v>9085260</v>
      </c>
      <c r="Q98" s="273">
        <f>+'consorcio vial barú'!H39</f>
        <v>136364137.91839984</v>
      </c>
      <c r="R98" s="2088">
        <f t="shared" si="16"/>
        <v>625348792.91839981</v>
      </c>
      <c r="S98" s="274">
        <v>45017</v>
      </c>
      <c r="T98" s="1759"/>
      <c r="U98" s="289">
        <v>2022</v>
      </c>
      <c r="V98" s="289"/>
      <c r="W98" s="1760" t="s">
        <v>2430</v>
      </c>
    </row>
    <row r="99" spans="1:24" ht="50.1" customHeight="1">
      <c r="A99" s="268">
        <f t="shared" si="13"/>
        <v>97</v>
      </c>
      <c r="B99" s="284" t="s">
        <v>2431</v>
      </c>
      <c r="C99" s="1625"/>
      <c r="D99" s="269" t="s">
        <v>2128</v>
      </c>
      <c r="E99" s="269" t="s">
        <v>1918</v>
      </c>
      <c r="F99" s="269" t="s">
        <v>851</v>
      </c>
      <c r="G99" s="412" t="s">
        <v>2432</v>
      </c>
      <c r="H99" s="412" t="s">
        <v>2433</v>
      </c>
      <c r="I99" s="1896" t="s">
        <v>2434</v>
      </c>
      <c r="J99" s="342">
        <v>44484</v>
      </c>
      <c r="K99" s="342"/>
      <c r="L99" s="1626"/>
      <c r="M99" s="1626"/>
      <c r="N99" s="458"/>
      <c r="O99" s="2369"/>
      <c r="P99" s="1626"/>
      <c r="Q99" s="1538"/>
      <c r="R99" s="2088">
        <f t="shared" si="16"/>
        <v>0</v>
      </c>
      <c r="S99" s="274" t="s">
        <v>2358</v>
      </c>
      <c r="T99" s="1893" t="s">
        <v>2435</v>
      </c>
      <c r="U99" s="289">
        <v>2022</v>
      </c>
      <c r="V99" s="289"/>
      <c r="W99" s="1700"/>
    </row>
    <row r="100" spans="1:24" ht="114.75">
      <c r="A100" s="268">
        <f t="shared" si="13"/>
        <v>98</v>
      </c>
      <c r="B100" s="284" t="s">
        <v>2436</v>
      </c>
      <c r="C100" s="1712"/>
      <c r="D100" s="269" t="s">
        <v>2128</v>
      </c>
      <c r="E100" s="269" t="s">
        <v>1918</v>
      </c>
      <c r="F100" s="269" t="s">
        <v>1057</v>
      </c>
      <c r="G100" s="412" t="s">
        <v>2437</v>
      </c>
      <c r="H100" s="412" t="s">
        <v>2438</v>
      </c>
      <c r="I100" s="1908"/>
      <c r="J100" s="2127">
        <v>38656</v>
      </c>
      <c r="K100" s="1867"/>
      <c r="L100" s="1712"/>
      <c r="M100" s="145"/>
      <c r="N100" s="458">
        <f ca="1">+_xlfn.DAYS($Y$2,K100)</f>
        <v>45071</v>
      </c>
      <c r="O100" s="2368"/>
      <c r="P100" s="1713"/>
      <c r="Q100" s="145"/>
      <c r="R100" s="2088">
        <f t="shared" si="16"/>
        <v>0</v>
      </c>
      <c r="S100" s="1541" t="s">
        <v>2193</v>
      </c>
      <c r="T100" s="1880" t="s">
        <v>2439</v>
      </c>
      <c r="U100" s="189">
        <v>2003</v>
      </c>
      <c r="V100" s="189"/>
      <c r="W100" s="1714" t="s">
        <v>2440</v>
      </c>
    </row>
    <row r="101" spans="1:24" ht="114.75">
      <c r="A101" s="268">
        <f t="shared" si="13"/>
        <v>99</v>
      </c>
      <c r="B101" s="284" t="s">
        <v>2441</v>
      </c>
      <c r="C101" s="1712"/>
      <c r="D101" s="269" t="s">
        <v>2128</v>
      </c>
      <c r="E101" s="269" t="s">
        <v>1918</v>
      </c>
      <c r="F101" s="269" t="s">
        <v>851</v>
      </c>
      <c r="G101" s="412" t="s">
        <v>2442</v>
      </c>
      <c r="H101" s="412" t="s">
        <v>2443</v>
      </c>
      <c r="I101" s="412" t="s">
        <v>2444</v>
      </c>
      <c r="J101" s="342">
        <v>43872</v>
      </c>
      <c r="K101" s="1867"/>
      <c r="L101" s="1712"/>
      <c r="M101" s="145"/>
      <c r="N101" s="458">
        <f ca="1">+_xlfn.DAYS($Y$2,K101)</f>
        <v>45071</v>
      </c>
      <c r="O101" s="2368"/>
      <c r="P101" s="1713"/>
      <c r="Q101" s="145"/>
      <c r="R101" s="2088">
        <f t="shared" si="16"/>
        <v>0</v>
      </c>
      <c r="S101" s="1541" t="s">
        <v>2193</v>
      </c>
      <c r="T101" s="1879" t="s">
        <v>2445</v>
      </c>
      <c r="U101" s="289">
        <v>2021</v>
      </c>
      <c r="V101" s="2534"/>
      <c r="W101" s="2391" t="s">
        <v>2446</v>
      </c>
    </row>
    <row r="102" spans="1:24" ht="89.25">
      <c r="A102" s="268">
        <f t="shared" si="13"/>
        <v>100</v>
      </c>
      <c r="B102" s="284" t="s">
        <v>1460</v>
      </c>
      <c r="C102" s="1712"/>
      <c r="D102" s="269" t="s">
        <v>2128</v>
      </c>
      <c r="E102" s="269" t="s">
        <v>1918</v>
      </c>
      <c r="F102" s="269" t="s">
        <v>1057</v>
      </c>
      <c r="G102" s="412" t="s">
        <v>1461</v>
      </c>
      <c r="H102" s="412" t="s">
        <v>2080</v>
      </c>
      <c r="I102" s="412" t="s">
        <v>2447</v>
      </c>
      <c r="J102" s="342">
        <v>44377</v>
      </c>
      <c r="K102" s="1867"/>
      <c r="L102" s="1712"/>
      <c r="M102" s="145"/>
      <c r="N102" s="458">
        <f ca="1">+_xlfn.DAYS($Y$2,K102)</f>
        <v>45071</v>
      </c>
      <c r="O102" s="2088">
        <f>+'Ines Visbal'!B13</f>
        <v>27255780</v>
      </c>
      <c r="P102" s="1713"/>
      <c r="Q102" s="145"/>
      <c r="R102" s="2088">
        <f t="shared" si="16"/>
        <v>27255780</v>
      </c>
      <c r="S102" s="1541" t="s">
        <v>2193</v>
      </c>
      <c r="T102" s="1879" t="s">
        <v>2448</v>
      </c>
      <c r="U102" s="289">
        <v>2022</v>
      </c>
      <c r="V102" s="2534"/>
      <c r="W102" s="2391" t="s">
        <v>2449</v>
      </c>
    </row>
    <row r="103" spans="1:24" ht="89.25">
      <c r="A103" s="268">
        <f t="shared" si="13"/>
        <v>101</v>
      </c>
      <c r="B103" s="284" t="s">
        <v>2450</v>
      </c>
      <c r="C103" s="1712"/>
      <c r="D103" s="269" t="s">
        <v>2128</v>
      </c>
      <c r="E103" s="269" t="s">
        <v>1918</v>
      </c>
      <c r="F103" s="269" t="s">
        <v>1057</v>
      </c>
      <c r="G103" s="412" t="s">
        <v>2451</v>
      </c>
      <c r="H103" s="412" t="s">
        <v>2452</v>
      </c>
      <c r="I103" s="412" t="s">
        <v>2453</v>
      </c>
      <c r="J103" s="342">
        <v>44650</v>
      </c>
      <c r="K103" s="1936"/>
      <c r="L103" s="1712"/>
      <c r="M103" s="145"/>
      <c r="N103" s="458">
        <f ca="1">+_xlfn.DAYS($Y$2,K103)</f>
        <v>45071</v>
      </c>
      <c r="O103" s="2088">
        <v>50000000</v>
      </c>
      <c r="P103" s="1713"/>
      <c r="Q103" s="145"/>
      <c r="R103" s="2088">
        <f t="shared" si="16"/>
        <v>50000000</v>
      </c>
      <c r="S103" s="1712"/>
      <c r="T103" s="2"/>
      <c r="U103" s="289">
        <v>2023</v>
      </c>
      <c r="V103" s="2534"/>
      <c r="W103" s="2391" t="s">
        <v>2454</v>
      </c>
    </row>
    <row r="104" spans="1:24" ht="157.5">
      <c r="A104" s="268">
        <f t="shared" si="13"/>
        <v>102</v>
      </c>
      <c r="B104" s="284" t="s">
        <v>2455</v>
      </c>
      <c r="C104" s="1712"/>
      <c r="D104" s="269" t="s">
        <v>2128</v>
      </c>
      <c r="E104" s="269" t="s">
        <v>1918</v>
      </c>
      <c r="F104" s="269" t="s">
        <v>1926</v>
      </c>
      <c r="G104" s="412" t="s">
        <v>2456</v>
      </c>
      <c r="H104" s="412" t="s">
        <v>2457</v>
      </c>
      <c r="I104" s="412" t="s">
        <v>2458</v>
      </c>
      <c r="J104" s="342">
        <v>44393</v>
      </c>
      <c r="K104" s="342">
        <v>44599</v>
      </c>
      <c r="L104" s="342">
        <v>44902</v>
      </c>
      <c r="M104" s="2381"/>
      <c r="N104" s="458">
        <f t="shared" ref="N104:N106" ca="1" si="18">+_xlfn.DAYS($Y$2,K104)</f>
        <v>472</v>
      </c>
      <c r="O104" s="2088">
        <v>35901123</v>
      </c>
      <c r="P104" s="1713"/>
      <c r="Q104" s="145"/>
      <c r="R104" s="2088">
        <f t="shared" si="16"/>
        <v>35901123</v>
      </c>
      <c r="S104" s="1712"/>
      <c r="T104" s="196" t="s">
        <v>2459</v>
      </c>
      <c r="U104" s="289">
        <v>2022</v>
      </c>
      <c r="V104" s="2534"/>
      <c r="W104" s="2391" t="s">
        <v>2460</v>
      </c>
    </row>
    <row r="105" spans="1:24" ht="100.5" customHeight="1">
      <c r="A105" s="268">
        <f t="shared" si="13"/>
        <v>103</v>
      </c>
      <c r="B105" s="284" t="s">
        <v>2461</v>
      </c>
      <c r="C105" s="1712"/>
      <c r="D105" s="269" t="s">
        <v>2128</v>
      </c>
      <c r="E105" s="269" t="s">
        <v>1918</v>
      </c>
      <c r="F105" s="290" t="s">
        <v>1924</v>
      </c>
      <c r="G105" s="412" t="s">
        <v>2462</v>
      </c>
      <c r="H105" s="412" t="s">
        <v>2463</v>
      </c>
      <c r="I105" s="2193" t="s">
        <v>2464</v>
      </c>
      <c r="J105" s="342">
        <v>44456</v>
      </c>
      <c r="K105" s="1867"/>
      <c r="L105" s="1712"/>
      <c r="M105" s="145"/>
      <c r="N105" s="458">
        <f t="shared" ca="1" si="18"/>
        <v>45071</v>
      </c>
      <c r="O105" s="2368">
        <v>52107578</v>
      </c>
      <c r="P105" s="1715">
        <v>0</v>
      </c>
      <c r="Q105" s="1715">
        <v>0</v>
      </c>
      <c r="R105" s="2088">
        <f t="shared" si="16"/>
        <v>52107578</v>
      </c>
      <c r="S105" s="1712"/>
      <c r="T105" s="2"/>
      <c r="U105" s="289">
        <v>2022</v>
      </c>
      <c r="V105" s="2534"/>
      <c r="W105" s="2392"/>
    </row>
    <row r="106" spans="1:24" ht="31.5">
      <c r="A106" s="268">
        <f t="shared" si="13"/>
        <v>104</v>
      </c>
      <c r="B106" s="284" t="s">
        <v>2465</v>
      </c>
      <c r="C106" s="284"/>
      <c r="D106" s="284" t="s">
        <v>2128</v>
      </c>
      <c r="E106" s="284" t="s">
        <v>1918</v>
      </c>
      <c r="F106" s="284" t="s">
        <v>1057</v>
      </c>
      <c r="G106" s="284" t="s">
        <v>2466</v>
      </c>
      <c r="H106" s="284" t="s">
        <v>2467</v>
      </c>
      <c r="I106" s="1908"/>
      <c r="J106" s="342">
        <v>44687</v>
      </c>
      <c r="K106" s="1867"/>
      <c r="L106" s="1712"/>
      <c r="M106" s="145"/>
      <c r="N106" s="458">
        <f t="shared" ca="1" si="18"/>
        <v>45071</v>
      </c>
      <c r="O106" s="2368"/>
      <c r="P106" s="1713"/>
      <c r="Q106" s="145"/>
      <c r="R106" s="2088">
        <f t="shared" si="16"/>
        <v>0</v>
      </c>
      <c r="S106" s="1712"/>
      <c r="T106" s="2"/>
      <c r="U106" s="289">
        <v>2023</v>
      </c>
      <c r="V106" s="2534"/>
      <c r="W106" s="2392"/>
    </row>
    <row r="107" spans="1:24" ht="27.75" hidden="1" customHeight="1">
      <c r="A107" s="268">
        <f t="shared" ref="A107:A123" si="19">ROW(A105)</f>
        <v>105</v>
      </c>
      <c r="B107" s="290" t="s">
        <v>2468</v>
      </c>
      <c r="C107" s="1712"/>
      <c r="D107" s="269" t="s">
        <v>1129</v>
      </c>
      <c r="E107" s="269" t="s">
        <v>1955</v>
      </c>
      <c r="F107" s="290" t="s">
        <v>1926</v>
      </c>
      <c r="G107" s="291" t="s">
        <v>2469</v>
      </c>
      <c r="H107" s="1903" t="s">
        <v>2470</v>
      </c>
      <c r="I107" s="290" t="s">
        <v>2471</v>
      </c>
      <c r="J107" s="310">
        <v>43683</v>
      </c>
      <c r="K107" s="310"/>
      <c r="L107" s="310"/>
      <c r="M107" s="310">
        <v>44602</v>
      </c>
      <c r="N107" s="145"/>
      <c r="O107" s="2088">
        <f>+'Gloria Monsalve'!B34</f>
        <v>22361979</v>
      </c>
      <c r="P107" s="2088">
        <v>1118098.05</v>
      </c>
      <c r="Q107" s="2088">
        <f>+'Gloria Monsalve'!B36+'Gloria Monsalve'!B35</f>
        <v>6919187.8096441496</v>
      </c>
      <c r="R107" s="2088">
        <f t="shared" si="16"/>
        <v>30399264.859644152</v>
      </c>
      <c r="S107" s="2521">
        <v>44896</v>
      </c>
      <c r="T107" s="2"/>
      <c r="U107" s="2376" t="s">
        <v>740</v>
      </c>
      <c r="V107" s="2535"/>
      <c r="W107" s="2392"/>
    </row>
    <row r="108" spans="1:24" ht="92.25" customHeight="1">
      <c r="A108" s="268">
        <f t="shared" si="19"/>
        <v>106</v>
      </c>
      <c r="B108" s="284" t="s">
        <v>2472</v>
      </c>
      <c r="C108" s="1712"/>
      <c r="D108" s="284" t="s">
        <v>2128</v>
      </c>
      <c r="E108" s="284" t="s">
        <v>1918</v>
      </c>
      <c r="F108" s="2393" t="s">
        <v>851</v>
      </c>
      <c r="G108" s="2393" t="s">
        <v>2473</v>
      </c>
      <c r="H108" s="2393" t="s">
        <v>2474</v>
      </c>
      <c r="I108" s="2193" t="s">
        <v>2475</v>
      </c>
      <c r="J108" s="342">
        <v>44498</v>
      </c>
      <c r="K108" s="342">
        <v>44607</v>
      </c>
      <c r="L108" s="342">
        <v>44910</v>
      </c>
      <c r="M108" s="342">
        <v>44998</v>
      </c>
      <c r="N108" s="458">
        <f ca="1">+_xlfn.DAYS($Y$2,K108)</f>
        <v>464</v>
      </c>
      <c r="O108" s="1712"/>
      <c r="P108" s="1712"/>
      <c r="Q108" s="1712"/>
      <c r="R108" s="2088">
        <f t="shared" si="16"/>
        <v>0</v>
      </c>
      <c r="S108" s="2440" t="s">
        <v>2476</v>
      </c>
      <c r="T108" s="1712"/>
      <c r="U108" s="289">
        <v>2023</v>
      </c>
      <c r="V108" s="2536"/>
      <c r="W108" s="1702"/>
      <c r="X108" s="2390" t="s">
        <v>2477</v>
      </c>
    </row>
    <row r="109" spans="1:24" ht="92.25" customHeight="1">
      <c r="A109" s="268">
        <f t="shared" si="19"/>
        <v>107</v>
      </c>
      <c r="B109" s="2393" t="s">
        <v>2478</v>
      </c>
      <c r="C109" s="1712"/>
      <c r="D109" s="284" t="s">
        <v>2128</v>
      </c>
      <c r="E109" s="284" t="s">
        <v>1918</v>
      </c>
      <c r="F109" s="2393" t="s">
        <v>851</v>
      </c>
      <c r="G109" s="2393" t="s">
        <v>2479</v>
      </c>
      <c r="H109" s="2393" t="s">
        <v>2047</v>
      </c>
      <c r="J109" s="2395">
        <v>44602</v>
      </c>
      <c r="L109" s="1712"/>
      <c r="M109" s="1712"/>
      <c r="N109" s="458">
        <f t="shared" ref="N109:N128" ca="1" si="20">+_xlfn.DAYS($Y$2,K109)</f>
        <v>45071</v>
      </c>
      <c r="O109" s="2088">
        <v>2500000000</v>
      </c>
      <c r="P109" s="1712"/>
      <c r="Q109" s="1712"/>
      <c r="R109" s="2088">
        <f t="shared" si="16"/>
        <v>2500000000</v>
      </c>
      <c r="S109" s="1712"/>
      <c r="T109" s="1712"/>
      <c r="U109" s="289">
        <v>2022</v>
      </c>
      <c r="V109" s="2536"/>
      <c r="W109" s="1702"/>
    </row>
    <row r="110" spans="1:24" ht="92.25" customHeight="1">
      <c r="A110" s="268">
        <f t="shared" si="19"/>
        <v>108</v>
      </c>
      <c r="B110" s="2393" t="s">
        <v>2478</v>
      </c>
      <c r="C110" s="1712"/>
      <c r="D110" s="284" t="s">
        <v>2128</v>
      </c>
      <c r="E110" s="284" t="s">
        <v>1918</v>
      </c>
      <c r="F110" s="2393" t="s">
        <v>851</v>
      </c>
      <c r="G110" s="2393" t="s">
        <v>2480</v>
      </c>
      <c r="H110" s="2393"/>
      <c r="I110" s="1712"/>
      <c r="J110" s="2395"/>
      <c r="K110" s="1712"/>
      <c r="L110" s="1712"/>
      <c r="M110" s="1712"/>
      <c r="N110" s="458">
        <f t="shared" ca="1" si="20"/>
        <v>45071</v>
      </c>
      <c r="O110" s="1712"/>
      <c r="P110" s="1712"/>
      <c r="Q110" s="1712"/>
      <c r="R110" s="2088">
        <f t="shared" si="16"/>
        <v>0</v>
      </c>
      <c r="S110" s="1712" t="s">
        <v>2358</v>
      </c>
      <c r="T110" s="1712"/>
      <c r="U110" s="289"/>
      <c r="V110" s="2536"/>
      <c r="W110" s="1702"/>
    </row>
    <row r="111" spans="1:24" ht="43.5" customHeight="1">
      <c r="A111" s="268">
        <f t="shared" si="19"/>
        <v>109</v>
      </c>
      <c r="B111" s="2393" t="s">
        <v>2481</v>
      </c>
      <c r="C111" s="1712"/>
      <c r="D111" s="284" t="s">
        <v>2128</v>
      </c>
      <c r="E111" s="284" t="s">
        <v>1918</v>
      </c>
      <c r="F111" s="2396" t="s">
        <v>851</v>
      </c>
      <c r="G111" s="2393" t="s">
        <v>2482</v>
      </c>
      <c r="H111" s="2393" t="s">
        <v>2474</v>
      </c>
      <c r="I111" s="1908"/>
      <c r="J111" s="2395">
        <v>44407</v>
      </c>
      <c r="K111" s="1867"/>
      <c r="L111" s="1712"/>
      <c r="M111" s="145"/>
      <c r="N111" s="458">
        <f t="shared" ca="1" si="20"/>
        <v>45071</v>
      </c>
      <c r="O111" s="1715"/>
      <c r="P111" s="1713"/>
      <c r="Q111" s="145"/>
      <c r="R111" s="2088">
        <f t="shared" si="16"/>
        <v>0</v>
      </c>
      <c r="S111" s="1712" t="s">
        <v>2358</v>
      </c>
      <c r="T111" s="2"/>
      <c r="U111" s="289">
        <v>2022</v>
      </c>
      <c r="V111" s="2536"/>
    </row>
    <row r="112" spans="1:24" ht="63.75">
      <c r="A112" s="268">
        <f t="shared" si="19"/>
        <v>110</v>
      </c>
      <c r="B112" s="2393" t="s">
        <v>2483</v>
      </c>
      <c r="C112" s="1712"/>
      <c r="D112" s="284" t="s">
        <v>2128</v>
      </c>
      <c r="E112" s="284" t="s">
        <v>1918</v>
      </c>
      <c r="F112" s="2393" t="s">
        <v>851</v>
      </c>
      <c r="G112" s="2393" t="s">
        <v>2484</v>
      </c>
      <c r="H112" s="2393" t="s">
        <v>2485</v>
      </c>
      <c r="I112" s="1908"/>
      <c r="J112" s="2395">
        <v>44650</v>
      </c>
      <c r="K112" s="1867"/>
      <c r="L112" s="1712"/>
      <c r="M112" s="145"/>
      <c r="N112" s="458">
        <f t="shared" ca="1" si="20"/>
        <v>45071</v>
      </c>
      <c r="O112" s="2088">
        <v>882000000</v>
      </c>
      <c r="P112" s="1713"/>
      <c r="Q112" s="145"/>
      <c r="R112" s="2088">
        <f t="shared" si="16"/>
        <v>882000000</v>
      </c>
      <c r="S112" s="1712" t="s">
        <v>2358</v>
      </c>
      <c r="T112" s="1879" t="s">
        <v>2486</v>
      </c>
      <c r="U112" s="289">
        <v>2022</v>
      </c>
      <c r="V112" s="2536"/>
    </row>
    <row r="113" spans="1:23" ht="38.25">
      <c r="A113" s="268">
        <f t="shared" si="19"/>
        <v>111</v>
      </c>
      <c r="B113" s="2393" t="s">
        <v>2487</v>
      </c>
      <c r="C113" s="1712"/>
      <c r="D113" s="284" t="s">
        <v>2128</v>
      </c>
      <c r="E113" s="284" t="s">
        <v>1918</v>
      </c>
      <c r="F113" s="2393" t="s">
        <v>851</v>
      </c>
      <c r="G113" s="2393" t="s">
        <v>2488</v>
      </c>
      <c r="H113" s="2393" t="s">
        <v>2467</v>
      </c>
      <c r="I113" s="1908"/>
      <c r="J113" s="2395">
        <v>44650</v>
      </c>
      <c r="K113" s="1867"/>
      <c r="L113" s="1712"/>
      <c r="M113" s="145"/>
      <c r="N113" s="458">
        <f t="shared" ca="1" si="20"/>
        <v>45071</v>
      </c>
      <c r="O113" s="2088">
        <v>0</v>
      </c>
      <c r="P113" s="2088">
        <v>828116</v>
      </c>
      <c r="Q113" s="2088">
        <v>0</v>
      </c>
      <c r="R113" s="2088">
        <f t="shared" si="16"/>
        <v>828116</v>
      </c>
      <c r="S113" s="1712"/>
      <c r="T113" s="2"/>
      <c r="U113" s="289">
        <v>2022</v>
      </c>
      <c r="V113" s="2536"/>
    </row>
    <row r="114" spans="1:23" ht="38.25">
      <c r="A114" s="268">
        <f t="shared" si="19"/>
        <v>112</v>
      </c>
      <c r="B114" s="2393" t="s">
        <v>2489</v>
      </c>
      <c r="C114" s="1712"/>
      <c r="D114" s="284" t="s">
        <v>2128</v>
      </c>
      <c r="E114" s="284" t="s">
        <v>1918</v>
      </c>
      <c r="F114" s="2393" t="s">
        <v>1925</v>
      </c>
      <c r="G114" s="2393" t="s">
        <v>2490</v>
      </c>
      <c r="H114" s="2393" t="s">
        <v>2047</v>
      </c>
      <c r="I114" s="1908"/>
      <c r="J114" s="2395">
        <v>44685</v>
      </c>
      <c r="K114" s="1867"/>
      <c r="L114" s="1712"/>
      <c r="M114" s="145"/>
      <c r="N114" s="458">
        <f t="shared" ca="1" si="20"/>
        <v>45071</v>
      </c>
      <c r="O114" s="1715"/>
      <c r="P114" s="1713"/>
      <c r="Q114" s="145"/>
      <c r="R114" s="2088">
        <f t="shared" si="16"/>
        <v>0</v>
      </c>
      <c r="S114" s="1712" t="s">
        <v>2358</v>
      </c>
      <c r="T114" s="2"/>
      <c r="U114" s="289">
        <v>2022</v>
      </c>
      <c r="V114" s="2536"/>
    </row>
    <row r="115" spans="1:23" ht="38.25">
      <c r="A115" s="268">
        <f t="shared" si="19"/>
        <v>113</v>
      </c>
      <c r="B115" s="2393" t="s">
        <v>2491</v>
      </c>
      <c r="C115" s="1712"/>
      <c r="D115" s="284" t="s">
        <v>2128</v>
      </c>
      <c r="E115" s="284" t="s">
        <v>1918</v>
      </c>
      <c r="F115" s="2393" t="s">
        <v>1057</v>
      </c>
      <c r="G115" s="2397" t="s">
        <v>2492</v>
      </c>
      <c r="H115" s="2393" t="s">
        <v>2474</v>
      </c>
      <c r="I115" s="1908"/>
      <c r="J115" s="2395">
        <v>44650</v>
      </c>
      <c r="K115" s="1867"/>
      <c r="L115" s="1712"/>
      <c r="M115" s="145"/>
      <c r="N115" s="458">
        <f t="shared" ca="1" si="20"/>
        <v>45071</v>
      </c>
      <c r="O115" s="1715"/>
      <c r="P115" s="1713"/>
      <c r="Q115" s="145"/>
      <c r="R115" s="2088">
        <f t="shared" si="16"/>
        <v>0</v>
      </c>
      <c r="S115" s="1712" t="s">
        <v>2358</v>
      </c>
      <c r="T115" s="2"/>
      <c r="U115" s="289">
        <v>2022</v>
      </c>
      <c r="V115" s="2536"/>
    </row>
    <row r="116" spans="1:23" ht="38.25">
      <c r="A116" s="268">
        <f t="shared" si="19"/>
        <v>114</v>
      </c>
      <c r="B116" s="2393" t="s">
        <v>2493</v>
      </c>
      <c r="C116" s="1712"/>
      <c r="D116" s="284" t="s">
        <v>2128</v>
      </c>
      <c r="E116" s="284" t="s">
        <v>1918</v>
      </c>
      <c r="F116" s="2393" t="s">
        <v>851</v>
      </c>
      <c r="G116" s="2393" t="s">
        <v>2494</v>
      </c>
      <c r="H116" s="2393" t="s">
        <v>2474</v>
      </c>
      <c r="I116" s="1908"/>
      <c r="J116" s="2395">
        <v>44680</v>
      </c>
      <c r="K116" s="1867"/>
      <c r="L116" s="1712"/>
      <c r="M116" s="145"/>
      <c r="N116" s="458">
        <f t="shared" ca="1" si="20"/>
        <v>45071</v>
      </c>
      <c r="O116" s="2088">
        <v>12754000</v>
      </c>
      <c r="P116" s="1713"/>
      <c r="Q116" s="145"/>
      <c r="R116" s="2088">
        <f t="shared" si="16"/>
        <v>12754000</v>
      </c>
      <c r="S116" s="2398" t="s">
        <v>2495</v>
      </c>
      <c r="T116" s="2"/>
      <c r="U116" s="289">
        <v>2022</v>
      </c>
      <c r="V116" s="2536"/>
    </row>
    <row r="117" spans="1:23" ht="38.25">
      <c r="A117" s="268">
        <f t="shared" si="19"/>
        <v>115</v>
      </c>
      <c r="B117" s="2393" t="s">
        <v>2496</v>
      </c>
      <c r="C117" s="1712"/>
      <c r="D117" s="284" t="s">
        <v>2128</v>
      </c>
      <c r="E117" s="284" t="s">
        <v>1918</v>
      </c>
      <c r="F117" s="2393" t="s">
        <v>851</v>
      </c>
      <c r="G117" s="2393" t="s">
        <v>2497</v>
      </c>
      <c r="H117" s="2393" t="s">
        <v>2474</v>
      </c>
      <c r="I117" s="1908"/>
      <c r="J117" s="2395">
        <v>44694</v>
      </c>
      <c r="K117" s="1867"/>
      <c r="L117" s="1712"/>
      <c r="M117" s="145"/>
      <c r="N117" s="458">
        <f t="shared" ca="1" si="20"/>
        <v>45071</v>
      </c>
      <c r="O117" s="2088"/>
      <c r="P117" s="1713"/>
      <c r="Q117" s="145"/>
      <c r="R117" s="2088">
        <f t="shared" si="16"/>
        <v>0</v>
      </c>
      <c r="S117" s="1712" t="s">
        <v>2358</v>
      </c>
      <c r="T117" s="2"/>
      <c r="U117" s="289">
        <v>2022</v>
      </c>
      <c r="V117" s="2536"/>
    </row>
    <row r="118" spans="1:23" ht="38.25">
      <c r="A118" s="268">
        <f t="shared" si="19"/>
        <v>116</v>
      </c>
      <c r="B118" s="2393" t="s">
        <v>2498</v>
      </c>
      <c r="C118" s="1712"/>
      <c r="D118" s="284" t="s">
        <v>2128</v>
      </c>
      <c r="E118" s="284" t="s">
        <v>1918</v>
      </c>
      <c r="F118" s="2393" t="s">
        <v>851</v>
      </c>
      <c r="G118" s="2393" t="s">
        <v>2499</v>
      </c>
      <c r="H118" s="2393" t="s">
        <v>2474</v>
      </c>
      <c r="I118" s="1908"/>
      <c r="J118" s="2395">
        <v>44694</v>
      </c>
      <c r="K118" s="1867"/>
      <c r="L118" s="1712"/>
      <c r="M118" s="145"/>
      <c r="N118" s="458">
        <f t="shared" ca="1" si="20"/>
        <v>45071</v>
      </c>
      <c r="O118" s="1715"/>
      <c r="P118" s="1713"/>
      <c r="Q118" s="145"/>
      <c r="R118" s="2088">
        <f t="shared" si="16"/>
        <v>0</v>
      </c>
      <c r="S118" s="1712" t="s">
        <v>2358</v>
      </c>
      <c r="T118" s="2"/>
      <c r="U118" s="289">
        <v>2022</v>
      </c>
      <c r="V118" s="2536"/>
    </row>
    <row r="119" spans="1:23" ht="38.25">
      <c r="A119" s="268">
        <f t="shared" si="19"/>
        <v>117</v>
      </c>
      <c r="B119" s="2393" t="s">
        <v>2500</v>
      </c>
      <c r="C119" s="1712"/>
      <c r="D119" s="284" t="s">
        <v>2128</v>
      </c>
      <c r="E119" s="284" t="s">
        <v>1918</v>
      </c>
      <c r="F119" s="2393" t="s">
        <v>851</v>
      </c>
      <c r="G119" s="2393" t="s">
        <v>2501</v>
      </c>
      <c r="H119" s="2393" t="s">
        <v>2467</v>
      </c>
      <c r="I119" s="1908"/>
      <c r="J119" s="2395">
        <v>44540</v>
      </c>
      <c r="K119" s="1867"/>
      <c r="L119" s="1712"/>
      <c r="M119" s="145"/>
      <c r="N119" s="458">
        <f t="shared" ca="1" si="20"/>
        <v>45071</v>
      </c>
      <c r="O119" s="1715"/>
      <c r="P119" s="1713"/>
      <c r="Q119" s="145"/>
      <c r="R119" s="2088">
        <f t="shared" si="16"/>
        <v>0</v>
      </c>
      <c r="S119" s="1712" t="s">
        <v>2358</v>
      </c>
      <c r="T119" s="2"/>
      <c r="U119" s="289">
        <v>2022</v>
      </c>
      <c r="V119" s="2536"/>
    </row>
    <row r="120" spans="1:23" ht="38.25">
      <c r="A120" s="268">
        <f t="shared" si="19"/>
        <v>118</v>
      </c>
      <c r="B120" s="2393" t="s">
        <v>2502</v>
      </c>
      <c r="C120" s="1712"/>
      <c r="D120" s="284" t="s">
        <v>2128</v>
      </c>
      <c r="E120" s="284" t="s">
        <v>1918</v>
      </c>
      <c r="F120" s="2393" t="s">
        <v>851</v>
      </c>
      <c r="G120" s="2393" t="s">
        <v>2503</v>
      </c>
      <c r="H120" s="2393" t="s">
        <v>2474</v>
      </c>
      <c r="I120" s="1908"/>
      <c r="J120" s="2395">
        <v>44617</v>
      </c>
      <c r="K120" s="1867"/>
      <c r="L120" s="1712"/>
      <c r="M120" s="145"/>
      <c r="N120" s="458">
        <f t="shared" ca="1" si="20"/>
        <v>45071</v>
      </c>
      <c r="O120" s="1715"/>
      <c r="P120" s="1713"/>
      <c r="Q120" s="145"/>
      <c r="R120" s="2088">
        <f t="shared" si="16"/>
        <v>0</v>
      </c>
      <c r="S120" s="1712" t="s">
        <v>2358</v>
      </c>
      <c r="T120" s="2"/>
      <c r="U120" s="289">
        <v>2022</v>
      </c>
      <c r="V120" s="2536"/>
    </row>
    <row r="121" spans="1:23" ht="38.25">
      <c r="A121" s="268">
        <f t="shared" si="19"/>
        <v>119</v>
      </c>
      <c r="B121" s="2393" t="s">
        <v>2504</v>
      </c>
      <c r="C121" s="1712"/>
      <c r="D121" s="284" t="s">
        <v>2128</v>
      </c>
      <c r="E121" s="284" t="s">
        <v>1918</v>
      </c>
      <c r="F121" s="2393" t="s">
        <v>851</v>
      </c>
      <c r="G121" s="2393" t="s">
        <v>2505</v>
      </c>
      <c r="H121" s="2393" t="s">
        <v>2474</v>
      </c>
      <c r="I121" s="1908"/>
      <c r="J121" s="2395">
        <v>44694</v>
      </c>
      <c r="K121" s="1867"/>
      <c r="L121" s="1712"/>
      <c r="M121" s="145"/>
      <c r="N121" s="458">
        <f t="shared" ca="1" si="20"/>
        <v>45071</v>
      </c>
      <c r="O121" s="1715"/>
      <c r="P121" s="1713"/>
      <c r="Q121" s="145"/>
      <c r="R121" s="2088">
        <f t="shared" si="16"/>
        <v>0</v>
      </c>
      <c r="S121" s="1712" t="s">
        <v>2358</v>
      </c>
      <c r="T121" s="2"/>
      <c r="U121" s="289">
        <v>2022</v>
      </c>
      <c r="V121" s="2536"/>
    </row>
    <row r="122" spans="1:23" ht="38.25">
      <c r="A122" s="268">
        <f t="shared" si="19"/>
        <v>120</v>
      </c>
      <c r="B122" s="2482" t="s">
        <v>2506</v>
      </c>
      <c r="C122" s="2487"/>
      <c r="D122" s="2483" t="s">
        <v>2128</v>
      </c>
      <c r="E122" s="2483" t="s">
        <v>1918</v>
      </c>
      <c r="F122" s="2482" t="s">
        <v>851</v>
      </c>
      <c r="G122" s="2482" t="s">
        <v>2507</v>
      </c>
      <c r="H122" s="2482" t="s">
        <v>2047</v>
      </c>
      <c r="I122" s="2484"/>
      <c r="J122" s="2485">
        <v>44882</v>
      </c>
      <c r="K122" s="2486"/>
      <c r="L122" s="2487"/>
      <c r="M122" s="2488"/>
      <c r="N122" s="2489">
        <f t="shared" ca="1" si="20"/>
        <v>45071</v>
      </c>
      <c r="O122" s="2490">
        <v>65224000</v>
      </c>
      <c r="P122" s="2491"/>
      <c r="Q122" s="2488"/>
      <c r="R122" s="2490">
        <f t="shared" si="16"/>
        <v>65224000</v>
      </c>
      <c r="S122" s="2487" t="s">
        <v>2358</v>
      </c>
      <c r="T122" s="78"/>
      <c r="U122" s="2492">
        <v>2022</v>
      </c>
      <c r="V122" s="2536"/>
    </row>
    <row r="123" spans="1:23" ht="38.25">
      <c r="A123" s="268">
        <f t="shared" si="19"/>
        <v>121</v>
      </c>
      <c r="B123" s="2393" t="s">
        <v>2508</v>
      </c>
      <c r="C123" s="1712"/>
      <c r="D123" s="284" t="s">
        <v>2128</v>
      </c>
      <c r="E123" s="284" t="s">
        <v>1918</v>
      </c>
      <c r="F123" s="2393" t="s">
        <v>851</v>
      </c>
      <c r="G123" s="2393" t="s">
        <v>2509</v>
      </c>
      <c r="H123" s="2393" t="s">
        <v>2474</v>
      </c>
      <c r="I123" s="1908"/>
      <c r="J123" s="2395">
        <v>44824</v>
      </c>
      <c r="K123" s="1867"/>
      <c r="L123" s="1712"/>
      <c r="M123" s="145"/>
      <c r="N123" s="458">
        <f t="shared" ca="1" si="20"/>
        <v>45071</v>
      </c>
      <c r="O123" s="1715"/>
      <c r="P123" s="1713"/>
      <c r="Q123" s="145"/>
      <c r="R123" s="2088">
        <f t="shared" si="16"/>
        <v>0</v>
      </c>
      <c r="S123" s="1712" t="s">
        <v>2358</v>
      </c>
      <c r="T123" s="2"/>
      <c r="U123" s="289">
        <v>2022</v>
      </c>
      <c r="V123" s="289"/>
      <c r="W123" s="2"/>
    </row>
    <row r="124" spans="1:23" hidden="1">
      <c r="B124" s="1702"/>
      <c r="C124" s="1702"/>
      <c r="M124" s="2853" t="s">
        <v>97</v>
      </c>
      <c r="N124" s="2854"/>
      <c r="O124" s="2494">
        <f>SUM(O3:O123)</f>
        <v>126438776665.08038</v>
      </c>
      <c r="P124" s="2494">
        <f>SUM(P3:P123)</f>
        <v>698393776.00932813</v>
      </c>
      <c r="Q124" s="2494">
        <f>SUM(Q3:Q123)</f>
        <v>57428246118.023613</v>
      </c>
      <c r="R124" s="2494">
        <f>SUM(R3:R123)</f>
        <v>184565416559.11331</v>
      </c>
      <c r="S124" s="1702"/>
    </row>
    <row r="125" spans="1:23" ht="39.950000000000003" customHeight="1">
      <c r="A125" s="268">
        <f t="shared" ref="A125:A130" si="21">ROW(A123)</f>
        <v>123</v>
      </c>
      <c r="B125" s="2393" t="s">
        <v>2510</v>
      </c>
      <c r="C125" s="1712"/>
      <c r="D125" s="284" t="s">
        <v>2128</v>
      </c>
      <c r="E125" s="284" t="s">
        <v>1918</v>
      </c>
      <c r="F125" s="2393" t="s">
        <v>851</v>
      </c>
      <c r="G125" s="2393" t="s">
        <v>2511</v>
      </c>
      <c r="H125" s="2393" t="s">
        <v>2474</v>
      </c>
      <c r="I125" s="2396" t="s">
        <v>2512</v>
      </c>
      <c r="J125" s="2395">
        <v>44785</v>
      </c>
      <c r="K125" s="1867"/>
      <c r="L125" s="1712"/>
      <c r="M125" s="145"/>
      <c r="N125" s="458">
        <f t="shared" ca="1" si="20"/>
        <v>45071</v>
      </c>
      <c r="O125" s="1715"/>
      <c r="P125" s="1713"/>
      <c r="Q125" s="145"/>
      <c r="R125" s="2088">
        <f t="shared" si="16"/>
        <v>0</v>
      </c>
      <c r="S125" s="1712" t="s">
        <v>2358</v>
      </c>
      <c r="T125" s="2"/>
      <c r="U125" s="289">
        <v>2022</v>
      </c>
      <c r="V125" s="289"/>
      <c r="W125" s="2495" t="s">
        <v>2513</v>
      </c>
    </row>
    <row r="126" spans="1:23" ht="89.25">
      <c r="A126" s="268">
        <f t="shared" si="21"/>
        <v>124</v>
      </c>
      <c r="B126" s="2482" t="s">
        <v>2514</v>
      </c>
      <c r="C126" s="2487"/>
      <c r="D126" s="2483" t="s">
        <v>2128</v>
      </c>
      <c r="E126" s="2483" t="s">
        <v>1918</v>
      </c>
      <c r="F126" s="2482" t="s">
        <v>851</v>
      </c>
      <c r="G126" s="2482" t="s">
        <v>2515</v>
      </c>
      <c r="H126" s="2482" t="s">
        <v>2474</v>
      </c>
      <c r="I126" s="2482" t="s">
        <v>2516</v>
      </c>
      <c r="J126" s="2485">
        <v>44967</v>
      </c>
      <c r="K126" s="2486"/>
      <c r="L126" s="2487"/>
      <c r="M126" s="2488"/>
      <c r="N126" s="458">
        <f t="shared" ca="1" si="20"/>
        <v>45071</v>
      </c>
      <c r="O126" s="2493"/>
      <c r="P126" s="2491"/>
      <c r="Q126" s="2488"/>
      <c r="R126" s="2088">
        <f t="shared" si="16"/>
        <v>0</v>
      </c>
      <c r="S126" s="2487" t="s">
        <v>2358</v>
      </c>
      <c r="T126" s="78"/>
      <c r="U126" s="2492">
        <v>2023</v>
      </c>
      <c r="V126" s="2536"/>
      <c r="W126" s="2481" t="s">
        <v>2517</v>
      </c>
    </row>
    <row r="127" spans="1:23" ht="51">
      <c r="A127" s="268">
        <f t="shared" si="21"/>
        <v>125</v>
      </c>
      <c r="B127" s="2482" t="s">
        <v>2518</v>
      </c>
      <c r="C127" s="1712"/>
      <c r="D127" s="284" t="s">
        <v>2128</v>
      </c>
      <c r="E127" s="284" t="s">
        <v>1918</v>
      </c>
      <c r="F127" s="2393" t="s">
        <v>851</v>
      </c>
      <c r="G127" s="2393" t="s">
        <v>2519</v>
      </c>
      <c r="H127" s="2393" t="s">
        <v>2520</v>
      </c>
      <c r="I127" s="2393" t="s">
        <v>2521</v>
      </c>
      <c r="J127" s="2395">
        <v>44008</v>
      </c>
      <c r="K127" s="1867"/>
      <c r="L127" s="1712"/>
      <c r="M127" s="145"/>
      <c r="N127" s="458">
        <f t="shared" ca="1" si="20"/>
        <v>45071</v>
      </c>
      <c r="O127" s="1715"/>
      <c r="P127" s="1713"/>
      <c r="Q127" s="145"/>
      <c r="R127" s="2088">
        <f t="shared" si="16"/>
        <v>0</v>
      </c>
      <c r="S127" s="1712" t="s">
        <v>2358</v>
      </c>
      <c r="T127" s="2"/>
      <c r="U127" s="2"/>
      <c r="V127" s="2"/>
      <c r="W127" s="2"/>
    </row>
    <row r="128" spans="1:23" ht="38.25">
      <c r="A128" s="268">
        <f t="shared" si="21"/>
        <v>126</v>
      </c>
      <c r="B128" s="2393" t="s">
        <v>2522</v>
      </c>
      <c r="C128" s="1712"/>
      <c r="D128" s="284" t="s">
        <v>2128</v>
      </c>
      <c r="E128" s="284" t="s">
        <v>1918</v>
      </c>
      <c r="F128" s="2393" t="s">
        <v>851</v>
      </c>
      <c r="G128" s="2393" t="s">
        <v>2523</v>
      </c>
      <c r="H128" s="2393" t="s">
        <v>2474</v>
      </c>
      <c r="I128" s="2393" t="s">
        <v>2524</v>
      </c>
      <c r="J128" s="2395">
        <v>44589</v>
      </c>
      <c r="K128" s="1867"/>
      <c r="L128" s="1712"/>
      <c r="M128" s="145"/>
      <c r="N128" s="458">
        <f t="shared" ca="1" si="20"/>
        <v>45071</v>
      </c>
      <c r="O128" s="1715"/>
      <c r="P128" s="1713"/>
      <c r="Q128" s="145"/>
      <c r="R128" s="2088">
        <f t="shared" si="16"/>
        <v>0</v>
      </c>
      <c r="S128" s="1712"/>
      <c r="T128" s="2"/>
      <c r="U128" s="2"/>
      <c r="V128" s="2"/>
      <c r="W128" s="2"/>
    </row>
    <row r="129" spans="1:23" ht="38.25">
      <c r="A129" s="268">
        <f t="shared" si="21"/>
        <v>127</v>
      </c>
      <c r="B129" s="2393" t="s">
        <v>2525</v>
      </c>
      <c r="C129" s="1712"/>
      <c r="D129" s="284" t="s">
        <v>2128</v>
      </c>
      <c r="E129" s="284" t="s">
        <v>1918</v>
      </c>
      <c r="F129" s="2393" t="s">
        <v>1057</v>
      </c>
      <c r="G129" s="2393" t="s">
        <v>2526</v>
      </c>
      <c r="H129" s="2393" t="s">
        <v>2527</v>
      </c>
      <c r="I129" s="2396" t="s">
        <v>2528</v>
      </c>
      <c r="J129" s="2395">
        <v>44272</v>
      </c>
      <c r="K129" s="2395">
        <v>44316</v>
      </c>
      <c r="L129" s="2395">
        <v>44621</v>
      </c>
      <c r="M129" s="2395"/>
      <c r="N129" s="458">
        <f ca="1">+_xlfn.DAYS($Y$2,K129)</f>
        <v>755</v>
      </c>
      <c r="O129" s="1715"/>
      <c r="P129" s="1713"/>
      <c r="Q129" s="145"/>
      <c r="R129" s="2088">
        <f t="shared" si="16"/>
        <v>0</v>
      </c>
      <c r="S129" s="1712" t="s">
        <v>2358</v>
      </c>
      <c r="T129" s="1879" t="s">
        <v>2529</v>
      </c>
      <c r="U129" s="2"/>
      <c r="V129" s="2"/>
      <c r="W129" s="2"/>
    </row>
    <row r="130" spans="1:23" ht="51">
      <c r="A130" s="268">
        <f t="shared" si="21"/>
        <v>128</v>
      </c>
      <c r="B130" s="2393" t="s">
        <v>2530</v>
      </c>
      <c r="C130" s="1712"/>
      <c r="D130" s="284" t="s">
        <v>2128</v>
      </c>
      <c r="E130" s="284" t="s">
        <v>1918</v>
      </c>
      <c r="F130" s="2393" t="s">
        <v>1926</v>
      </c>
      <c r="G130" s="2393" t="s">
        <v>2531</v>
      </c>
      <c r="H130" s="2393" t="s">
        <v>2532</v>
      </c>
      <c r="I130" s="2396" t="s">
        <v>2533</v>
      </c>
      <c r="J130" s="2395">
        <v>43710</v>
      </c>
      <c r="K130" s="2395"/>
      <c r="L130" s="2395"/>
      <c r="M130" s="2395">
        <v>43745</v>
      </c>
      <c r="N130" s="458">
        <f ca="1">+_xlfn.DAYS($Y$2,K130)</f>
        <v>45071</v>
      </c>
      <c r="O130" s="1715">
        <v>80283031.310000002</v>
      </c>
      <c r="P130" s="1713"/>
      <c r="Q130" s="145"/>
      <c r="R130" s="2088">
        <f t="shared" si="16"/>
        <v>80283031.310000002</v>
      </c>
      <c r="S130" s="1712" t="s">
        <v>2358</v>
      </c>
      <c r="T130" s="2"/>
      <c r="U130" s="2"/>
      <c r="V130" s="2"/>
      <c r="W130" s="2"/>
    </row>
    <row r="137" spans="1:23" ht="31.5">
      <c r="A137" s="2251"/>
      <c r="B137" s="2215" t="s">
        <v>2534</v>
      </c>
      <c r="C137" s="2252"/>
      <c r="D137" s="2216" t="s">
        <v>2128</v>
      </c>
      <c r="E137" s="2216" t="s">
        <v>1918</v>
      </c>
      <c r="F137" s="2216"/>
      <c r="G137" s="2253" t="s">
        <v>2535</v>
      </c>
      <c r="H137" s="2253"/>
      <c r="I137" s="2254" t="s">
        <v>2536</v>
      </c>
      <c r="K137" s="2255"/>
      <c r="L137" s="2252"/>
      <c r="M137" s="2252"/>
      <c r="N137" s="2256"/>
      <c r="O137" s="2257">
        <v>7310980</v>
      </c>
      <c r="P137" s="2257">
        <v>365549</v>
      </c>
      <c r="Q137" s="2252">
        <v>0</v>
      </c>
      <c r="R137" s="2258">
        <f>SUM(O137:Q137)</f>
        <v>7676529</v>
      </c>
      <c r="S137" s="2259">
        <v>44896</v>
      </c>
      <c r="T137" s="1880" t="s">
        <v>2537</v>
      </c>
      <c r="U137" s="189"/>
      <c r="V137" s="189"/>
      <c r="W137" s="1714"/>
    </row>
    <row r="138" spans="1:23" ht="57" customHeight="1" thickBot="1">
      <c r="B138" s="2298" t="s">
        <v>2538</v>
      </c>
      <c r="C138" s="2288" t="s">
        <v>1129</v>
      </c>
      <c r="F138" s="2289" t="s">
        <v>851</v>
      </c>
      <c r="G138" s="2290" t="s">
        <v>2539</v>
      </c>
      <c r="H138" s="2291" t="s">
        <v>2540</v>
      </c>
      <c r="I138" s="2294"/>
      <c r="J138" s="2293"/>
      <c r="K138" s="2293"/>
      <c r="L138" s="2295" t="s">
        <v>2541</v>
      </c>
      <c r="M138" s="2359"/>
      <c r="N138" s="2360" t="s">
        <v>2542</v>
      </c>
      <c r="O138" s="2361"/>
      <c r="P138" s="2362"/>
      <c r="Q138" s="2363"/>
      <c r="R138" s="2364">
        <f>SUM(O138:Q138)</f>
        <v>0</v>
      </c>
      <c r="S138" s="1712"/>
      <c r="T138" s="2290" t="s">
        <v>2543</v>
      </c>
      <c r="U138" s="2"/>
      <c r="V138" s="2"/>
      <c r="W138" s="2"/>
    </row>
    <row r="139" spans="1:23" ht="38.25">
      <c r="B139" s="2388" t="s">
        <v>2544</v>
      </c>
      <c r="C139" s="1702"/>
      <c r="D139" s="284" t="s">
        <v>2128</v>
      </c>
      <c r="E139" s="284" t="s">
        <v>1918</v>
      </c>
      <c r="F139" s="2388" t="s">
        <v>1057</v>
      </c>
      <c r="G139" s="2388" t="s">
        <v>2545</v>
      </c>
      <c r="H139" s="2388" t="s">
        <v>2474</v>
      </c>
      <c r="J139" s="2389">
        <v>44742</v>
      </c>
      <c r="S139" s="1702"/>
    </row>
    <row r="140" spans="1:23" ht="38.25">
      <c r="A140" s="268">
        <f>ROW(A119)</f>
        <v>119</v>
      </c>
      <c r="B140" s="2393" t="s">
        <v>2546</v>
      </c>
      <c r="C140" s="1712"/>
      <c r="D140" s="284" t="s">
        <v>2128</v>
      </c>
      <c r="E140" s="284" t="s">
        <v>1918</v>
      </c>
      <c r="F140" s="2393" t="s">
        <v>1926</v>
      </c>
      <c r="G140" s="2393" t="s">
        <v>2547</v>
      </c>
      <c r="H140" s="2393" t="s">
        <v>2474</v>
      </c>
      <c r="I140" s="1908"/>
      <c r="J140" s="2395"/>
      <c r="K140" s="1867"/>
      <c r="L140" s="1712"/>
      <c r="M140" s="145"/>
      <c r="N140" s="145"/>
      <c r="O140" s="1715"/>
      <c r="P140" s="1713"/>
      <c r="Q140" s="145"/>
      <c r="R140" s="145"/>
      <c r="S140" s="1712"/>
      <c r="T140" s="2"/>
      <c r="U140" s="289">
        <v>2022</v>
      </c>
      <c r="V140" s="2536"/>
    </row>
    <row r="141" spans="1:23" ht="92.25" customHeight="1">
      <c r="A141" s="268">
        <f>ROW(A106)</f>
        <v>106</v>
      </c>
      <c r="B141" s="284" t="s">
        <v>2548</v>
      </c>
      <c r="C141" s="1712"/>
      <c r="D141" s="284" t="s">
        <v>2128</v>
      </c>
      <c r="E141" s="284" t="s">
        <v>1918</v>
      </c>
      <c r="F141" s="2393" t="s">
        <v>1925</v>
      </c>
      <c r="G141" s="412" t="s">
        <v>2549</v>
      </c>
      <c r="H141" s="2393" t="s">
        <v>2047</v>
      </c>
      <c r="I141" s="2394" t="s">
        <v>2550</v>
      </c>
      <c r="J141" s="2395">
        <v>44490</v>
      </c>
      <c r="K141" s="1867"/>
      <c r="L141" s="1712"/>
      <c r="M141" s="145"/>
      <c r="N141" s="145"/>
      <c r="O141" s="1715"/>
      <c r="P141" s="1713"/>
      <c r="Q141" s="145"/>
      <c r="R141" s="145"/>
      <c r="S141" s="1712" t="s">
        <v>2358</v>
      </c>
      <c r="T141" s="2"/>
      <c r="U141" s="289">
        <v>2022</v>
      </c>
      <c r="V141" s="2536"/>
    </row>
    <row r="142" spans="1:23" ht="38.25">
      <c r="A142" s="268">
        <f>ROW(A140)</f>
        <v>140</v>
      </c>
      <c r="B142" s="2393" t="s">
        <v>2551</v>
      </c>
      <c r="C142" s="1712"/>
      <c r="D142" s="284" t="s">
        <v>2128</v>
      </c>
      <c r="E142" s="284" t="s">
        <v>1918</v>
      </c>
      <c r="F142" s="2393" t="s">
        <v>851</v>
      </c>
      <c r="G142" s="2393" t="s">
        <v>2552</v>
      </c>
      <c r="H142" s="2393" t="s">
        <v>2474</v>
      </c>
      <c r="I142" s="1908"/>
      <c r="J142" s="2395">
        <v>44759</v>
      </c>
      <c r="K142" s="1867"/>
      <c r="L142" s="1712"/>
      <c r="M142" s="145"/>
      <c r="N142" s="145"/>
      <c r="O142" s="1715"/>
      <c r="P142" s="1713"/>
      <c r="Q142" s="145"/>
      <c r="R142" s="145"/>
      <c r="S142" s="1712"/>
      <c r="T142" s="2"/>
      <c r="U142" s="289">
        <v>2022</v>
      </c>
      <c r="V142" s="2536"/>
    </row>
    <row r="143" spans="1:23" ht="38.25">
      <c r="A143" s="268">
        <f>ROW(A144)</f>
        <v>144</v>
      </c>
      <c r="B143" s="2393" t="s">
        <v>2553</v>
      </c>
      <c r="C143" s="1712"/>
      <c r="D143" s="284" t="s">
        <v>2128</v>
      </c>
      <c r="E143" s="284" t="s">
        <v>1918</v>
      </c>
      <c r="F143" s="2396" t="s">
        <v>851</v>
      </c>
      <c r="G143" s="2393" t="s">
        <v>2554</v>
      </c>
      <c r="H143" s="2393" t="s">
        <v>851</v>
      </c>
      <c r="I143" s="1908"/>
      <c r="J143" s="2395">
        <v>44616</v>
      </c>
      <c r="K143" s="1867"/>
      <c r="L143" s="1712"/>
      <c r="M143" s="145"/>
      <c r="N143" s="458">
        <f ca="1">+_xlfn.DAYS($Y$2,K143)</f>
        <v>45071</v>
      </c>
      <c r="O143" s="1715"/>
      <c r="P143" s="1713"/>
      <c r="Q143" s="145"/>
      <c r="R143" s="2088">
        <f>SUM(O143:Q143)</f>
        <v>0</v>
      </c>
      <c r="S143" s="1712" t="s">
        <v>2358</v>
      </c>
      <c r="T143" s="2"/>
      <c r="U143" s="289">
        <v>2022</v>
      </c>
      <c r="V143" s="2536"/>
    </row>
    <row r="144" spans="1:23" ht="92.25" customHeight="1">
      <c r="A144" s="268">
        <f>ROW(A109)</f>
        <v>109</v>
      </c>
      <c r="B144" s="2393" t="s">
        <v>2555</v>
      </c>
      <c r="C144" s="1712"/>
      <c r="D144" s="284" t="s">
        <v>2128</v>
      </c>
      <c r="E144" s="284" t="s">
        <v>1918</v>
      </c>
      <c r="F144" s="2393" t="s">
        <v>851</v>
      </c>
      <c r="G144" s="2393" t="s">
        <v>2556</v>
      </c>
      <c r="H144" s="2393" t="s">
        <v>2047</v>
      </c>
      <c r="I144" s="1712"/>
      <c r="J144" s="2395">
        <v>44602</v>
      </c>
      <c r="K144" s="1712"/>
      <c r="L144" s="1712"/>
      <c r="M144" s="1712"/>
      <c r="N144" s="458">
        <f ca="1">+_xlfn.DAYS($Y$2,K144)</f>
        <v>45071</v>
      </c>
      <c r="O144" s="1712"/>
      <c r="P144" s="1712"/>
      <c r="Q144" s="1712"/>
      <c r="R144" s="2088">
        <f>SUM(O144:Q144)</f>
        <v>0</v>
      </c>
      <c r="S144" s="1712" t="s">
        <v>2358</v>
      </c>
      <c r="T144" s="1712"/>
      <c r="U144" s="289">
        <v>2022</v>
      </c>
      <c r="V144" s="2536"/>
      <c r="W144" s="1702"/>
    </row>
    <row r="150" spans="2:3">
      <c r="B150" s="1702">
        <v>72</v>
      </c>
      <c r="C150" s="1702">
        <v>100</v>
      </c>
    </row>
    <row r="151" spans="2:3">
      <c r="B151" s="1702">
        <v>32</v>
      </c>
      <c r="C151" s="1702"/>
    </row>
    <row r="152" spans="2:3">
      <c r="B152" s="1702"/>
      <c r="C152" s="1702">
        <f>+B151*C150/B150</f>
        <v>44.444444444444443</v>
      </c>
    </row>
    <row r="9109" spans="11:11">
      <c r="K9109" s="1709"/>
    </row>
    <row r="65474" spans="4:5">
      <c r="D65474" s="1703"/>
      <c r="E65474" s="1703"/>
    </row>
    <row r="1048551" spans="6:6">
      <c r="F1048551" s="1703"/>
    </row>
    <row r="1048576" spans="5:5">
      <c r="E1048576" s="269"/>
    </row>
  </sheetData>
  <autoFilter ref="A2:W130" xr:uid="{00000000-0001-0000-2F00-000000000000}">
    <filterColumn colId="4">
      <filters>
        <filter val="PASIVOS VIGENTES"/>
      </filters>
    </filterColumn>
    <sortState xmlns:xlrd2="http://schemas.microsoft.com/office/spreadsheetml/2017/richdata2" ref="A3:W124">
      <sortCondition ref="K2:K107"/>
    </sortState>
  </autoFilter>
  <sortState xmlns:xlrd2="http://schemas.microsoft.com/office/spreadsheetml/2017/richdata2" ref="A3:U75">
    <sortCondition ref="K3:K75"/>
    <sortCondition ref="R3:R75"/>
  </sortState>
  <mergeCells count="1">
    <mergeCell ref="M124:N124"/>
  </mergeCells>
  <hyperlinks>
    <hyperlink ref="W3" r:id="rId1" xr:uid="{CA9BBABF-BB35-417B-8D2B-E6F15D13AD15}"/>
    <hyperlink ref="W4" r:id="rId2" xr:uid="{770B5788-7A16-49EB-8DF6-448088C50C42}"/>
    <hyperlink ref="W5" r:id="rId3" xr:uid="{5E5B6D59-6B67-40E1-BB46-EDB9A4C28B7B}"/>
    <hyperlink ref="W6" r:id="rId4" xr:uid="{21B91519-6A01-4DB5-B2BC-321C6A083AFD}"/>
    <hyperlink ref="W7" r:id="rId5" xr:uid="{81AD4F1F-4D88-4AE8-9B32-EAAA9B28C6CA}"/>
    <hyperlink ref="W8" r:id="rId6" xr:uid="{DD5F41BA-4487-4938-AF2B-9B469CA079BA}"/>
    <hyperlink ref="W9" r:id="rId7" xr:uid="{DE5C6359-F0C2-43D7-B19D-13681A7E32EC}"/>
    <hyperlink ref="W10" r:id="rId8" xr:uid="{0B0A8FF1-1804-49F3-88AB-19C231BE806A}"/>
    <hyperlink ref="W11" r:id="rId9" xr:uid="{817254EF-0895-4BFD-BCAD-6E4CFBCB20C0}"/>
    <hyperlink ref="W12" r:id="rId10" xr:uid="{833636E7-6032-4633-88F3-097298AFE1B9}"/>
    <hyperlink ref="W13" r:id="rId11" xr:uid="{CA8E0B7F-B2A7-4108-871C-3858F02E4ABF}"/>
    <hyperlink ref="W14" r:id="rId12" xr:uid="{FFD1C6E2-5930-4EE6-84C0-A8C3B6A3706A}"/>
    <hyperlink ref="W15" r:id="rId13" xr:uid="{C90FEC28-2AF5-4164-AB8E-8B8FFE4EF21C}"/>
    <hyperlink ref="W16" r:id="rId14" xr:uid="{66CBB284-F71A-4115-AE87-D230644211E5}"/>
    <hyperlink ref="W17" r:id="rId15" xr:uid="{40C7CCCC-D2AE-4E5E-876A-AAD7EADC880C}"/>
    <hyperlink ref="W18" r:id="rId16" xr:uid="{94F45221-7070-4E1E-B183-E69AB9C5F143}"/>
    <hyperlink ref="W19" r:id="rId17" xr:uid="{31B24BED-57D6-4A00-8AC3-DF9BBCC7C536}"/>
    <hyperlink ref="W20" r:id="rId18" xr:uid="{F36563CF-9398-4B2A-AB98-76D0CC38628D}"/>
    <hyperlink ref="W21" r:id="rId19" xr:uid="{76DA1896-7AFA-4D3E-8DDB-3B8354B5B3DD}"/>
    <hyperlink ref="W22" r:id="rId20" xr:uid="{363783AA-B98D-4BF9-A2D0-A4724179FECC}"/>
    <hyperlink ref="W23" r:id="rId21" xr:uid="{B9FEEF82-C151-4EDD-9D0E-FC835A14637D}"/>
    <hyperlink ref="W24" r:id="rId22" xr:uid="{A8273071-3969-457F-B69F-9147293A1C85}"/>
    <hyperlink ref="W25" r:id="rId23" xr:uid="{A023452E-C14F-4D4E-B02F-9D7527FA4EDB}"/>
    <hyperlink ref="W27" r:id="rId24" xr:uid="{A197332F-D068-4925-B622-FAE7B71892FA}"/>
    <hyperlink ref="W26" r:id="rId25" xr:uid="{7153E59E-4D6C-4089-A925-00E2D58AF6FD}"/>
    <hyperlink ref="W28" r:id="rId26" xr:uid="{A0369157-9DFD-46D4-8CB4-BB5812FFC8FD}"/>
    <hyperlink ref="W29" r:id="rId27" xr:uid="{D95D65D8-9324-44C5-B526-19E7AD9A38BE}"/>
    <hyperlink ref="W30" r:id="rId28" xr:uid="{E4A05A26-6056-4C36-A52B-CE15ACD76A27}"/>
    <hyperlink ref="W31" r:id="rId29" xr:uid="{A4B4D6F1-AF8A-4801-80CC-92CBAF64C858}"/>
    <hyperlink ref="W32" r:id="rId30" xr:uid="{992FD51F-4C03-4374-A874-B2DE827F5CE5}"/>
    <hyperlink ref="W33" r:id="rId31" xr:uid="{2473AE2B-8D4E-46C1-9AD6-5F346F95B702}"/>
    <hyperlink ref="W34" r:id="rId32" xr:uid="{73D06623-0A34-4EE7-A6A2-0925C7C93577}"/>
    <hyperlink ref="W73" r:id="rId33" xr:uid="{598698F7-D048-4E8F-A082-36E88ACF96A7}"/>
    <hyperlink ref="W38" r:id="rId34" xr:uid="{7D794B72-10F9-4374-B4AB-1502F0EAF2AD}"/>
    <hyperlink ref="W36" r:id="rId35" xr:uid="{3FCAE86E-A2F4-4B16-9CF0-1F5804FDDB83}"/>
    <hyperlink ref="W40" r:id="rId36" xr:uid="{349F4B14-AC85-4E6D-81DF-FB7431E26009}"/>
    <hyperlink ref="W42" r:id="rId37" xr:uid="{6E9E1E22-649B-447C-AF04-03D6C0196D3F}"/>
    <hyperlink ref="W45" r:id="rId38" xr:uid="{AB68832C-5A0A-4FDE-BA6A-CA7D72912AAD}"/>
    <hyperlink ref="W44" r:id="rId39" xr:uid="{E7B22164-A8E4-430D-AD8A-F22A7602C494}"/>
    <hyperlink ref="W46" r:id="rId40" xr:uid="{2F8E7DE1-FE54-4174-AE9C-866E79DFC607}"/>
    <hyperlink ref="W47" r:id="rId41" xr:uid="{F868F9C6-89AA-497E-83C3-0B667615077E}"/>
    <hyperlink ref="W49" r:id="rId42" xr:uid="{3DF2346A-8A5E-4BE1-920A-C8CFD76508E9}"/>
    <hyperlink ref="W56" r:id="rId43" xr:uid="{2965AC4D-4EEB-435B-A457-4A7FB4D56B74}"/>
    <hyperlink ref="W57" r:id="rId44" xr:uid="{9651D83F-9F34-48D6-B85A-59AEBDAFF82B}"/>
    <hyperlink ref="W58" r:id="rId45" xr:uid="{810BD5AE-1F55-4687-B11F-51A8F2092BA4}"/>
    <hyperlink ref="W59" r:id="rId46" xr:uid="{107E4674-DBD0-4765-B6E0-3287BA3D41C9}"/>
    <hyperlink ref="W92" r:id="rId47" xr:uid="{F10E9421-D1B9-447F-BEB3-0ECF3FBE30A7}"/>
    <hyperlink ref="W60" r:id="rId48" xr:uid="{83F64A81-308A-4FE3-9244-0A0924A9B4C3}"/>
    <hyperlink ref="W54" r:id="rId49" xr:uid="{883BEBBC-8DD2-4E58-8C94-D06C2B016AE3}"/>
    <hyperlink ref="W61" r:id="rId50" xr:uid="{6D89CC47-E194-44F1-B3E8-A03C934098E8}"/>
    <hyperlink ref="W43" r:id="rId51" xr:uid="{98FBD68A-5790-49AD-8FAC-E8342A0A821E}"/>
    <hyperlink ref="W63" r:id="rId52" xr:uid="{A36D1439-AAD9-4C78-ABCA-CB531FC03E0E}"/>
    <hyperlink ref="W65" r:id="rId53" xr:uid="{12D8275C-E1D9-4527-8D48-B91558D607C1}"/>
    <hyperlink ref="W67" r:id="rId54" xr:uid="{55A3F453-C680-4D3D-8DAB-F256067EA6CD}"/>
    <hyperlink ref="W66" r:id="rId55" xr:uid="{6B8FD9C8-2D3D-4AEA-98BB-E16E557838C9}"/>
    <hyperlink ref="W68" r:id="rId56" xr:uid="{8CA6DA2E-0D28-42D0-BF4C-FAF441DA24F8}"/>
    <hyperlink ref="W70" r:id="rId57" xr:uid="{71C4D749-2033-4115-A71E-B5A0ACC6FA6D}"/>
    <hyperlink ref="W71" r:id="rId58" xr:uid="{38A0D383-C4A9-4443-B1E7-BC1F56A2D192}"/>
    <hyperlink ref="W72" r:id="rId59" xr:uid="{51278C6F-B141-481E-B8AF-C6A81CE71314}"/>
    <hyperlink ref="W69" r:id="rId60" xr:uid="{6102109E-C4AB-45B8-9A4C-BC6F56899ACC}"/>
    <hyperlink ref="W37" r:id="rId61" xr:uid="{AAF283DA-85FA-4CA2-BFBA-44661D9180B3}"/>
    <hyperlink ref="W48" r:id="rId62" xr:uid="{9BAC9D7B-1978-4AA4-AB6A-38DEFF4078AC}"/>
    <hyperlink ref="W82" r:id="rId63" xr:uid="{42DE85DD-2377-40F5-82A1-EFBEADD5B142}"/>
    <hyperlink ref="W79" r:id="rId64" xr:uid="{391A4720-7558-4D76-AE2B-EAAE4D254A14}"/>
    <hyperlink ref="W78" r:id="rId65" xr:uid="{D08800AC-F5DD-4FF6-A64A-679B647BE653}"/>
    <hyperlink ref="W83" r:id="rId66" xr:uid="{D5884AC3-53E1-4962-AB31-91E0843FD402}"/>
    <hyperlink ref="W94" r:id="rId67" xr:uid="{86194222-24FB-4362-8906-B4F684A5427C}"/>
    <hyperlink ref="W95" r:id="rId68" xr:uid="{10E7D848-ACAE-4451-ABC7-92CABBD3855A}"/>
    <hyperlink ref="W96" r:id="rId69" xr:uid="{8EB34DEA-8D30-4F7E-B532-A3FAF2F6DF65}"/>
    <hyperlink ref="W98" r:id="rId70" xr:uid="{8B17ABF4-55FA-47AD-B5ED-3FF5CEDAA113}"/>
    <hyperlink ref="W85" r:id="rId71" xr:uid="{8E3136F5-FE7F-4908-8CAD-6C260D5C431E}"/>
    <hyperlink ref="W87" r:id="rId72" xr:uid="{310A32A4-48E0-4295-9147-3DED7F130EBE}"/>
    <hyperlink ref="W80" r:id="rId73" xr:uid="{72EABFC4-256D-40B4-BEBE-5307794641AC}"/>
    <hyperlink ref="W97" r:id="rId74" xr:uid="{39741F49-0D4B-47D5-9DC6-6BB92416B65A}"/>
    <hyperlink ref="W81" r:id="rId75" xr:uid="{1113793F-83F7-4D64-9EF6-D82250AE41E6}"/>
    <hyperlink ref="W102" r:id="rId76" xr:uid="{4357553D-905C-4A21-8CE5-2904C36DA5DF}"/>
    <hyperlink ref="W64" r:id="rId77" xr:uid="{58A15DE6-BADC-4971-BB3E-13706D6FD1EA}"/>
    <hyperlink ref="W62" r:id="rId78" xr:uid="{D9639484-006B-4BB1-AFC9-C1D7958BE691}"/>
    <hyperlink ref="W93" r:id="rId79" xr:uid="{64140844-198F-4010-8AFD-E5E5C496D38F}"/>
    <hyperlink ref="W101" r:id="rId80" xr:uid="{BD6212CE-BFA0-449B-9FEF-54B69BFEAEB7}"/>
    <hyperlink ref="W77" r:id="rId81" xr:uid="{F29F1F8A-B322-4498-93B4-B3AD8E437739}"/>
    <hyperlink ref="W100" r:id="rId82" xr:uid="{19E1B6BF-19CB-4D87-AA03-B80869C2ACE3}"/>
    <hyperlink ref="W103" r:id="rId83" xr:uid="{3E3FCCC3-127F-405B-9F53-889C140E5894}"/>
    <hyperlink ref="W55" r:id="rId84" xr:uid="{A70C73C0-C3B4-42B8-B722-97FF862F469D}"/>
    <hyperlink ref="W41" r:id="rId85" xr:uid="{ADB4ABA8-95F1-4B7D-9237-F5B514080BAD}"/>
    <hyperlink ref="W104" r:id="rId86" xr:uid="{0F7F8D39-D114-4561-9BCC-7AE3E96DC9B4}"/>
    <hyperlink ref="W50" r:id="rId87" xr:uid="{671B71F3-D54F-41CF-9FB7-9B43EE895471}"/>
    <hyperlink ref="W75" r:id="rId88" xr:uid="{3DF7F8F6-75BD-46A2-9CED-0E388A1CFA72}"/>
    <hyperlink ref="W51" r:id="rId89" xr:uid="{6D42BE8C-773E-47B2-8F01-F1757AFD9FBC}"/>
    <hyperlink ref="W125" r:id="rId90" xr:uid="{09120CCE-9251-4E28-B4BD-DC558D204891}"/>
    <hyperlink ref="W126" r:id="rId91" xr:uid="{B5AF7F72-64AB-45BD-8639-BF77F4E53C41}"/>
    <hyperlink ref="W88" r:id="rId92" xr:uid="{0A408028-0996-4E3C-A04E-6CEF7F1EA952}"/>
  </hyperlinks>
  <pageMargins left="0.25" right="0.25" top="0.75" bottom="0.75" header="0.3" footer="0.3"/>
  <pageSetup paperSize="135" scale="43" fitToHeight="0" orientation="landscape" r:id="rId93"/>
  <rowBreaks count="4" manualBreakCount="4">
    <brk id="70" max="18" man="1"/>
    <brk id="93" max="18" man="1"/>
    <brk id="104" max="18" man="1"/>
    <brk id="117" max="18" man="1"/>
  </rowBreaks>
  <legacyDrawing r:id="rId94"/>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CBE3B-8590-41CE-8C9A-7A1D2208E22F}">
  <sheetPr codeName="Hoja119"/>
  <dimension ref="A1:V17"/>
  <sheetViews>
    <sheetView workbookViewId="0">
      <selection activeCell="B14" sqref="B14:G16"/>
    </sheetView>
  </sheetViews>
  <sheetFormatPr defaultColWidth="11.42578125" defaultRowHeight="12.75"/>
  <cols>
    <col min="1" max="1" width="14.85546875" bestFit="1" customWidth="1"/>
    <col min="2" max="2" width="11.5703125" bestFit="1" customWidth="1"/>
    <col min="3" max="3" width="17.5703125" bestFit="1" customWidth="1"/>
  </cols>
  <sheetData>
    <row r="1" spans="1:22">
      <c r="A1" s="8">
        <v>998094988.66666663</v>
      </c>
      <c r="B1" s="8">
        <v>0</v>
      </c>
      <c r="C1" s="8">
        <v>40234406707.129997</v>
      </c>
    </row>
    <row r="2" spans="1:22">
      <c r="C2" s="2163">
        <f>+A1+C1</f>
        <v>41232501695.796661</v>
      </c>
    </row>
    <row r="7" spans="1:22" s="263" customFormat="1" ht="44.25" customHeight="1">
      <c r="A7" s="268">
        <v>37</v>
      </c>
      <c r="B7" s="322" t="s">
        <v>2557</v>
      </c>
      <c r="C7" s="322"/>
      <c r="D7" s="322" t="s">
        <v>1129</v>
      </c>
      <c r="E7" s="269" t="s">
        <v>1918</v>
      </c>
      <c r="F7" s="322" t="s">
        <v>1057</v>
      </c>
      <c r="G7" s="322" t="s">
        <v>2558</v>
      </c>
      <c r="H7" s="418" t="s">
        <v>2559</v>
      </c>
      <c r="I7" s="1900" t="s">
        <v>2560</v>
      </c>
      <c r="J7" s="419"/>
      <c r="K7" s="419"/>
      <c r="L7" s="414"/>
      <c r="M7" s="419"/>
      <c r="N7" s="458"/>
      <c r="O7" s="420">
        <f>+'Angelina Gomez'!C83</f>
        <v>3670300000</v>
      </c>
      <c r="P7" s="146"/>
      <c r="Q7" s="420">
        <f>+'Angelina Gomez'!C84</f>
        <v>5935975320.2600002</v>
      </c>
      <c r="R7" s="273">
        <f>SUM(O7:Q7)</f>
        <v>9606275320.2600002</v>
      </c>
      <c r="S7" s="274">
        <v>44805</v>
      </c>
      <c r="T7" s="341" t="s">
        <v>2561</v>
      </c>
      <c r="U7" s="2073">
        <v>2017</v>
      </c>
      <c r="V7" s="2086" t="s">
        <v>2149</v>
      </c>
    </row>
    <row r="8" spans="1:22" ht="165.75">
      <c r="A8" s="2184" t="s">
        <v>2562</v>
      </c>
      <c r="B8" s="2185" t="s">
        <v>2563</v>
      </c>
      <c r="C8" s="2376">
        <v>9066380</v>
      </c>
      <c r="D8" s="332" t="s">
        <v>2128</v>
      </c>
      <c r="E8" s="332" t="s">
        <v>1918</v>
      </c>
      <c r="F8" s="332" t="s">
        <v>2564</v>
      </c>
      <c r="G8" s="2185" t="s">
        <v>2565</v>
      </c>
      <c r="H8" s="2185" t="s">
        <v>2566</v>
      </c>
      <c r="I8" s="2186" t="s">
        <v>2567</v>
      </c>
      <c r="J8" s="329">
        <v>44624</v>
      </c>
      <c r="K8" s="329" t="s">
        <v>2568</v>
      </c>
      <c r="L8" s="1712" t="s">
        <v>1955</v>
      </c>
      <c r="M8" s="145"/>
      <c r="N8" s="2187">
        <f ca="1">+_xlfn.DAYS('RESUMEN LIQUIDACION SANEAMIENTO'!$Y$2,K8)</f>
        <v>417</v>
      </c>
      <c r="O8" s="2188">
        <f>833333</f>
        <v>833333</v>
      </c>
      <c r="P8" s="1713"/>
      <c r="Q8" s="145"/>
      <c r="R8" s="2188">
        <f>SUM(O8:Q8)</f>
        <v>833333</v>
      </c>
      <c r="S8" s="2189">
        <v>44743</v>
      </c>
      <c r="T8" s="2190" t="s">
        <v>2569</v>
      </c>
      <c r="U8" s="189">
        <v>2022</v>
      </c>
      <c r="V8" s="1714" t="s">
        <v>2570</v>
      </c>
    </row>
    <row r="9" spans="1:22" ht="243">
      <c r="A9" s="2287" t="s">
        <v>2538</v>
      </c>
      <c r="B9" s="2288" t="s">
        <v>1129</v>
      </c>
      <c r="C9" s="2289" t="s">
        <v>851</v>
      </c>
      <c r="D9" s="2290" t="s">
        <v>2539</v>
      </c>
      <c r="E9" s="2291" t="s">
        <v>2540</v>
      </c>
      <c r="F9" s="2292"/>
      <c r="G9" s="2293"/>
      <c r="H9" s="2294"/>
      <c r="I9" s="2293"/>
      <c r="J9" s="2293"/>
      <c r="K9" s="2295" t="s">
        <v>2541</v>
      </c>
      <c r="L9" s="2296"/>
      <c r="M9" s="2297" t="s">
        <v>2542</v>
      </c>
      <c r="N9" t="s">
        <v>2571</v>
      </c>
    </row>
    <row r="10" spans="1:22" s="263" customFormat="1" ht="39.75" customHeight="1">
      <c r="A10" s="2215" t="s">
        <v>2572</v>
      </c>
      <c r="B10" s="2215" t="s">
        <v>2573</v>
      </c>
      <c r="C10" s="2215" t="s">
        <v>1129</v>
      </c>
      <c r="D10" s="2216" t="s">
        <v>1918</v>
      </c>
      <c r="E10" s="2215" t="s">
        <v>1926</v>
      </c>
      <c r="F10" s="2217" t="s">
        <v>1195</v>
      </c>
      <c r="G10" s="291" t="s">
        <v>1110</v>
      </c>
      <c r="H10" s="1902"/>
      <c r="I10" s="293">
        <v>42383</v>
      </c>
      <c r="J10" s="293">
        <v>43127</v>
      </c>
      <c r="K10" s="293">
        <v>43431</v>
      </c>
      <c r="L10" s="293">
        <v>42458</v>
      </c>
      <c r="M10" s="458">
        <f ca="1">+_xlfn.DAYS('RESUMEN LIQUIDACION SANEAMIENTO'!$Y$2,J10)</f>
        <v>1944</v>
      </c>
      <c r="N10" s="273">
        <f>+'Insercol 158'!C56</f>
        <v>4253861982.3905478</v>
      </c>
      <c r="O10" s="273">
        <v>79666162</v>
      </c>
      <c r="P10" s="273">
        <f>+'Insercol 158'!C57</f>
        <v>1812510654.1891184</v>
      </c>
      <c r="Q10" s="273">
        <f>SUM(N10:P10)</f>
        <v>6146038798.5796661</v>
      </c>
      <c r="R10" s="274">
        <v>44866</v>
      </c>
      <c r="S10" s="2025" t="s">
        <v>2574</v>
      </c>
      <c r="T10" s="289">
        <v>2018</v>
      </c>
      <c r="U10" s="1912" t="s">
        <v>2575</v>
      </c>
    </row>
    <row r="14" spans="1:22" ht="168">
      <c r="B14" s="317" t="s">
        <v>2131</v>
      </c>
      <c r="C14" s="290" t="s">
        <v>1926</v>
      </c>
      <c r="D14" s="114" t="s">
        <v>1533</v>
      </c>
      <c r="E14" s="317" t="s">
        <v>2132</v>
      </c>
      <c r="F14" s="1898" t="s">
        <v>2133</v>
      </c>
      <c r="G14" s="1898" t="s">
        <v>2576</v>
      </c>
    </row>
    <row r="15" spans="1:22" ht="409.5">
      <c r="B15" s="304" t="s">
        <v>2137</v>
      </c>
      <c r="C15" s="290" t="s">
        <v>1926</v>
      </c>
      <c r="D15" s="114" t="s">
        <v>2138</v>
      </c>
      <c r="E15" s="304" t="s">
        <v>2139</v>
      </c>
      <c r="F15" s="1899" t="s">
        <v>2140</v>
      </c>
      <c r="G15" s="306" t="s">
        <v>2577</v>
      </c>
      <c r="J15">
        <v>1698</v>
      </c>
    </row>
    <row r="16" spans="1:22" ht="357">
      <c r="B16" s="269" t="s">
        <v>2144</v>
      </c>
      <c r="C16" s="269" t="s">
        <v>851</v>
      </c>
      <c r="D16" s="269" t="s">
        <v>1542</v>
      </c>
      <c r="E16" s="270" t="s">
        <v>2145</v>
      </c>
      <c r="F16" s="1901" t="s">
        <v>2146</v>
      </c>
      <c r="G16" s="437" t="s">
        <v>2148</v>
      </c>
      <c r="J16">
        <v>1441</v>
      </c>
    </row>
    <row r="17" spans="10:11">
      <c r="J17">
        <f>+J15-J16</f>
        <v>257</v>
      </c>
      <c r="K17">
        <f>+J17-500</f>
        <v>-243</v>
      </c>
    </row>
  </sheetData>
  <hyperlinks>
    <hyperlink ref="U10" r:id="rId1" xr:uid="{70E2129A-B3CA-4F7C-BA8A-2B4203911D0A}"/>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27181-DF3B-49B7-B693-3A29B3629F96}">
  <dimension ref="A1:C25"/>
  <sheetViews>
    <sheetView workbookViewId="0">
      <selection activeCell="B25" sqref="B25"/>
    </sheetView>
  </sheetViews>
  <sheetFormatPr defaultColWidth="11.42578125" defaultRowHeight="12.75"/>
  <cols>
    <col min="1" max="1" width="44.42578125" bestFit="1" customWidth="1"/>
    <col min="2" max="2" width="32.85546875" bestFit="1" customWidth="1"/>
    <col min="3" max="3" width="43.42578125" bestFit="1" customWidth="1"/>
    <col min="4" max="4" width="15.42578125" bestFit="1" customWidth="1"/>
    <col min="5" max="5" width="14.42578125" bestFit="1" customWidth="1"/>
    <col min="6" max="6" width="16.5703125" bestFit="1" customWidth="1"/>
    <col min="7" max="7" width="19.140625" bestFit="1" customWidth="1"/>
    <col min="8" max="8" width="16.5703125" bestFit="1" customWidth="1"/>
    <col min="9" max="9" width="18.140625" bestFit="1" customWidth="1"/>
    <col min="10" max="10" width="20.140625" bestFit="1" customWidth="1"/>
    <col min="11" max="11" width="18.140625" bestFit="1" customWidth="1"/>
    <col min="12" max="12" width="20.140625" bestFit="1" customWidth="1"/>
    <col min="13" max="13" width="18.140625" bestFit="1" customWidth="1"/>
    <col min="14" max="14" width="20.140625" bestFit="1" customWidth="1"/>
  </cols>
  <sheetData>
    <row r="1" spans="1:3">
      <c r="A1" s="2447" t="s">
        <v>1941</v>
      </c>
      <c r="B1" t="s">
        <v>2578</v>
      </c>
    </row>
    <row r="3" spans="1:3">
      <c r="A3" s="2447" t="s">
        <v>1919</v>
      </c>
      <c r="B3" t="s">
        <v>2579</v>
      </c>
      <c r="C3" t="s">
        <v>1920</v>
      </c>
    </row>
    <row r="4" spans="1:3">
      <c r="A4" s="2448" t="s">
        <v>1922</v>
      </c>
      <c r="B4">
        <v>1</v>
      </c>
      <c r="C4" s="2461">
        <v>124978109119.74329</v>
      </c>
    </row>
    <row r="5" spans="1:3">
      <c r="A5" s="2448" t="s">
        <v>1923</v>
      </c>
      <c r="B5">
        <v>1</v>
      </c>
      <c r="C5" s="2461">
        <v>11083600000</v>
      </c>
    </row>
    <row r="6" spans="1:3">
      <c r="A6" s="2448" t="s">
        <v>1925</v>
      </c>
      <c r="B6">
        <v>2</v>
      </c>
      <c r="C6" s="2461">
        <v>257726232.62</v>
      </c>
    </row>
    <row r="7" spans="1:3">
      <c r="A7" s="2448" t="s">
        <v>1926</v>
      </c>
      <c r="B7">
        <v>7</v>
      </c>
      <c r="C7" s="2461">
        <v>1429050961.3357935</v>
      </c>
    </row>
    <row r="8" spans="1:3">
      <c r="A8" s="2448" t="s">
        <v>1467</v>
      </c>
      <c r="B8">
        <v>2</v>
      </c>
      <c r="C8" s="2461">
        <v>3631392234.2169642</v>
      </c>
    </row>
    <row r="9" spans="1:3">
      <c r="A9" s="2448" t="s">
        <v>851</v>
      </c>
      <c r="B9">
        <v>39</v>
      </c>
      <c r="C9" s="2461">
        <v>13076532767.015266</v>
      </c>
    </row>
    <row r="10" spans="1:3">
      <c r="A10" s="2448" t="s">
        <v>1631</v>
      </c>
      <c r="B10">
        <v>1</v>
      </c>
      <c r="C10" s="2461">
        <v>61363194</v>
      </c>
    </row>
    <row r="11" spans="1:3">
      <c r="A11" s="2448" t="s">
        <v>1057</v>
      </c>
      <c r="B11">
        <v>13</v>
      </c>
      <c r="C11" s="2461">
        <v>4589858224.8718176</v>
      </c>
    </row>
    <row r="12" spans="1:3">
      <c r="A12" s="2448" t="s">
        <v>1927</v>
      </c>
      <c r="B12">
        <v>1</v>
      </c>
      <c r="C12" s="2461">
        <v>5231496.2248651609</v>
      </c>
    </row>
    <row r="13" spans="1:3">
      <c r="A13" s="2448" t="s">
        <v>1928</v>
      </c>
      <c r="B13">
        <v>67</v>
      </c>
      <c r="C13" s="2461">
        <v>159112864230.02795</v>
      </c>
    </row>
    <row r="25" spans="2:2">
      <c r="B25" s="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10"/>
  <dimension ref="A1:K153"/>
  <sheetViews>
    <sheetView topLeftCell="A129" zoomScaleNormal="100" workbookViewId="0">
      <selection activeCell="H61" sqref="H61"/>
    </sheetView>
  </sheetViews>
  <sheetFormatPr defaultColWidth="9.140625" defaultRowHeight="12.75"/>
  <cols>
    <col min="1" max="1" width="3.28515625" customWidth="1"/>
    <col min="2" max="2" width="16" customWidth="1"/>
    <col min="3" max="3" width="14.42578125" customWidth="1"/>
    <col min="4" max="4" width="9.7109375" customWidth="1"/>
    <col min="5" max="5" width="15.140625" customWidth="1"/>
    <col min="6" max="6" width="16.85546875" customWidth="1"/>
    <col min="7" max="7" width="20.140625" bestFit="1" customWidth="1"/>
    <col min="8" max="8" width="12.28515625" bestFit="1" customWidth="1"/>
    <col min="9" max="9" width="12.85546875" customWidth="1"/>
    <col min="10" max="228" width="11.42578125" customWidth="1"/>
  </cols>
  <sheetData>
    <row r="1" spans="2:7">
      <c r="G1" s="7"/>
    </row>
    <row r="2" spans="2:7" ht="24">
      <c r="B2" s="17" t="s">
        <v>285</v>
      </c>
      <c r="C2" s="1756" t="s">
        <v>286</v>
      </c>
      <c r="D2" s="4"/>
      <c r="G2" s="276"/>
    </row>
    <row r="3" spans="2:7">
      <c r="B3" s="66" t="s">
        <v>67</v>
      </c>
      <c r="C3" s="398">
        <f>3750000/5</f>
        <v>750000</v>
      </c>
      <c r="D3" s="4"/>
      <c r="G3" s="7"/>
    </row>
    <row r="4" spans="2:7">
      <c r="B4" s="66" t="s">
        <v>287</v>
      </c>
      <c r="C4" s="598">
        <v>42761</v>
      </c>
      <c r="D4" s="598" t="s">
        <v>288</v>
      </c>
      <c r="G4" s="7"/>
    </row>
    <row r="5" spans="2:7" ht="60.75" customHeight="1">
      <c r="B5" s="599" t="s">
        <v>69</v>
      </c>
      <c r="C5" s="600" t="s">
        <v>289</v>
      </c>
      <c r="G5" s="7"/>
    </row>
    <row r="6" spans="2:7">
      <c r="B6" s="3" t="s">
        <v>290</v>
      </c>
      <c r="C6" s="598">
        <v>43131</v>
      </c>
      <c r="G6" s="7"/>
    </row>
    <row r="7" spans="2:7">
      <c r="B7" s="3" t="s">
        <v>291</v>
      </c>
      <c r="C7" s="598" t="s">
        <v>292</v>
      </c>
      <c r="G7" s="7"/>
    </row>
    <row r="8" spans="2:7">
      <c r="B8" s="188" t="s">
        <v>293</v>
      </c>
    </row>
    <row r="9" spans="2:7">
      <c r="B9" t="s">
        <v>294</v>
      </c>
      <c r="C9" s="93" t="s">
        <v>295</v>
      </c>
    </row>
    <row r="10" spans="2:7">
      <c r="B10" t="s">
        <v>296</v>
      </c>
      <c r="C10" s="471">
        <v>38995</v>
      </c>
    </row>
    <row r="11" spans="2:7">
      <c r="B11" t="s">
        <v>297</v>
      </c>
      <c r="C11" s="471">
        <v>39361</v>
      </c>
    </row>
    <row r="12" spans="2:7">
      <c r="B12" s="188" t="s">
        <v>298</v>
      </c>
      <c r="C12" s="21">
        <v>750000</v>
      </c>
    </row>
    <row r="13" spans="2:7">
      <c r="B13" t="s">
        <v>299</v>
      </c>
      <c r="C13" s="32">
        <v>360</v>
      </c>
      <c r="D13" s="8"/>
      <c r="E13" s="8"/>
    </row>
    <row r="14" spans="2:7">
      <c r="D14" s="8"/>
      <c r="E14" s="8"/>
    </row>
    <row r="15" spans="2:7" ht="36">
      <c r="B15" s="375" t="s">
        <v>300</v>
      </c>
      <c r="C15" s="21">
        <v>750000</v>
      </c>
      <c r="D15" s="8"/>
      <c r="E15" s="8"/>
    </row>
    <row r="16" spans="2:7" ht="72">
      <c r="B16" s="375" t="s">
        <v>301</v>
      </c>
      <c r="C16" s="21">
        <v>408000</v>
      </c>
    </row>
    <row r="19" spans="2:11">
      <c r="B19" t="s">
        <v>302</v>
      </c>
    </row>
    <row r="20" spans="2:11">
      <c r="C20" s="16" t="s">
        <v>288</v>
      </c>
      <c r="D20" s="1"/>
    </row>
    <row r="21" spans="2:11">
      <c r="B21" t="s">
        <v>303</v>
      </c>
      <c r="C21" s="46">
        <f>($C$12*C13)/360</f>
        <v>750000</v>
      </c>
    </row>
    <row r="22" spans="2:11">
      <c r="B22" t="s">
        <v>32</v>
      </c>
      <c r="C22" s="46">
        <f>+(C21*C13*0.12)/360</f>
        <v>90000</v>
      </c>
    </row>
    <row r="23" spans="2:11">
      <c r="B23" t="s">
        <v>304</v>
      </c>
      <c r="C23" s="46">
        <f>(C12*C13)/360</f>
        <v>750000</v>
      </c>
    </row>
    <row r="24" spans="2:11">
      <c r="B24" t="s">
        <v>104</v>
      </c>
      <c r="C24" s="46">
        <f>(C12*C13)/720</f>
        <v>375000</v>
      </c>
    </row>
    <row r="27" spans="2:11">
      <c r="B27" s="188" t="s">
        <v>305</v>
      </c>
    </row>
    <row r="28" spans="2:11">
      <c r="B28" s="188" t="s">
        <v>306</v>
      </c>
    </row>
    <row r="29" spans="2:11">
      <c r="B29" s="1"/>
    </row>
    <row r="30" spans="2:11" ht="24">
      <c r="B30" s="914" t="s">
        <v>307</v>
      </c>
      <c r="C30" s="16">
        <v>42766</v>
      </c>
      <c r="D30" s="1859">
        <v>96.92</v>
      </c>
      <c r="K30" s="32"/>
    </row>
    <row r="31" spans="2:11">
      <c r="K31" s="32"/>
    </row>
    <row r="32" spans="2:11" ht="33.75">
      <c r="B32" s="601" t="s">
        <v>308</v>
      </c>
      <c r="C32" s="388">
        <v>750000</v>
      </c>
      <c r="D32" s="391" t="s">
        <v>309</v>
      </c>
      <c r="E32" s="228" t="s">
        <v>77</v>
      </c>
      <c r="F32" s="229" t="s">
        <v>253</v>
      </c>
      <c r="K32" s="32"/>
    </row>
    <row r="33" spans="2:11">
      <c r="B33" s="2" t="s">
        <v>303</v>
      </c>
      <c r="C33" s="377">
        <v>750000</v>
      </c>
      <c r="D33" s="1859">
        <v>64.2</v>
      </c>
      <c r="E33" s="233">
        <f t="shared" ref="E33:E40" si="0">+$H$45/D33</f>
        <v>1.5096573208722741</v>
      </c>
      <c r="F33" s="377">
        <f>+C33*E33</f>
        <v>1132242.9906542057</v>
      </c>
      <c r="G33" t="s">
        <v>324</v>
      </c>
      <c r="K33" s="32"/>
    </row>
    <row r="34" spans="2:11">
      <c r="B34" s="2" t="s">
        <v>32</v>
      </c>
      <c r="C34" s="377">
        <v>90000</v>
      </c>
      <c r="D34" s="232">
        <v>64.2</v>
      </c>
      <c r="E34" s="233">
        <f t="shared" si="0"/>
        <v>1.5096573208722741</v>
      </c>
      <c r="F34" s="377">
        <f t="shared" ref="F34:F40" si="1">+C34*E34</f>
        <v>135869.15887850468</v>
      </c>
      <c r="K34" s="32"/>
    </row>
    <row r="35" spans="2:11">
      <c r="B35" s="2" t="s">
        <v>304</v>
      </c>
      <c r="C35" s="377">
        <v>750000</v>
      </c>
      <c r="D35" s="232">
        <v>64.2</v>
      </c>
      <c r="E35" s="233">
        <f t="shared" si="0"/>
        <v>1.5096573208722741</v>
      </c>
      <c r="F35" s="377">
        <f t="shared" si="1"/>
        <v>1132242.9906542057</v>
      </c>
      <c r="K35" s="32"/>
    </row>
    <row r="36" spans="2:11">
      <c r="B36" s="2" t="s">
        <v>104</v>
      </c>
      <c r="C36" s="159">
        <v>375000</v>
      </c>
      <c r="D36" s="232">
        <v>64.2</v>
      </c>
      <c r="E36" s="233">
        <f t="shared" si="0"/>
        <v>1.5096573208722741</v>
      </c>
      <c r="F36" s="377">
        <f t="shared" si="1"/>
        <v>566121.49532710284</v>
      </c>
      <c r="K36" s="32"/>
    </row>
    <row r="37" spans="2:11">
      <c r="B37" s="371" t="s">
        <v>310</v>
      </c>
      <c r="C37" s="159">
        <v>375884</v>
      </c>
      <c r="D37" s="232">
        <v>64.2</v>
      </c>
      <c r="E37" s="233">
        <f t="shared" si="0"/>
        <v>1.5096573208722741</v>
      </c>
      <c r="F37" s="377">
        <f t="shared" si="1"/>
        <v>567456.03239875392</v>
      </c>
      <c r="K37" s="32"/>
    </row>
    <row r="38" spans="2:11">
      <c r="B38" s="371" t="s">
        <v>311</v>
      </c>
      <c r="C38" s="159">
        <v>220012</v>
      </c>
      <c r="D38" s="232">
        <v>64.2</v>
      </c>
      <c r="E38" s="233">
        <f t="shared" si="0"/>
        <v>1.5096573208722741</v>
      </c>
      <c r="F38" s="377">
        <f t="shared" si="1"/>
        <v>332142.72647975077</v>
      </c>
      <c r="K38" s="32"/>
    </row>
    <row r="39" spans="2:11">
      <c r="B39" s="371" t="s">
        <v>312</v>
      </c>
      <c r="C39" s="159">
        <v>35512</v>
      </c>
      <c r="D39" s="232">
        <v>64.2</v>
      </c>
      <c r="E39" s="233">
        <f t="shared" si="0"/>
        <v>1.5096573208722741</v>
      </c>
      <c r="F39" s="377">
        <f t="shared" si="1"/>
        <v>53610.950778816201</v>
      </c>
      <c r="K39" s="32"/>
    </row>
    <row r="40" spans="2:11">
      <c r="B40" s="196" t="s">
        <v>313</v>
      </c>
      <c r="C40" s="159">
        <v>50800</v>
      </c>
      <c r="D40" s="232">
        <v>64.2</v>
      </c>
      <c r="E40" s="233">
        <f t="shared" si="0"/>
        <v>1.5096573208722741</v>
      </c>
      <c r="F40" s="377">
        <f t="shared" si="1"/>
        <v>76690.591900311527</v>
      </c>
      <c r="K40" s="32"/>
    </row>
    <row r="41" spans="2:11">
      <c r="B41" s="234"/>
      <c r="C41" s="376"/>
      <c r="D41" s="376"/>
      <c r="E41" s="233" t="s">
        <v>97</v>
      </c>
      <c r="F41" s="377">
        <f>SUM(F33:F40)</f>
        <v>3996376.9370716512</v>
      </c>
      <c r="K41" s="32"/>
    </row>
    <row r="42" spans="2:11">
      <c r="B42" s="234"/>
      <c r="C42" s="235"/>
      <c r="D42" s="376"/>
      <c r="E42" s="234"/>
      <c r="F42" s="235"/>
      <c r="K42" s="32"/>
    </row>
    <row r="43" spans="2:11">
      <c r="B43" s="236" t="s">
        <v>245</v>
      </c>
      <c r="C43" s="235"/>
      <c r="D43" s="376"/>
      <c r="E43" s="234"/>
      <c r="F43" s="235"/>
      <c r="K43" s="32"/>
    </row>
    <row r="44" spans="2:11">
      <c r="B44" s="547"/>
      <c r="C44" s="623"/>
      <c r="D44" s="624"/>
      <c r="E44" s="547"/>
      <c r="F44" s="623"/>
      <c r="G44" s="156"/>
      <c r="H44" s="156"/>
      <c r="K44" s="32"/>
    </row>
    <row r="45" spans="2:11" ht="24">
      <c r="B45" s="1860" t="s">
        <v>314</v>
      </c>
      <c r="C45" s="625">
        <v>408000</v>
      </c>
      <c r="D45" s="156"/>
      <c r="E45" s="156"/>
      <c r="F45" s="1862" t="s">
        <v>315</v>
      </c>
      <c r="G45" s="50">
        <v>42766</v>
      </c>
      <c r="H45" s="627">
        <v>96.92</v>
      </c>
      <c r="K45" s="32"/>
    </row>
    <row r="46" spans="2:11" ht="24">
      <c r="B46" s="628" t="s">
        <v>206</v>
      </c>
      <c r="C46" s="628" t="s">
        <v>10</v>
      </c>
      <c r="D46" s="1861" t="s">
        <v>251</v>
      </c>
      <c r="E46" s="629" t="s">
        <v>252</v>
      </c>
      <c r="F46" s="628" t="s">
        <v>76</v>
      </c>
      <c r="G46" s="628" t="s">
        <v>77</v>
      </c>
      <c r="H46" s="628" t="s">
        <v>253</v>
      </c>
      <c r="K46" s="32"/>
    </row>
    <row r="47" spans="2:11">
      <c r="B47" s="50">
        <v>38995</v>
      </c>
      <c r="C47" s="50">
        <v>39021</v>
      </c>
      <c r="D47" s="625">
        <f>+($C$45*8%)</f>
        <v>32640</v>
      </c>
      <c r="E47" s="625">
        <f>+$C$45*11.63%</f>
        <v>47450.400000000009</v>
      </c>
      <c r="F47" s="627">
        <v>64.2</v>
      </c>
      <c r="G47" s="399">
        <f t="shared" ref="G47:G58" si="2">+$H$45/F47</f>
        <v>1.5096573208722741</v>
      </c>
      <c r="H47" s="625">
        <f>+(D47+E47)*G47</f>
        <v>120909.0586915888</v>
      </c>
      <c r="K47" s="32"/>
    </row>
    <row r="48" spans="2:11">
      <c r="B48" s="50">
        <v>39022</v>
      </c>
      <c r="C48" s="50">
        <v>39051</v>
      </c>
      <c r="D48" s="625">
        <f>+($C$45*8%)</f>
        <v>32640</v>
      </c>
      <c r="E48" s="625">
        <f>+$C$45*11.63%</f>
        <v>47450.400000000009</v>
      </c>
      <c r="F48" s="627">
        <v>64.510000000000005</v>
      </c>
      <c r="G48" s="399">
        <f t="shared" si="2"/>
        <v>1.5024027282591845</v>
      </c>
      <c r="H48" s="625">
        <f t="shared" ref="H48:H58" si="3">+(D48+E48)*G48</f>
        <v>120328.03546736941</v>
      </c>
      <c r="K48" s="32"/>
    </row>
    <row r="49" spans="1:11">
      <c r="B49" s="50">
        <v>39052</v>
      </c>
      <c r="C49" s="50">
        <v>39082</v>
      </c>
      <c r="D49" s="625">
        <f>+($C$45*8%)</f>
        <v>32640</v>
      </c>
      <c r="E49" s="625">
        <f>+$C$45*11.63%</f>
        <v>47450.400000000009</v>
      </c>
      <c r="F49" s="627">
        <v>64.819999999999993</v>
      </c>
      <c r="G49" s="399">
        <f t="shared" si="2"/>
        <v>1.4952175254551066</v>
      </c>
      <c r="H49" s="625">
        <f t="shared" si="3"/>
        <v>119752.56970070968</v>
      </c>
      <c r="K49" s="32"/>
    </row>
    <row r="50" spans="1:11">
      <c r="B50" s="50">
        <v>39083</v>
      </c>
      <c r="C50" s="50">
        <v>39113</v>
      </c>
      <c r="D50" s="625">
        <f>+($C$45*8.5%)</f>
        <v>34680</v>
      </c>
      <c r="E50" s="625">
        <f>+$C$45*11.63%</f>
        <v>47450.400000000009</v>
      </c>
      <c r="F50" s="627">
        <v>65.510000000000005</v>
      </c>
      <c r="G50" s="399">
        <f t="shared" si="2"/>
        <v>1.4794687833918485</v>
      </c>
      <c r="H50" s="625">
        <f t="shared" si="3"/>
        <v>121509.36296748588</v>
      </c>
      <c r="K50" s="32"/>
    </row>
    <row r="51" spans="1:11">
      <c r="B51" s="50">
        <v>39114</v>
      </c>
      <c r="C51" s="50">
        <v>39141</v>
      </c>
      <c r="D51" s="625">
        <f t="shared" ref="D51:D58" si="4">+($C$45*8.5%)</f>
        <v>34680</v>
      </c>
      <c r="E51" s="625">
        <f t="shared" ref="E51:E58" si="5">+$C$45*11.63%</f>
        <v>47450.400000000009</v>
      </c>
      <c r="F51" s="627">
        <v>66.5</v>
      </c>
      <c r="G51" s="399">
        <f t="shared" si="2"/>
        <v>1.4574436090225564</v>
      </c>
      <c r="H51" s="625">
        <f t="shared" si="3"/>
        <v>119700.42658646619</v>
      </c>
      <c r="K51" s="32"/>
    </row>
    <row r="52" spans="1:11">
      <c r="B52" s="50">
        <v>39142</v>
      </c>
      <c r="C52" s="50">
        <v>39172</v>
      </c>
      <c r="D52" s="625">
        <f t="shared" si="4"/>
        <v>34680</v>
      </c>
      <c r="E52" s="625">
        <f t="shared" si="5"/>
        <v>47450.400000000009</v>
      </c>
      <c r="F52" s="627">
        <v>67.040000000000006</v>
      </c>
      <c r="G52" s="399">
        <f t="shared" si="2"/>
        <v>1.4457040572792361</v>
      </c>
      <c r="H52" s="625">
        <f t="shared" si="3"/>
        <v>118736.25250596659</v>
      </c>
      <c r="K52" s="32"/>
    </row>
    <row r="53" spans="1:11">
      <c r="B53" s="50">
        <v>39173</v>
      </c>
      <c r="C53" s="50">
        <v>39202</v>
      </c>
      <c r="D53" s="625">
        <f t="shared" si="4"/>
        <v>34680</v>
      </c>
      <c r="E53" s="625">
        <f t="shared" si="5"/>
        <v>47450.400000000009</v>
      </c>
      <c r="F53" s="627">
        <v>67.510000000000005</v>
      </c>
      <c r="G53" s="399">
        <f t="shared" si="2"/>
        <v>1.4356391645682121</v>
      </c>
      <c r="H53" s="625">
        <f t="shared" si="3"/>
        <v>117909.61884165309</v>
      </c>
      <c r="K53" s="32"/>
    </row>
    <row r="54" spans="1:11">
      <c r="B54" s="50">
        <v>39203</v>
      </c>
      <c r="C54" s="50">
        <v>39233</v>
      </c>
      <c r="D54" s="625">
        <f t="shared" si="4"/>
        <v>34680</v>
      </c>
      <c r="E54" s="625">
        <f t="shared" si="5"/>
        <v>47450.400000000009</v>
      </c>
      <c r="F54" s="627">
        <v>68.14</v>
      </c>
      <c r="G54" s="399">
        <f t="shared" si="2"/>
        <v>1.4223657176401527</v>
      </c>
      <c r="H54" s="625">
        <f t="shared" si="3"/>
        <v>116819.46533607281</v>
      </c>
      <c r="K54" s="32"/>
    </row>
    <row r="55" spans="1:11">
      <c r="B55" s="50">
        <v>39234</v>
      </c>
      <c r="C55" s="50">
        <v>39263</v>
      </c>
      <c r="D55" s="625">
        <f t="shared" si="4"/>
        <v>34680</v>
      </c>
      <c r="E55" s="625">
        <f t="shared" si="5"/>
        <v>47450.400000000009</v>
      </c>
      <c r="F55" s="627">
        <v>68.73</v>
      </c>
      <c r="G55" s="399">
        <f t="shared" si="2"/>
        <v>1.4101556816528444</v>
      </c>
      <c r="H55" s="625">
        <f t="shared" si="3"/>
        <v>115816.65019642079</v>
      </c>
      <c r="K55" s="32"/>
    </row>
    <row r="56" spans="1:11">
      <c r="B56" s="50">
        <v>39264</v>
      </c>
      <c r="C56" s="50">
        <v>39294</v>
      </c>
      <c r="D56" s="625">
        <f t="shared" si="4"/>
        <v>34680</v>
      </c>
      <c r="E56" s="625">
        <f t="shared" si="5"/>
        <v>47450.400000000009</v>
      </c>
      <c r="F56" s="627">
        <v>69.06</v>
      </c>
      <c r="G56" s="399">
        <f t="shared" si="2"/>
        <v>1.4034173182739647</v>
      </c>
      <c r="H56" s="625">
        <f t="shared" si="3"/>
        <v>115263.22571676804</v>
      </c>
      <c r="K56" s="32"/>
    </row>
    <row r="57" spans="1:11">
      <c r="B57" s="50">
        <v>39295</v>
      </c>
      <c r="C57" s="50">
        <v>39325</v>
      </c>
      <c r="D57" s="625">
        <f t="shared" si="4"/>
        <v>34680</v>
      </c>
      <c r="E57" s="625">
        <f t="shared" si="5"/>
        <v>47450.400000000009</v>
      </c>
      <c r="F57" s="627">
        <v>69.19</v>
      </c>
      <c r="G57" s="399">
        <f t="shared" si="2"/>
        <v>1.400780459603989</v>
      </c>
      <c r="H57" s="625">
        <f t="shared" si="3"/>
        <v>115046.65945945946</v>
      </c>
      <c r="K57" s="32"/>
    </row>
    <row r="58" spans="1:11">
      <c r="B58" s="50">
        <v>39326</v>
      </c>
      <c r="C58" s="50">
        <v>39355</v>
      </c>
      <c r="D58" s="625">
        <f t="shared" si="4"/>
        <v>34680</v>
      </c>
      <c r="E58" s="625">
        <f t="shared" si="5"/>
        <v>47450.400000000009</v>
      </c>
      <c r="F58" s="627">
        <v>69.06</v>
      </c>
      <c r="G58" s="399">
        <f t="shared" si="2"/>
        <v>1.4034173182739647</v>
      </c>
      <c r="H58" s="625">
        <f t="shared" si="3"/>
        <v>115263.22571676804</v>
      </c>
      <c r="K58" s="32"/>
    </row>
    <row r="59" spans="1:11">
      <c r="B59" s="50">
        <v>39356</v>
      </c>
      <c r="C59" s="50">
        <v>39386</v>
      </c>
      <c r="D59" s="625">
        <f>+($C$45*8.5%)</f>
        <v>34680</v>
      </c>
      <c r="E59" s="625">
        <f>+$C$45*11.63%</f>
        <v>47450.400000000009</v>
      </c>
      <c r="F59" s="627">
        <v>69.3</v>
      </c>
      <c r="G59" s="399">
        <f>+$H$45/F59</f>
        <v>1.3985569985569986</v>
      </c>
      <c r="H59" s="625">
        <f>+(D59+E59)*G59</f>
        <v>114864.04571428572</v>
      </c>
      <c r="K59" s="32"/>
    </row>
    <row r="60" spans="1:11" ht="13.5" thickBot="1">
      <c r="B60" s="547"/>
      <c r="C60" s="623"/>
      <c r="D60" s="380"/>
      <c r="E60" s="547"/>
      <c r="F60" s="623"/>
      <c r="G60" s="394" t="s">
        <v>316</v>
      </c>
      <c r="H60" s="626">
        <f>SUM(H47:H59)</f>
        <v>1531918.5969010144</v>
      </c>
      <c r="K60" s="32"/>
    </row>
    <row r="61" spans="1:11" ht="14.25" thickTop="1" thickBot="1">
      <c r="B61" s="234"/>
      <c r="C61" s="235"/>
      <c r="D61" s="235"/>
      <c r="E61" s="234"/>
      <c r="F61" s="389" t="s">
        <v>325</v>
      </c>
      <c r="G61" s="55"/>
      <c r="H61" s="56">
        <f>+F41+H60</f>
        <v>5528295.5339726657</v>
      </c>
      <c r="K61" s="32"/>
    </row>
    <row r="62" spans="1:11" ht="13.5" thickTop="1">
      <c r="B62" s="234"/>
      <c r="C62" s="235"/>
      <c r="D62" s="376"/>
      <c r="E62" s="234"/>
      <c r="F62" s="235"/>
      <c r="K62" s="32"/>
    </row>
    <row r="63" spans="1:11">
      <c r="A63" s="156"/>
      <c r="B63" s="354" t="s">
        <v>317</v>
      </c>
      <c r="C63" s="235"/>
      <c r="D63" s="376"/>
      <c r="E63" s="234"/>
      <c r="F63" s="235"/>
      <c r="G63" s="147"/>
      <c r="H63" s="147"/>
      <c r="I63" s="147"/>
      <c r="K63" s="32"/>
    </row>
    <row r="64" spans="1:11">
      <c r="A64" s="156"/>
      <c r="B64" s="354" t="s">
        <v>180</v>
      </c>
      <c r="C64" s="1178">
        <v>42395</v>
      </c>
      <c r="D64" s="147" t="s">
        <v>318</v>
      </c>
      <c r="E64" s="161"/>
      <c r="F64" s="147"/>
      <c r="G64" s="147"/>
      <c r="H64" s="147"/>
      <c r="I64" s="147"/>
    </row>
    <row r="65" spans="1:9">
      <c r="A65" s="156"/>
      <c r="B65" s="354" t="s">
        <v>319</v>
      </c>
      <c r="C65" s="1178"/>
      <c r="D65" s="147"/>
      <c r="E65" s="161"/>
      <c r="F65" s="147"/>
      <c r="G65" s="147"/>
      <c r="H65" s="147"/>
      <c r="I65" s="147"/>
    </row>
    <row r="66" spans="1:9">
      <c r="A66" s="156"/>
      <c r="B66" s="2569" t="s">
        <v>84</v>
      </c>
      <c r="C66" s="2569"/>
      <c r="D66" s="2569"/>
      <c r="E66" s="2569"/>
      <c r="F66" s="2569"/>
      <c r="G66" s="2569"/>
      <c r="H66" s="2569"/>
      <c r="I66" s="147"/>
    </row>
    <row r="67" spans="1:9">
      <c r="A67" s="156"/>
      <c r="B67" s="351" t="s">
        <v>206</v>
      </c>
      <c r="C67" s="351" t="s">
        <v>10</v>
      </c>
      <c r="D67" s="1179" t="s">
        <v>279</v>
      </c>
      <c r="E67" s="226" t="s">
        <v>129</v>
      </c>
      <c r="F67" s="1180" t="s">
        <v>320</v>
      </c>
      <c r="G67" s="1181" t="s">
        <v>321</v>
      </c>
      <c r="H67" s="67" t="s">
        <v>43</v>
      </c>
      <c r="I67" s="226" t="s">
        <v>253</v>
      </c>
    </row>
    <row r="68" spans="1:9">
      <c r="A68" s="4">
        <v>1</v>
      </c>
      <c r="B68" s="16">
        <v>42396</v>
      </c>
      <c r="C68" s="16">
        <v>42400</v>
      </c>
      <c r="D68" s="1182">
        <f t="shared" ref="D68:D74" si="6">_xlfn.DAYS(C68,B68)+1</f>
        <v>5</v>
      </c>
      <c r="E68" s="377">
        <f>+$H$61</f>
        <v>5528295.5339726657</v>
      </c>
      <c r="F68" s="1016">
        <v>0.1968</v>
      </c>
      <c r="G68" s="491">
        <f>+F68*1.5</f>
        <v>0.29520000000000002</v>
      </c>
      <c r="H68" s="160">
        <f>((1+G68)^(1/365)-1)</f>
        <v>7.0892273793354832E-4</v>
      </c>
      <c r="I68" s="377">
        <f t="shared" ref="I68:I77" si="7">+E68*H68*D68</f>
        <v>19595.672030248548</v>
      </c>
    </row>
    <row r="69" spans="1:9">
      <c r="A69" s="4">
        <v>2</v>
      </c>
      <c r="B69" s="16">
        <v>42401</v>
      </c>
      <c r="C69" s="16">
        <v>42429</v>
      </c>
      <c r="D69" s="1182">
        <f t="shared" si="6"/>
        <v>29</v>
      </c>
      <c r="E69" s="377">
        <f t="shared" ref="E69:E74" si="8">+$H$61</f>
        <v>5528295.5339726657</v>
      </c>
      <c r="F69" s="1016">
        <v>0.1968</v>
      </c>
      <c r="G69" s="491">
        <f t="shared" ref="G69:G93" si="9">+F69*1.5</f>
        <v>0.29520000000000002</v>
      </c>
      <c r="H69" s="160">
        <f t="shared" ref="H69:H74" si="10">((1+G69)^(1/365)-1)</f>
        <v>7.0892273793354832E-4</v>
      </c>
      <c r="I69" s="377">
        <f t="shared" si="7"/>
        <v>113654.89777544157</v>
      </c>
    </row>
    <row r="70" spans="1:9">
      <c r="A70" s="4">
        <v>3</v>
      </c>
      <c r="B70" s="16">
        <v>42430</v>
      </c>
      <c r="C70" s="16">
        <v>42460</v>
      </c>
      <c r="D70" s="1182">
        <f t="shared" si="6"/>
        <v>31</v>
      </c>
      <c r="E70" s="377">
        <f t="shared" si="8"/>
        <v>5528295.5339726657</v>
      </c>
      <c r="F70" s="1016">
        <v>0.1968</v>
      </c>
      <c r="G70" s="491">
        <f t="shared" si="9"/>
        <v>0.29520000000000002</v>
      </c>
      <c r="H70" s="160">
        <f t="shared" si="10"/>
        <v>7.0892273793354832E-4</v>
      </c>
      <c r="I70" s="377">
        <f t="shared" si="7"/>
        <v>121493.166587541</v>
      </c>
    </row>
    <row r="71" spans="1:9">
      <c r="A71" s="4">
        <v>4</v>
      </c>
      <c r="B71" s="16">
        <v>42461</v>
      </c>
      <c r="C71" s="16">
        <v>42490</v>
      </c>
      <c r="D71" s="1182">
        <f>_xlfn.DAYS(C71,B71)+1</f>
        <v>30</v>
      </c>
      <c r="E71" s="377">
        <f t="shared" si="8"/>
        <v>5528295.5339726657</v>
      </c>
      <c r="F71" s="1016">
        <v>0.2054</v>
      </c>
      <c r="G71" s="491">
        <f t="shared" si="9"/>
        <v>0.30809999999999998</v>
      </c>
      <c r="H71" s="160">
        <f t="shared" si="10"/>
        <v>7.3609462782320279E-4</v>
      </c>
      <c r="I71" s="377">
        <f t="shared" si="7"/>
        <v>122080.4593072885</v>
      </c>
    </row>
    <row r="72" spans="1:9">
      <c r="A72" s="4">
        <v>5</v>
      </c>
      <c r="B72" s="16">
        <v>42491</v>
      </c>
      <c r="C72" s="186">
        <v>42521</v>
      </c>
      <c r="D72" s="1182">
        <f t="shared" si="6"/>
        <v>31</v>
      </c>
      <c r="E72" s="377">
        <f t="shared" si="8"/>
        <v>5528295.5339726657</v>
      </c>
      <c r="F72" s="1016">
        <v>0.2054</v>
      </c>
      <c r="G72" s="491">
        <f t="shared" si="9"/>
        <v>0.30809999999999998</v>
      </c>
      <c r="H72" s="160">
        <f t="shared" si="10"/>
        <v>7.3609462782320279E-4</v>
      </c>
      <c r="I72" s="377">
        <f t="shared" si="7"/>
        <v>126149.80795086478</v>
      </c>
    </row>
    <row r="73" spans="1:9">
      <c r="A73" s="4">
        <v>6</v>
      </c>
      <c r="B73" s="16">
        <v>42522</v>
      </c>
      <c r="C73" s="186">
        <v>42551</v>
      </c>
      <c r="D73" s="1182">
        <f t="shared" si="6"/>
        <v>30</v>
      </c>
      <c r="E73" s="377">
        <f t="shared" si="8"/>
        <v>5528295.5339726657</v>
      </c>
      <c r="F73" s="1016">
        <v>0.2054</v>
      </c>
      <c r="G73" s="491">
        <f t="shared" si="9"/>
        <v>0.30809999999999998</v>
      </c>
      <c r="H73" s="160">
        <f t="shared" si="10"/>
        <v>7.3609462782320279E-4</v>
      </c>
      <c r="I73" s="377">
        <f t="shared" si="7"/>
        <v>122080.4593072885</v>
      </c>
    </row>
    <row r="74" spans="1:9">
      <c r="A74" s="4">
        <v>7</v>
      </c>
      <c r="B74" s="16">
        <v>42552</v>
      </c>
      <c r="C74" s="186">
        <v>42578</v>
      </c>
      <c r="D74" s="1182">
        <f t="shared" si="6"/>
        <v>27</v>
      </c>
      <c r="E74" s="377">
        <f t="shared" si="8"/>
        <v>5528295.5339726657</v>
      </c>
      <c r="F74" s="1016">
        <v>0.21340000000000001</v>
      </c>
      <c r="G74" s="491">
        <f t="shared" si="9"/>
        <v>0.3201</v>
      </c>
      <c r="H74" s="160">
        <f t="shared" si="10"/>
        <v>7.6113195596128058E-4</v>
      </c>
      <c r="I74" s="377">
        <f t="shared" si="7"/>
        <v>113609.58460842492</v>
      </c>
    </row>
    <row r="75" spans="1:9">
      <c r="A75" s="4">
        <v>8</v>
      </c>
      <c r="B75" s="16">
        <v>42579</v>
      </c>
      <c r="C75" s="186">
        <v>42582</v>
      </c>
      <c r="D75" s="1182">
        <v>0</v>
      </c>
      <c r="E75" s="377">
        <v>0</v>
      </c>
      <c r="F75" s="1016">
        <v>0</v>
      </c>
      <c r="G75" s="491">
        <f t="shared" si="9"/>
        <v>0</v>
      </c>
      <c r="H75" s="160">
        <f t="shared" ref="H75:H93" si="11">((1+G75)^(1/365)-1)</f>
        <v>0</v>
      </c>
      <c r="I75" s="377">
        <f t="shared" si="7"/>
        <v>0</v>
      </c>
    </row>
    <row r="76" spans="1:9">
      <c r="A76" s="4">
        <v>9</v>
      </c>
      <c r="B76" s="16">
        <v>42583</v>
      </c>
      <c r="C76" s="186">
        <v>42613</v>
      </c>
      <c r="D76" s="1182">
        <v>0</v>
      </c>
      <c r="E76" s="377">
        <v>0</v>
      </c>
      <c r="F76" s="1016">
        <v>0</v>
      </c>
      <c r="G76" s="491">
        <f t="shared" si="9"/>
        <v>0</v>
      </c>
      <c r="H76" s="160">
        <f t="shared" si="11"/>
        <v>0</v>
      </c>
      <c r="I76" s="377">
        <f t="shared" si="7"/>
        <v>0</v>
      </c>
    </row>
    <row r="77" spans="1:9">
      <c r="A77" s="4">
        <v>10</v>
      </c>
      <c r="B77" s="16">
        <v>42614</v>
      </c>
      <c r="C77" s="186">
        <v>42643</v>
      </c>
      <c r="D77" s="1182">
        <v>0</v>
      </c>
      <c r="E77" s="377">
        <v>0</v>
      </c>
      <c r="F77" s="1016">
        <v>0</v>
      </c>
      <c r="G77" s="491">
        <f t="shared" si="9"/>
        <v>0</v>
      </c>
      <c r="H77" s="160">
        <f t="shared" si="11"/>
        <v>0</v>
      </c>
      <c r="I77" s="377">
        <f t="shared" si="7"/>
        <v>0</v>
      </c>
    </row>
    <row r="78" spans="1:9">
      <c r="A78" s="4">
        <v>11</v>
      </c>
      <c r="B78" s="16">
        <v>42644</v>
      </c>
      <c r="C78" s="186">
        <v>42674</v>
      </c>
      <c r="D78" s="1182">
        <v>0</v>
      </c>
      <c r="E78" s="377">
        <v>0</v>
      </c>
      <c r="F78" s="1016">
        <v>0</v>
      </c>
      <c r="G78" s="491">
        <f t="shared" si="9"/>
        <v>0</v>
      </c>
      <c r="H78" s="160">
        <f t="shared" si="11"/>
        <v>0</v>
      </c>
      <c r="I78" s="377">
        <f t="shared" ref="I78:I92" si="12">+E78*H78*D78</f>
        <v>0</v>
      </c>
    </row>
    <row r="79" spans="1:9">
      <c r="A79" s="4">
        <v>12</v>
      </c>
      <c r="B79" s="16">
        <v>42675</v>
      </c>
      <c r="C79" s="186">
        <v>42704</v>
      </c>
      <c r="D79" s="1182">
        <v>0</v>
      </c>
      <c r="E79" s="377">
        <v>0</v>
      </c>
      <c r="F79" s="1016">
        <v>0</v>
      </c>
      <c r="G79" s="491">
        <f t="shared" si="9"/>
        <v>0</v>
      </c>
      <c r="H79" s="160">
        <f t="shared" si="11"/>
        <v>0</v>
      </c>
      <c r="I79" s="377">
        <f t="shared" si="12"/>
        <v>0</v>
      </c>
    </row>
    <row r="80" spans="1:9">
      <c r="A80" s="4">
        <v>13</v>
      </c>
      <c r="B80" s="16">
        <v>42705</v>
      </c>
      <c r="C80" s="186">
        <v>42735</v>
      </c>
      <c r="D80" s="1182">
        <v>0</v>
      </c>
      <c r="E80" s="377">
        <v>0</v>
      </c>
      <c r="F80" s="1016">
        <v>0</v>
      </c>
      <c r="G80" s="491">
        <f t="shared" si="9"/>
        <v>0</v>
      </c>
      <c r="H80" s="160">
        <f t="shared" si="11"/>
        <v>0</v>
      </c>
      <c r="I80" s="377">
        <f t="shared" si="12"/>
        <v>0</v>
      </c>
    </row>
    <row r="81" spans="1:9">
      <c r="A81" s="4">
        <v>14</v>
      </c>
      <c r="B81" s="16">
        <v>42736</v>
      </c>
      <c r="C81" s="186">
        <v>42766</v>
      </c>
      <c r="D81" s="1182">
        <v>0</v>
      </c>
      <c r="E81" s="377">
        <v>0</v>
      </c>
      <c r="F81" s="1016">
        <v>0</v>
      </c>
      <c r="G81" s="491">
        <f t="shared" si="9"/>
        <v>0</v>
      </c>
      <c r="H81" s="160">
        <f t="shared" si="11"/>
        <v>0</v>
      </c>
      <c r="I81" s="377">
        <f t="shared" si="12"/>
        <v>0</v>
      </c>
    </row>
    <row r="82" spans="1:9">
      <c r="A82" s="4">
        <v>15</v>
      </c>
      <c r="B82" s="16">
        <v>42767</v>
      </c>
      <c r="C82" s="186">
        <v>42794</v>
      </c>
      <c r="D82" s="1182">
        <v>0</v>
      </c>
      <c r="E82" s="377">
        <v>0</v>
      </c>
      <c r="F82" s="1016">
        <v>0</v>
      </c>
      <c r="G82" s="491">
        <f t="shared" si="9"/>
        <v>0</v>
      </c>
      <c r="H82" s="160">
        <f t="shared" si="11"/>
        <v>0</v>
      </c>
      <c r="I82" s="377">
        <f t="shared" si="12"/>
        <v>0</v>
      </c>
    </row>
    <row r="83" spans="1:9">
      <c r="A83" s="4">
        <v>16</v>
      </c>
      <c r="B83" s="16">
        <v>42795</v>
      </c>
      <c r="C83" s="186">
        <v>42825</v>
      </c>
      <c r="D83" s="1182">
        <v>0</v>
      </c>
      <c r="E83" s="377">
        <v>0</v>
      </c>
      <c r="F83" s="1016">
        <v>0</v>
      </c>
      <c r="G83" s="491">
        <f t="shared" si="9"/>
        <v>0</v>
      </c>
      <c r="H83" s="160">
        <f t="shared" si="11"/>
        <v>0</v>
      </c>
      <c r="I83" s="377">
        <f t="shared" si="12"/>
        <v>0</v>
      </c>
    </row>
    <row r="84" spans="1:9">
      <c r="A84" s="4">
        <v>17</v>
      </c>
      <c r="B84" s="16">
        <v>42826</v>
      </c>
      <c r="C84" s="186">
        <v>42855</v>
      </c>
      <c r="D84" s="1182">
        <v>0</v>
      </c>
      <c r="E84" s="377">
        <v>0</v>
      </c>
      <c r="F84" s="1016">
        <v>0</v>
      </c>
      <c r="G84" s="491">
        <f t="shared" si="9"/>
        <v>0</v>
      </c>
      <c r="H84" s="160">
        <f t="shared" si="11"/>
        <v>0</v>
      </c>
      <c r="I84" s="377">
        <f t="shared" si="12"/>
        <v>0</v>
      </c>
    </row>
    <row r="85" spans="1:9">
      <c r="A85" s="4">
        <v>18</v>
      </c>
      <c r="B85" s="16">
        <v>42856</v>
      </c>
      <c r="C85" s="186">
        <v>42886</v>
      </c>
      <c r="D85" s="1182">
        <v>0</v>
      </c>
      <c r="E85" s="377">
        <v>0</v>
      </c>
      <c r="F85" s="1016">
        <v>0</v>
      </c>
      <c r="G85" s="491">
        <f t="shared" si="9"/>
        <v>0</v>
      </c>
      <c r="H85" s="160">
        <f t="shared" si="11"/>
        <v>0</v>
      </c>
      <c r="I85" s="377">
        <f t="shared" si="12"/>
        <v>0</v>
      </c>
    </row>
    <row r="86" spans="1:9">
      <c r="A86" s="4">
        <v>19</v>
      </c>
      <c r="B86" s="16">
        <v>42887</v>
      </c>
      <c r="C86" s="186">
        <v>42916</v>
      </c>
      <c r="D86" s="1182">
        <v>0</v>
      </c>
      <c r="E86" s="377">
        <v>0</v>
      </c>
      <c r="F86" s="1016">
        <v>0</v>
      </c>
      <c r="G86" s="491">
        <f t="shared" si="9"/>
        <v>0</v>
      </c>
      <c r="H86" s="160">
        <f t="shared" si="11"/>
        <v>0</v>
      </c>
      <c r="I86" s="377">
        <f t="shared" si="12"/>
        <v>0</v>
      </c>
    </row>
    <row r="87" spans="1:9">
      <c r="A87" s="4">
        <v>20</v>
      </c>
      <c r="B87" s="16">
        <v>42917</v>
      </c>
      <c r="C87" s="186">
        <v>42947</v>
      </c>
      <c r="D87" s="1182">
        <v>0</v>
      </c>
      <c r="E87" s="377">
        <v>0</v>
      </c>
      <c r="F87" s="1016">
        <v>0</v>
      </c>
      <c r="G87" s="491">
        <f t="shared" si="9"/>
        <v>0</v>
      </c>
      <c r="H87" s="160">
        <f t="shared" si="11"/>
        <v>0</v>
      </c>
      <c r="I87" s="377">
        <f t="shared" si="12"/>
        <v>0</v>
      </c>
    </row>
    <row r="88" spans="1:9">
      <c r="A88" s="4">
        <v>21</v>
      </c>
      <c r="B88" s="16">
        <v>42948</v>
      </c>
      <c r="C88" s="186">
        <v>42978</v>
      </c>
      <c r="D88" s="1182">
        <v>0</v>
      </c>
      <c r="E88" s="377">
        <v>0</v>
      </c>
      <c r="F88" s="1016">
        <v>0</v>
      </c>
      <c r="G88" s="491">
        <f t="shared" si="9"/>
        <v>0</v>
      </c>
      <c r="H88" s="160">
        <f t="shared" si="11"/>
        <v>0</v>
      </c>
      <c r="I88" s="377">
        <f t="shared" si="12"/>
        <v>0</v>
      </c>
    </row>
    <row r="89" spans="1:9">
      <c r="A89" s="4">
        <v>22</v>
      </c>
      <c r="B89" s="16">
        <v>42979</v>
      </c>
      <c r="C89" s="186">
        <v>43008</v>
      </c>
      <c r="D89" s="1182">
        <v>0</v>
      </c>
      <c r="E89" s="377">
        <v>0</v>
      </c>
      <c r="F89" s="1016">
        <v>0</v>
      </c>
      <c r="G89" s="491">
        <f t="shared" si="9"/>
        <v>0</v>
      </c>
      <c r="H89" s="160">
        <f t="shared" si="11"/>
        <v>0</v>
      </c>
      <c r="I89" s="377">
        <f t="shared" si="12"/>
        <v>0</v>
      </c>
    </row>
    <row r="90" spans="1:9">
      <c r="A90" s="4">
        <v>23</v>
      </c>
      <c r="B90" s="16">
        <v>43009</v>
      </c>
      <c r="C90" s="186">
        <v>43039</v>
      </c>
      <c r="D90" s="1182">
        <v>0</v>
      </c>
      <c r="E90" s="377">
        <v>0</v>
      </c>
      <c r="F90" s="1016">
        <v>0</v>
      </c>
      <c r="G90" s="491">
        <f t="shared" si="9"/>
        <v>0</v>
      </c>
      <c r="H90" s="160">
        <f t="shared" si="11"/>
        <v>0</v>
      </c>
      <c r="I90" s="377">
        <f t="shared" si="12"/>
        <v>0</v>
      </c>
    </row>
    <row r="91" spans="1:9">
      <c r="A91" s="4">
        <v>24</v>
      </c>
      <c r="B91" s="16">
        <v>43040</v>
      </c>
      <c r="C91" s="186">
        <v>43069</v>
      </c>
      <c r="D91" s="1182">
        <v>0</v>
      </c>
      <c r="E91" s="377">
        <v>0</v>
      </c>
      <c r="F91" s="1016">
        <v>0</v>
      </c>
      <c r="G91" s="491">
        <f t="shared" si="9"/>
        <v>0</v>
      </c>
      <c r="H91" s="160">
        <f t="shared" si="11"/>
        <v>0</v>
      </c>
      <c r="I91" s="377">
        <f t="shared" si="12"/>
        <v>0</v>
      </c>
    </row>
    <row r="92" spans="1:9">
      <c r="A92" s="4">
        <v>25</v>
      </c>
      <c r="B92" s="16">
        <v>43070</v>
      </c>
      <c r="C92" s="186">
        <v>43100</v>
      </c>
      <c r="D92" s="1182">
        <v>0</v>
      </c>
      <c r="E92" s="377">
        <v>0</v>
      </c>
      <c r="F92" s="1016">
        <v>0</v>
      </c>
      <c r="G92" s="491">
        <f t="shared" si="9"/>
        <v>0</v>
      </c>
      <c r="H92" s="160">
        <f t="shared" si="11"/>
        <v>0</v>
      </c>
      <c r="I92" s="377">
        <f t="shared" si="12"/>
        <v>0</v>
      </c>
    </row>
    <row r="93" spans="1:9">
      <c r="A93" s="4">
        <v>26</v>
      </c>
      <c r="B93" s="16">
        <v>43101</v>
      </c>
      <c r="C93" s="186">
        <v>43130</v>
      </c>
      <c r="D93" s="1182">
        <v>0</v>
      </c>
      <c r="E93" s="377">
        <v>0</v>
      </c>
      <c r="F93" s="1016">
        <v>0</v>
      </c>
      <c r="G93" s="491">
        <f t="shared" si="9"/>
        <v>0</v>
      </c>
      <c r="H93" s="160">
        <f t="shared" si="11"/>
        <v>0</v>
      </c>
      <c r="I93" s="377">
        <v>0</v>
      </c>
    </row>
    <row r="94" spans="1:9">
      <c r="A94" s="4">
        <v>27</v>
      </c>
      <c r="B94" s="16">
        <v>43131</v>
      </c>
      <c r="C94" s="186">
        <v>43131</v>
      </c>
      <c r="D94" s="1182">
        <v>1</v>
      </c>
      <c r="E94" s="377">
        <f t="shared" ref="E94:E141" si="13">+$H$61</f>
        <v>5528295.5339726657</v>
      </c>
      <c r="F94" s="1016">
        <v>0.2069</v>
      </c>
      <c r="G94" s="491">
        <f>+F94*1.5</f>
        <v>0.31035000000000001</v>
      </c>
      <c r="H94" s="160">
        <f>((1+G94)^(1/365)-1)</f>
        <v>7.4080652774299871E-4</v>
      </c>
      <c r="I94" s="377">
        <f t="shared" ref="I94:I140" si="14">+E94*H94*D94</f>
        <v>4095.3974188594175</v>
      </c>
    </row>
    <row r="95" spans="1:9">
      <c r="A95" s="4">
        <v>28</v>
      </c>
      <c r="B95" s="16">
        <v>43132</v>
      </c>
      <c r="C95" s="186">
        <v>43159</v>
      </c>
      <c r="D95" s="1182">
        <f t="shared" ref="D95:D141" si="15">_xlfn.DAYS(C95,B95)+1</f>
        <v>28</v>
      </c>
      <c r="E95" s="377">
        <f t="shared" si="13"/>
        <v>5528295.5339726657</v>
      </c>
      <c r="F95" s="1016">
        <v>0.21010000000000001</v>
      </c>
      <c r="G95" s="491">
        <f t="shared" ref="G95:G139" si="16">+F95*1.5</f>
        <v>0.31515000000000004</v>
      </c>
      <c r="H95" s="160">
        <f t="shared" ref="H95:H140" si="17">((1+G95)^(1/365)-1)</f>
        <v>7.5083167162115494E-4</v>
      </c>
      <c r="I95" s="377">
        <f t="shared" si="14"/>
        <v>116222.94255567694</v>
      </c>
    </row>
    <row r="96" spans="1:9">
      <c r="A96" s="4">
        <v>29</v>
      </c>
      <c r="B96" s="16">
        <v>43160</v>
      </c>
      <c r="C96" s="186">
        <v>43190</v>
      </c>
      <c r="D96" s="1182">
        <f t="shared" si="15"/>
        <v>31</v>
      </c>
      <c r="E96" s="377">
        <f t="shared" si="13"/>
        <v>5528295.5339726657</v>
      </c>
      <c r="F96" s="1016">
        <v>0.20680000000000001</v>
      </c>
      <c r="G96" s="491">
        <f t="shared" si="16"/>
        <v>0.31020000000000003</v>
      </c>
      <c r="H96" s="160">
        <f t="shared" si="17"/>
        <v>7.4049265219700011E-4</v>
      </c>
      <c r="I96" s="377">
        <f t="shared" si="14"/>
        <v>126903.52888448775</v>
      </c>
    </row>
    <row r="97" spans="1:9">
      <c r="A97" s="4">
        <v>30</v>
      </c>
      <c r="B97" s="16">
        <v>43191</v>
      </c>
      <c r="C97" s="186">
        <v>43220</v>
      </c>
      <c r="D97" s="1182">
        <f t="shared" si="15"/>
        <v>30</v>
      </c>
      <c r="E97" s="377">
        <f t="shared" si="13"/>
        <v>5528295.5339726657</v>
      </c>
      <c r="F97" s="1016">
        <v>0.20480000000000001</v>
      </c>
      <c r="G97" s="491">
        <f t="shared" si="16"/>
        <v>0.30720000000000003</v>
      </c>
      <c r="H97" s="160">
        <f t="shared" si="17"/>
        <v>7.34207604366377E-4</v>
      </c>
      <c r="I97" s="377">
        <f t="shared" si="14"/>
        <v>121767.49860682235</v>
      </c>
    </row>
    <row r="98" spans="1:9">
      <c r="A98" s="4">
        <v>31</v>
      </c>
      <c r="B98" s="16">
        <v>43221</v>
      </c>
      <c r="C98" s="186">
        <v>43251</v>
      </c>
      <c r="D98" s="1182">
        <f t="shared" si="15"/>
        <v>31</v>
      </c>
      <c r="E98" s="377">
        <f t="shared" si="13"/>
        <v>5528295.5339726657</v>
      </c>
      <c r="F98" s="1016">
        <v>0.2044</v>
      </c>
      <c r="G98" s="491">
        <f t="shared" si="16"/>
        <v>0.30659999999999998</v>
      </c>
      <c r="H98" s="160">
        <f t="shared" si="17"/>
        <v>7.3294886878794152E-4</v>
      </c>
      <c r="I98" s="377">
        <f t="shared" si="14"/>
        <v>125610.69669647152</v>
      </c>
    </row>
    <row r="99" spans="1:9">
      <c r="A99" s="4">
        <v>32</v>
      </c>
      <c r="B99" s="16">
        <v>43252</v>
      </c>
      <c r="C99" s="186">
        <v>43281</v>
      </c>
      <c r="D99" s="1182">
        <f t="shared" si="15"/>
        <v>30</v>
      </c>
      <c r="E99" s="377">
        <f t="shared" si="13"/>
        <v>5528295.5339726657</v>
      </c>
      <c r="F99" s="1016">
        <v>0.20280000000000001</v>
      </c>
      <c r="G99" s="491">
        <f t="shared" si="16"/>
        <v>0.30420000000000003</v>
      </c>
      <c r="H99" s="160">
        <f t="shared" si="17"/>
        <v>7.2790815549184096E-4</v>
      </c>
      <c r="I99" s="377">
        <f t="shared" si="14"/>
        <v>120722.74215443475</v>
      </c>
    </row>
    <row r="100" spans="1:9">
      <c r="A100" s="4">
        <v>33</v>
      </c>
      <c r="B100" s="16">
        <v>43282</v>
      </c>
      <c r="C100" s="186">
        <v>43312</v>
      </c>
      <c r="D100" s="1182">
        <f t="shared" si="15"/>
        <v>31</v>
      </c>
      <c r="E100" s="377">
        <f t="shared" si="13"/>
        <v>5528295.5339726657</v>
      </c>
      <c r="F100" s="1016">
        <v>0.20030000000000001</v>
      </c>
      <c r="G100" s="491">
        <f t="shared" si="16"/>
        <v>0.30044999999999999</v>
      </c>
      <c r="H100" s="160">
        <f t="shared" si="17"/>
        <v>7.2001349197825526E-4</v>
      </c>
      <c r="I100" s="377">
        <f t="shared" si="14"/>
        <v>123393.86853520702</v>
      </c>
    </row>
    <row r="101" spans="1:9">
      <c r="A101" s="4">
        <v>34</v>
      </c>
      <c r="B101" s="16">
        <v>43313</v>
      </c>
      <c r="C101" s="186">
        <v>43343</v>
      </c>
      <c r="D101" s="1182">
        <f t="shared" si="15"/>
        <v>31</v>
      </c>
      <c r="E101" s="377">
        <f t="shared" si="13"/>
        <v>5528295.5339726657</v>
      </c>
      <c r="F101" s="1016">
        <v>0.19939999999999999</v>
      </c>
      <c r="G101" s="491">
        <f t="shared" si="16"/>
        <v>0.29909999999999998</v>
      </c>
      <c r="H101" s="160">
        <f t="shared" si="17"/>
        <v>7.1716585429704161E-4</v>
      </c>
      <c r="I101" s="377">
        <f t="shared" si="14"/>
        <v>122905.84847226883</v>
      </c>
    </row>
    <row r="102" spans="1:9">
      <c r="A102" s="4">
        <v>35</v>
      </c>
      <c r="B102" s="16">
        <v>43344</v>
      </c>
      <c r="C102" s="186">
        <v>43373</v>
      </c>
      <c r="D102" s="1182">
        <f t="shared" si="15"/>
        <v>30</v>
      </c>
      <c r="E102" s="377">
        <f t="shared" si="13"/>
        <v>5528295.5339726657</v>
      </c>
      <c r="F102" s="1016">
        <v>0.1981</v>
      </c>
      <c r="G102" s="491">
        <f t="shared" si="16"/>
        <v>0.29715000000000003</v>
      </c>
      <c r="H102" s="160">
        <f t="shared" si="17"/>
        <v>7.1304738558919389E-4</v>
      </c>
      <c r="I102" s="377">
        <f t="shared" si="14"/>
        <v>118258.10031790877</v>
      </c>
    </row>
    <row r="103" spans="1:9">
      <c r="A103" s="4">
        <v>36</v>
      </c>
      <c r="B103" s="16">
        <v>43374</v>
      </c>
      <c r="C103" s="186">
        <v>43404</v>
      </c>
      <c r="D103" s="1182">
        <f t="shared" si="15"/>
        <v>31</v>
      </c>
      <c r="E103" s="377">
        <f t="shared" si="13"/>
        <v>5528295.5339726657</v>
      </c>
      <c r="F103" s="1016">
        <v>0.1963</v>
      </c>
      <c r="G103" s="491">
        <f t="shared" si="16"/>
        <v>0.29444999999999999</v>
      </c>
      <c r="H103" s="160">
        <f t="shared" si="17"/>
        <v>7.073346857742191E-4</v>
      </c>
      <c r="I103" s="377">
        <f t="shared" si="14"/>
        <v>121221.01071607681</v>
      </c>
    </row>
    <row r="104" spans="1:9">
      <c r="A104" s="4">
        <v>37</v>
      </c>
      <c r="B104" s="16">
        <v>43405</v>
      </c>
      <c r="C104" s="186">
        <v>43434</v>
      </c>
      <c r="D104" s="1182">
        <f t="shared" si="15"/>
        <v>30</v>
      </c>
      <c r="E104" s="377">
        <f t="shared" si="13"/>
        <v>5528295.5339726657</v>
      </c>
      <c r="F104" s="1016">
        <v>0.19489999999999999</v>
      </c>
      <c r="G104" s="491">
        <f t="shared" si="16"/>
        <v>0.29235</v>
      </c>
      <c r="H104" s="160">
        <f t="shared" si="17"/>
        <v>7.0288325333756063E-4</v>
      </c>
      <c r="I104" s="377">
        <f t="shared" si="14"/>
        <v>116572.39050990643</v>
      </c>
    </row>
    <row r="105" spans="1:9">
      <c r="A105" s="4">
        <v>38</v>
      </c>
      <c r="B105" s="16">
        <v>43435</v>
      </c>
      <c r="C105" s="186">
        <v>43465</v>
      </c>
      <c r="D105" s="1182">
        <f t="shared" si="15"/>
        <v>31</v>
      </c>
      <c r="E105" s="377">
        <f t="shared" si="13"/>
        <v>5528295.5339726657</v>
      </c>
      <c r="F105" s="1016">
        <v>0.19400000000000001</v>
      </c>
      <c r="G105" s="491">
        <f t="shared" si="16"/>
        <v>0.29100000000000004</v>
      </c>
      <c r="H105" s="160">
        <f t="shared" si="17"/>
        <v>7.0001780740103214E-4</v>
      </c>
      <c r="I105" s="377">
        <f t="shared" si="14"/>
        <v>119967.06486905037</v>
      </c>
    </row>
    <row r="106" spans="1:9">
      <c r="A106" s="4">
        <v>39</v>
      </c>
      <c r="B106" s="16">
        <v>43466</v>
      </c>
      <c r="C106" s="186">
        <v>43496</v>
      </c>
      <c r="D106" s="1182">
        <f t="shared" si="15"/>
        <v>31</v>
      </c>
      <c r="E106" s="377">
        <f t="shared" si="13"/>
        <v>5528295.5339726657</v>
      </c>
      <c r="F106" s="1016">
        <v>0.19159999999999999</v>
      </c>
      <c r="G106" s="491">
        <f t="shared" si="16"/>
        <v>0.28739999999999999</v>
      </c>
      <c r="H106" s="160">
        <f t="shared" si="17"/>
        <v>6.9236198468725085E-4</v>
      </c>
      <c r="I106" s="377">
        <f t="shared" si="14"/>
        <v>118655.03170300838</v>
      </c>
    </row>
    <row r="107" spans="1:9">
      <c r="A107" s="4">
        <v>40</v>
      </c>
      <c r="B107" s="16">
        <v>43497</v>
      </c>
      <c r="C107" s="186">
        <v>43524</v>
      </c>
      <c r="D107" s="1182">
        <f t="shared" si="15"/>
        <v>28</v>
      </c>
      <c r="E107" s="377">
        <f t="shared" si="13"/>
        <v>5528295.5339726657</v>
      </c>
      <c r="F107" s="1016">
        <v>0.19700000000000001</v>
      </c>
      <c r="G107" s="491">
        <f t="shared" si="16"/>
        <v>0.29549999999999998</v>
      </c>
      <c r="H107" s="160">
        <f t="shared" si="17"/>
        <v>7.0955770203506852E-4</v>
      </c>
      <c r="I107" s="377">
        <f t="shared" si="14"/>
        <v>109834.05090717855</v>
      </c>
    </row>
    <row r="108" spans="1:9">
      <c r="A108" s="4">
        <v>41</v>
      </c>
      <c r="B108" s="16">
        <v>43525</v>
      </c>
      <c r="C108" s="186">
        <v>43555</v>
      </c>
      <c r="D108" s="1182">
        <f t="shared" si="15"/>
        <v>31</v>
      </c>
      <c r="E108" s="377">
        <f t="shared" si="13"/>
        <v>5528295.5339726657</v>
      </c>
      <c r="F108" s="1016">
        <v>0.19370000000000001</v>
      </c>
      <c r="G108" s="491">
        <f t="shared" si="16"/>
        <v>0.29055000000000003</v>
      </c>
      <c r="H108" s="160">
        <f t="shared" si="17"/>
        <v>6.9906199467517638E-4</v>
      </c>
      <c r="I108" s="377">
        <f t="shared" si="14"/>
        <v>119803.26039711683</v>
      </c>
    </row>
    <row r="109" spans="1:9">
      <c r="A109" s="4">
        <v>42</v>
      </c>
      <c r="B109" s="16">
        <v>43556</v>
      </c>
      <c r="C109" s="186">
        <v>43585</v>
      </c>
      <c r="D109" s="1182">
        <f t="shared" si="15"/>
        <v>30</v>
      </c>
      <c r="E109" s="377">
        <f t="shared" si="13"/>
        <v>5528295.5339726657</v>
      </c>
      <c r="F109" s="1016">
        <v>0.19320000000000001</v>
      </c>
      <c r="G109" s="491">
        <f t="shared" si="16"/>
        <v>0.2898</v>
      </c>
      <c r="H109" s="160">
        <f t="shared" si="17"/>
        <v>6.9746823462724095E-4</v>
      </c>
      <c r="I109" s="377">
        <f t="shared" si="14"/>
        <v>115674.31579732726</v>
      </c>
    </row>
    <row r="110" spans="1:9">
      <c r="A110" s="4">
        <v>43</v>
      </c>
      <c r="B110" s="16">
        <v>43586</v>
      </c>
      <c r="C110" s="186">
        <v>43616</v>
      </c>
      <c r="D110" s="1182">
        <f t="shared" si="15"/>
        <v>31</v>
      </c>
      <c r="E110" s="377">
        <f t="shared" si="13"/>
        <v>5528295.5339726657</v>
      </c>
      <c r="F110" s="1016">
        <v>0.19339999999999999</v>
      </c>
      <c r="G110" s="491">
        <f t="shared" si="16"/>
        <v>0.29009999999999997</v>
      </c>
      <c r="H110" s="160">
        <f t="shared" si="17"/>
        <v>6.9810584952367805E-4</v>
      </c>
      <c r="I110" s="377">
        <f t="shared" si="14"/>
        <v>119639.39895502024</v>
      </c>
    </row>
    <row r="111" spans="1:9">
      <c r="A111" s="4">
        <v>44</v>
      </c>
      <c r="B111" s="16">
        <v>43617</v>
      </c>
      <c r="C111" s="186">
        <v>43646</v>
      </c>
      <c r="D111" s="1182">
        <f t="shared" si="15"/>
        <v>30</v>
      </c>
      <c r="E111" s="377">
        <f t="shared" si="13"/>
        <v>5528295.5339726657</v>
      </c>
      <c r="F111" s="1016">
        <v>0.193</v>
      </c>
      <c r="G111" s="491">
        <f t="shared" si="16"/>
        <v>0.28949999999999998</v>
      </c>
      <c r="H111" s="160">
        <f t="shared" si="17"/>
        <v>6.9683047181468005E-4</v>
      </c>
      <c r="I111" s="377">
        <f t="shared" si="14"/>
        <v>115568.54355807483</v>
      </c>
    </row>
    <row r="112" spans="1:9">
      <c r="A112" s="4">
        <v>45</v>
      </c>
      <c r="B112" s="16">
        <v>43647</v>
      </c>
      <c r="C112" s="186">
        <v>43677</v>
      </c>
      <c r="D112" s="1182">
        <f t="shared" si="15"/>
        <v>31</v>
      </c>
      <c r="E112" s="377">
        <f t="shared" si="13"/>
        <v>5528295.5339726657</v>
      </c>
      <c r="F112" s="1016">
        <v>0.1928</v>
      </c>
      <c r="G112" s="491">
        <f t="shared" si="16"/>
        <v>0.28920000000000001</v>
      </c>
      <c r="H112" s="160">
        <f t="shared" si="17"/>
        <v>6.9619256101671745E-4</v>
      </c>
      <c r="I112" s="377">
        <f t="shared" si="14"/>
        <v>119311.50500146506</v>
      </c>
    </row>
    <row r="113" spans="1:9">
      <c r="A113" s="4">
        <v>46</v>
      </c>
      <c r="B113" s="16">
        <v>43678</v>
      </c>
      <c r="C113" s="186">
        <v>43708</v>
      </c>
      <c r="D113" s="1182">
        <f t="shared" si="15"/>
        <v>31</v>
      </c>
      <c r="E113" s="377">
        <f t="shared" si="13"/>
        <v>5528295.5339726657</v>
      </c>
      <c r="F113" s="1016">
        <v>0.19320000000000001</v>
      </c>
      <c r="G113" s="491">
        <f t="shared" si="16"/>
        <v>0.2898</v>
      </c>
      <c r="H113" s="160">
        <f t="shared" si="17"/>
        <v>6.9746823462724095E-4</v>
      </c>
      <c r="I113" s="377">
        <f t="shared" si="14"/>
        <v>119530.12632390483</v>
      </c>
    </row>
    <row r="114" spans="1:9">
      <c r="A114" s="4">
        <v>47</v>
      </c>
      <c r="B114" s="16">
        <v>43709</v>
      </c>
      <c r="C114" s="186">
        <v>43738</v>
      </c>
      <c r="D114" s="1182">
        <f t="shared" si="15"/>
        <v>30</v>
      </c>
      <c r="E114" s="377">
        <f t="shared" si="13"/>
        <v>5528295.5339726657</v>
      </c>
      <c r="F114" s="1016">
        <v>0.19320000000000001</v>
      </c>
      <c r="G114" s="491">
        <f t="shared" si="16"/>
        <v>0.2898</v>
      </c>
      <c r="H114" s="160">
        <f t="shared" si="17"/>
        <v>6.9746823462724095E-4</v>
      </c>
      <c r="I114" s="377">
        <f t="shared" si="14"/>
        <v>115674.31579732726</v>
      </c>
    </row>
    <row r="115" spans="1:9">
      <c r="A115" s="4">
        <v>48</v>
      </c>
      <c r="B115" s="16">
        <v>43739</v>
      </c>
      <c r="C115" s="186">
        <v>43769</v>
      </c>
      <c r="D115" s="1182">
        <f t="shared" si="15"/>
        <v>31</v>
      </c>
      <c r="E115" s="377">
        <f t="shared" si="13"/>
        <v>5528295.5339726657</v>
      </c>
      <c r="F115" s="1016">
        <v>0.191</v>
      </c>
      <c r="G115" s="491">
        <f t="shared" si="16"/>
        <v>0.28649999999999998</v>
      </c>
      <c r="H115" s="160">
        <f t="shared" si="17"/>
        <v>6.9044469314105683E-4</v>
      </c>
      <c r="I115" s="377">
        <f t="shared" si="14"/>
        <v>118326.45171995179</v>
      </c>
    </row>
    <row r="116" spans="1:9">
      <c r="A116" s="4">
        <v>49</v>
      </c>
      <c r="B116" s="16">
        <v>43770</v>
      </c>
      <c r="C116" s="186">
        <v>43799</v>
      </c>
      <c r="D116" s="1182">
        <f t="shared" si="15"/>
        <v>30</v>
      </c>
      <c r="E116" s="377">
        <f t="shared" si="13"/>
        <v>5528295.5339726657</v>
      </c>
      <c r="F116" s="1016">
        <v>0.1903</v>
      </c>
      <c r="G116" s="491">
        <f t="shared" si="16"/>
        <v>0.28544999999999998</v>
      </c>
      <c r="H116" s="160">
        <f t="shared" si="17"/>
        <v>6.8820616169262827E-4</v>
      </c>
      <c r="I116" s="377">
        <f t="shared" si="14"/>
        <v>114138.21150413482</v>
      </c>
    </row>
    <row r="117" spans="1:9">
      <c r="A117" s="4">
        <v>50</v>
      </c>
      <c r="B117" s="16">
        <v>43800</v>
      </c>
      <c r="C117" s="186">
        <v>43830</v>
      </c>
      <c r="D117" s="1182">
        <f t="shared" si="15"/>
        <v>31</v>
      </c>
      <c r="E117" s="377">
        <f t="shared" si="13"/>
        <v>5528295.5339726657</v>
      </c>
      <c r="F117" s="1016">
        <v>0.18909999999999999</v>
      </c>
      <c r="G117" s="491">
        <f t="shared" si="16"/>
        <v>0.28364999999999996</v>
      </c>
      <c r="H117" s="160">
        <f t="shared" si="17"/>
        <v>6.8436443340047504E-4</v>
      </c>
      <c r="I117" s="377">
        <f t="shared" si="14"/>
        <v>117284.43406410498</v>
      </c>
    </row>
    <row r="118" spans="1:9">
      <c r="A118" s="4">
        <v>51</v>
      </c>
      <c r="B118" s="16">
        <v>43831</v>
      </c>
      <c r="C118" s="186">
        <v>43861</v>
      </c>
      <c r="D118" s="1182">
        <f t="shared" si="15"/>
        <v>31</v>
      </c>
      <c r="E118" s="377">
        <f t="shared" si="13"/>
        <v>5528295.5339726657</v>
      </c>
      <c r="F118" s="1016">
        <v>0.18770000000000001</v>
      </c>
      <c r="G118" s="491">
        <f t="shared" si="16"/>
        <v>0.28155000000000002</v>
      </c>
      <c r="H118" s="160">
        <f t="shared" si="17"/>
        <v>6.7987562124560696E-4</v>
      </c>
      <c r="I118" s="377">
        <f t="shared" si="14"/>
        <v>116515.1541782584</v>
      </c>
    </row>
    <row r="119" spans="1:9">
      <c r="A119" s="4">
        <v>52</v>
      </c>
      <c r="B119" s="16">
        <v>43862</v>
      </c>
      <c r="C119" s="186">
        <v>43890</v>
      </c>
      <c r="D119" s="1182">
        <f t="shared" si="15"/>
        <v>29</v>
      </c>
      <c r="E119" s="377">
        <f t="shared" si="13"/>
        <v>5528295.5339726657</v>
      </c>
      <c r="F119" s="1016">
        <v>0.19059999999999999</v>
      </c>
      <c r="G119" s="491">
        <f t="shared" si="16"/>
        <v>0.28589999999999999</v>
      </c>
      <c r="H119" s="160">
        <f t="shared" si="17"/>
        <v>6.8916575551658532E-4</v>
      </c>
      <c r="I119" s="377">
        <f t="shared" si="14"/>
        <v>110487.44708328787</v>
      </c>
    </row>
    <row r="120" spans="1:9">
      <c r="A120" s="4">
        <v>53</v>
      </c>
      <c r="B120" s="16">
        <v>43891</v>
      </c>
      <c r="C120" s="186">
        <v>43921</v>
      </c>
      <c r="D120" s="1182">
        <f t="shared" si="15"/>
        <v>31</v>
      </c>
      <c r="E120" s="377">
        <f t="shared" si="13"/>
        <v>5528295.5339726657</v>
      </c>
      <c r="F120" s="1016">
        <v>0.1895</v>
      </c>
      <c r="G120" s="491">
        <f t="shared" si="16"/>
        <v>0.28425</v>
      </c>
      <c r="H120" s="160">
        <f t="shared" si="17"/>
        <v>6.8564560609574166E-4</v>
      </c>
      <c r="I120" s="377">
        <f t="shared" si="14"/>
        <v>117503.99780407918</v>
      </c>
    </row>
    <row r="121" spans="1:9">
      <c r="A121" s="4">
        <v>54</v>
      </c>
      <c r="B121" s="16">
        <v>43922</v>
      </c>
      <c r="C121" s="186">
        <v>43951</v>
      </c>
      <c r="D121" s="1182">
        <f t="shared" si="15"/>
        <v>30</v>
      </c>
      <c r="E121" s="377">
        <f t="shared" si="13"/>
        <v>5528295.5339726657</v>
      </c>
      <c r="F121" s="1016">
        <v>0.18690000000000001</v>
      </c>
      <c r="G121" s="491">
        <f t="shared" si="16"/>
        <v>0.28034999999999999</v>
      </c>
      <c r="H121" s="160">
        <f t="shared" si="17"/>
        <v>6.7730729113191224E-4</v>
      </c>
      <c r="I121" s="377">
        <f t="shared" si="14"/>
        <v>112330.64618075023</v>
      </c>
    </row>
    <row r="122" spans="1:9">
      <c r="A122" s="4">
        <v>55</v>
      </c>
      <c r="B122" s="16">
        <v>43952</v>
      </c>
      <c r="C122" s="186">
        <v>43982</v>
      </c>
      <c r="D122" s="1182">
        <f t="shared" si="15"/>
        <v>31</v>
      </c>
      <c r="E122" s="377">
        <f t="shared" si="13"/>
        <v>5528295.5339726657</v>
      </c>
      <c r="F122" s="1016">
        <v>0.18190000000000001</v>
      </c>
      <c r="G122" s="491">
        <f t="shared" si="16"/>
        <v>0.27285000000000004</v>
      </c>
      <c r="H122" s="160">
        <f t="shared" si="17"/>
        <v>6.6120063584418354E-4</v>
      </c>
      <c r="I122" s="377">
        <f t="shared" si="14"/>
        <v>113314.68818811589</v>
      </c>
    </row>
    <row r="123" spans="1:9">
      <c r="A123" s="4">
        <v>56</v>
      </c>
      <c r="B123" s="16">
        <v>43983</v>
      </c>
      <c r="C123" s="186">
        <v>44012</v>
      </c>
      <c r="D123" s="1182">
        <f t="shared" si="15"/>
        <v>30</v>
      </c>
      <c r="E123" s="377">
        <f t="shared" si="13"/>
        <v>5528295.5339726657</v>
      </c>
      <c r="F123" s="1016">
        <v>0.1812</v>
      </c>
      <c r="G123" s="491">
        <f t="shared" si="16"/>
        <v>0.27179999999999999</v>
      </c>
      <c r="H123" s="160">
        <f t="shared" si="17"/>
        <v>6.5893815469997286E-4</v>
      </c>
      <c r="I123" s="377">
        <f t="shared" si="14"/>
        <v>109284.14573376148</v>
      </c>
    </row>
    <row r="124" spans="1:9">
      <c r="A124" s="4">
        <v>57</v>
      </c>
      <c r="B124" s="16">
        <v>44013</v>
      </c>
      <c r="C124" s="186">
        <v>44043</v>
      </c>
      <c r="D124" s="1182">
        <f t="shared" si="15"/>
        <v>31</v>
      </c>
      <c r="E124" s="377">
        <f t="shared" si="13"/>
        <v>5528295.5339726657</v>
      </c>
      <c r="F124" s="1016">
        <v>0.1812</v>
      </c>
      <c r="G124" s="491">
        <f t="shared" si="16"/>
        <v>0.27179999999999999</v>
      </c>
      <c r="H124" s="160">
        <f t="shared" si="17"/>
        <v>6.5893815469997286E-4</v>
      </c>
      <c r="I124" s="377">
        <f t="shared" si="14"/>
        <v>112926.95059155353</v>
      </c>
    </row>
    <row r="125" spans="1:9">
      <c r="A125" s="4">
        <v>58</v>
      </c>
      <c r="B125" s="16">
        <v>44044</v>
      </c>
      <c r="C125" s="186">
        <v>44074</v>
      </c>
      <c r="D125" s="1182">
        <f t="shared" si="15"/>
        <v>31</v>
      </c>
      <c r="E125" s="377">
        <f t="shared" si="13"/>
        <v>5528295.5339726657</v>
      </c>
      <c r="F125" s="1016">
        <v>0.18290000000000001</v>
      </c>
      <c r="G125" s="491">
        <f t="shared" si="16"/>
        <v>0.27434999999999998</v>
      </c>
      <c r="H125" s="160">
        <f t="shared" si="17"/>
        <v>6.6442952514544906E-4</v>
      </c>
      <c r="I125" s="377">
        <f t="shared" si="14"/>
        <v>113868.04607153611</v>
      </c>
    </row>
    <row r="126" spans="1:9">
      <c r="A126" s="4">
        <v>59</v>
      </c>
      <c r="B126" s="16">
        <v>44075</v>
      </c>
      <c r="C126" s="186">
        <v>44104</v>
      </c>
      <c r="D126" s="1182">
        <f t="shared" si="15"/>
        <v>30</v>
      </c>
      <c r="E126" s="377">
        <f t="shared" si="13"/>
        <v>5528295.5339726657</v>
      </c>
      <c r="F126" s="1016">
        <v>0.1835</v>
      </c>
      <c r="G126" s="491">
        <f t="shared" si="16"/>
        <v>0.27524999999999999</v>
      </c>
      <c r="H126" s="160">
        <f t="shared" si="17"/>
        <v>6.6636503991857055E-4</v>
      </c>
      <c r="I126" s="377">
        <f t="shared" si="14"/>
        <v>110515.88622532052</v>
      </c>
    </row>
    <row r="127" spans="1:9">
      <c r="A127" s="4">
        <v>60</v>
      </c>
      <c r="B127" s="16">
        <v>44105</v>
      </c>
      <c r="C127" s="186">
        <v>44135</v>
      </c>
      <c r="D127" s="1182">
        <f t="shared" si="15"/>
        <v>31</v>
      </c>
      <c r="E127" s="377">
        <f t="shared" si="13"/>
        <v>5528295.5339726657</v>
      </c>
      <c r="F127" s="1016">
        <v>0.18090000000000001</v>
      </c>
      <c r="G127" s="491">
        <f t="shared" si="16"/>
        <v>0.27134999999999998</v>
      </c>
      <c r="H127" s="160">
        <f t="shared" si="17"/>
        <v>6.5796794962613703E-4</v>
      </c>
      <c r="I127" s="377">
        <f t="shared" si="14"/>
        <v>112760.67959987507</v>
      </c>
    </row>
    <row r="128" spans="1:9">
      <c r="A128" s="4">
        <v>61</v>
      </c>
      <c r="B128" s="16">
        <v>44136</v>
      </c>
      <c r="C128" s="186">
        <v>44165</v>
      </c>
      <c r="D128" s="1182">
        <f t="shared" si="15"/>
        <v>30</v>
      </c>
      <c r="E128" s="377">
        <f t="shared" si="13"/>
        <v>5528295.5339726657</v>
      </c>
      <c r="F128" s="1016">
        <v>0.1784</v>
      </c>
      <c r="G128" s="491">
        <f t="shared" si="16"/>
        <v>0.2676</v>
      </c>
      <c r="H128" s="160">
        <f t="shared" si="17"/>
        <v>6.4986956374091243E-4</v>
      </c>
      <c r="I128" s="377">
        <f t="shared" si="14"/>
        <v>107780.13020680952</v>
      </c>
    </row>
    <row r="129" spans="1:10">
      <c r="A129" s="4">
        <v>62</v>
      </c>
      <c r="B129" s="16">
        <v>44166</v>
      </c>
      <c r="C129" s="186">
        <v>44196</v>
      </c>
      <c r="D129" s="1182">
        <f t="shared" si="15"/>
        <v>31</v>
      </c>
      <c r="E129" s="377">
        <f t="shared" si="13"/>
        <v>5528295.5339726657</v>
      </c>
      <c r="F129" s="1016">
        <v>0.17460000000000001</v>
      </c>
      <c r="G129" s="491">
        <f t="shared" si="16"/>
        <v>0.26190000000000002</v>
      </c>
      <c r="H129" s="160">
        <f t="shared" si="17"/>
        <v>6.3751414410861962E-4</v>
      </c>
      <c r="I129" s="377">
        <f t="shared" si="14"/>
        <v>109255.36446732274</v>
      </c>
    </row>
    <row r="130" spans="1:10">
      <c r="A130" s="4">
        <v>63</v>
      </c>
      <c r="B130" s="16">
        <v>44197</v>
      </c>
      <c r="C130" s="186">
        <v>44227</v>
      </c>
      <c r="D130" s="1182">
        <f t="shared" si="15"/>
        <v>31</v>
      </c>
      <c r="E130" s="377">
        <f t="shared" si="13"/>
        <v>5528295.5339726657</v>
      </c>
      <c r="F130" s="1016">
        <v>0.17319999999999999</v>
      </c>
      <c r="G130" s="491">
        <f t="shared" si="16"/>
        <v>0.25979999999999998</v>
      </c>
      <c r="H130" s="160">
        <f t="shared" si="17"/>
        <v>6.3294811266723094E-4</v>
      </c>
      <c r="I130" s="377">
        <f t="shared" si="14"/>
        <v>108472.85095933509</v>
      </c>
    </row>
    <row r="131" spans="1:10">
      <c r="A131" s="4">
        <v>64</v>
      </c>
      <c r="B131" s="16">
        <v>44228</v>
      </c>
      <c r="C131" s="186">
        <v>44255</v>
      </c>
      <c r="D131" s="1182">
        <f t="shared" si="15"/>
        <v>28</v>
      </c>
      <c r="E131" s="377">
        <f t="shared" si="13"/>
        <v>5528295.5339726657</v>
      </c>
      <c r="F131" s="1016">
        <v>0.1754</v>
      </c>
      <c r="G131" s="491">
        <f t="shared" si="16"/>
        <v>0.2631</v>
      </c>
      <c r="H131" s="160">
        <f t="shared" si="17"/>
        <v>6.4011990387169426E-4</v>
      </c>
      <c r="I131" s="377">
        <f t="shared" si="14"/>
        <v>99085.616161865182</v>
      </c>
    </row>
    <row r="132" spans="1:10">
      <c r="A132" s="4">
        <v>65</v>
      </c>
      <c r="B132" s="16">
        <v>44256</v>
      </c>
      <c r="C132" s="186">
        <v>44286</v>
      </c>
      <c r="D132" s="1182">
        <f t="shared" si="15"/>
        <v>31</v>
      </c>
      <c r="E132" s="377">
        <f t="shared" si="13"/>
        <v>5528295.5339726657</v>
      </c>
      <c r="F132" s="1016">
        <v>0.1741</v>
      </c>
      <c r="G132" s="491">
        <f t="shared" si="16"/>
        <v>0.26114999999999999</v>
      </c>
      <c r="H132" s="160">
        <f t="shared" si="17"/>
        <v>6.3588428907812578E-4</v>
      </c>
      <c r="I132" s="377">
        <f t="shared" si="14"/>
        <v>108976.04453845359</v>
      </c>
    </row>
    <row r="133" spans="1:10">
      <c r="A133" s="4">
        <v>66</v>
      </c>
      <c r="B133" s="16">
        <v>44287</v>
      </c>
      <c r="C133" s="186">
        <v>44316</v>
      </c>
      <c r="D133" s="1182">
        <f t="shared" si="15"/>
        <v>30</v>
      </c>
      <c r="E133" s="377">
        <f t="shared" si="13"/>
        <v>5528295.5339726657</v>
      </c>
      <c r="F133" s="1016">
        <v>0.1731</v>
      </c>
      <c r="G133" s="491">
        <f t="shared" si="16"/>
        <v>0.25964999999999999</v>
      </c>
      <c r="H133" s="160">
        <f t="shared" si="17"/>
        <v>6.326216771728177E-4</v>
      </c>
      <c r="I133" s="377">
        <f t="shared" si="14"/>
        <v>104919.58777826357</v>
      </c>
    </row>
    <row r="134" spans="1:10">
      <c r="A134" s="4">
        <v>67</v>
      </c>
      <c r="B134" s="16">
        <v>44317</v>
      </c>
      <c r="C134" s="186">
        <v>44347</v>
      </c>
      <c r="D134" s="1182">
        <f t="shared" si="15"/>
        <v>31</v>
      </c>
      <c r="E134" s="377">
        <f t="shared" si="13"/>
        <v>5528295.5339726657</v>
      </c>
      <c r="F134" s="1016">
        <v>0.17219999999999999</v>
      </c>
      <c r="G134" s="491">
        <f t="shared" si="16"/>
        <v>0.25829999999999997</v>
      </c>
      <c r="H134" s="160">
        <f t="shared" si="17"/>
        <v>6.2968201205726437E-4</v>
      </c>
      <c r="I134" s="377">
        <f t="shared" si="14"/>
        <v>107913.11590745201</v>
      </c>
    </row>
    <row r="135" spans="1:10" ht="15" customHeight="1">
      <c r="A135" s="4">
        <v>68</v>
      </c>
      <c r="B135" s="16">
        <v>44348</v>
      </c>
      <c r="C135" s="186">
        <v>44377</v>
      </c>
      <c r="D135" s="1182">
        <f t="shared" si="15"/>
        <v>30</v>
      </c>
      <c r="E135" s="377">
        <f t="shared" si="13"/>
        <v>5528295.5339726657</v>
      </c>
      <c r="F135" s="1016">
        <v>0.1721</v>
      </c>
      <c r="G135" s="491">
        <f t="shared" si="16"/>
        <v>0.25814999999999999</v>
      </c>
      <c r="H135" s="160">
        <f t="shared" si="17"/>
        <v>6.2935518846773952E-4</v>
      </c>
      <c r="I135" s="377">
        <f t="shared" si="14"/>
        <v>104377.8443306619</v>
      </c>
    </row>
    <row r="136" spans="1:10" ht="16.5" customHeight="1">
      <c r="A136" s="4">
        <v>69</v>
      </c>
      <c r="B136" s="16">
        <v>44378</v>
      </c>
      <c r="C136" s="186">
        <v>44408</v>
      </c>
      <c r="D136" s="1182">
        <f t="shared" si="15"/>
        <v>31</v>
      </c>
      <c r="E136" s="377">
        <f t="shared" si="13"/>
        <v>5528295.5339726657</v>
      </c>
      <c r="F136" s="1016">
        <v>0.17180000000000001</v>
      </c>
      <c r="G136" s="491">
        <f t="shared" si="16"/>
        <v>0.25770000000000004</v>
      </c>
      <c r="H136" s="160">
        <f t="shared" si="17"/>
        <v>6.2837448450037137E-4</v>
      </c>
      <c r="I136" s="377">
        <f t="shared" si="14"/>
        <v>107689.03554609916</v>
      </c>
    </row>
    <row r="137" spans="1:10" s="188" customFormat="1" ht="16.5" customHeight="1">
      <c r="A137" s="4">
        <v>70</v>
      </c>
      <c r="B137" s="16">
        <v>44409</v>
      </c>
      <c r="C137" s="186">
        <v>44439</v>
      </c>
      <c r="D137" s="1182">
        <f t="shared" si="15"/>
        <v>31</v>
      </c>
      <c r="E137" s="377">
        <f t="shared" si="13"/>
        <v>5528295.5339726657</v>
      </c>
      <c r="F137" s="1016">
        <v>0.1724</v>
      </c>
      <c r="G137" s="491">
        <f t="shared" si="16"/>
        <v>0.2586</v>
      </c>
      <c r="H137" s="160">
        <f t="shared" si="17"/>
        <v>6.3033554269220637E-4</v>
      </c>
      <c r="I137" s="377">
        <f t="shared" si="14"/>
        <v>108025.11613265639</v>
      </c>
      <c r="J137"/>
    </row>
    <row r="138" spans="1:10" ht="16.5" customHeight="1">
      <c r="A138" s="4">
        <v>71</v>
      </c>
      <c r="B138" s="16">
        <v>44440</v>
      </c>
      <c r="C138" s="186">
        <v>44469</v>
      </c>
      <c r="D138" s="1182">
        <f t="shared" si="15"/>
        <v>30</v>
      </c>
      <c r="E138" s="377">
        <f t="shared" si="13"/>
        <v>5528295.5339726657</v>
      </c>
      <c r="F138" s="1016">
        <v>0.1719</v>
      </c>
      <c r="G138" s="491">
        <f t="shared" si="16"/>
        <v>0.25785000000000002</v>
      </c>
      <c r="H138" s="160">
        <f t="shared" si="17"/>
        <v>6.2870142469861889E-4</v>
      </c>
      <c r="I138" s="377">
        <f t="shared" si="14"/>
        <v>104269.4183509088</v>
      </c>
    </row>
    <row r="139" spans="1:10" ht="16.5" customHeight="1">
      <c r="A139" s="4">
        <v>72</v>
      </c>
      <c r="B139" s="16">
        <v>44470</v>
      </c>
      <c r="C139" s="186">
        <v>44500</v>
      </c>
      <c r="D139" s="1182">
        <f t="shared" si="15"/>
        <v>31</v>
      </c>
      <c r="E139" s="377">
        <f t="shared" si="13"/>
        <v>5528295.5339726657</v>
      </c>
      <c r="F139" s="1016">
        <v>0.17080000000000001</v>
      </c>
      <c r="G139" s="491">
        <f t="shared" si="16"/>
        <v>0.25619999999999998</v>
      </c>
      <c r="H139" s="160">
        <f t="shared" si="17"/>
        <v>6.2510294214179751E-4</v>
      </c>
      <c r="I139" s="377">
        <f t="shared" si="14"/>
        <v>107128.36790278586</v>
      </c>
    </row>
    <row r="140" spans="1:10" ht="16.5" customHeight="1">
      <c r="A140" s="4">
        <v>73</v>
      </c>
      <c r="B140" s="16">
        <v>44501</v>
      </c>
      <c r="C140" s="186">
        <v>44530</v>
      </c>
      <c r="D140" s="1182">
        <f t="shared" si="15"/>
        <v>30</v>
      </c>
      <c r="E140" s="377">
        <f t="shared" si="13"/>
        <v>5528295.5339726657</v>
      </c>
      <c r="F140" s="1016">
        <v>0.17269999999999999</v>
      </c>
      <c r="G140" s="491">
        <f>+F140*1.5</f>
        <v>0.25905</v>
      </c>
      <c r="H140" s="160">
        <f t="shared" si="17"/>
        <v>6.3131554742335005E-4</v>
      </c>
      <c r="I140" s="377">
        <f t="shared" si="14"/>
        <v>104702.96764044045</v>
      </c>
    </row>
    <row r="141" spans="1:10" ht="16.5" customHeight="1">
      <c r="A141" s="4">
        <v>74</v>
      </c>
      <c r="B141" s="16">
        <v>44531</v>
      </c>
      <c r="C141" s="186">
        <v>44540</v>
      </c>
      <c r="D141" s="1182">
        <f t="shared" si="15"/>
        <v>10</v>
      </c>
      <c r="E141" s="377">
        <f t="shared" si="13"/>
        <v>5528295.5339726657</v>
      </c>
      <c r="F141" s="1016">
        <v>0.17460000000000001</v>
      </c>
      <c r="G141" s="491">
        <f>+F141*1.5</f>
        <v>0.26190000000000002</v>
      </c>
      <c r="H141" s="160">
        <f>((1+G141)^(1/365)-1)</f>
        <v>6.3751414410861962E-4</v>
      </c>
      <c r="I141" s="377">
        <f>+E141*H141*D141</f>
        <v>35243.665957200879</v>
      </c>
    </row>
    <row r="142" spans="1:10" ht="16.5" customHeight="1" thickBot="1">
      <c r="A142" s="156"/>
      <c r="B142" s="79"/>
      <c r="C142" s="79"/>
      <c r="D142" s="1183"/>
      <c r="E142" s="1184"/>
      <c r="F142" s="147"/>
      <c r="G142" s="1185" t="s">
        <v>322</v>
      </c>
      <c r="H142" s="1185"/>
      <c r="I142" s="1186">
        <f>SUM(I68:I141)</f>
        <v>6027091.5505696759</v>
      </c>
    </row>
    <row r="143" spans="1:10" ht="13.5" thickTop="1">
      <c r="B143" s="147"/>
      <c r="C143" s="147"/>
      <c r="D143" s="147"/>
      <c r="E143" s="147"/>
      <c r="F143" s="147"/>
      <c r="G143" s="147"/>
      <c r="H143" s="147"/>
      <c r="I143" s="147"/>
    </row>
    <row r="144" spans="1:10" ht="13.5">
      <c r="B144" s="2559" t="s">
        <v>55</v>
      </c>
      <c r="C144" s="2559"/>
    </row>
    <row r="145" spans="2:11" ht="13.5">
      <c r="B145" s="1187" t="s">
        <v>276</v>
      </c>
      <c r="C145" s="895">
        <f>+H61</f>
        <v>5528295.5339726657</v>
      </c>
    </row>
    <row r="146" spans="2:11" ht="25.5">
      <c r="B146" s="977" t="s">
        <v>322</v>
      </c>
      <c r="C146" s="895">
        <f>+I142</f>
        <v>6027091.5505696759</v>
      </c>
      <c r="K146" s="1863" t="s">
        <v>326</v>
      </c>
    </row>
    <row r="147" spans="2:11" ht="25.5">
      <c r="B147" s="893" t="s">
        <v>323</v>
      </c>
      <c r="C147" s="895">
        <f>+C145+C146</f>
        <v>11555387.084542342</v>
      </c>
      <c r="K147" s="1864">
        <f>+C147-'Jose  Madero Correccion'!C147</f>
        <v>215213.39195632935</v>
      </c>
    </row>
    <row r="148" spans="2:11" ht="13.5">
      <c r="B148" s="900" t="s">
        <v>62</v>
      </c>
      <c r="C148" s="791"/>
    </row>
    <row r="149" spans="2:11" ht="13.5">
      <c r="B149" s="814"/>
      <c r="C149" s="791"/>
    </row>
    <row r="150" spans="2:11" ht="13.5">
      <c r="B150" s="814"/>
      <c r="C150" s="791"/>
    </row>
    <row r="151" spans="2:11" ht="13.5">
      <c r="B151" s="818" t="s">
        <v>63</v>
      </c>
      <c r="C151" s="791"/>
    </row>
    <row r="152" spans="2:11" ht="13.5">
      <c r="B152" s="818" t="s">
        <v>64</v>
      </c>
      <c r="C152" s="791"/>
    </row>
    <row r="153" spans="2:11" ht="13.5">
      <c r="B153" s="900" t="s">
        <v>65</v>
      </c>
      <c r="C153" s="791"/>
    </row>
  </sheetData>
  <mergeCells count="2">
    <mergeCell ref="B144:C144"/>
    <mergeCell ref="B66:H66"/>
  </mergeCells>
  <phoneticPr fontId="33" type="noConversion"/>
  <pageMargins left="0.7" right="0.7" top="0.75" bottom="0.75" header="0.3" footer="0.3"/>
  <pageSetup paperSize="135" scale="75"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3CE26-0E3C-48D2-9200-22BA05C02E49}">
  <sheetPr codeName="Hoja121" filterMode="1">
    <tabColor rgb="FF00B0F0"/>
    <pageSetUpPr fitToPage="1"/>
  </sheetPr>
  <dimension ref="A1:AB1048519"/>
  <sheetViews>
    <sheetView zoomScale="90" zoomScaleNormal="90" zoomScaleSheetLayoutView="44" workbookViewId="0">
      <pane ySplit="2" topLeftCell="A37" activePane="bottomLeft" state="frozen"/>
      <selection pane="bottomLeft" activeCell="A2" sqref="A1:AB1048519"/>
    </sheetView>
  </sheetViews>
  <sheetFormatPr defaultColWidth="9.140625" defaultRowHeight="12.75"/>
  <cols>
    <col min="1" max="1" width="10.5703125" style="1704" customWidth="1"/>
    <col min="2" max="2" width="23.28515625" style="1705" customWidth="1"/>
    <col min="3" max="3" width="18.140625" style="1705" customWidth="1"/>
    <col min="4" max="4" width="22.140625" style="115" customWidth="1"/>
    <col min="5" max="5" width="13" style="115" customWidth="1"/>
    <col min="6" max="6" width="19.7109375" style="1702" customWidth="1"/>
    <col min="7" max="7" width="16.140625" customWidth="1"/>
    <col min="8" max="8" width="17.7109375" customWidth="1"/>
    <col min="9" max="9" width="23.42578125" style="1909" customWidth="1"/>
    <col min="10" max="10" width="14.7109375" style="115" customWidth="1"/>
    <col min="11" max="12" width="16" style="1706" customWidth="1"/>
    <col min="13" max="13" width="13.42578125" style="1702" customWidth="1"/>
    <col min="14" max="15" width="13.7109375" style="115" customWidth="1"/>
    <col min="16" max="16" width="22.42578125" style="1707" customWidth="1"/>
    <col min="17" max="17" width="20.5703125" style="1708" customWidth="1"/>
    <col min="18" max="18" width="20.28515625" style="115" customWidth="1"/>
    <col min="19" max="19" width="31.28515625" style="115" bestFit="1" customWidth="1"/>
    <col min="20" max="20" width="17.42578125" style="1705" bestFit="1" customWidth="1"/>
    <col min="21" max="21" width="19.140625" customWidth="1"/>
    <col min="22" max="22" width="14.7109375" customWidth="1"/>
    <col min="23" max="23" width="22" customWidth="1"/>
    <col min="24" max="24" width="25.85546875" customWidth="1"/>
    <col min="25" max="27" width="11.42578125" customWidth="1"/>
    <col min="28" max="28" width="15.140625" bestFit="1" customWidth="1"/>
    <col min="29" max="253" width="11.42578125" customWidth="1"/>
  </cols>
  <sheetData>
    <row r="1" spans="1:28" ht="21" customHeight="1">
      <c r="A1" s="2218" t="s">
        <v>1930</v>
      </c>
      <c r="B1" s="2080"/>
      <c r="C1" s="2080"/>
      <c r="D1" s="2080"/>
      <c r="E1" s="2080"/>
      <c r="F1" s="2080"/>
      <c r="G1" s="2080"/>
      <c r="H1" s="2080"/>
      <c r="I1" s="2080"/>
      <c r="J1" s="2080"/>
      <c r="K1" s="2080"/>
      <c r="L1" s="2080"/>
      <c r="M1" s="2080"/>
      <c r="N1" s="2080"/>
      <c r="O1" s="2080"/>
      <c r="P1" s="2080"/>
      <c r="Q1" s="2080"/>
      <c r="R1" s="2080"/>
      <c r="S1" s="2476">
        <f>SUBTOTAL(9,S2:S75)</f>
        <v>5840839038</v>
      </c>
      <c r="T1" s="2080"/>
      <c r="U1" s="2081"/>
      <c r="V1" s="188"/>
      <c r="W1" t="s">
        <v>1931</v>
      </c>
      <c r="X1" s="118"/>
      <c r="Y1" s="460" t="s">
        <v>1932</v>
      </c>
      <c r="Z1" s="118" t="s">
        <v>86</v>
      </c>
      <c r="AA1" s="118" t="s">
        <v>1655</v>
      </c>
      <c r="AB1" s="118" t="s">
        <v>1933</v>
      </c>
    </row>
    <row r="2" spans="1:28" s="93" customFormat="1" ht="66.75" customHeight="1">
      <c r="A2" s="1911" t="s">
        <v>1934</v>
      </c>
      <c r="B2" s="1911" t="s">
        <v>1935</v>
      </c>
      <c r="C2" s="1911" t="s">
        <v>1936</v>
      </c>
      <c r="D2" s="1911" t="s">
        <v>1937</v>
      </c>
      <c r="E2" s="1911" t="s">
        <v>1917</v>
      </c>
      <c r="F2" s="1911" t="s">
        <v>1938</v>
      </c>
      <c r="G2" s="1911" t="s">
        <v>1939</v>
      </c>
      <c r="H2" s="1911" t="s">
        <v>1940</v>
      </c>
      <c r="I2" s="1911" t="s">
        <v>69</v>
      </c>
      <c r="J2" s="2082" t="s">
        <v>1941</v>
      </c>
      <c r="K2" s="2082" t="s">
        <v>1000</v>
      </c>
      <c r="L2" s="2082" t="s">
        <v>2580</v>
      </c>
      <c r="M2" s="2082" t="s">
        <v>1942</v>
      </c>
      <c r="N2" s="2082" t="s">
        <v>1389</v>
      </c>
      <c r="O2" s="2082" t="s">
        <v>1435</v>
      </c>
      <c r="P2" s="2083" t="s">
        <v>1943</v>
      </c>
      <c r="Q2" s="2084" t="s">
        <v>1944</v>
      </c>
      <c r="R2" s="2085" t="s">
        <v>1945</v>
      </c>
      <c r="S2" s="2085" t="s">
        <v>1946</v>
      </c>
      <c r="T2" s="1911" t="s">
        <v>1947</v>
      </c>
      <c r="U2" s="1911" t="s">
        <v>1948</v>
      </c>
      <c r="V2" s="267" t="s">
        <v>1949</v>
      </c>
      <c r="W2" s="1911" t="s">
        <v>1951</v>
      </c>
      <c r="X2" s="456" t="e">
        <f>+#REF!</f>
        <v>#REF!</v>
      </c>
      <c r="Y2" s="456">
        <f ca="1">+TODAY()</f>
        <v>45071</v>
      </c>
      <c r="Z2" s="457" t="e">
        <f ca="1">+Y2-X2</f>
        <v>#REF!</v>
      </c>
      <c r="AA2" s="457" t="e">
        <f ca="1">+Z2/30</f>
        <v>#REF!</v>
      </c>
      <c r="AB2" s="457" t="e">
        <f ca="1">+Z2/360</f>
        <v>#REF!</v>
      </c>
    </row>
    <row r="3" spans="1:28" s="60" customFormat="1" ht="33.75" hidden="1" customHeight="1">
      <c r="A3" s="268" t="e">
        <f>ROW(#REF!)</f>
        <v>#REF!</v>
      </c>
      <c r="B3" s="301" t="s">
        <v>2353</v>
      </c>
      <c r="C3" s="315"/>
      <c r="D3" s="301" t="s">
        <v>2354</v>
      </c>
      <c r="E3" s="269" t="s">
        <v>1918</v>
      </c>
      <c r="F3" s="290" t="s">
        <v>1922</v>
      </c>
      <c r="G3" s="301" t="s">
        <v>2355</v>
      </c>
      <c r="H3" s="315" t="s">
        <v>2356</v>
      </c>
      <c r="I3" s="1905" t="s">
        <v>2357</v>
      </c>
      <c r="J3" s="302">
        <v>43743</v>
      </c>
      <c r="K3" s="466">
        <v>44474</v>
      </c>
      <c r="L3" s="2475">
        <f>+K3</f>
        <v>44474</v>
      </c>
      <c r="M3" s="316">
        <v>44829</v>
      </c>
      <c r="N3" s="423"/>
      <c r="O3" s="458">
        <f ca="1">+_xlfn.DAYS(revision!$Y$2,K3)</f>
        <v>597</v>
      </c>
      <c r="P3" s="2463">
        <v>86423566678</v>
      </c>
      <c r="Q3" s="2465"/>
      <c r="R3" s="2463">
        <v>38554542441.743286</v>
      </c>
      <c r="S3" s="2463">
        <f t="shared" ref="S3:S36" si="0">SUM(P3:R3)</f>
        <v>124978109119.74329</v>
      </c>
      <c r="T3" s="1541" t="s">
        <v>2358</v>
      </c>
      <c r="U3" s="264"/>
      <c r="V3" s="289">
        <v>2022</v>
      </c>
      <c r="W3" s="1760" t="s">
        <v>2359</v>
      </c>
      <c r="X3" s="36"/>
      <c r="Y3" s="36"/>
      <c r="Z3" s="36"/>
      <c r="AA3" s="36"/>
      <c r="AB3" s="36"/>
    </row>
    <row r="4" spans="1:28" s="60" customFormat="1" ht="42.75" hidden="1" customHeight="1">
      <c r="A4" s="268" t="e">
        <f>ROW(#REF!)</f>
        <v>#REF!</v>
      </c>
      <c r="B4" s="284" t="s">
        <v>2300</v>
      </c>
      <c r="C4" s="284"/>
      <c r="D4" s="269" t="s">
        <v>1954</v>
      </c>
      <c r="E4" s="269" t="s">
        <v>1918</v>
      </c>
      <c r="F4" s="290" t="s">
        <v>1924</v>
      </c>
      <c r="G4" s="322" t="s">
        <v>1719</v>
      </c>
      <c r="H4" s="269" t="s">
        <v>2301</v>
      </c>
      <c r="I4" s="1901" t="s">
        <v>2302</v>
      </c>
      <c r="J4" s="342">
        <v>44077</v>
      </c>
      <c r="K4" s="342">
        <v>44083</v>
      </c>
      <c r="L4" s="342"/>
      <c r="M4" s="342">
        <v>44386</v>
      </c>
      <c r="N4" s="342">
        <v>44110</v>
      </c>
      <c r="O4" s="458">
        <f ca="1">+_xlfn.DAYS($Y$2,K4)</f>
        <v>988</v>
      </c>
      <c r="P4" s="2463">
        <f>+'Cabel SAS '!B14</f>
        <v>379098332</v>
      </c>
      <c r="Q4" s="2463">
        <v>0</v>
      </c>
      <c r="R4" s="2463">
        <f>+'Cabel SAS '!G44</f>
        <v>223779057.08999997</v>
      </c>
      <c r="S4" s="2463">
        <f t="shared" si="0"/>
        <v>602877389.08999991</v>
      </c>
      <c r="T4" s="274">
        <v>44986</v>
      </c>
      <c r="U4" s="340"/>
      <c r="V4" s="289">
        <v>2021</v>
      </c>
      <c r="W4" s="1760" t="s">
        <v>2303</v>
      </c>
    </row>
    <row r="5" spans="1:28" s="60" customFormat="1" ht="34.5" hidden="1" customHeight="1">
      <c r="A5" s="268">
        <f t="shared" ref="A5:A36" si="1">ROW(A3)</f>
        <v>3</v>
      </c>
      <c r="B5" s="284" t="s">
        <v>1758</v>
      </c>
      <c r="C5" s="284"/>
      <c r="D5" s="269" t="s">
        <v>2128</v>
      </c>
      <c r="E5" s="269" t="s">
        <v>1918</v>
      </c>
      <c r="F5" s="290" t="s">
        <v>1924</v>
      </c>
      <c r="G5" s="412" t="s">
        <v>1760</v>
      </c>
      <c r="H5" s="412" t="s">
        <v>2338</v>
      </c>
      <c r="I5" s="1896" t="s">
        <v>2339</v>
      </c>
      <c r="J5" s="342">
        <v>44316</v>
      </c>
      <c r="K5" s="342">
        <v>44403</v>
      </c>
      <c r="L5" s="342"/>
      <c r="M5" s="342">
        <v>44708</v>
      </c>
      <c r="N5" s="342">
        <v>44430</v>
      </c>
      <c r="O5" s="423"/>
      <c r="P5" s="2463">
        <v>864619708.61000001</v>
      </c>
      <c r="Q5" s="2463"/>
      <c r="R5" s="2463">
        <f>+'Alba Rodriguez'!I34</f>
        <v>301070286.16000009</v>
      </c>
      <c r="S5" s="2463">
        <f t="shared" si="0"/>
        <v>1165689994.77</v>
      </c>
      <c r="T5" s="274">
        <v>44986</v>
      </c>
      <c r="U5" s="2320"/>
      <c r="V5" s="289">
        <v>2022</v>
      </c>
      <c r="W5" s="1760" t="s">
        <v>2340</v>
      </c>
    </row>
    <row r="6" spans="1:28" s="60" customFormat="1" ht="46.5" hidden="1" customHeight="1">
      <c r="A6" s="268">
        <f t="shared" si="1"/>
        <v>4</v>
      </c>
      <c r="B6" s="1895" t="s">
        <v>2347</v>
      </c>
      <c r="C6" s="2520"/>
      <c r="D6" s="269" t="s">
        <v>2128</v>
      </c>
      <c r="E6" s="269" t="s">
        <v>1918</v>
      </c>
      <c r="F6" s="290" t="s">
        <v>1924</v>
      </c>
      <c r="G6" s="412" t="s">
        <v>2348</v>
      </c>
      <c r="H6" s="412" t="s">
        <v>2349</v>
      </c>
      <c r="I6" s="1896" t="s">
        <v>2350</v>
      </c>
      <c r="J6" s="342">
        <v>43851</v>
      </c>
      <c r="K6" s="342">
        <v>44460</v>
      </c>
      <c r="L6" s="342"/>
      <c r="M6" s="342">
        <v>44763</v>
      </c>
      <c r="N6" s="342">
        <v>44609</v>
      </c>
      <c r="O6" s="458">
        <f ca="1">+_xlfn.DAYS($Y$2,K6)</f>
        <v>611</v>
      </c>
      <c r="P6" s="2463">
        <v>111583205</v>
      </c>
      <c r="Q6" s="2465"/>
      <c r="R6" s="2463">
        <f>+'Inversiones Leonor Arocha'!I33</f>
        <v>34936528.289999999</v>
      </c>
      <c r="S6" s="2463">
        <f t="shared" si="0"/>
        <v>146519733.28999999</v>
      </c>
      <c r="T6" s="274">
        <v>44986</v>
      </c>
      <c r="U6" s="264"/>
      <c r="V6" s="289">
        <v>2022</v>
      </c>
      <c r="W6" s="1714" t="s">
        <v>2352</v>
      </c>
      <c r="X6" s="36"/>
      <c r="Y6" s="36"/>
      <c r="Z6" s="36"/>
      <c r="AA6" s="36"/>
      <c r="AB6" s="36"/>
    </row>
    <row r="7" spans="1:28" s="60" customFormat="1" ht="48.75" hidden="1" customHeight="1">
      <c r="A7" s="268">
        <f t="shared" si="1"/>
        <v>5</v>
      </c>
      <c r="B7" s="284" t="s">
        <v>2216</v>
      </c>
      <c r="C7" s="2442"/>
      <c r="D7" s="269" t="s">
        <v>2128</v>
      </c>
      <c r="E7" s="269" t="s">
        <v>1918</v>
      </c>
      <c r="F7" s="2393" t="s">
        <v>1925</v>
      </c>
      <c r="G7" s="412" t="s">
        <v>1865</v>
      </c>
      <c r="H7" s="412" t="s">
        <v>2217</v>
      </c>
      <c r="I7" s="412" t="s">
        <v>2218</v>
      </c>
      <c r="J7" s="2127">
        <v>43903</v>
      </c>
      <c r="K7" s="342">
        <v>44033</v>
      </c>
      <c r="L7" s="342"/>
      <c r="M7" s="342">
        <v>44337</v>
      </c>
      <c r="N7" s="145"/>
      <c r="O7" s="458"/>
      <c r="P7" s="2463">
        <v>170357492</v>
      </c>
      <c r="Q7" s="2466"/>
      <c r="R7" s="2467">
        <f>+'Branium Liquidacion'!D52</f>
        <v>87368740.61999999</v>
      </c>
      <c r="S7" s="2463">
        <f t="shared" si="0"/>
        <v>257726232.62</v>
      </c>
      <c r="T7" s="274">
        <v>45013</v>
      </c>
      <c r="U7" s="1541" t="s">
        <v>2219</v>
      </c>
      <c r="V7" s="189">
        <v>2021</v>
      </c>
      <c r="W7" s="1714"/>
    </row>
    <row r="8" spans="1:28" s="60" customFormat="1" ht="62.25" hidden="1" customHeight="1">
      <c r="A8" s="268">
        <f t="shared" si="1"/>
        <v>6</v>
      </c>
      <c r="B8" s="317" t="s">
        <v>2127</v>
      </c>
      <c r="C8" s="1712"/>
      <c r="D8" s="284" t="s">
        <v>2128</v>
      </c>
      <c r="E8" s="284" t="s">
        <v>1918</v>
      </c>
      <c r="F8" s="2393" t="s">
        <v>1926</v>
      </c>
      <c r="G8" s="2393" t="s">
        <v>1884</v>
      </c>
      <c r="H8" s="317" t="s">
        <v>2129</v>
      </c>
      <c r="I8" s="1908"/>
      <c r="J8" s="2395">
        <v>41410</v>
      </c>
      <c r="K8" s="1936">
        <v>41410</v>
      </c>
      <c r="L8" s="1936"/>
      <c r="M8" s="319">
        <v>41714</v>
      </c>
      <c r="N8" s="145"/>
      <c r="O8" s="145"/>
      <c r="P8" s="2466">
        <f>+'Amira Diaz'!B38</f>
        <v>38823755</v>
      </c>
      <c r="Q8" s="2466"/>
      <c r="R8" s="2466">
        <f>+'Amira Diaz'!B39+'Amira Diaz'!B40</f>
        <v>42098744.32</v>
      </c>
      <c r="S8" s="2463">
        <f t="shared" si="0"/>
        <v>80922499.319999993</v>
      </c>
      <c r="T8" s="274">
        <v>44986</v>
      </c>
      <c r="U8" s="2"/>
      <c r="V8" s="2"/>
      <c r="W8" s="2"/>
      <c r="X8"/>
      <c r="Y8"/>
      <c r="Z8"/>
      <c r="AA8"/>
      <c r="AB8"/>
    </row>
    <row r="9" spans="1:28" s="60" customFormat="1" ht="60" hidden="1" customHeight="1">
      <c r="A9" s="268">
        <f t="shared" si="1"/>
        <v>7</v>
      </c>
      <c r="B9" s="317" t="s">
        <v>2131</v>
      </c>
      <c r="C9" s="317"/>
      <c r="D9" s="317" t="s">
        <v>1129</v>
      </c>
      <c r="E9" s="269" t="s">
        <v>1918</v>
      </c>
      <c r="F9" s="290" t="s">
        <v>1926</v>
      </c>
      <c r="G9" s="114" t="s">
        <v>1533</v>
      </c>
      <c r="H9" s="317" t="s">
        <v>2132</v>
      </c>
      <c r="I9" s="1898" t="s">
        <v>2133</v>
      </c>
      <c r="J9" s="318">
        <v>41873</v>
      </c>
      <c r="K9" s="309">
        <v>42024</v>
      </c>
      <c r="L9" s="309"/>
      <c r="M9" s="319">
        <v>42428</v>
      </c>
      <c r="N9" s="318">
        <v>42699</v>
      </c>
      <c r="O9" s="458">
        <f ca="1">+_xlfn.DAYS($Y$2,K9)</f>
        <v>3047</v>
      </c>
      <c r="P9" s="2463">
        <f>+'Richard Beltran'!B34</f>
        <v>20836946.483378906</v>
      </c>
      <c r="Q9" s="2463">
        <v>0</v>
      </c>
      <c r="R9" s="2463">
        <f>+'Richard Beltran'!B35</f>
        <v>48350426.949999996</v>
      </c>
      <c r="S9" s="2463">
        <f t="shared" si="0"/>
        <v>69187373.433378905</v>
      </c>
      <c r="T9" s="274">
        <v>44986</v>
      </c>
      <c r="U9" s="317" t="s">
        <v>2576</v>
      </c>
      <c r="V9" s="289">
        <v>2017</v>
      </c>
      <c r="W9" s="1912" t="s">
        <v>2136</v>
      </c>
      <c r="X9" s="2164">
        <f>+S9+S50</f>
        <v>96443153.433378905</v>
      </c>
      <c r="Y9" s="263"/>
      <c r="Z9" s="263"/>
      <c r="AA9" s="263"/>
      <c r="AB9" s="263"/>
    </row>
    <row r="10" spans="1:28" ht="93" hidden="1" customHeight="1">
      <c r="A10" s="268">
        <f t="shared" si="1"/>
        <v>8</v>
      </c>
      <c r="B10" s="304" t="s">
        <v>2137</v>
      </c>
      <c r="C10" s="304"/>
      <c r="D10" s="304" t="s">
        <v>1129</v>
      </c>
      <c r="E10" s="269" t="s">
        <v>1918</v>
      </c>
      <c r="F10" s="290" t="s">
        <v>1926</v>
      </c>
      <c r="G10" s="114" t="s">
        <v>2138</v>
      </c>
      <c r="H10" s="304" t="s">
        <v>2139</v>
      </c>
      <c r="I10" s="1899" t="s">
        <v>2140</v>
      </c>
      <c r="J10" s="305">
        <v>42230</v>
      </c>
      <c r="K10" s="305">
        <v>42230</v>
      </c>
      <c r="L10" s="305"/>
      <c r="M10" s="305">
        <v>42780</v>
      </c>
      <c r="N10" s="305">
        <v>42230</v>
      </c>
      <c r="O10" s="458">
        <f ca="1">+_xlfn.DAYS($Y$2,K10)</f>
        <v>2841</v>
      </c>
      <c r="P10" s="2463">
        <v>27099171</v>
      </c>
      <c r="Q10" s="2463">
        <v>3522892</v>
      </c>
      <c r="R10" s="2463"/>
      <c r="S10" s="2463">
        <f t="shared" si="0"/>
        <v>30622063</v>
      </c>
      <c r="T10" s="274" t="s">
        <v>2287</v>
      </c>
      <c r="U10" s="306" t="s">
        <v>2577</v>
      </c>
      <c r="V10" s="289">
        <v>2017</v>
      </c>
      <c r="W10" s="1760" t="s">
        <v>2143</v>
      </c>
      <c r="X10" s="263"/>
      <c r="Y10" s="263"/>
      <c r="Z10" s="263"/>
      <c r="AA10" s="263"/>
      <c r="AB10" s="263"/>
    </row>
    <row r="11" spans="1:28" s="60" customFormat="1" ht="21.75" hidden="1" customHeight="1">
      <c r="A11" s="268">
        <f t="shared" si="1"/>
        <v>9</v>
      </c>
      <c r="B11" s="284" t="s">
        <v>2212</v>
      </c>
      <c r="C11" s="284"/>
      <c r="D11" s="269" t="s">
        <v>2128</v>
      </c>
      <c r="E11" s="269" t="s">
        <v>1918</v>
      </c>
      <c r="F11" s="269" t="s">
        <v>1926</v>
      </c>
      <c r="G11" s="269" t="s">
        <v>1662</v>
      </c>
      <c r="H11" s="1896" t="s">
        <v>2213</v>
      </c>
      <c r="I11" s="1896" t="s">
        <v>2214</v>
      </c>
      <c r="J11" s="342">
        <v>43521</v>
      </c>
      <c r="K11" s="342">
        <v>43649</v>
      </c>
      <c r="L11" s="342"/>
      <c r="M11" s="342">
        <v>44201</v>
      </c>
      <c r="N11" s="342">
        <v>43802</v>
      </c>
      <c r="O11" s="458">
        <f ca="1">+_xlfn.DAYS($Y$2,K11)</f>
        <v>1422</v>
      </c>
      <c r="P11" s="2463">
        <f>+'Elida Martinez'!C55</f>
        <v>135245922.13</v>
      </c>
      <c r="Q11" s="2463">
        <f>+'Elida Martinez'!C57</f>
        <v>4057377.6638999996</v>
      </c>
      <c r="R11" s="2463">
        <f>+'Elida Martinez'!C56</f>
        <v>88252149.86999999</v>
      </c>
      <c r="S11" s="2463">
        <f t="shared" si="0"/>
        <v>227555449.66389996</v>
      </c>
      <c r="T11" s="274">
        <v>44986</v>
      </c>
      <c r="U11" s="1541"/>
      <c r="V11" s="289">
        <v>2020</v>
      </c>
      <c r="W11" s="499" t="s">
        <v>2215</v>
      </c>
    </row>
    <row r="12" spans="1:28" s="36" customFormat="1" ht="54" hidden="1" customHeight="1">
      <c r="A12" s="268">
        <f t="shared" si="1"/>
        <v>10</v>
      </c>
      <c r="B12" s="290" t="s">
        <v>1793</v>
      </c>
      <c r="C12" s="290"/>
      <c r="D12" s="290" t="s">
        <v>1129</v>
      </c>
      <c r="E12" s="269" t="s">
        <v>1918</v>
      </c>
      <c r="F12" s="290" t="s">
        <v>1926</v>
      </c>
      <c r="G12" s="291" t="s">
        <v>2379</v>
      </c>
      <c r="H12" s="291"/>
      <c r="I12" s="1902"/>
      <c r="J12" s="293">
        <v>41838</v>
      </c>
      <c r="K12" s="293">
        <v>44596</v>
      </c>
      <c r="L12" s="293"/>
      <c r="M12" s="293">
        <v>44899</v>
      </c>
      <c r="N12" s="293"/>
      <c r="O12" s="458"/>
      <c r="P12" s="2463">
        <f>+'Consor. vias caribe'!B33</f>
        <v>75301989.523514643</v>
      </c>
      <c r="Q12" s="2463">
        <v>0</v>
      </c>
      <c r="R12" s="2463">
        <f>+'Consor. vias caribe'!B34</f>
        <v>65381411.290000007</v>
      </c>
      <c r="S12" s="2463">
        <f t="shared" si="0"/>
        <v>140683400.81351465</v>
      </c>
      <c r="T12" s="274">
        <v>44986</v>
      </c>
      <c r="U12" s="2025"/>
      <c r="V12" s="289">
        <v>2022</v>
      </c>
      <c r="W12" s="1912"/>
    </row>
    <row r="13" spans="1:28" s="60" customFormat="1" ht="51.75" hidden="1" customHeight="1">
      <c r="A13" s="268">
        <f t="shared" si="1"/>
        <v>11</v>
      </c>
      <c r="B13" s="322" t="s">
        <v>2202</v>
      </c>
      <c r="C13" s="322" t="s">
        <v>2203</v>
      </c>
      <c r="D13" s="322" t="s">
        <v>1129</v>
      </c>
      <c r="E13" s="269" t="s">
        <v>1918</v>
      </c>
      <c r="F13" s="322" t="s">
        <v>1467</v>
      </c>
      <c r="G13" s="322"/>
      <c r="H13" s="322" t="s">
        <v>2204</v>
      </c>
      <c r="I13" s="1900" t="s">
        <v>2205</v>
      </c>
      <c r="J13" s="414">
        <v>43397</v>
      </c>
      <c r="K13" s="414">
        <v>43405</v>
      </c>
      <c r="L13" s="414"/>
      <c r="M13" s="414">
        <v>43709</v>
      </c>
      <c r="N13" s="414">
        <v>43431</v>
      </c>
      <c r="O13" s="458">
        <f t="shared" ref="O13:O20" ca="1" si="2">+_xlfn.DAYS($Y$2,K13)</f>
        <v>1666</v>
      </c>
      <c r="P13" s="2464">
        <f>+'Corrreccion GAM Laudo 15 Dic'!C108</f>
        <v>2725885628.5500007</v>
      </c>
      <c r="Q13" s="2463"/>
      <c r="R13" s="2464">
        <f>+'Corrreccion GAM Laudo 15 Dic'!C109</f>
        <v>464133679.19999999</v>
      </c>
      <c r="S13" s="2463">
        <f t="shared" si="0"/>
        <v>3190019307.7500005</v>
      </c>
      <c r="T13" s="274">
        <v>44986</v>
      </c>
      <c r="U13" s="1896" t="s">
        <v>2206</v>
      </c>
      <c r="V13" s="289">
        <v>2019</v>
      </c>
      <c r="W13" s="1912" t="s">
        <v>2207</v>
      </c>
      <c r="X13" s="2358">
        <f>+S13+S7</f>
        <v>3447745540.3700004</v>
      </c>
    </row>
    <row r="14" spans="1:28" s="60" customFormat="1" ht="51.75" hidden="1" customHeight="1">
      <c r="A14" s="268">
        <f t="shared" si="1"/>
        <v>12</v>
      </c>
      <c r="B14" s="269" t="s">
        <v>2144</v>
      </c>
      <c r="C14" s="269"/>
      <c r="D14" s="269" t="s">
        <v>1129</v>
      </c>
      <c r="E14" s="269" t="s">
        <v>1918</v>
      </c>
      <c r="F14" s="269" t="s">
        <v>851</v>
      </c>
      <c r="G14" s="270" t="s">
        <v>1542</v>
      </c>
      <c r="H14" s="270" t="s">
        <v>2145</v>
      </c>
      <c r="I14" s="1901" t="s">
        <v>2146</v>
      </c>
      <c r="J14" s="271">
        <v>42572</v>
      </c>
      <c r="K14" s="278">
        <v>42587</v>
      </c>
      <c r="L14" s="278"/>
      <c r="M14" s="271">
        <v>42891</v>
      </c>
      <c r="N14" s="271" t="s">
        <v>2147</v>
      </c>
      <c r="O14" s="458">
        <f t="shared" ca="1" si="2"/>
        <v>2484</v>
      </c>
      <c r="P14" s="2462">
        <f>+'Lilia Cueto'!N93+'Lilia Cueto'!O93</f>
        <v>5972500.6164253503</v>
      </c>
      <c r="Q14" s="2462">
        <v>0</v>
      </c>
      <c r="R14" s="2462">
        <v>0</v>
      </c>
      <c r="S14" s="2463">
        <f t="shared" si="0"/>
        <v>5972500.6164253503</v>
      </c>
      <c r="T14" s="1541" t="s">
        <v>2193</v>
      </c>
      <c r="U14" s="437" t="s">
        <v>2148</v>
      </c>
      <c r="V14" s="289">
        <v>2017</v>
      </c>
      <c r="W14" s="1912" t="s">
        <v>2149</v>
      </c>
      <c r="X14" s="263"/>
      <c r="Y14" s="263"/>
      <c r="Z14" s="263"/>
      <c r="AA14" s="263"/>
      <c r="AB14" s="263"/>
    </row>
    <row r="15" spans="1:28" s="60" customFormat="1" ht="33" hidden="1" customHeight="1">
      <c r="A15" s="268">
        <f t="shared" si="1"/>
        <v>13</v>
      </c>
      <c r="B15" s="269" t="s">
        <v>2155</v>
      </c>
      <c r="C15" s="269"/>
      <c r="D15" s="269" t="s">
        <v>1129</v>
      </c>
      <c r="E15" s="269" t="s">
        <v>1918</v>
      </c>
      <c r="F15" s="269" t="s">
        <v>851</v>
      </c>
      <c r="G15" s="270" t="s">
        <v>2156</v>
      </c>
      <c r="H15" s="269" t="s">
        <v>2047</v>
      </c>
      <c r="I15" s="1901" t="s">
        <v>2157</v>
      </c>
      <c r="J15" s="308">
        <v>42492</v>
      </c>
      <c r="K15" s="309">
        <v>42917</v>
      </c>
      <c r="L15" s="309"/>
      <c r="M15" s="271">
        <v>43071</v>
      </c>
      <c r="N15" s="310"/>
      <c r="O15" s="458">
        <f t="shared" ca="1" si="2"/>
        <v>2154</v>
      </c>
      <c r="P15" s="2463">
        <v>110492098.98999999</v>
      </c>
      <c r="Q15" s="2463">
        <v>0</v>
      </c>
      <c r="R15" s="2463">
        <v>0</v>
      </c>
      <c r="S15" s="2463">
        <f t="shared" si="0"/>
        <v>110492098.98999999</v>
      </c>
      <c r="T15" s="1541" t="s">
        <v>2193</v>
      </c>
      <c r="U15" s="311" t="s">
        <v>2581</v>
      </c>
      <c r="V15" s="289">
        <v>2018</v>
      </c>
      <c r="W15" s="1912" t="s">
        <v>2160</v>
      </c>
      <c r="X15" s="263"/>
      <c r="Y15" s="263"/>
      <c r="Z15" s="263"/>
      <c r="AA15" s="263"/>
      <c r="AB15" s="263"/>
    </row>
    <row r="16" spans="1:28" s="60" customFormat="1" ht="33.75" hidden="1" customHeight="1">
      <c r="A16" s="268">
        <f t="shared" si="1"/>
        <v>14</v>
      </c>
      <c r="B16" s="284" t="s">
        <v>1565</v>
      </c>
      <c r="C16" s="2519"/>
      <c r="D16" s="269" t="s">
        <v>2128</v>
      </c>
      <c r="E16" s="269" t="s">
        <v>1918</v>
      </c>
      <c r="F16" s="269" t="s">
        <v>851</v>
      </c>
      <c r="G16" s="412" t="s">
        <v>1566</v>
      </c>
      <c r="H16" s="412" t="s">
        <v>2161</v>
      </c>
      <c r="I16" s="412" t="s">
        <v>2162</v>
      </c>
      <c r="J16" s="342">
        <v>43284</v>
      </c>
      <c r="K16" s="342">
        <v>43222</v>
      </c>
      <c r="L16" s="342"/>
      <c r="M16" s="293">
        <v>43526</v>
      </c>
      <c r="N16" s="423"/>
      <c r="O16" s="458">
        <f t="shared" ca="1" si="2"/>
        <v>1849</v>
      </c>
      <c r="P16" s="2463">
        <f>+'Orlando del Rio'!C186</f>
        <v>144211020.33333334</v>
      </c>
      <c r="Q16" s="2463">
        <v>0</v>
      </c>
      <c r="R16" s="2463">
        <f>+'Orlando del Rio'!H252</f>
        <v>162476023.65000004</v>
      </c>
      <c r="S16" s="2463">
        <f t="shared" si="0"/>
        <v>306687043.98333335</v>
      </c>
      <c r="T16" s="274">
        <v>44986</v>
      </c>
      <c r="U16" s="2323" t="s">
        <v>2582</v>
      </c>
      <c r="V16" s="289">
        <v>2020</v>
      </c>
      <c r="W16" s="1714" t="s">
        <v>2164</v>
      </c>
      <c r="X16" s="263"/>
      <c r="Y16" s="263"/>
      <c r="Z16" s="263"/>
      <c r="AA16" s="263"/>
      <c r="AB16" s="263"/>
    </row>
    <row r="17" spans="1:28" s="60" customFormat="1" ht="75.75" hidden="1" customHeight="1">
      <c r="A17" s="268">
        <f t="shared" si="1"/>
        <v>15</v>
      </c>
      <c r="B17" s="290" t="s">
        <v>2175</v>
      </c>
      <c r="C17" s="290"/>
      <c r="D17" s="290" t="s">
        <v>1129</v>
      </c>
      <c r="E17" s="269" t="s">
        <v>1918</v>
      </c>
      <c r="F17" s="269" t="s">
        <v>851</v>
      </c>
      <c r="G17" s="291" t="s">
        <v>1591</v>
      </c>
      <c r="H17" s="290" t="s">
        <v>2047</v>
      </c>
      <c r="I17" s="1902" t="s">
        <v>2176</v>
      </c>
      <c r="J17" s="310">
        <v>43223</v>
      </c>
      <c r="K17" s="310">
        <v>43241</v>
      </c>
      <c r="L17" s="310"/>
      <c r="M17" s="293">
        <v>43790</v>
      </c>
      <c r="N17" s="310">
        <v>43425</v>
      </c>
      <c r="O17" s="458">
        <f t="shared" ca="1" si="2"/>
        <v>1830</v>
      </c>
      <c r="P17" s="2463">
        <f>+'Fabiola Botero'!I81</f>
        <v>2974655617.4543009</v>
      </c>
      <c r="Q17" s="2463">
        <v>0</v>
      </c>
      <c r="R17" s="2463">
        <f>+'Fabiola Botero'!I79</f>
        <v>3934706937.1840868</v>
      </c>
      <c r="S17" s="2463">
        <f t="shared" si="0"/>
        <v>6909362554.6383877</v>
      </c>
      <c r="T17" s="274">
        <v>44986</v>
      </c>
      <c r="U17" s="277"/>
      <c r="V17" s="289">
        <v>2021</v>
      </c>
      <c r="W17" s="1912" t="s">
        <v>2178</v>
      </c>
      <c r="X17" s="2164">
        <f>+S17+S23</f>
        <v>6936597592.7583876</v>
      </c>
      <c r="Y17" s="263"/>
      <c r="Z17" s="263"/>
      <c r="AA17" s="263"/>
      <c r="AB17" s="263"/>
    </row>
    <row r="18" spans="1:28" s="60" customFormat="1" ht="45.75" hidden="1" customHeight="1">
      <c r="A18" s="268">
        <f t="shared" si="1"/>
        <v>16</v>
      </c>
      <c r="B18" s="290" t="s">
        <v>1608</v>
      </c>
      <c r="C18" s="290"/>
      <c r="D18" s="290" t="s">
        <v>1129</v>
      </c>
      <c r="E18" s="269" t="s">
        <v>1918</v>
      </c>
      <c r="F18" s="269" t="s">
        <v>851</v>
      </c>
      <c r="G18" s="290" t="s">
        <v>1609</v>
      </c>
      <c r="H18" s="290" t="s">
        <v>2015</v>
      </c>
      <c r="I18" s="1902" t="s">
        <v>2583</v>
      </c>
      <c r="J18" s="293">
        <v>43293</v>
      </c>
      <c r="K18" s="293">
        <v>43339</v>
      </c>
      <c r="L18" s="293"/>
      <c r="M18" s="293">
        <v>43888</v>
      </c>
      <c r="N18" s="293">
        <v>43349</v>
      </c>
      <c r="O18" s="458">
        <f t="shared" ca="1" si="2"/>
        <v>1732</v>
      </c>
      <c r="P18" s="2463">
        <f>+'Francisco Madero'!C111</f>
        <v>13509219.8275444</v>
      </c>
      <c r="Q18" s="2463">
        <v>0</v>
      </c>
      <c r="R18" s="2463">
        <f>+'Francisco Madero'!C112</f>
        <v>1702810.1522173418</v>
      </c>
      <c r="S18" s="2463">
        <f t="shared" si="0"/>
        <v>15212029.979761742</v>
      </c>
      <c r="T18" s="274">
        <v>44986</v>
      </c>
      <c r="U18" s="327" t="s">
        <v>2584</v>
      </c>
      <c r="V18" s="289">
        <v>2020</v>
      </c>
      <c r="W18" s="1912" t="s">
        <v>2190</v>
      </c>
      <c r="X18" s="263"/>
      <c r="Y18" s="263"/>
      <c r="Z18" s="263"/>
      <c r="AA18" s="263"/>
      <c r="AB18" s="263"/>
    </row>
    <row r="19" spans="1:28" s="60" customFormat="1" ht="68.25" hidden="1" customHeight="1">
      <c r="A19" s="268">
        <f t="shared" si="1"/>
        <v>17</v>
      </c>
      <c r="B19" s="284" t="s">
        <v>2220</v>
      </c>
      <c r="C19" s="284"/>
      <c r="D19" s="269" t="s">
        <v>1954</v>
      </c>
      <c r="E19" s="269" t="s">
        <v>1918</v>
      </c>
      <c r="F19" s="269" t="s">
        <v>1666</v>
      </c>
      <c r="G19" s="284" t="s">
        <v>2221</v>
      </c>
      <c r="H19" s="1903" t="s">
        <v>2222</v>
      </c>
      <c r="I19" s="1895" t="s">
        <v>2223</v>
      </c>
      <c r="J19" s="313">
        <v>43686</v>
      </c>
      <c r="K19" s="313">
        <v>43706</v>
      </c>
      <c r="L19" s="313"/>
      <c r="M19" s="313">
        <v>44011</v>
      </c>
      <c r="N19" s="2430" t="s">
        <v>2224</v>
      </c>
      <c r="O19" s="458">
        <f t="shared" ca="1" si="2"/>
        <v>1365</v>
      </c>
      <c r="P19" s="2463">
        <f>+'Jacobo Forero'!C74</f>
        <v>16419216.491987161</v>
      </c>
      <c r="Q19" s="2463">
        <v>0</v>
      </c>
      <c r="R19" s="2463">
        <f>+'Jacobo Forero'!I83</f>
        <v>1057039.8700000001</v>
      </c>
      <c r="S19" s="2463">
        <f t="shared" si="0"/>
        <v>17476256.361987162</v>
      </c>
      <c r="T19" s="274">
        <v>45016</v>
      </c>
      <c r="U19" s="312" t="s">
        <v>2225</v>
      </c>
      <c r="V19" s="289">
        <v>2020</v>
      </c>
      <c r="W19" s="1760" t="s">
        <v>2226</v>
      </c>
      <c r="X19" s="496"/>
    </row>
    <row r="20" spans="1:28" s="60" customFormat="1" ht="55.5" hidden="1" customHeight="1">
      <c r="A20" s="268">
        <f t="shared" si="1"/>
        <v>18</v>
      </c>
      <c r="B20" s="284" t="s">
        <v>2227</v>
      </c>
      <c r="C20" s="284"/>
      <c r="D20" s="269" t="s">
        <v>1954</v>
      </c>
      <c r="E20" s="269" t="s">
        <v>1918</v>
      </c>
      <c r="F20" s="269" t="s">
        <v>851</v>
      </c>
      <c r="G20" s="412" t="s">
        <v>2228</v>
      </c>
      <c r="H20" s="412" t="s">
        <v>2229</v>
      </c>
      <c r="I20" s="413" t="s">
        <v>2230</v>
      </c>
      <c r="J20" s="342">
        <v>42801</v>
      </c>
      <c r="K20" s="342">
        <v>43731</v>
      </c>
      <c r="L20" s="342"/>
      <c r="M20" s="313">
        <v>44035</v>
      </c>
      <c r="N20" s="2429"/>
      <c r="O20" s="458">
        <f t="shared" ca="1" si="2"/>
        <v>1340</v>
      </c>
      <c r="P20" s="2463">
        <v>0</v>
      </c>
      <c r="Q20" s="2463">
        <v>0</v>
      </c>
      <c r="R20" s="2463">
        <v>0</v>
      </c>
      <c r="S20" s="2463">
        <f t="shared" si="0"/>
        <v>0</v>
      </c>
      <c r="T20" s="1541" t="s">
        <v>2193</v>
      </c>
      <c r="U20" s="2324" t="s">
        <v>2585</v>
      </c>
      <c r="V20" s="2175">
        <v>2015</v>
      </c>
      <c r="W20" s="2176" t="s">
        <v>2232</v>
      </c>
      <c r="X20" s="2460"/>
    </row>
    <row r="21" spans="1:28" s="60" customFormat="1" ht="85.5" hidden="1" customHeight="1">
      <c r="A21" s="268">
        <f t="shared" si="1"/>
        <v>19</v>
      </c>
      <c r="B21" s="1895" t="s">
        <v>2256</v>
      </c>
      <c r="C21" s="2519"/>
      <c r="D21" s="269" t="s">
        <v>2128</v>
      </c>
      <c r="E21" s="269" t="s">
        <v>1918</v>
      </c>
      <c r="F21" s="269" t="s">
        <v>851</v>
      </c>
      <c r="G21" s="412" t="s">
        <v>2257</v>
      </c>
      <c r="H21" s="412" t="s">
        <v>2161</v>
      </c>
      <c r="I21" s="412" t="s">
        <v>2258</v>
      </c>
      <c r="J21" s="342">
        <v>43812</v>
      </c>
      <c r="K21" s="342">
        <v>43852</v>
      </c>
      <c r="L21" s="342"/>
      <c r="M21" s="293">
        <v>44157</v>
      </c>
      <c r="N21" s="423"/>
      <c r="O21" s="423"/>
      <c r="P21" s="2465"/>
      <c r="Q21" s="2465"/>
      <c r="R21" s="2465"/>
      <c r="S21" s="2463">
        <f t="shared" si="0"/>
        <v>0</v>
      </c>
      <c r="T21" s="1541" t="s">
        <v>2193</v>
      </c>
      <c r="U21" s="1896" t="s">
        <v>2259</v>
      </c>
      <c r="V21" s="189">
        <v>2020</v>
      </c>
      <c r="W21" s="1714" t="s">
        <v>2260</v>
      </c>
      <c r="X21"/>
      <c r="Y21" s="2"/>
      <c r="Z21"/>
      <c r="AA21"/>
      <c r="AB21"/>
    </row>
    <row r="22" spans="1:28" s="60" customFormat="1" ht="67.5" hidden="1" customHeight="1">
      <c r="A22" s="268">
        <f t="shared" si="1"/>
        <v>20</v>
      </c>
      <c r="B22" s="290" t="s">
        <v>2264</v>
      </c>
      <c r="C22" s="290"/>
      <c r="D22" s="290" t="s">
        <v>2265</v>
      </c>
      <c r="E22" s="269" t="s">
        <v>1918</v>
      </c>
      <c r="F22" s="269" t="s">
        <v>851</v>
      </c>
      <c r="G22" s="290" t="s">
        <v>2266</v>
      </c>
      <c r="H22" s="290" t="s">
        <v>2267</v>
      </c>
      <c r="I22" s="1902" t="s">
        <v>2268</v>
      </c>
      <c r="J22" s="310">
        <v>43763</v>
      </c>
      <c r="K22" s="310">
        <v>43886</v>
      </c>
      <c r="L22" s="310"/>
      <c r="M22" s="293">
        <v>44190</v>
      </c>
      <c r="N22" s="310"/>
      <c r="O22" s="458">
        <f t="shared" ref="O22:O36" ca="1" si="3">+_xlfn.DAYS($Y$2,K22)</f>
        <v>1185</v>
      </c>
      <c r="P22" s="2463">
        <v>0</v>
      </c>
      <c r="Q22" s="2463">
        <v>0</v>
      </c>
      <c r="R22" s="2463">
        <v>0</v>
      </c>
      <c r="S22" s="2463">
        <f t="shared" si="0"/>
        <v>0</v>
      </c>
      <c r="T22" s="1541" t="s">
        <v>2193</v>
      </c>
      <c r="U22" s="411" t="s">
        <v>2269</v>
      </c>
      <c r="V22" s="289">
        <v>2020</v>
      </c>
      <c r="W22" s="1760" t="s">
        <v>2270</v>
      </c>
      <c r="X22" s="36"/>
      <c r="Y22" s="36"/>
      <c r="Z22" s="36"/>
      <c r="AA22" s="36"/>
      <c r="AB22" s="36"/>
    </row>
    <row r="23" spans="1:28" s="60" customFormat="1" ht="73.5" hidden="1" customHeight="1">
      <c r="A23" s="268">
        <f t="shared" si="1"/>
        <v>21</v>
      </c>
      <c r="B23" s="290" t="s">
        <v>2271</v>
      </c>
      <c r="C23" s="290"/>
      <c r="D23" s="290" t="s">
        <v>2272</v>
      </c>
      <c r="E23" s="269" t="s">
        <v>1918</v>
      </c>
      <c r="F23" s="269" t="s">
        <v>851</v>
      </c>
      <c r="G23" s="291" t="s">
        <v>2273</v>
      </c>
      <c r="H23" s="290" t="s">
        <v>1972</v>
      </c>
      <c r="I23" s="1902" t="s">
        <v>2274</v>
      </c>
      <c r="J23" s="310">
        <v>43776</v>
      </c>
      <c r="K23" s="310">
        <v>43897</v>
      </c>
      <c r="L23" s="310"/>
      <c r="M23" s="293">
        <v>43837</v>
      </c>
      <c r="N23" s="2459"/>
      <c r="O23" s="458">
        <f t="shared" ca="1" si="3"/>
        <v>1174</v>
      </c>
      <c r="P23" s="2463">
        <f>+'Carlos Gastelbondo'!C57</f>
        <v>14872436</v>
      </c>
      <c r="Q23" s="2463">
        <v>0</v>
      </c>
      <c r="R23" s="2463">
        <f>+'Carlos Gastelbondo'!I99</f>
        <v>12362602.119999999</v>
      </c>
      <c r="S23" s="2463">
        <f t="shared" si="0"/>
        <v>27235038.119999997</v>
      </c>
      <c r="T23" s="274">
        <v>44986</v>
      </c>
      <c r="U23" s="411" t="s">
        <v>2275</v>
      </c>
      <c r="V23" s="289">
        <v>2021</v>
      </c>
      <c r="W23" s="1760" t="s">
        <v>2276</v>
      </c>
    </row>
    <row r="24" spans="1:28" s="60" customFormat="1" ht="73.5" hidden="1" customHeight="1">
      <c r="A24" s="268">
        <f t="shared" si="1"/>
        <v>22</v>
      </c>
      <c r="B24" s="290" t="s">
        <v>2281</v>
      </c>
      <c r="C24" s="290"/>
      <c r="D24" s="269" t="s">
        <v>1129</v>
      </c>
      <c r="E24" s="269" t="s">
        <v>1918</v>
      </c>
      <c r="F24" s="269" t="s">
        <v>851</v>
      </c>
      <c r="G24" s="269" t="s">
        <v>1709</v>
      </c>
      <c r="H24" s="1898" t="s">
        <v>2282</v>
      </c>
      <c r="I24" s="1896" t="s">
        <v>2283</v>
      </c>
      <c r="J24" s="342">
        <v>43994</v>
      </c>
      <c r="K24" s="310">
        <v>44047</v>
      </c>
      <c r="L24" s="310"/>
      <c r="M24" s="342">
        <v>44298</v>
      </c>
      <c r="N24" s="339"/>
      <c r="O24" s="458">
        <f t="shared" ca="1" si="3"/>
        <v>1024</v>
      </c>
      <c r="P24" s="2463">
        <f>+'Esperanza Cabrera'!C83</f>
        <v>77387222.486013249</v>
      </c>
      <c r="Q24" s="2463">
        <v>0</v>
      </c>
      <c r="R24" s="2463">
        <f>+'Esperanza Cabrera'!H124</f>
        <v>42677229</v>
      </c>
      <c r="S24" s="2463">
        <f t="shared" si="0"/>
        <v>120064451.48601325</v>
      </c>
      <c r="T24" s="274">
        <v>44986</v>
      </c>
      <c r="U24" s="1903" t="s">
        <v>2284</v>
      </c>
      <c r="V24" s="289">
        <v>2021</v>
      </c>
      <c r="W24" s="1760" t="s">
        <v>2285</v>
      </c>
    </row>
    <row r="25" spans="1:28" s="60" customFormat="1" ht="73.5" hidden="1" customHeight="1">
      <c r="A25" s="268">
        <f t="shared" si="1"/>
        <v>23</v>
      </c>
      <c r="B25" s="284" t="s">
        <v>2323</v>
      </c>
      <c r="C25" s="2442"/>
      <c r="D25" s="269" t="s">
        <v>2128</v>
      </c>
      <c r="E25" s="269" t="s">
        <v>1918</v>
      </c>
      <c r="F25" s="269" t="s">
        <v>851</v>
      </c>
      <c r="G25" s="412" t="s">
        <v>2324</v>
      </c>
      <c r="H25" s="412" t="s">
        <v>2325</v>
      </c>
      <c r="I25" s="412" t="s">
        <v>2586</v>
      </c>
      <c r="J25" s="342">
        <v>43889</v>
      </c>
      <c r="K25" s="342">
        <v>44109</v>
      </c>
      <c r="L25" s="342"/>
      <c r="M25" s="342">
        <v>44413</v>
      </c>
      <c r="N25" s="264"/>
      <c r="O25" s="458">
        <f t="shared" ca="1" si="3"/>
        <v>962</v>
      </c>
      <c r="P25" s="2466"/>
      <c r="Q25" s="2466"/>
      <c r="R25" s="2468"/>
      <c r="S25" s="2463">
        <f t="shared" si="0"/>
        <v>0</v>
      </c>
      <c r="T25" s="1541" t="s">
        <v>2193</v>
      </c>
      <c r="U25" s="2193" t="s">
        <v>2327</v>
      </c>
      <c r="V25" s="189">
        <v>2020</v>
      </c>
      <c r="W25" s="1714" t="s">
        <v>2328</v>
      </c>
    </row>
    <row r="26" spans="1:28" s="60" customFormat="1" ht="63" hidden="1" customHeight="1">
      <c r="A26" s="268">
        <f t="shared" si="1"/>
        <v>24</v>
      </c>
      <c r="B26" s="284" t="s">
        <v>2329</v>
      </c>
      <c r="C26" s="322">
        <v>45447274</v>
      </c>
      <c r="D26" s="269" t="s">
        <v>2128</v>
      </c>
      <c r="E26" s="269" t="s">
        <v>1918</v>
      </c>
      <c r="F26" s="269" t="s">
        <v>851</v>
      </c>
      <c r="G26" s="412" t="s">
        <v>2330</v>
      </c>
      <c r="H26" s="412" t="s">
        <v>2331</v>
      </c>
      <c r="I26" s="413" t="s">
        <v>2332</v>
      </c>
      <c r="J26" s="342">
        <v>43994</v>
      </c>
      <c r="K26" s="342">
        <v>44062</v>
      </c>
      <c r="L26" s="342"/>
      <c r="M26" s="342">
        <v>44366</v>
      </c>
      <c r="N26" s="342">
        <v>44998</v>
      </c>
      <c r="O26" s="458">
        <f t="shared" ca="1" si="3"/>
        <v>1009</v>
      </c>
      <c r="P26" s="2466">
        <v>0</v>
      </c>
      <c r="Q26" s="2466">
        <v>0</v>
      </c>
      <c r="R26" s="2468">
        <v>0</v>
      </c>
      <c r="S26" s="2463">
        <f t="shared" si="0"/>
        <v>0</v>
      </c>
      <c r="T26" s="1541" t="s">
        <v>2193</v>
      </c>
      <c r="U26" s="2193"/>
      <c r="V26" s="189"/>
      <c r="W26" s="1714"/>
    </row>
    <row r="27" spans="1:28" s="60" customFormat="1" ht="83.25" hidden="1" customHeight="1">
      <c r="A27" s="268">
        <f t="shared" si="1"/>
        <v>25</v>
      </c>
      <c r="B27" s="284" t="s">
        <v>2341</v>
      </c>
      <c r="C27" s="284"/>
      <c r="D27" s="269" t="s">
        <v>2128</v>
      </c>
      <c r="E27" s="269" t="s">
        <v>1918</v>
      </c>
      <c r="F27" s="269" t="s">
        <v>851</v>
      </c>
      <c r="G27" s="412" t="s">
        <v>2342</v>
      </c>
      <c r="H27" s="1896" t="s">
        <v>2343</v>
      </c>
      <c r="I27" s="1896" t="s">
        <v>2344</v>
      </c>
      <c r="J27" s="342">
        <v>43585</v>
      </c>
      <c r="K27" s="342">
        <v>44407</v>
      </c>
      <c r="L27" s="342"/>
      <c r="M27" s="342">
        <v>44711</v>
      </c>
      <c r="N27" s="2319"/>
      <c r="O27" s="458">
        <f t="shared" ca="1" si="3"/>
        <v>664</v>
      </c>
      <c r="P27" s="2463"/>
      <c r="Q27" s="2463">
        <v>254567</v>
      </c>
      <c r="R27" s="2463"/>
      <c r="S27" s="2463">
        <f t="shared" si="0"/>
        <v>254567</v>
      </c>
      <c r="T27" s="274">
        <v>44986</v>
      </c>
      <c r="U27" s="412" t="s">
        <v>2345</v>
      </c>
      <c r="V27" s="289">
        <v>2020</v>
      </c>
      <c r="W27" s="1760" t="s">
        <v>2346</v>
      </c>
    </row>
    <row r="28" spans="1:28" s="36" customFormat="1" ht="50.25" hidden="1" customHeight="1">
      <c r="A28" s="268">
        <f t="shared" si="1"/>
        <v>26</v>
      </c>
      <c r="B28" s="284" t="s">
        <v>2374</v>
      </c>
      <c r="C28" s="1625"/>
      <c r="D28" s="269" t="s">
        <v>2128</v>
      </c>
      <c r="E28" s="269" t="s">
        <v>1918</v>
      </c>
      <c r="F28" s="269" t="s">
        <v>851</v>
      </c>
      <c r="G28" s="412" t="s">
        <v>2375</v>
      </c>
      <c r="H28" s="412"/>
      <c r="I28" s="1907"/>
      <c r="J28" s="342">
        <v>44525</v>
      </c>
      <c r="K28" s="342">
        <v>44585</v>
      </c>
      <c r="L28" s="342"/>
      <c r="M28" s="342">
        <v>44889</v>
      </c>
      <c r="N28" s="2431"/>
      <c r="O28" s="458">
        <f t="shared" ca="1" si="3"/>
        <v>486</v>
      </c>
      <c r="P28" s="2469"/>
      <c r="Q28" s="2469"/>
      <c r="R28" s="2470"/>
      <c r="S28" s="2463">
        <f t="shared" si="0"/>
        <v>0</v>
      </c>
      <c r="T28" s="1541" t="s">
        <v>2376</v>
      </c>
      <c r="U28" s="1893" t="s">
        <v>2377</v>
      </c>
      <c r="V28" s="289">
        <v>2022</v>
      </c>
      <c r="W28" s="1700" t="s">
        <v>2378</v>
      </c>
    </row>
    <row r="29" spans="1:28" s="36" customFormat="1" ht="50.25" hidden="1" customHeight="1">
      <c r="A29" s="268">
        <f t="shared" si="1"/>
        <v>27</v>
      </c>
      <c r="B29" s="284" t="s">
        <v>1629</v>
      </c>
      <c r="C29" s="284"/>
      <c r="D29" s="269" t="s">
        <v>1129</v>
      </c>
      <c r="E29" s="269" t="s">
        <v>1918</v>
      </c>
      <c r="F29" s="290" t="s">
        <v>1631</v>
      </c>
      <c r="G29" s="322" t="s">
        <v>1632</v>
      </c>
      <c r="H29" s="270" t="s">
        <v>2191</v>
      </c>
      <c r="I29" s="1903" t="s">
        <v>2192</v>
      </c>
      <c r="J29" s="342">
        <v>43607</v>
      </c>
      <c r="K29" s="342">
        <v>43608</v>
      </c>
      <c r="L29" s="342"/>
      <c r="M29" s="342">
        <v>43914</v>
      </c>
      <c r="N29" s="339"/>
      <c r="O29" s="458">
        <f t="shared" ca="1" si="3"/>
        <v>1463</v>
      </c>
      <c r="P29" s="2463">
        <f>892222+892222+86842+446111+2933333+52800000</f>
        <v>58050730</v>
      </c>
      <c r="Q29" s="2463">
        <v>3312464</v>
      </c>
      <c r="R29" s="2463">
        <v>0</v>
      </c>
      <c r="S29" s="2463">
        <f t="shared" si="0"/>
        <v>61363194</v>
      </c>
      <c r="T29" s="1541" t="s">
        <v>2193</v>
      </c>
      <c r="U29" s="416" t="s">
        <v>2587</v>
      </c>
      <c r="V29" s="289">
        <v>2020</v>
      </c>
      <c r="W29" s="1760" t="s">
        <v>2195</v>
      </c>
      <c r="X29" s="263"/>
      <c r="Y29" s="263"/>
      <c r="Z29" s="263"/>
      <c r="AA29" s="263"/>
      <c r="AB29" s="263"/>
    </row>
    <row r="30" spans="1:28" s="36" customFormat="1" ht="89.25" hidden="1" customHeight="1">
      <c r="A30" s="268">
        <f t="shared" si="1"/>
        <v>28</v>
      </c>
      <c r="B30" s="284" t="s">
        <v>2208</v>
      </c>
      <c r="C30" s="284"/>
      <c r="D30" s="269" t="s">
        <v>1894</v>
      </c>
      <c r="E30" s="269" t="s">
        <v>1918</v>
      </c>
      <c r="F30" s="269" t="s">
        <v>1057</v>
      </c>
      <c r="G30" s="412" t="s">
        <v>1895</v>
      </c>
      <c r="H30" s="412" t="s">
        <v>2047</v>
      </c>
      <c r="I30" s="1896" t="s">
        <v>2209</v>
      </c>
      <c r="J30" s="342">
        <v>43593</v>
      </c>
      <c r="K30" s="342">
        <v>43612</v>
      </c>
      <c r="L30" s="342"/>
      <c r="M30" s="342">
        <v>44162</v>
      </c>
      <c r="N30" s="2319"/>
      <c r="O30" s="458">
        <f t="shared" ca="1" si="3"/>
        <v>1459</v>
      </c>
      <c r="P30" s="2463">
        <f>+'Beatriz Gil'!C310</f>
        <v>167818762.68333334</v>
      </c>
      <c r="Q30" s="2463">
        <v>0</v>
      </c>
      <c r="R30" s="2463">
        <f>+'Beatriz Gil'!C311</f>
        <v>73626907.49000001</v>
      </c>
      <c r="S30" s="2463">
        <f t="shared" si="0"/>
        <v>241445670.17333335</v>
      </c>
      <c r="T30" s="274">
        <v>44986</v>
      </c>
      <c r="U30" s="1541" t="s">
        <v>2210</v>
      </c>
      <c r="V30" s="289">
        <v>2020</v>
      </c>
      <c r="W30" s="1760" t="s">
        <v>2211</v>
      </c>
      <c r="X30" s="60"/>
      <c r="Y30" s="60"/>
      <c r="Z30" s="60"/>
      <c r="AA30" s="60"/>
      <c r="AB30" s="60"/>
    </row>
    <row r="31" spans="1:28" s="36" customFormat="1" ht="69" hidden="1" customHeight="1">
      <c r="A31" s="268">
        <f t="shared" si="1"/>
        <v>29</v>
      </c>
      <c r="B31" s="284" t="s">
        <v>2277</v>
      </c>
      <c r="C31" s="284"/>
      <c r="D31" s="269" t="s">
        <v>1129</v>
      </c>
      <c r="E31" s="269" t="s">
        <v>1918</v>
      </c>
      <c r="F31" s="290" t="s">
        <v>1057</v>
      </c>
      <c r="G31" s="322" t="s">
        <v>2278</v>
      </c>
      <c r="H31" s="269" t="s">
        <v>1110</v>
      </c>
      <c r="I31" s="413" t="s">
        <v>2279</v>
      </c>
      <c r="J31" s="342">
        <v>43994</v>
      </c>
      <c r="K31" s="414">
        <v>43999</v>
      </c>
      <c r="L31" s="414"/>
      <c r="M31" s="342">
        <v>44303</v>
      </c>
      <c r="N31" s="264"/>
      <c r="O31" s="458">
        <f t="shared" ca="1" si="3"/>
        <v>1072</v>
      </c>
      <c r="P31" s="2463">
        <f>+'Roberto Davila y Otros'!E27</f>
        <v>372905744</v>
      </c>
      <c r="Q31" s="2463">
        <f>+'Roberto Davila y Otros'!C357+'Roberto Davila y Otros'!C358-'Roberto Davila y Otros'!C360</f>
        <v>12451521.949999999</v>
      </c>
      <c r="R31" s="2463">
        <f>+'Roberto Davila y Otros'!C355</f>
        <v>265959168.30000001</v>
      </c>
      <c r="S31" s="2463">
        <f t="shared" si="0"/>
        <v>651316434.25</v>
      </c>
      <c r="T31" s="274">
        <v>44986</v>
      </c>
      <c r="U31" s="1910" t="s">
        <v>2588</v>
      </c>
      <c r="V31" s="289">
        <v>2021</v>
      </c>
      <c r="W31" s="1760" t="s">
        <v>2280</v>
      </c>
      <c r="X31" s="60"/>
      <c r="Y31" s="60"/>
      <c r="Z31" s="60"/>
      <c r="AA31" s="60"/>
      <c r="AB31" s="60"/>
    </row>
    <row r="32" spans="1:28" s="36" customFormat="1" ht="31.5" hidden="1" customHeight="1">
      <c r="A32" s="268">
        <f t="shared" si="1"/>
        <v>30</v>
      </c>
      <c r="B32" s="284" t="s">
        <v>1743</v>
      </c>
      <c r="C32" s="322" t="s">
        <v>2333</v>
      </c>
      <c r="D32" s="269" t="s">
        <v>2128</v>
      </c>
      <c r="E32" s="269" t="s">
        <v>1918</v>
      </c>
      <c r="F32" s="269" t="s">
        <v>1057</v>
      </c>
      <c r="G32" s="322" t="s">
        <v>1744</v>
      </c>
      <c r="H32" s="270" t="s">
        <v>2334</v>
      </c>
      <c r="I32" s="1896" t="s">
        <v>2335</v>
      </c>
      <c r="J32" s="342">
        <v>44048</v>
      </c>
      <c r="K32" s="342">
        <v>44245</v>
      </c>
      <c r="L32" s="342"/>
      <c r="M32" s="342">
        <v>44548</v>
      </c>
      <c r="N32" s="1758"/>
      <c r="O32" s="458">
        <f t="shared" ca="1" si="3"/>
        <v>826</v>
      </c>
      <c r="P32" s="2463">
        <f>+'Dionisio Pautt'!C218</f>
        <v>127193639.99999999</v>
      </c>
      <c r="Q32" s="2463">
        <v>0</v>
      </c>
      <c r="R32" s="2463">
        <f>+'Dionisio Pautt'!C219</f>
        <v>76637553.080000013</v>
      </c>
      <c r="S32" s="2463">
        <f t="shared" si="0"/>
        <v>203831193.07999998</v>
      </c>
      <c r="T32" s="274">
        <v>44986</v>
      </c>
      <c r="U32" s="1759"/>
      <c r="V32" s="289">
        <v>2021</v>
      </c>
      <c r="W32" s="1760" t="s">
        <v>2336</v>
      </c>
      <c r="X32" s="496" t="s">
        <v>2337</v>
      </c>
      <c r="Y32" s="60"/>
      <c r="Z32" s="60"/>
      <c r="AA32" s="60"/>
      <c r="AB32" s="60"/>
    </row>
    <row r="33" spans="1:28" s="36" customFormat="1" ht="45" hidden="1" customHeight="1">
      <c r="A33" s="268">
        <f t="shared" si="1"/>
        <v>31</v>
      </c>
      <c r="B33" s="284" t="s">
        <v>1764</v>
      </c>
      <c r="C33" s="284"/>
      <c r="D33" s="269" t="s">
        <v>2128</v>
      </c>
      <c r="E33" s="269" t="s">
        <v>1918</v>
      </c>
      <c r="F33" s="269" t="s">
        <v>1057</v>
      </c>
      <c r="G33" s="412" t="s">
        <v>1765</v>
      </c>
      <c r="H33" s="412" t="s">
        <v>2366</v>
      </c>
      <c r="I33" s="412" t="s">
        <v>1802</v>
      </c>
      <c r="J33" s="342">
        <v>44407</v>
      </c>
      <c r="K33" s="342">
        <v>44546</v>
      </c>
      <c r="L33" s="342"/>
      <c r="M33" s="342">
        <v>44850</v>
      </c>
      <c r="N33" s="2319"/>
      <c r="O33" s="458">
        <f t="shared" ca="1" si="3"/>
        <v>525</v>
      </c>
      <c r="P33" s="2463">
        <f>+'Myrna Drago'!C416</f>
        <v>1106266111</v>
      </c>
      <c r="Q33" s="2471"/>
      <c r="R33" s="2463">
        <f>+'Myrna Drago'!D416</f>
        <v>62202535.886418507</v>
      </c>
      <c r="S33" s="2463">
        <f t="shared" si="0"/>
        <v>1168468646.8864186</v>
      </c>
      <c r="T33" s="274">
        <v>44958</v>
      </c>
      <c r="U33" s="2325"/>
      <c r="V33" s="289">
        <v>2022</v>
      </c>
      <c r="W33" s="1700" t="s">
        <v>2367</v>
      </c>
    </row>
    <row r="34" spans="1:28" s="36" customFormat="1" ht="29.25" hidden="1" customHeight="1">
      <c r="A34" s="268">
        <f t="shared" si="1"/>
        <v>32</v>
      </c>
      <c r="B34" s="284" t="s">
        <v>2380</v>
      </c>
      <c r="C34" s="432"/>
      <c r="D34" s="269" t="s">
        <v>2128</v>
      </c>
      <c r="E34" s="269" t="s">
        <v>1918</v>
      </c>
      <c r="F34" s="269" t="s">
        <v>1057</v>
      </c>
      <c r="G34" s="412" t="s">
        <v>2381</v>
      </c>
      <c r="H34" s="412" t="s">
        <v>2382</v>
      </c>
      <c r="I34" s="412" t="s">
        <v>1802</v>
      </c>
      <c r="J34" s="342">
        <v>44421</v>
      </c>
      <c r="K34" s="342">
        <v>44608</v>
      </c>
      <c r="L34" s="342"/>
      <c r="M34" s="342">
        <v>44911</v>
      </c>
      <c r="N34" s="37"/>
      <c r="O34" s="458">
        <f t="shared" ca="1" si="3"/>
        <v>463</v>
      </c>
      <c r="P34" s="2463">
        <f>+'Luis Gutierrez'!C329</f>
        <v>1043680180.61</v>
      </c>
      <c r="Q34" s="2463">
        <f>+'Luis Gutierrez'!C331+'Luis Gutierrez'!C332</f>
        <v>20435508.070909098</v>
      </c>
      <c r="R34" s="2463">
        <f>+'Luis Gutierrez'!C330</f>
        <v>194345673.94999999</v>
      </c>
      <c r="S34" s="2463">
        <f t="shared" si="0"/>
        <v>1258461362.6309092</v>
      </c>
      <c r="T34" s="274">
        <v>44986</v>
      </c>
      <c r="U34" s="1892" t="s">
        <v>2383</v>
      </c>
      <c r="V34" s="289">
        <v>2021</v>
      </c>
      <c r="W34" s="1700" t="s">
        <v>2384</v>
      </c>
    </row>
    <row r="35" spans="1:28" s="36" customFormat="1" ht="78.75" hidden="1" customHeight="1">
      <c r="A35" s="268">
        <f t="shared" si="1"/>
        <v>33</v>
      </c>
      <c r="B35" s="284" t="s">
        <v>1834</v>
      </c>
      <c r="C35" s="2442"/>
      <c r="D35" s="2329" t="s">
        <v>2128</v>
      </c>
      <c r="E35" s="269" t="s">
        <v>1918</v>
      </c>
      <c r="F35" s="269" t="s">
        <v>1057</v>
      </c>
      <c r="G35" s="412" t="s">
        <v>1835</v>
      </c>
      <c r="H35" s="412" t="s">
        <v>2349</v>
      </c>
      <c r="I35" s="1896" t="s">
        <v>2385</v>
      </c>
      <c r="J35" s="342">
        <v>43875</v>
      </c>
      <c r="K35" s="342">
        <v>44614</v>
      </c>
      <c r="L35" s="342"/>
      <c r="M35" s="342">
        <v>44917</v>
      </c>
      <c r="N35" s="342">
        <v>44628</v>
      </c>
      <c r="O35" s="458">
        <f t="shared" ca="1" si="3"/>
        <v>457</v>
      </c>
      <c r="P35" s="2463">
        <f>+'Jesus Mercado Caballero'!E26</f>
        <v>450000000</v>
      </c>
      <c r="Q35" s="2466"/>
      <c r="R35" s="2463">
        <f>+'Jesus Mercado Caballero'!D306</f>
        <v>120665520.22000001</v>
      </c>
      <c r="S35" s="2463">
        <f t="shared" si="0"/>
        <v>570665520.22000003</v>
      </c>
      <c r="T35" s="274">
        <v>44986</v>
      </c>
      <c r="U35" s="2"/>
      <c r="V35" s="189">
        <v>2022</v>
      </c>
      <c r="W35" s="1714" t="s">
        <v>2386</v>
      </c>
    </row>
    <row r="36" spans="1:28" s="36" customFormat="1" ht="78.75" hidden="1" customHeight="1">
      <c r="A36" s="268">
        <f t="shared" si="1"/>
        <v>34</v>
      </c>
      <c r="B36" s="290" t="s">
        <v>1606</v>
      </c>
      <c r="C36" s="290"/>
      <c r="D36" s="290" t="s">
        <v>1129</v>
      </c>
      <c r="E36" s="269" t="s">
        <v>1918</v>
      </c>
      <c r="F36" s="290" t="s">
        <v>1927</v>
      </c>
      <c r="G36" s="291" t="s">
        <v>1152</v>
      </c>
      <c r="H36" s="291" t="s">
        <v>2184</v>
      </c>
      <c r="I36" s="1902" t="s">
        <v>2185</v>
      </c>
      <c r="J36" s="310">
        <v>43279</v>
      </c>
      <c r="K36" s="293">
        <v>43297</v>
      </c>
      <c r="L36" s="293"/>
      <c r="M36" s="310">
        <v>43846</v>
      </c>
      <c r="N36" s="310">
        <v>43328</v>
      </c>
      <c r="O36" s="458">
        <f t="shared" ca="1" si="3"/>
        <v>1774</v>
      </c>
      <c r="P36" s="2463">
        <f>+Asocopor!C4</f>
        <v>2357226.14</v>
      </c>
      <c r="Q36" s="2463">
        <v>0</v>
      </c>
      <c r="R36" s="2463">
        <f>+Asocopor!I71</f>
        <v>2949064.1222293535</v>
      </c>
      <c r="S36" s="2463">
        <f t="shared" si="0"/>
        <v>5306290.2622293532</v>
      </c>
      <c r="T36" s="274">
        <v>44986</v>
      </c>
      <c r="U36" s="1913" t="s">
        <v>2589</v>
      </c>
      <c r="V36" s="289">
        <v>2021</v>
      </c>
      <c r="W36" s="1912" t="s">
        <v>2187</v>
      </c>
      <c r="X36" s="263"/>
      <c r="Y36" s="263"/>
      <c r="Z36" s="263"/>
      <c r="AA36" s="263"/>
      <c r="AB36" s="263"/>
    </row>
    <row r="37" spans="1:28" s="36" customFormat="1" ht="78.75" customHeight="1">
      <c r="A37" s="268"/>
      <c r="B37" s="284" t="s">
        <v>2387</v>
      </c>
      <c r="C37" s="2442" t="s">
        <v>2388</v>
      </c>
      <c r="D37" s="269" t="s">
        <v>2128</v>
      </c>
      <c r="E37" s="269" t="s">
        <v>1918</v>
      </c>
      <c r="F37" s="269" t="s">
        <v>851</v>
      </c>
      <c r="G37" s="412" t="s">
        <v>2389</v>
      </c>
      <c r="H37" s="1896" t="s">
        <v>2390</v>
      </c>
      <c r="I37" s="1896" t="s">
        <v>2391</v>
      </c>
      <c r="J37" s="342">
        <v>44686</v>
      </c>
      <c r="K37" s="2443"/>
      <c r="L37" s="2443"/>
      <c r="M37" s="342"/>
      <c r="N37" s="342"/>
      <c r="O37" s="458"/>
      <c r="P37" s="2463">
        <v>1155190069</v>
      </c>
      <c r="Q37" s="2466"/>
      <c r="R37" s="2463"/>
      <c r="S37" s="2463">
        <f t="shared" ref="S37:S73" si="4">SUM(P37:R37)</f>
        <v>1155190069</v>
      </c>
      <c r="T37" s="274"/>
      <c r="U37" s="2"/>
      <c r="V37" s="189"/>
      <c r="W37" s="1714"/>
    </row>
    <row r="38" spans="1:28" s="36" customFormat="1" ht="50.25" hidden="1" customHeight="1">
      <c r="A38" s="268">
        <f>ROW(A35)</f>
        <v>35</v>
      </c>
      <c r="B38" s="284" t="s">
        <v>1855</v>
      </c>
      <c r="C38" s="284"/>
      <c r="D38" s="269" t="s">
        <v>2128</v>
      </c>
      <c r="E38" s="269" t="s">
        <v>1918</v>
      </c>
      <c r="F38" s="269" t="s">
        <v>1057</v>
      </c>
      <c r="G38" s="412" t="s">
        <v>2392</v>
      </c>
      <c r="H38" s="412" t="s">
        <v>2393</v>
      </c>
      <c r="I38" s="1896" t="s">
        <v>2394</v>
      </c>
      <c r="J38" s="414">
        <v>44239</v>
      </c>
      <c r="K38" s="414">
        <v>44784</v>
      </c>
      <c r="L38" s="414"/>
      <c r="M38" s="414">
        <v>45088</v>
      </c>
      <c r="N38" s="2319"/>
      <c r="O38" s="458">
        <f ca="1">+_xlfn.DAYS($Y$2,K38)</f>
        <v>287</v>
      </c>
      <c r="P38" s="2463">
        <v>219545704.31</v>
      </c>
      <c r="Q38" s="2463">
        <v>15368199</v>
      </c>
      <c r="R38" s="2463">
        <f>+'Inmobiliaria Cart 2021'!D26</f>
        <v>16233415.689999999</v>
      </c>
      <c r="S38" s="2463">
        <f t="shared" si="4"/>
        <v>251147319</v>
      </c>
      <c r="T38" s="274">
        <v>44986</v>
      </c>
      <c r="U38" s="2326" t="s">
        <v>2395</v>
      </c>
      <c r="V38" s="289">
        <v>2022</v>
      </c>
      <c r="W38" s="1700"/>
    </row>
    <row r="39" spans="1:28" s="36" customFormat="1" ht="32.25" hidden="1" customHeight="1">
      <c r="A39" s="268">
        <f>ROW(A36)</f>
        <v>36</v>
      </c>
      <c r="B39" s="290" t="s">
        <v>2396</v>
      </c>
      <c r="C39" s="322" t="s">
        <v>2397</v>
      </c>
      <c r="D39" s="269" t="s">
        <v>1954</v>
      </c>
      <c r="E39" s="269" t="s">
        <v>1918</v>
      </c>
      <c r="F39" s="290" t="s">
        <v>1923</v>
      </c>
      <c r="G39" s="114" t="s">
        <v>2398</v>
      </c>
      <c r="H39" s="270" t="s">
        <v>2080</v>
      </c>
      <c r="I39" s="1897"/>
      <c r="J39" s="271">
        <v>39853</v>
      </c>
      <c r="K39" s="423"/>
      <c r="L39" s="423"/>
      <c r="M39" s="421"/>
      <c r="N39" s="421"/>
      <c r="O39" s="458">
        <f ca="1">+_xlfn.DAYS(revision!$Y$2,J39)</f>
        <v>5218</v>
      </c>
      <c r="P39" s="2463">
        <f>+'Inversiones Cesareo'!E10</f>
        <v>11083600000</v>
      </c>
      <c r="Q39" s="2462">
        <v>0</v>
      </c>
      <c r="R39" s="2472">
        <v>0</v>
      </c>
      <c r="S39" s="2463">
        <f t="shared" si="4"/>
        <v>11083600000</v>
      </c>
      <c r="T39" s="1541" t="s">
        <v>2193</v>
      </c>
      <c r="U39" s="306" t="s">
        <v>2399</v>
      </c>
      <c r="V39" s="289">
        <v>2010</v>
      </c>
      <c r="W39" s="1912" t="s">
        <v>2400</v>
      </c>
    </row>
    <row r="40" spans="1:28" s="1761" customFormat="1" ht="41.25" hidden="1" customHeight="1">
      <c r="A40" s="268">
        <f t="shared" ref="A40:A73" si="5">ROW(A38)</f>
        <v>38</v>
      </c>
      <c r="B40" s="284" t="s">
        <v>2401</v>
      </c>
      <c r="C40" s="284"/>
      <c r="D40" s="269" t="s">
        <v>1129</v>
      </c>
      <c r="E40" s="269" t="s">
        <v>1918</v>
      </c>
      <c r="F40" s="290" t="s">
        <v>1926</v>
      </c>
      <c r="G40" s="322" t="s">
        <v>2402</v>
      </c>
      <c r="H40" s="412" t="s">
        <v>2403</v>
      </c>
      <c r="I40" s="1902" t="s">
        <v>2404</v>
      </c>
      <c r="J40" s="342">
        <v>43529</v>
      </c>
      <c r="K40" s="342"/>
      <c r="L40" s="342"/>
      <c r="M40" s="339"/>
      <c r="N40" s="339"/>
      <c r="O40" s="458">
        <f t="shared" ref="O40:O46" ca="1" si="6">+_xlfn.DAYS($Y$2,K40)</f>
        <v>45071</v>
      </c>
      <c r="P40" s="2463">
        <f>+'Carlos Ayola'!B115</f>
        <v>258919444</v>
      </c>
      <c r="Q40" s="2463">
        <f>+'Carlos Ayola (auto que aprueba)'!B135</f>
        <v>78324827.644000009</v>
      </c>
      <c r="R40" s="2463">
        <f>+'Carlos Ayola (auto que aprueba)'!B134</f>
        <v>524328832.44000006</v>
      </c>
      <c r="S40" s="2463">
        <f t="shared" si="4"/>
        <v>861573104.08400011</v>
      </c>
      <c r="T40" s="274">
        <v>44986</v>
      </c>
      <c r="U40" s="290" t="s">
        <v>2405</v>
      </c>
      <c r="V40" s="289">
        <v>2021</v>
      </c>
      <c r="W40" s="1760" t="s">
        <v>2406</v>
      </c>
    </row>
    <row r="41" spans="1:28" ht="199.5" hidden="1">
      <c r="A41" s="268">
        <f t="shared" si="5"/>
        <v>39</v>
      </c>
      <c r="B41" s="290" t="s">
        <v>2407</v>
      </c>
      <c r="C41" s="290"/>
      <c r="D41" s="269" t="s">
        <v>1954</v>
      </c>
      <c r="E41" s="269" t="s">
        <v>1918</v>
      </c>
      <c r="F41" s="269" t="s">
        <v>851</v>
      </c>
      <c r="G41" s="412" t="s">
        <v>2590</v>
      </c>
      <c r="H41" s="269" t="s">
        <v>2409</v>
      </c>
      <c r="I41" s="1896" t="s">
        <v>2410</v>
      </c>
      <c r="J41" s="342">
        <v>44253</v>
      </c>
      <c r="K41" s="289"/>
      <c r="L41" s="289"/>
      <c r="M41" s="339"/>
      <c r="N41" s="339"/>
      <c r="O41" s="458">
        <f t="shared" ca="1" si="6"/>
        <v>45071</v>
      </c>
      <c r="P41" s="2463">
        <v>0</v>
      </c>
      <c r="Q41" s="2463">
        <v>0</v>
      </c>
      <c r="R41" s="2463">
        <v>0</v>
      </c>
      <c r="S41" s="2463">
        <f t="shared" si="4"/>
        <v>0</v>
      </c>
      <c r="T41" s="1541" t="s">
        <v>2193</v>
      </c>
      <c r="U41" s="2213" t="s">
        <v>2411</v>
      </c>
      <c r="V41" s="289">
        <v>2021</v>
      </c>
      <c r="W41" s="1760" t="s">
        <v>2412</v>
      </c>
    </row>
    <row r="42" spans="1:28" s="36" customFormat="1" ht="39" hidden="1" customHeight="1">
      <c r="A42" s="268">
        <f t="shared" si="5"/>
        <v>40</v>
      </c>
      <c r="B42" s="284" t="s">
        <v>2413</v>
      </c>
      <c r="C42" s="284">
        <v>33156035</v>
      </c>
      <c r="D42" s="269" t="s">
        <v>2128</v>
      </c>
      <c r="E42" s="269" t="s">
        <v>1918</v>
      </c>
      <c r="F42" s="269" t="s">
        <v>851</v>
      </c>
      <c r="G42" s="412" t="s">
        <v>2414</v>
      </c>
      <c r="H42" s="412" t="s">
        <v>2415</v>
      </c>
      <c r="I42" s="1896" t="s">
        <v>2371</v>
      </c>
      <c r="J42" s="414">
        <v>42510</v>
      </c>
      <c r="K42" s="2320"/>
      <c r="L42" s="2320"/>
      <c r="M42" s="2320"/>
      <c r="N42" s="2320"/>
      <c r="O42" s="458">
        <f t="shared" ca="1" si="6"/>
        <v>45071</v>
      </c>
      <c r="P42" s="2473"/>
      <c r="Q42" s="2473"/>
      <c r="R42" s="2473"/>
      <c r="S42" s="2463">
        <f t="shared" si="4"/>
        <v>0</v>
      </c>
      <c r="T42" s="1541" t="s">
        <v>2372</v>
      </c>
      <c r="U42" s="1942" t="s">
        <v>2419</v>
      </c>
      <c r="V42" s="289">
        <v>2017</v>
      </c>
      <c r="W42" s="1701" t="s">
        <v>2416</v>
      </c>
    </row>
    <row r="43" spans="1:28" s="36" customFormat="1" ht="83.25" hidden="1" customHeight="1">
      <c r="A43" s="268">
        <f t="shared" si="5"/>
        <v>41</v>
      </c>
      <c r="B43" s="284" t="s">
        <v>2417</v>
      </c>
      <c r="C43" s="284"/>
      <c r="D43" s="269" t="s">
        <v>2128</v>
      </c>
      <c r="E43" s="269" t="s">
        <v>1918</v>
      </c>
      <c r="F43" s="269" t="s">
        <v>851</v>
      </c>
      <c r="G43" s="412" t="s">
        <v>2418</v>
      </c>
      <c r="H43" s="2320"/>
      <c r="I43" s="1896" t="s">
        <v>2371</v>
      </c>
      <c r="J43" s="414">
        <v>41411</v>
      </c>
      <c r="K43" s="2320"/>
      <c r="L43" s="2320"/>
      <c r="M43" s="2320"/>
      <c r="N43" s="2320"/>
      <c r="O43" s="458">
        <f t="shared" ca="1" si="6"/>
        <v>45071</v>
      </c>
      <c r="P43" s="2473"/>
      <c r="Q43" s="2473"/>
      <c r="R43" s="2473"/>
      <c r="S43" s="2463">
        <f t="shared" si="4"/>
        <v>0</v>
      </c>
      <c r="T43" s="1541" t="s">
        <v>2193</v>
      </c>
      <c r="U43" s="2325" t="s">
        <v>2591</v>
      </c>
      <c r="V43" s="289">
        <v>2014</v>
      </c>
      <c r="W43" s="1701" t="s">
        <v>2420</v>
      </c>
    </row>
    <row r="44" spans="1:28" s="36" customFormat="1" ht="128.25" hidden="1">
      <c r="A44" s="268">
        <f t="shared" si="5"/>
        <v>42</v>
      </c>
      <c r="B44" s="284" t="s">
        <v>2421</v>
      </c>
      <c r="C44" s="284"/>
      <c r="D44" s="2319"/>
      <c r="E44" s="269" t="s">
        <v>1918</v>
      </c>
      <c r="F44" s="269" t="s">
        <v>851</v>
      </c>
      <c r="G44" s="412" t="s">
        <v>2422</v>
      </c>
      <c r="H44" s="412" t="s">
        <v>2423</v>
      </c>
      <c r="I44" s="1896" t="s">
        <v>2424</v>
      </c>
      <c r="J44" s="2321">
        <v>41354</v>
      </c>
      <c r="K44" s="423"/>
      <c r="L44" s="423"/>
      <c r="M44" s="2320"/>
      <c r="N44" s="2319"/>
      <c r="O44" s="458">
        <f t="shared" ca="1" si="6"/>
        <v>45071</v>
      </c>
      <c r="P44" s="2471"/>
      <c r="Q44" s="2471"/>
      <c r="R44" s="2471"/>
      <c r="S44" s="2463">
        <f t="shared" si="4"/>
        <v>0</v>
      </c>
      <c r="T44" s="1541" t="s">
        <v>2193</v>
      </c>
      <c r="U44" s="2325" t="s">
        <v>2425</v>
      </c>
      <c r="V44" s="289">
        <v>2003</v>
      </c>
      <c r="W44" s="1700" t="s">
        <v>2426</v>
      </c>
    </row>
    <row r="45" spans="1:28" ht="89.25" hidden="1">
      <c r="A45" s="268">
        <f t="shared" si="5"/>
        <v>43</v>
      </c>
      <c r="B45" s="284" t="s">
        <v>1407</v>
      </c>
      <c r="C45" s="284"/>
      <c r="D45" s="269" t="s">
        <v>2128</v>
      </c>
      <c r="E45" s="269" t="s">
        <v>1918</v>
      </c>
      <c r="F45" s="269" t="s">
        <v>1057</v>
      </c>
      <c r="G45" s="412" t="s">
        <v>1408</v>
      </c>
      <c r="H45" s="412" t="s">
        <v>2306</v>
      </c>
      <c r="I45" s="412" t="s">
        <v>1802</v>
      </c>
      <c r="J45" s="342">
        <v>43088</v>
      </c>
      <c r="K45" s="423"/>
      <c r="L45" s="423"/>
      <c r="M45" s="2320"/>
      <c r="N45" s="2319"/>
      <c r="O45" s="458">
        <f t="shared" ca="1" si="6"/>
        <v>45071</v>
      </c>
      <c r="P45" s="2463">
        <f>+'Margarita Sanchez'!B30</f>
        <v>217702856.01703569</v>
      </c>
      <c r="Q45" s="2474"/>
      <c r="R45" s="2474"/>
      <c r="S45" s="2463">
        <f t="shared" si="4"/>
        <v>217702856.01703569</v>
      </c>
      <c r="T45" s="274">
        <v>44958</v>
      </c>
      <c r="U45" s="2327" t="s">
        <v>2427</v>
      </c>
      <c r="V45" s="275">
        <v>2018</v>
      </c>
      <c r="W45" s="1700" t="s">
        <v>2428</v>
      </c>
    </row>
    <row r="46" spans="1:28" ht="57" hidden="1" customHeight="1">
      <c r="A46" s="268">
        <f t="shared" si="5"/>
        <v>44</v>
      </c>
      <c r="B46" s="284" t="s">
        <v>1466</v>
      </c>
      <c r="C46" s="2322" t="s">
        <v>2150</v>
      </c>
      <c r="D46" s="269" t="s">
        <v>2128</v>
      </c>
      <c r="E46" s="269" t="s">
        <v>1918</v>
      </c>
      <c r="F46" s="269" t="s">
        <v>1467</v>
      </c>
      <c r="G46" s="269" t="s">
        <v>1468</v>
      </c>
      <c r="H46" s="412" t="s">
        <v>2429</v>
      </c>
      <c r="I46" s="1906"/>
      <c r="J46" s="342">
        <v>44293</v>
      </c>
      <c r="K46" s="1757"/>
      <c r="L46" s="1757"/>
      <c r="M46" s="1758"/>
      <c r="N46" s="1758"/>
      <c r="O46" s="458">
        <f t="shared" ca="1" si="6"/>
        <v>45071</v>
      </c>
      <c r="P46" s="2463">
        <v>479899395</v>
      </c>
      <c r="Q46" s="2463">
        <v>9085260</v>
      </c>
      <c r="R46" s="2463">
        <f>+'consorcio vial barú'!H39</f>
        <v>136364137.91839984</v>
      </c>
      <c r="S46" s="2463">
        <f t="shared" si="4"/>
        <v>625348792.91839981</v>
      </c>
      <c r="T46" s="274">
        <v>44986</v>
      </c>
      <c r="U46" s="1759"/>
      <c r="V46" s="289">
        <v>2022</v>
      </c>
      <c r="W46" s="1760" t="s">
        <v>2430</v>
      </c>
    </row>
    <row r="47" spans="1:28" ht="210" hidden="1">
      <c r="A47" s="268">
        <f t="shared" si="5"/>
        <v>45</v>
      </c>
      <c r="B47" s="284" t="s">
        <v>2431</v>
      </c>
      <c r="C47" s="1625"/>
      <c r="D47" s="269" t="s">
        <v>2128</v>
      </c>
      <c r="E47" s="269" t="s">
        <v>1918</v>
      </c>
      <c r="F47" s="269" t="s">
        <v>851</v>
      </c>
      <c r="G47" s="412" t="s">
        <v>2432</v>
      </c>
      <c r="H47" s="412" t="s">
        <v>2433</v>
      </c>
      <c r="I47" s="1896" t="s">
        <v>2434</v>
      </c>
      <c r="J47" s="342">
        <v>44484</v>
      </c>
      <c r="K47" s="342"/>
      <c r="L47" s="342"/>
      <c r="M47" s="1626"/>
      <c r="N47" s="1626"/>
      <c r="O47" s="458"/>
      <c r="P47" s="2469"/>
      <c r="Q47" s="2469"/>
      <c r="R47" s="2470"/>
      <c r="S47" s="2463">
        <f t="shared" si="4"/>
        <v>0</v>
      </c>
      <c r="T47" s="274" t="s">
        <v>2358</v>
      </c>
      <c r="U47" s="1893" t="s">
        <v>2435</v>
      </c>
      <c r="V47" s="289">
        <v>2022</v>
      </c>
      <c r="W47" s="1700"/>
    </row>
    <row r="48" spans="1:28" ht="89.25" hidden="1">
      <c r="A48" s="268">
        <f t="shared" si="5"/>
        <v>46</v>
      </c>
      <c r="B48" s="284" t="s">
        <v>2436</v>
      </c>
      <c r="C48" s="1712"/>
      <c r="D48" s="269" t="s">
        <v>2128</v>
      </c>
      <c r="E48" s="269" t="s">
        <v>1918</v>
      </c>
      <c r="F48" s="269" t="s">
        <v>1057</v>
      </c>
      <c r="G48" s="412" t="s">
        <v>2437</v>
      </c>
      <c r="H48" s="412" t="s">
        <v>2438</v>
      </c>
      <c r="I48" s="1908"/>
      <c r="J48" s="2127">
        <v>38656</v>
      </c>
      <c r="K48" s="1867"/>
      <c r="L48" s="1867"/>
      <c r="M48" s="1712"/>
      <c r="N48" s="145"/>
      <c r="O48" s="458">
        <f ca="1">+_xlfn.DAYS($Y$2,K48)</f>
        <v>45071</v>
      </c>
      <c r="P48" s="2466"/>
      <c r="Q48" s="2466"/>
      <c r="R48" s="2468"/>
      <c r="S48" s="2463">
        <f t="shared" si="4"/>
        <v>0</v>
      </c>
      <c r="T48" s="1541" t="s">
        <v>2193</v>
      </c>
      <c r="U48" s="1880" t="s">
        <v>2592</v>
      </c>
      <c r="V48" s="189">
        <v>2003</v>
      </c>
      <c r="W48" s="1714" t="s">
        <v>2440</v>
      </c>
    </row>
    <row r="49" spans="1:24" ht="102" hidden="1">
      <c r="A49" s="268">
        <f t="shared" si="5"/>
        <v>47</v>
      </c>
      <c r="B49" s="284" t="s">
        <v>2441</v>
      </c>
      <c r="C49" s="1712"/>
      <c r="D49" s="269" t="s">
        <v>2128</v>
      </c>
      <c r="E49" s="269" t="s">
        <v>1918</v>
      </c>
      <c r="F49" s="269" t="s">
        <v>851</v>
      </c>
      <c r="G49" s="412" t="s">
        <v>2442</v>
      </c>
      <c r="H49" s="412" t="s">
        <v>2443</v>
      </c>
      <c r="I49" s="1896" t="s">
        <v>2444</v>
      </c>
      <c r="J49" s="342">
        <v>43872</v>
      </c>
      <c r="K49" s="1867"/>
      <c r="L49" s="1867"/>
      <c r="M49" s="1712"/>
      <c r="N49" s="145"/>
      <c r="O49" s="458">
        <f ca="1">+_xlfn.DAYS($Y$2,K49)</f>
        <v>45071</v>
      </c>
      <c r="P49" s="2466"/>
      <c r="Q49" s="2466"/>
      <c r="R49" s="2468"/>
      <c r="S49" s="2463">
        <f t="shared" si="4"/>
        <v>0</v>
      </c>
      <c r="T49" s="1541" t="s">
        <v>2193</v>
      </c>
      <c r="U49" s="2"/>
      <c r="V49" s="289">
        <v>2021</v>
      </c>
      <c r="W49" s="2391" t="s">
        <v>2446</v>
      </c>
    </row>
    <row r="50" spans="1:24" ht="89.25" hidden="1">
      <c r="A50" s="268">
        <f t="shared" si="5"/>
        <v>48</v>
      </c>
      <c r="B50" s="284" t="s">
        <v>1460</v>
      </c>
      <c r="C50" s="1712"/>
      <c r="D50" s="269" t="s">
        <v>2128</v>
      </c>
      <c r="E50" s="269" t="s">
        <v>1918</v>
      </c>
      <c r="F50" s="269" t="s">
        <v>1057</v>
      </c>
      <c r="G50" s="412" t="s">
        <v>1461</v>
      </c>
      <c r="H50" s="412" t="s">
        <v>2080</v>
      </c>
      <c r="I50" s="412" t="s">
        <v>2447</v>
      </c>
      <c r="J50" s="342">
        <v>44377</v>
      </c>
      <c r="K50" s="1867"/>
      <c r="L50" s="1867"/>
      <c r="M50" s="1712"/>
      <c r="N50" s="145"/>
      <c r="O50" s="458">
        <f ca="1">+_xlfn.DAYS($Y$2,K50)</f>
        <v>45071</v>
      </c>
      <c r="P50" s="2463">
        <f>+'Ines Visbal'!B13</f>
        <v>27255780</v>
      </c>
      <c r="Q50" s="2466"/>
      <c r="R50" s="2468"/>
      <c r="S50" s="2463">
        <f t="shared" si="4"/>
        <v>27255780</v>
      </c>
      <c r="T50" s="274" t="s">
        <v>2358</v>
      </c>
      <c r="U50" s="1879" t="s">
        <v>2448</v>
      </c>
      <c r="V50" s="289">
        <v>2022</v>
      </c>
      <c r="W50" s="2391" t="s">
        <v>2449</v>
      </c>
    </row>
    <row r="51" spans="1:24" ht="89.25">
      <c r="A51" s="268">
        <f t="shared" si="5"/>
        <v>49</v>
      </c>
      <c r="B51" s="284" t="s">
        <v>2450</v>
      </c>
      <c r="C51" s="1712"/>
      <c r="D51" s="269" t="s">
        <v>2128</v>
      </c>
      <c r="E51" s="269" t="s">
        <v>1918</v>
      </c>
      <c r="F51" s="269" t="s">
        <v>1057</v>
      </c>
      <c r="G51" s="412" t="s">
        <v>2451</v>
      </c>
      <c r="H51" s="412" t="s">
        <v>2452</v>
      </c>
      <c r="I51" s="412" t="s">
        <v>2453</v>
      </c>
      <c r="J51" s="342">
        <v>44650</v>
      </c>
      <c r="K51" s="1936"/>
      <c r="L51" s="1936"/>
      <c r="M51" s="1712"/>
      <c r="N51" s="145"/>
      <c r="O51" s="458">
        <f ca="1">+_xlfn.DAYS($Y$2,K51)</f>
        <v>45071</v>
      </c>
      <c r="P51" s="2463">
        <v>50000000</v>
      </c>
      <c r="Q51" s="2466"/>
      <c r="R51" s="2468"/>
      <c r="S51" s="2463">
        <f t="shared" si="4"/>
        <v>50000000</v>
      </c>
      <c r="T51" s="1712"/>
      <c r="U51" s="2"/>
      <c r="V51" s="289">
        <v>2023</v>
      </c>
      <c r="W51" s="2391" t="s">
        <v>2454</v>
      </c>
    </row>
    <row r="52" spans="1:24" ht="157.5" hidden="1">
      <c r="A52" s="268">
        <f t="shared" si="5"/>
        <v>50</v>
      </c>
      <c r="B52" s="284" t="s">
        <v>2455</v>
      </c>
      <c r="C52" s="1712"/>
      <c r="D52" s="269" t="s">
        <v>2128</v>
      </c>
      <c r="E52" s="269" t="s">
        <v>1918</v>
      </c>
      <c r="F52" s="269" t="s">
        <v>1926</v>
      </c>
      <c r="G52" s="412" t="s">
        <v>2456</v>
      </c>
      <c r="H52" s="412" t="s">
        <v>2457</v>
      </c>
      <c r="I52" s="412" t="s">
        <v>2458</v>
      </c>
      <c r="J52" s="342">
        <v>44393</v>
      </c>
      <c r="K52" s="342">
        <v>44599</v>
      </c>
      <c r="L52" s="342"/>
      <c r="M52" s="342">
        <v>44902</v>
      </c>
      <c r="N52" s="2381"/>
      <c r="O52" s="458"/>
      <c r="P52" s="2463">
        <v>35901123</v>
      </c>
      <c r="Q52" s="2466"/>
      <c r="R52" s="2468"/>
      <c r="S52" s="2463">
        <f t="shared" si="4"/>
        <v>35901123</v>
      </c>
      <c r="T52" s="1712"/>
      <c r="U52" s="196" t="s">
        <v>2459</v>
      </c>
      <c r="V52" s="289">
        <v>2022</v>
      </c>
      <c r="W52" s="2391" t="s">
        <v>2460</v>
      </c>
    </row>
    <row r="53" spans="1:24" ht="100.5" hidden="1" customHeight="1">
      <c r="A53" s="268">
        <f t="shared" si="5"/>
        <v>51</v>
      </c>
      <c r="B53" s="284" t="s">
        <v>2461</v>
      </c>
      <c r="C53" s="1712"/>
      <c r="D53" s="269" t="s">
        <v>2128</v>
      </c>
      <c r="E53" s="269" t="s">
        <v>1918</v>
      </c>
      <c r="F53" s="290" t="s">
        <v>1924</v>
      </c>
      <c r="G53" s="412" t="s">
        <v>2462</v>
      </c>
      <c r="H53" s="412" t="s">
        <v>2463</v>
      </c>
      <c r="I53" s="2193" t="s">
        <v>2464</v>
      </c>
      <c r="J53" s="342">
        <v>44456</v>
      </c>
      <c r="K53" s="1867"/>
      <c r="L53" s="1867"/>
      <c r="M53" s="1712"/>
      <c r="N53" s="145"/>
      <c r="O53" s="145"/>
      <c r="P53" s="2466">
        <v>52107578</v>
      </c>
      <c r="Q53" s="2466">
        <v>0</v>
      </c>
      <c r="R53" s="2466">
        <v>0</v>
      </c>
      <c r="S53" s="2463">
        <f t="shared" si="4"/>
        <v>52107578</v>
      </c>
      <c r="T53" s="1712"/>
      <c r="U53" s="2"/>
      <c r="V53" s="289">
        <v>2022</v>
      </c>
      <c r="W53" s="2392"/>
    </row>
    <row r="54" spans="1:24" ht="31.5">
      <c r="A54" s="268">
        <f t="shared" si="5"/>
        <v>52</v>
      </c>
      <c r="B54" s="284" t="s">
        <v>2465</v>
      </c>
      <c r="C54" s="284"/>
      <c r="D54" s="284" t="s">
        <v>2128</v>
      </c>
      <c r="E54" s="284" t="s">
        <v>1918</v>
      </c>
      <c r="F54" s="284" t="s">
        <v>1057</v>
      </c>
      <c r="G54" s="284" t="s">
        <v>2466</v>
      </c>
      <c r="H54" s="284" t="s">
        <v>2467</v>
      </c>
      <c r="I54" s="1908"/>
      <c r="J54" s="342">
        <v>44687</v>
      </c>
      <c r="K54" s="1867"/>
      <c r="L54" s="1867"/>
      <c r="M54" s="1712"/>
      <c r="N54" s="145"/>
      <c r="O54" s="145"/>
      <c r="P54" s="2466"/>
      <c r="Q54" s="2466"/>
      <c r="R54" s="2468"/>
      <c r="S54" s="2463">
        <f t="shared" si="4"/>
        <v>0</v>
      </c>
      <c r="T54" s="1712"/>
      <c r="U54" s="2"/>
      <c r="V54" s="289">
        <v>2023</v>
      </c>
      <c r="W54" s="2392"/>
    </row>
    <row r="55" spans="1:24" ht="92.25" hidden="1" customHeight="1">
      <c r="A55" s="268">
        <f>ROW(A54)</f>
        <v>54</v>
      </c>
      <c r="B55" s="284" t="s">
        <v>2472</v>
      </c>
      <c r="C55" s="1712"/>
      <c r="D55" s="284" t="s">
        <v>2128</v>
      </c>
      <c r="E55" s="284" t="s">
        <v>1918</v>
      </c>
      <c r="F55" s="2393" t="s">
        <v>851</v>
      </c>
      <c r="G55" s="2393" t="s">
        <v>2473</v>
      </c>
      <c r="H55" s="2393" t="s">
        <v>2474</v>
      </c>
      <c r="I55" s="1712"/>
      <c r="J55" s="342">
        <v>44498</v>
      </c>
      <c r="K55" s="342">
        <v>44607</v>
      </c>
      <c r="L55" s="342"/>
      <c r="M55" s="342">
        <v>44910</v>
      </c>
      <c r="N55" s="342">
        <v>44998</v>
      </c>
      <c r="O55" s="1712"/>
      <c r="P55" s="2522"/>
      <c r="Q55" s="2522"/>
      <c r="R55" s="2522"/>
      <c r="S55" s="2463">
        <f t="shared" si="4"/>
        <v>0</v>
      </c>
      <c r="T55" s="2440" t="s">
        <v>2476</v>
      </c>
      <c r="U55" s="1712"/>
      <c r="V55" s="289">
        <v>2023</v>
      </c>
      <c r="W55" s="1702"/>
      <c r="X55" s="2390" t="s">
        <v>2477</v>
      </c>
    </row>
    <row r="56" spans="1:24" ht="92.25" customHeight="1">
      <c r="A56" s="268"/>
      <c r="B56" s="2393" t="s">
        <v>2478</v>
      </c>
      <c r="C56" s="1712"/>
      <c r="D56" s="284" t="s">
        <v>2128</v>
      </c>
      <c r="E56" s="284" t="s">
        <v>1918</v>
      </c>
      <c r="F56" s="2393" t="s">
        <v>851</v>
      </c>
      <c r="G56" s="2393" t="s">
        <v>2479</v>
      </c>
      <c r="H56" s="2393" t="s">
        <v>2047</v>
      </c>
      <c r="I56" s="2193" t="s">
        <v>2475</v>
      </c>
      <c r="J56" s="2395">
        <v>44602</v>
      </c>
      <c r="M56" s="1712"/>
      <c r="N56" s="1712"/>
      <c r="O56" s="1712"/>
      <c r="P56" s="2522">
        <v>2500000000</v>
      </c>
      <c r="Q56" s="2522"/>
      <c r="R56" s="2522"/>
      <c r="S56" s="2463">
        <f t="shared" si="4"/>
        <v>2500000000</v>
      </c>
      <c r="T56" s="1712"/>
      <c r="U56" s="1712"/>
      <c r="V56" s="289">
        <v>2022</v>
      </c>
      <c r="W56" s="1702"/>
    </row>
    <row r="57" spans="1:24" ht="92.25" hidden="1" customHeight="1">
      <c r="A57" s="268">
        <f t="shared" si="5"/>
        <v>55</v>
      </c>
      <c r="B57" s="2393" t="s">
        <v>2478</v>
      </c>
      <c r="C57" s="1712"/>
      <c r="D57" s="284" t="s">
        <v>2128</v>
      </c>
      <c r="E57" s="284" t="s">
        <v>1918</v>
      </c>
      <c r="F57" s="2393" t="s">
        <v>851</v>
      </c>
      <c r="G57" s="2393" t="s">
        <v>2480</v>
      </c>
      <c r="H57" s="2393"/>
      <c r="I57" s="1712"/>
      <c r="J57" s="2395">
        <v>40179</v>
      </c>
      <c r="K57" s="1712"/>
      <c r="L57" s="1712"/>
      <c r="M57" s="1712"/>
      <c r="N57" s="1712"/>
      <c r="O57" s="1712"/>
      <c r="P57" s="2522"/>
      <c r="Q57" s="2522"/>
      <c r="R57" s="2522"/>
      <c r="S57" s="2463">
        <f t="shared" si="4"/>
        <v>0</v>
      </c>
      <c r="T57" s="1712" t="s">
        <v>2358</v>
      </c>
      <c r="U57" s="1712"/>
      <c r="V57" s="289"/>
      <c r="W57" s="1702"/>
    </row>
    <row r="58" spans="1:24" ht="92.25" customHeight="1">
      <c r="A58" s="268">
        <f t="shared" si="5"/>
        <v>56</v>
      </c>
      <c r="B58" s="2393" t="s">
        <v>2555</v>
      </c>
      <c r="C58" s="1712"/>
      <c r="D58" s="284" t="s">
        <v>2128</v>
      </c>
      <c r="E58" s="284" t="s">
        <v>1918</v>
      </c>
      <c r="F58" s="2393" t="s">
        <v>851</v>
      </c>
      <c r="G58" s="2393" t="s">
        <v>2556</v>
      </c>
      <c r="H58" s="2393" t="s">
        <v>2047</v>
      </c>
      <c r="I58" s="1712"/>
      <c r="J58" s="2395">
        <v>44602</v>
      </c>
      <c r="K58" s="1712"/>
      <c r="L58" s="1712"/>
      <c r="M58" s="1712"/>
      <c r="N58" s="1712"/>
      <c r="O58" s="1712"/>
      <c r="P58" s="2522"/>
      <c r="Q58" s="2522"/>
      <c r="R58" s="2522"/>
      <c r="S58" s="2463">
        <f t="shared" si="4"/>
        <v>0</v>
      </c>
      <c r="T58" s="1712" t="s">
        <v>2358</v>
      </c>
      <c r="U58" s="1712"/>
      <c r="V58" s="289">
        <v>2022</v>
      </c>
      <c r="W58" s="1702"/>
    </row>
    <row r="59" spans="1:24" ht="43.5" hidden="1" customHeight="1">
      <c r="A59" s="268">
        <f t="shared" si="5"/>
        <v>57</v>
      </c>
      <c r="B59" s="2393" t="s">
        <v>2481</v>
      </c>
      <c r="C59" s="1712"/>
      <c r="D59" s="284" t="s">
        <v>2128</v>
      </c>
      <c r="E59" s="284" t="s">
        <v>1918</v>
      </c>
      <c r="F59" s="2396" t="s">
        <v>851</v>
      </c>
      <c r="G59" s="2393" t="s">
        <v>2482</v>
      </c>
      <c r="H59" s="2393" t="s">
        <v>2474</v>
      </c>
      <c r="I59" s="1908"/>
      <c r="J59" s="2395">
        <v>44407</v>
      </c>
      <c r="K59" s="1867"/>
      <c r="L59" s="1867"/>
      <c r="M59" s="1712"/>
      <c r="N59" s="145"/>
      <c r="O59" s="145"/>
      <c r="P59" s="2466"/>
      <c r="Q59" s="2466"/>
      <c r="R59" s="2468"/>
      <c r="S59" s="2463">
        <f t="shared" si="4"/>
        <v>0</v>
      </c>
      <c r="T59" s="1712" t="s">
        <v>2358</v>
      </c>
      <c r="U59" s="2"/>
      <c r="V59" s="289">
        <v>2022</v>
      </c>
    </row>
    <row r="60" spans="1:24" ht="38.25">
      <c r="A60" s="268">
        <f t="shared" si="5"/>
        <v>58</v>
      </c>
      <c r="B60" s="2393" t="s">
        <v>2553</v>
      </c>
      <c r="C60" s="1712"/>
      <c r="D60" s="284" t="s">
        <v>2128</v>
      </c>
      <c r="E60" s="284" t="s">
        <v>1918</v>
      </c>
      <c r="F60" s="2396" t="s">
        <v>851</v>
      </c>
      <c r="G60" s="2393" t="s">
        <v>2554</v>
      </c>
      <c r="H60" s="2393" t="s">
        <v>851</v>
      </c>
      <c r="I60" s="1908"/>
      <c r="J60" s="2395">
        <v>44616</v>
      </c>
      <c r="K60" s="1867"/>
      <c r="L60" s="1867"/>
      <c r="M60" s="1712"/>
      <c r="N60" s="145"/>
      <c r="O60" s="145"/>
      <c r="P60" s="2466"/>
      <c r="Q60" s="2466"/>
      <c r="R60" s="2468"/>
      <c r="S60" s="2463">
        <f t="shared" si="4"/>
        <v>0</v>
      </c>
      <c r="T60" s="1712" t="s">
        <v>2358</v>
      </c>
      <c r="U60" s="2"/>
      <c r="V60" s="289">
        <v>2022</v>
      </c>
    </row>
    <row r="61" spans="1:24" ht="38.25">
      <c r="A61" s="268">
        <f t="shared" si="5"/>
        <v>59</v>
      </c>
      <c r="B61" s="2393" t="s">
        <v>2593</v>
      </c>
      <c r="C61" s="1712"/>
      <c r="D61" s="284" t="s">
        <v>2128</v>
      </c>
      <c r="E61" s="284" t="s">
        <v>1918</v>
      </c>
      <c r="F61" s="2393" t="s">
        <v>851</v>
      </c>
      <c r="G61" s="2393" t="s">
        <v>2594</v>
      </c>
      <c r="H61" s="2393" t="s">
        <v>2047</v>
      </c>
      <c r="I61" s="1908"/>
      <c r="J61" s="2395">
        <v>44686</v>
      </c>
      <c r="K61" s="1867"/>
      <c r="L61" s="1867"/>
      <c r="M61" s="1712"/>
      <c r="N61" s="145"/>
      <c r="O61" s="145"/>
      <c r="P61" s="2466">
        <v>1155190969</v>
      </c>
      <c r="Q61" s="2466"/>
      <c r="R61" s="2468"/>
      <c r="S61" s="2463">
        <f t="shared" si="4"/>
        <v>1155190969</v>
      </c>
      <c r="T61" s="1712" t="s">
        <v>2358</v>
      </c>
      <c r="U61" s="2"/>
      <c r="V61" s="289">
        <v>2022</v>
      </c>
    </row>
    <row r="62" spans="1:24" ht="38.25">
      <c r="A62" s="268">
        <f t="shared" si="5"/>
        <v>60</v>
      </c>
      <c r="B62" s="2393" t="s">
        <v>2483</v>
      </c>
      <c r="C62" s="1712"/>
      <c r="D62" s="284" t="s">
        <v>2128</v>
      </c>
      <c r="E62" s="284" t="s">
        <v>1918</v>
      </c>
      <c r="F62" s="2393" t="s">
        <v>851</v>
      </c>
      <c r="G62" s="2393" t="s">
        <v>2484</v>
      </c>
      <c r="H62" s="2393" t="s">
        <v>2485</v>
      </c>
      <c r="I62" s="1908"/>
      <c r="J62" s="2395">
        <v>44650</v>
      </c>
      <c r="K62" s="1867"/>
      <c r="L62" s="1867"/>
      <c r="M62" s="1712"/>
      <c r="N62" s="145"/>
      <c r="O62" s="145"/>
      <c r="P62" s="2466">
        <v>882000000</v>
      </c>
      <c r="Q62" s="2466"/>
      <c r="R62" s="2468"/>
      <c r="S62" s="2463">
        <f t="shared" si="4"/>
        <v>882000000</v>
      </c>
      <c r="T62" s="1712" t="s">
        <v>2358</v>
      </c>
      <c r="U62" s="2"/>
      <c r="V62" s="289">
        <v>2022</v>
      </c>
    </row>
    <row r="63" spans="1:24" ht="38.25">
      <c r="A63" s="268">
        <f t="shared" si="5"/>
        <v>61</v>
      </c>
      <c r="B63" s="2393" t="s">
        <v>2487</v>
      </c>
      <c r="C63" s="1712"/>
      <c r="D63" s="284" t="s">
        <v>2128</v>
      </c>
      <c r="E63" s="284" t="s">
        <v>1918</v>
      </c>
      <c r="F63" s="2393" t="s">
        <v>851</v>
      </c>
      <c r="G63" s="2393" t="s">
        <v>2488</v>
      </c>
      <c r="H63" s="2393" t="s">
        <v>2467</v>
      </c>
      <c r="I63" s="1908"/>
      <c r="J63" s="2395">
        <v>44650</v>
      </c>
      <c r="K63" s="1867"/>
      <c r="L63" s="1867"/>
      <c r="M63" s="1712"/>
      <c r="N63" s="145"/>
      <c r="O63" s="145"/>
      <c r="P63" s="2466">
        <v>20480000</v>
      </c>
      <c r="Q63" s="2466"/>
      <c r="R63" s="2468"/>
      <c r="S63" s="2463">
        <f t="shared" si="4"/>
        <v>20480000</v>
      </c>
      <c r="T63" s="1712"/>
      <c r="U63" s="2"/>
      <c r="V63" s="289">
        <v>2022</v>
      </c>
    </row>
    <row r="64" spans="1:24" ht="38.25">
      <c r="A64" s="268">
        <f t="shared" si="5"/>
        <v>62</v>
      </c>
      <c r="B64" s="2393" t="s">
        <v>2489</v>
      </c>
      <c r="C64" s="1712"/>
      <c r="D64" s="284" t="s">
        <v>2128</v>
      </c>
      <c r="E64" s="284" t="s">
        <v>1918</v>
      </c>
      <c r="F64" s="2393" t="s">
        <v>1925</v>
      </c>
      <c r="G64" s="2393" t="s">
        <v>2490</v>
      </c>
      <c r="H64" s="2393" t="s">
        <v>2047</v>
      </c>
      <c r="I64" s="1908"/>
      <c r="J64" s="2395">
        <v>44685</v>
      </c>
      <c r="K64" s="1867"/>
      <c r="L64" s="1867"/>
      <c r="M64" s="1712"/>
      <c r="N64" s="145"/>
      <c r="O64" s="145"/>
      <c r="P64" s="2466"/>
      <c r="Q64" s="2466"/>
      <c r="R64" s="2468"/>
      <c r="S64" s="2463">
        <f t="shared" si="4"/>
        <v>0</v>
      </c>
      <c r="T64" s="1712" t="s">
        <v>2358</v>
      </c>
      <c r="U64" s="2"/>
      <c r="V64" s="289">
        <v>2022</v>
      </c>
    </row>
    <row r="65" spans="1:23" ht="38.25">
      <c r="A65" s="268">
        <f t="shared" si="5"/>
        <v>63</v>
      </c>
      <c r="B65" s="2393" t="s">
        <v>2491</v>
      </c>
      <c r="C65" s="1712"/>
      <c r="D65" s="284" t="s">
        <v>2128</v>
      </c>
      <c r="E65" s="284" t="s">
        <v>1918</v>
      </c>
      <c r="F65" s="2393" t="s">
        <v>1057</v>
      </c>
      <c r="G65" s="2397" t="s">
        <v>2492</v>
      </c>
      <c r="H65" s="2393" t="s">
        <v>2474</v>
      </c>
      <c r="I65" s="1908"/>
      <c r="J65" s="2395">
        <v>44650</v>
      </c>
      <c r="K65" s="1867"/>
      <c r="L65" s="1867"/>
      <c r="M65" s="1712"/>
      <c r="N65" s="145"/>
      <c r="O65" s="145"/>
      <c r="P65" s="2466"/>
      <c r="Q65" s="2466"/>
      <c r="R65" s="2468"/>
      <c r="S65" s="2463">
        <f t="shared" si="4"/>
        <v>0</v>
      </c>
      <c r="T65" s="1712" t="s">
        <v>2358</v>
      </c>
      <c r="U65" s="2"/>
      <c r="V65" s="289">
        <v>2022</v>
      </c>
    </row>
    <row r="66" spans="1:23" ht="38.25">
      <c r="A66" s="268">
        <f t="shared" si="5"/>
        <v>64</v>
      </c>
      <c r="B66" s="2393" t="s">
        <v>2493</v>
      </c>
      <c r="C66" s="1712"/>
      <c r="D66" s="284" t="s">
        <v>2128</v>
      </c>
      <c r="E66" s="284" t="s">
        <v>1918</v>
      </c>
      <c r="F66" s="2393" t="s">
        <v>851</v>
      </c>
      <c r="G66" s="2393" t="s">
        <v>2494</v>
      </c>
      <c r="H66" s="2393" t="s">
        <v>2474</v>
      </c>
      <c r="I66" s="1908"/>
      <c r="J66" s="2395">
        <v>44680</v>
      </c>
      <c r="K66" s="1867"/>
      <c r="L66" s="1867"/>
      <c r="M66" s="1712"/>
      <c r="N66" s="145"/>
      <c r="O66" s="145"/>
      <c r="P66" s="2466">
        <v>12754000</v>
      </c>
      <c r="Q66" s="2466"/>
      <c r="R66" s="2468"/>
      <c r="S66" s="2463">
        <f t="shared" si="4"/>
        <v>12754000</v>
      </c>
      <c r="T66" s="2398" t="s">
        <v>2495</v>
      </c>
      <c r="U66" s="2"/>
      <c r="V66" s="289">
        <v>2022</v>
      </c>
    </row>
    <row r="67" spans="1:23" ht="38.25">
      <c r="A67" s="268">
        <f t="shared" si="5"/>
        <v>65</v>
      </c>
      <c r="B67" s="2393" t="s">
        <v>2496</v>
      </c>
      <c r="C67" s="1712"/>
      <c r="D67" s="284" t="s">
        <v>2128</v>
      </c>
      <c r="E67" s="284" t="s">
        <v>1918</v>
      </c>
      <c r="F67" s="2393" t="s">
        <v>851</v>
      </c>
      <c r="G67" s="2393" t="s">
        <v>2497</v>
      </c>
      <c r="H67" s="2393" t="s">
        <v>2474</v>
      </c>
      <c r="I67" s="1908"/>
      <c r="J67" s="2395">
        <v>44694</v>
      </c>
      <c r="K67" s="1867"/>
      <c r="L67" s="1867"/>
      <c r="M67" s="1712"/>
      <c r="N67" s="145"/>
      <c r="O67" s="145"/>
      <c r="P67" s="2466"/>
      <c r="Q67" s="2466"/>
      <c r="R67" s="2468"/>
      <c r="S67" s="2463">
        <f t="shared" si="4"/>
        <v>0</v>
      </c>
      <c r="T67" s="1712" t="s">
        <v>2358</v>
      </c>
      <c r="U67" s="2"/>
      <c r="V67" s="289">
        <v>2022</v>
      </c>
    </row>
    <row r="68" spans="1:23" ht="38.25">
      <c r="A68" s="268">
        <f t="shared" si="5"/>
        <v>66</v>
      </c>
      <c r="B68" s="2393" t="s">
        <v>2498</v>
      </c>
      <c r="C68" s="1712"/>
      <c r="D68" s="284" t="s">
        <v>2128</v>
      </c>
      <c r="E68" s="284" t="s">
        <v>1918</v>
      </c>
      <c r="F68" s="2393" t="s">
        <v>851</v>
      </c>
      <c r="G68" s="2393" t="s">
        <v>2499</v>
      </c>
      <c r="H68" s="2393" t="s">
        <v>2474</v>
      </c>
      <c r="I68" s="1908"/>
      <c r="J68" s="2395">
        <v>44694</v>
      </c>
      <c r="K68" s="1867"/>
      <c r="L68" s="1867"/>
      <c r="M68" s="1712"/>
      <c r="N68" s="145"/>
      <c r="O68" s="145"/>
      <c r="P68" s="2466"/>
      <c r="Q68" s="2466"/>
      <c r="R68" s="2468"/>
      <c r="S68" s="2463">
        <f t="shared" si="4"/>
        <v>0</v>
      </c>
      <c r="T68" s="1712" t="s">
        <v>2358</v>
      </c>
      <c r="U68" s="2"/>
      <c r="V68" s="289">
        <v>2022</v>
      </c>
    </row>
    <row r="69" spans="1:23" ht="38.25" hidden="1">
      <c r="A69" s="268">
        <f t="shared" si="5"/>
        <v>67</v>
      </c>
      <c r="B69" s="2393" t="s">
        <v>2500</v>
      </c>
      <c r="C69" s="1712"/>
      <c r="D69" s="284" t="s">
        <v>2128</v>
      </c>
      <c r="E69" s="284" t="s">
        <v>1918</v>
      </c>
      <c r="F69" s="2393" t="s">
        <v>851</v>
      </c>
      <c r="G69" s="2393" t="s">
        <v>2501</v>
      </c>
      <c r="H69" s="2393" t="s">
        <v>2467</v>
      </c>
      <c r="I69" s="1908"/>
      <c r="J69" s="2395">
        <v>44540</v>
      </c>
      <c r="K69" s="1867"/>
      <c r="L69" s="1867"/>
      <c r="M69" s="1712"/>
      <c r="N69" s="145"/>
      <c r="O69" s="145"/>
      <c r="P69" s="2466"/>
      <c r="Q69" s="2466"/>
      <c r="R69" s="2468"/>
      <c r="S69" s="2463">
        <f t="shared" si="4"/>
        <v>0</v>
      </c>
      <c r="T69" s="1712" t="s">
        <v>2358</v>
      </c>
      <c r="U69" s="2"/>
      <c r="V69" s="289">
        <v>2022</v>
      </c>
    </row>
    <row r="70" spans="1:23" ht="38.25">
      <c r="A70" s="268">
        <f t="shared" si="5"/>
        <v>68</v>
      </c>
      <c r="B70" s="2393" t="s">
        <v>2502</v>
      </c>
      <c r="C70" s="1712"/>
      <c r="D70" s="284" t="s">
        <v>2128</v>
      </c>
      <c r="E70" s="284" t="s">
        <v>1918</v>
      </c>
      <c r="F70" s="2393" t="s">
        <v>851</v>
      </c>
      <c r="G70" s="2393" t="s">
        <v>2503</v>
      </c>
      <c r="H70" s="2393" t="s">
        <v>2474</v>
      </c>
      <c r="I70" s="1908"/>
      <c r="J70" s="2395">
        <v>44617</v>
      </c>
      <c r="K70" s="1867"/>
      <c r="L70" s="1867"/>
      <c r="M70" s="1712"/>
      <c r="N70" s="145"/>
      <c r="O70" s="145"/>
      <c r="P70" s="2466"/>
      <c r="Q70" s="2466"/>
      <c r="R70" s="2468"/>
      <c r="S70" s="2463">
        <f t="shared" si="4"/>
        <v>0</v>
      </c>
      <c r="T70" s="1712" t="s">
        <v>2358</v>
      </c>
      <c r="U70" s="2"/>
      <c r="V70" s="289">
        <v>2022</v>
      </c>
    </row>
    <row r="71" spans="1:23" ht="38.25">
      <c r="A71" s="268">
        <f t="shared" si="5"/>
        <v>69</v>
      </c>
      <c r="B71" s="2393" t="s">
        <v>2504</v>
      </c>
      <c r="C71" s="1712"/>
      <c r="D71" s="284" t="s">
        <v>2128</v>
      </c>
      <c r="E71" s="284" t="s">
        <v>1918</v>
      </c>
      <c r="F71" s="2393" t="s">
        <v>851</v>
      </c>
      <c r="G71" s="2393" t="s">
        <v>2505</v>
      </c>
      <c r="H71" s="2393" t="s">
        <v>2474</v>
      </c>
      <c r="I71" s="1908"/>
      <c r="J71" s="2395">
        <v>44694</v>
      </c>
      <c r="K71" s="1867"/>
      <c r="L71" s="1867"/>
      <c r="M71" s="1712"/>
      <c r="N71" s="145"/>
      <c r="O71" s="145"/>
      <c r="P71" s="2466"/>
      <c r="Q71" s="2466"/>
      <c r="R71" s="2468"/>
      <c r="S71" s="2463">
        <f t="shared" si="4"/>
        <v>0</v>
      </c>
      <c r="T71" s="1712" t="s">
        <v>2358</v>
      </c>
      <c r="U71" s="2"/>
      <c r="V71" s="289">
        <v>2022</v>
      </c>
    </row>
    <row r="72" spans="1:23" ht="38.25">
      <c r="A72" s="268">
        <f t="shared" si="5"/>
        <v>70</v>
      </c>
      <c r="B72" s="2393" t="s">
        <v>2506</v>
      </c>
      <c r="C72" s="1712"/>
      <c r="D72" s="284" t="s">
        <v>2128</v>
      </c>
      <c r="E72" s="284" t="s">
        <v>1918</v>
      </c>
      <c r="F72" s="2393" t="s">
        <v>851</v>
      </c>
      <c r="G72" s="2393" t="s">
        <v>2507</v>
      </c>
      <c r="H72" s="2393" t="s">
        <v>2047</v>
      </c>
      <c r="I72" s="1908"/>
      <c r="J72" s="2395">
        <v>44882</v>
      </c>
      <c r="K72" s="1867"/>
      <c r="L72" s="1867"/>
      <c r="M72" s="1712"/>
      <c r="N72" s="145"/>
      <c r="O72" s="145"/>
      <c r="P72" s="2463">
        <v>65224000</v>
      </c>
      <c r="Q72" s="2466"/>
      <c r="R72" s="2468"/>
      <c r="S72" s="2463">
        <f t="shared" si="4"/>
        <v>65224000</v>
      </c>
      <c r="T72" s="1712" t="s">
        <v>2358</v>
      </c>
      <c r="U72" s="2"/>
      <c r="V72" s="289">
        <v>2022</v>
      </c>
    </row>
    <row r="73" spans="1:23" ht="38.25">
      <c r="A73" s="268">
        <f t="shared" si="5"/>
        <v>71</v>
      </c>
      <c r="B73" s="2393" t="s">
        <v>2508</v>
      </c>
      <c r="C73" s="1712"/>
      <c r="D73" s="284" t="s">
        <v>2128</v>
      </c>
      <c r="E73" s="284" t="s">
        <v>1918</v>
      </c>
      <c r="F73" s="2393" t="s">
        <v>851</v>
      </c>
      <c r="G73" s="2393" t="s">
        <v>2509</v>
      </c>
      <c r="H73" s="2393" t="s">
        <v>2474</v>
      </c>
      <c r="I73" s="1908"/>
      <c r="J73" s="2395">
        <v>44824</v>
      </c>
      <c r="K73" s="1867"/>
      <c r="L73" s="1867"/>
      <c r="M73" s="1712"/>
      <c r="N73" s="145"/>
      <c r="O73" s="145"/>
      <c r="P73" s="2466"/>
      <c r="Q73" s="2466"/>
      <c r="R73" s="2468"/>
      <c r="S73" s="2463">
        <f t="shared" si="4"/>
        <v>0</v>
      </c>
      <c r="T73" s="1712" t="s">
        <v>2358</v>
      </c>
      <c r="U73" s="2"/>
      <c r="V73" s="289">
        <v>2022</v>
      </c>
    </row>
    <row r="74" spans="1:23" hidden="1">
      <c r="B74" s="1702"/>
      <c r="C74" s="1702"/>
      <c r="N74" s="2855" t="s">
        <v>97</v>
      </c>
      <c r="O74" s="2856"/>
      <c r="P74" s="2466">
        <f>SUM(P3:P73)</f>
        <v>115873981473.25687</v>
      </c>
      <c r="Q74" s="2466">
        <f>SUM(Q3:Q73)</f>
        <v>146812617.32880911</v>
      </c>
      <c r="R74" s="2466">
        <f>SUM(R3:R73)</f>
        <v>45538208916.606659</v>
      </c>
      <c r="S74" s="2466">
        <f>SUM(S3:S73)</f>
        <v>161559003007.19235</v>
      </c>
      <c r="T74" s="1702"/>
    </row>
    <row r="76" spans="1:23">
      <c r="B76" s="1702"/>
      <c r="C76" s="1702"/>
      <c r="F76" s="1702">
        <f>COUNTA(F3:F74)</f>
        <v>71</v>
      </c>
      <c r="T76" s="1702"/>
    </row>
    <row r="80" spans="1:23" ht="31.5">
      <c r="A80" s="2251"/>
      <c r="B80" s="2215" t="s">
        <v>2534</v>
      </c>
      <c r="C80" s="2252"/>
      <c r="D80" s="2216" t="s">
        <v>2128</v>
      </c>
      <c r="E80" s="2216" t="s">
        <v>1918</v>
      </c>
      <c r="F80" s="2216"/>
      <c r="G80" s="2253" t="s">
        <v>2535</v>
      </c>
      <c r="H80" s="2253"/>
      <c r="I80" s="2254" t="s">
        <v>2536</v>
      </c>
      <c r="K80" s="2255"/>
      <c r="L80" s="2255"/>
      <c r="M80" s="2252"/>
      <c r="N80" s="2252"/>
      <c r="O80" s="2256"/>
      <c r="P80" s="2257">
        <v>7310980</v>
      </c>
      <c r="Q80" s="2257">
        <v>365549</v>
      </c>
      <c r="R80" s="2252">
        <v>0</v>
      </c>
      <c r="S80" s="2258">
        <f>SUM(P80:R80)</f>
        <v>7676529</v>
      </c>
      <c r="T80" s="2259">
        <v>44896</v>
      </c>
      <c r="U80" s="1880" t="s">
        <v>2537</v>
      </c>
      <c r="V80" s="189"/>
      <c r="W80" s="1714"/>
    </row>
    <row r="81" spans="1:23" ht="57" customHeight="1" thickBot="1">
      <c r="B81" s="2298" t="s">
        <v>2538</v>
      </c>
      <c r="C81" s="2288" t="s">
        <v>1129</v>
      </c>
      <c r="F81" s="2289" t="s">
        <v>851</v>
      </c>
      <c r="G81" s="2290" t="s">
        <v>2539</v>
      </c>
      <c r="H81" s="2291" t="s">
        <v>2540</v>
      </c>
      <c r="I81" s="2294"/>
      <c r="J81" s="2293"/>
      <c r="K81" s="2293"/>
      <c r="L81" s="2293"/>
      <c r="M81" s="2295" t="s">
        <v>2541</v>
      </c>
      <c r="N81" s="2359"/>
      <c r="O81" s="2360" t="s">
        <v>2542</v>
      </c>
      <c r="P81" s="2361"/>
      <c r="Q81" s="2362"/>
      <c r="R81" s="2363"/>
      <c r="S81" s="2364">
        <f>SUM(P81:R81)</f>
        <v>0</v>
      </c>
      <c r="T81" s="1712"/>
      <c r="U81" s="2290" t="s">
        <v>2543</v>
      </c>
      <c r="V81" s="2"/>
      <c r="W81" s="2"/>
    </row>
    <row r="82" spans="1:23" ht="38.25">
      <c r="B82" s="2388" t="s">
        <v>2544</v>
      </c>
      <c r="C82" s="1702"/>
      <c r="D82" s="284" t="s">
        <v>2128</v>
      </c>
      <c r="E82" s="284" t="s">
        <v>1918</v>
      </c>
      <c r="F82" s="2388" t="s">
        <v>1057</v>
      </c>
      <c r="G82" s="2388" t="s">
        <v>2545</v>
      </c>
      <c r="H82" s="2388" t="s">
        <v>2474</v>
      </c>
      <c r="J82" s="2389">
        <v>44742</v>
      </c>
      <c r="T82" s="1702"/>
    </row>
    <row r="83" spans="1:23" ht="38.25">
      <c r="A83" s="268">
        <f>ROW(A69)</f>
        <v>69</v>
      </c>
      <c r="B83" s="2393" t="s">
        <v>2546</v>
      </c>
      <c r="C83" s="1712"/>
      <c r="D83" s="284" t="s">
        <v>2128</v>
      </c>
      <c r="E83" s="284" t="s">
        <v>1918</v>
      </c>
      <c r="F83" s="2393" t="s">
        <v>1926</v>
      </c>
      <c r="G83" s="2393" t="s">
        <v>2547</v>
      </c>
      <c r="H83" s="2393" t="s">
        <v>2474</v>
      </c>
      <c r="I83" s="1908"/>
      <c r="J83" s="2395"/>
      <c r="K83" s="1867"/>
      <c r="L83" s="1867"/>
      <c r="M83" s="1712"/>
      <c r="N83" s="145"/>
      <c r="O83" s="145"/>
      <c r="P83" s="1715"/>
      <c r="Q83" s="1713"/>
      <c r="R83" s="145"/>
      <c r="S83" s="145"/>
      <c r="T83" s="1712"/>
      <c r="U83" s="2"/>
      <c r="V83" s="289">
        <v>2022</v>
      </c>
    </row>
    <row r="84" spans="1:23" ht="92.25" customHeight="1">
      <c r="A84" s="268">
        <f>ROW(A54)</f>
        <v>54</v>
      </c>
      <c r="B84" s="284" t="s">
        <v>2548</v>
      </c>
      <c r="C84" s="1712"/>
      <c r="D84" s="284" t="s">
        <v>2128</v>
      </c>
      <c r="E84" s="284" t="s">
        <v>1918</v>
      </c>
      <c r="F84" s="2393" t="s">
        <v>1925</v>
      </c>
      <c r="G84" s="412" t="s">
        <v>2549</v>
      </c>
      <c r="H84" s="2393" t="s">
        <v>2047</v>
      </c>
      <c r="I84" s="2394" t="s">
        <v>2550</v>
      </c>
      <c r="J84" s="2395">
        <v>44490</v>
      </c>
      <c r="K84" s="1867"/>
      <c r="L84" s="1867"/>
      <c r="M84" s="1712"/>
      <c r="N84" s="145"/>
      <c r="O84" s="145"/>
      <c r="P84" s="1715"/>
      <c r="Q84" s="1713"/>
      <c r="R84" s="145"/>
      <c r="S84" s="145"/>
      <c r="T84" s="1712" t="s">
        <v>2358</v>
      </c>
      <c r="U84" s="2"/>
      <c r="V84" s="289">
        <v>2022</v>
      </c>
    </row>
    <row r="85" spans="1:23" ht="38.25">
      <c r="A85" s="268">
        <f>ROW(A83)</f>
        <v>83</v>
      </c>
      <c r="B85" s="2393" t="s">
        <v>2551</v>
      </c>
      <c r="C85" s="1712"/>
      <c r="D85" s="284" t="s">
        <v>2128</v>
      </c>
      <c r="E85" s="284" t="s">
        <v>1918</v>
      </c>
      <c r="F85" s="2393" t="s">
        <v>851</v>
      </c>
      <c r="G85" s="2393" t="s">
        <v>2552</v>
      </c>
      <c r="H85" s="2393" t="s">
        <v>2474</v>
      </c>
      <c r="I85" s="1908"/>
      <c r="J85" s="2395">
        <v>44759</v>
      </c>
      <c r="K85" s="1867"/>
      <c r="L85" s="1867"/>
      <c r="M85" s="1712"/>
      <c r="N85" s="145"/>
      <c r="O85" s="145"/>
      <c r="P85" s="1715"/>
      <c r="Q85" s="1713"/>
      <c r="R85" s="145"/>
      <c r="S85" s="145"/>
      <c r="T85" s="1712"/>
      <c r="U85" s="2"/>
      <c r="V85" s="289">
        <v>2022</v>
      </c>
    </row>
    <row r="9052" spans="1:28" s="1702" customFormat="1">
      <c r="A9052" s="1704"/>
      <c r="D9052" s="115"/>
      <c r="E9052" s="115"/>
      <c r="G9052"/>
      <c r="H9052"/>
      <c r="I9052" s="1909"/>
      <c r="J9052" s="115"/>
      <c r="K9052" s="1709"/>
      <c r="L9052" s="1709"/>
      <c r="N9052" s="115"/>
      <c r="O9052" s="115"/>
      <c r="P9052" s="1707"/>
      <c r="Q9052" s="1708"/>
      <c r="R9052" s="115"/>
      <c r="S9052" s="115"/>
      <c r="U9052"/>
      <c r="V9052"/>
      <c r="W9052"/>
      <c r="X9052"/>
      <c r="Y9052"/>
      <c r="Z9052"/>
      <c r="AA9052"/>
      <c r="AB9052"/>
    </row>
    <row r="65417" spans="1:28" s="1702" customFormat="1">
      <c r="A65417" s="1704"/>
      <c r="D65417" s="1703"/>
      <c r="E65417" s="1703"/>
      <c r="G65417"/>
      <c r="H65417"/>
      <c r="I65417" s="1909"/>
      <c r="J65417" s="115"/>
      <c r="K65417" s="1706"/>
      <c r="L65417" s="1706"/>
      <c r="N65417" s="115"/>
      <c r="O65417" s="115"/>
      <c r="P65417" s="1707"/>
      <c r="Q65417" s="1708"/>
      <c r="R65417" s="115"/>
      <c r="S65417" s="115"/>
      <c r="U65417"/>
      <c r="V65417"/>
      <c r="W65417"/>
      <c r="X65417"/>
      <c r="Y65417"/>
      <c r="Z65417"/>
      <c r="AA65417"/>
      <c r="AB65417"/>
    </row>
    <row r="1048494" spans="6:6">
      <c r="F1048494" s="1703"/>
    </row>
    <row r="1048519" spans="1:28" s="1702" customFormat="1">
      <c r="A1048519" s="1704"/>
      <c r="D1048519" s="115"/>
      <c r="E1048519" s="269"/>
      <c r="G1048519"/>
      <c r="H1048519"/>
      <c r="I1048519" s="1909"/>
      <c r="J1048519" s="115"/>
      <c r="K1048519" s="1706"/>
      <c r="L1048519" s="1706"/>
      <c r="N1048519" s="115"/>
      <c r="O1048519" s="115"/>
      <c r="P1048519" s="1707"/>
      <c r="Q1048519" s="1708"/>
      <c r="R1048519" s="115"/>
      <c r="S1048519" s="115"/>
      <c r="U1048519"/>
      <c r="V1048519"/>
      <c r="W1048519"/>
      <c r="X1048519"/>
      <c r="Y1048519"/>
      <c r="Z1048519"/>
      <c r="AA1048519"/>
      <c r="AB1048519"/>
    </row>
  </sheetData>
  <autoFilter ref="A2:W74" xr:uid="{00000000-0001-0000-2F00-000000000000}">
    <filterColumn colId="9">
      <filters>
        <dateGroupItem year="2022" dateTimeGrouping="year"/>
      </filters>
    </filterColumn>
    <sortState xmlns:xlrd2="http://schemas.microsoft.com/office/spreadsheetml/2017/richdata2" ref="A3:W74">
      <sortCondition ref="K2:K54"/>
    </sortState>
  </autoFilter>
  <sortState xmlns:xlrd2="http://schemas.microsoft.com/office/spreadsheetml/2017/richdata2" ref="A3:AB36">
    <sortCondition ref="E3:E36"/>
    <sortCondition ref="F3:F36"/>
  </sortState>
  <mergeCells count="1">
    <mergeCell ref="N74:O74"/>
  </mergeCells>
  <hyperlinks>
    <hyperlink ref="W14" r:id="rId1" xr:uid="{727F5A5D-59F6-4123-82CD-2688FE033D6A}"/>
    <hyperlink ref="W9" r:id="rId2" xr:uid="{84353698-BE81-4517-A3E7-DF5C08C3C720}"/>
    <hyperlink ref="W15" r:id="rId3" xr:uid="{BFEA3318-124A-4E22-84C4-943B502C01FD}"/>
    <hyperlink ref="W17" r:id="rId4" xr:uid="{8FE45AF8-BA0F-4DD9-8F58-17BED8377F6F}"/>
    <hyperlink ref="W36" r:id="rId5" xr:uid="{B5141958-BAFA-4C59-9F26-F5C675BCC01E}"/>
    <hyperlink ref="W18" r:id="rId6" xr:uid="{8F591E1F-3E98-475C-B1BD-C2FD4492A4EA}"/>
    <hyperlink ref="W40" r:id="rId7" xr:uid="{54392A57-E208-4417-9A81-1912B202CFB8}"/>
    <hyperlink ref="W19" r:id="rId8" xr:uid="{90D9451D-66E2-4E1F-B2FB-B838A2CE9B5B}"/>
    <hyperlink ref="W23" r:id="rId9" xr:uid="{66CE9397-34CC-45F7-B027-E13EDDDCBFA0}"/>
    <hyperlink ref="W24" r:id="rId10" xr:uid="{BFCDD0D3-CF3C-4A50-8E1F-A06C5D5256B5}"/>
    <hyperlink ref="W31" r:id="rId11" xr:uid="{30C84D12-7381-4DFC-BF9C-7B3EEF618F0E}"/>
    <hyperlink ref="W4" r:id="rId12" xr:uid="{86430FB0-9686-42F9-A920-B3C065841FD2}"/>
    <hyperlink ref="W10" r:id="rId13" xr:uid="{7286E99A-6C8D-4AE7-A723-300B9B7BA800}"/>
    <hyperlink ref="W29" r:id="rId14" xr:uid="{4F8E2C3A-321A-4D48-887B-3FF82005393F}"/>
    <hyperlink ref="W27" r:id="rId15" xr:uid="{07BD2AF7-14AD-4ADE-B234-6F8512A147A8}"/>
    <hyperlink ref="W5" r:id="rId16" xr:uid="{BEC6D3F9-5EB9-4D26-B2C1-72753D8CC6DF}"/>
    <hyperlink ref="W33" r:id="rId17" xr:uid="{4DFB5935-C272-4D83-8F68-BD5ED3E9FC78}"/>
    <hyperlink ref="W42" r:id="rId18" xr:uid="{C0E091C1-026F-4C30-A5B3-126395830437}"/>
    <hyperlink ref="W43" r:id="rId19" xr:uid="{A45658E6-BC25-48C7-AF87-381B0357E0F8}"/>
    <hyperlink ref="W44" r:id="rId20" xr:uid="{2E8C9DF0-2325-4DCB-A8D8-D27F25CC6EF9}"/>
    <hyperlink ref="W46" r:id="rId21" xr:uid="{70298C90-C594-4422-B83C-6F74BCC39CA9}"/>
    <hyperlink ref="W28" r:id="rId22" xr:uid="{90DCDC3F-7EE5-4304-8A14-8763D8CD0128}"/>
    <hyperlink ref="W34" r:id="rId23" xr:uid="{8BF675A5-9025-4113-A00A-ABA0DE2D30A4}"/>
    <hyperlink ref="W6" r:id="rId24" xr:uid="{A22FABAE-4BF7-4925-92FC-1F1391656D7E}"/>
    <hyperlink ref="W45" r:id="rId25" xr:uid="{5005686E-41DE-44ED-B424-4D1915F6A61F}"/>
    <hyperlink ref="W3" r:id="rId26" xr:uid="{94854334-12AF-4F30-AFE3-1C989F737CBA}"/>
    <hyperlink ref="W50" r:id="rId27" xr:uid="{0F3F2F56-F1F8-4A42-8C89-C780AEB1D6FD}"/>
    <hyperlink ref="W22" r:id="rId28" xr:uid="{D01207B4-E647-41BA-BE39-E1CA10F7D265}"/>
    <hyperlink ref="W21" r:id="rId29" xr:uid="{C958BD71-781F-41D4-8240-82996ADFB896}"/>
    <hyperlink ref="W41" r:id="rId30" xr:uid="{34448F91-577C-4E54-B438-A43B75D90FDC}"/>
    <hyperlink ref="W49" r:id="rId31" xr:uid="{E53021D1-4797-464B-9506-A6137ABE6AFA}"/>
    <hyperlink ref="W32" r:id="rId32" xr:uid="{F7D8C3C9-C36A-4462-9F20-4BE2DC35A206}"/>
    <hyperlink ref="W48" r:id="rId33" xr:uid="{45375066-80BE-48E5-BECD-EA732FBFBC14}"/>
    <hyperlink ref="W51" r:id="rId34" xr:uid="{2D021A77-781C-4FCA-B42F-CF079B75A18A}"/>
    <hyperlink ref="W20" r:id="rId35" xr:uid="{D8991778-4C02-47B5-BBED-2D0488394EA1}"/>
    <hyperlink ref="W16" r:id="rId36" xr:uid="{DCDFEC15-B4D4-419F-AF95-A9DEE5CEEFAE}"/>
    <hyperlink ref="W52" r:id="rId37" xr:uid="{A0C89474-A649-4950-96AC-8F996AAEC9DB}"/>
    <hyperlink ref="W13" r:id="rId38" xr:uid="{4BE8E0A4-61C8-4ABF-9C79-8F6D931BDDB5}"/>
    <hyperlink ref="W25" r:id="rId39" xr:uid="{E2CB9AEB-D101-4418-8D55-BF9249249407}"/>
    <hyperlink ref="W30" r:id="rId40" xr:uid="{F6EB02EB-19F6-400D-90EB-1F7A34DBBB25}"/>
  </hyperlinks>
  <pageMargins left="0.25" right="0.25" top="0.75" bottom="0.75" header="0.3" footer="0.3"/>
  <pageSetup paperSize="135" scale="40" fitToHeight="0" orientation="landscape" r:id="rId41"/>
  <rowBreaks count="2" manualBreakCount="2">
    <brk id="22" max="18" man="1"/>
    <brk id="40" max="1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1"/>
  <dimension ref="A1:I85"/>
  <sheetViews>
    <sheetView zoomScaleNormal="100" workbookViewId="0">
      <selection activeCell="E18" sqref="E18"/>
    </sheetView>
  </sheetViews>
  <sheetFormatPr defaultColWidth="9.140625" defaultRowHeight="12.75"/>
  <cols>
    <col min="1" max="1" width="3.28515625" customWidth="1"/>
    <col min="2" max="2" width="16.7109375" customWidth="1"/>
    <col min="3" max="3" width="12.5703125" customWidth="1"/>
    <col min="4" max="4" width="10.7109375" customWidth="1"/>
    <col min="5" max="5" width="11.42578125" customWidth="1"/>
    <col min="6" max="6" width="9.85546875" customWidth="1"/>
    <col min="7" max="7" width="15.28515625" customWidth="1"/>
    <col min="8" max="8" width="13.28515625" customWidth="1"/>
    <col min="9" max="9" width="13.85546875" bestFit="1" customWidth="1"/>
    <col min="10" max="10" width="12.85546875" bestFit="1" customWidth="1"/>
    <col min="11" max="257" width="11.42578125" customWidth="1"/>
  </cols>
  <sheetData>
    <row r="1" spans="1:8" ht="13.5">
      <c r="B1" s="728" t="s">
        <v>121</v>
      </c>
      <c r="C1" s="2572" t="s">
        <v>327</v>
      </c>
      <c r="D1" s="2573"/>
      <c r="E1" s="147"/>
      <c r="F1" s="147"/>
      <c r="G1" s="147"/>
      <c r="H1" s="147"/>
    </row>
    <row r="2" spans="1:8" ht="13.5">
      <c r="B2" s="728" t="s">
        <v>185</v>
      </c>
      <c r="C2" s="737"/>
      <c r="D2" s="737" t="s">
        <v>328</v>
      </c>
      <c r="E2" s="147"/>
      <c r="F2" s="147"/>
      <c r="G2" s="147"/>
      <c r="H2" s="147"/>
    </row>
    <row r="3" spans="1:8" ht="13.5">
      <c r="B3" s="728" t="s">
        <v>329</v>
      </c>
      <c r="C3" s="737"/>
      <c r="D3" s="737" t="s">
        <v>330</v>
      </c>
      <c r="E3" s="147"/>
      <c r="F3" s="147"/>
      <c r="G3" s="147"/>
      <c r="H3" s="147"/>
    </row>
    <row r="4" spans="1:8" ht="13.5">
      <c r="B4" s="728" t="s">
        <v>331</v>
      </c>
      <c r="C4" s="737"/>
      <c r="D4" s="737" t="s">
        <v>332</v>
      </c>
      <c r="E4" s="147"/>
      <c r="F4" s="147"/>
      <c r="G4" s="147"/>
      <c r="H4" s="147"/>
    </row>
    <row r="5" spans="1:8" ht="13.5">
      <c r="B5" s="728" t="s">
        <v>333</v>
      </c>
      <c r="C5" s="737"/>
      <c r="D5" s="737"/>
      <c r="E5" s="147"/>
      <c r="F5" s="147"/>
      <c r="G5" s="147"/>
      <c r="H5" s="147"/>
    </row>
    <row r="6" spans="1:8" ht="13.5">
      <c r="B6" s="998" t="s">
        <v>124</v>
      </c>
      <c r="C6" s="791"/>
      <c r="D6" s="791" t="s">
        <v>334</v>
      </c>
      <c r="E6" s="147"/>
      <c r="F6" s="147"/>
      <c r="G6" s="147"/>
      <c r="H6" s="147"/>
    </row>
    <row r="7" spans="1:8" ht="13.5">
      <c r="B7" s="728" t="s">
        <v>290</v>
      </c>
      <c r="C7" s="737"/>
      <c r="D7" s="724">
        <v>43153</v>
      </c>
      <c r="E7" s="147"/>
      <c r="F7" s="147"/>
      <c r="G7" s="147"/>
      <c r="H7" s="147"/>
    </row>
    <row r="8" spans="1:8" ht="13.5">
      <c r="B8" s="728" t="s">
        <v>335</v>
      </c>
      <c r="C8" s="737"/>
      <c r="D8" s="737">
        <v>50</v>
      </c>
      <c r="E8" s="147"/>
      <c r="F8" s="147"/>
      <c r="G8" s="147"/>
      <c r="H8" s="147"/>
    </row>
    <row r="9" spans="1:8" ht="13.5">
      <c r="B9" s="728" t="s">
        <v>336</v>
      </c>
      <c r="C9" s="737"/>
      <c r="D9" s="999">
        <v>737717</v>
      </c>
      <c r="E9" s="147"/>
      <c r="F9" s="147"/>
      <c r="G9" s="147"/>
      <c r="H9" s="147"/>
    </row>
    <row r="10" spans="1:8" ht="13.5">
      <c r="B10" s="728" t="s">
        <v>316</v>
      </c>
      <c r="C10" s="737"/>
      <c r="D10" s="850">
        <f>+D8*D9</f>
        <v>36885850</v>
      </c>
      <c r="E10" s="147"/>
      <c r="F10" s="147"/>
      <c r="G10" s="147"/>
      <c r="H10" s="147"/>
    </row>
    <row r="11" spans="1:8">
      <c r="B11" s="68" t="s">
        <v>4</v>
      </c>
      <c r="C11" s="370"/>
      <c r="D11" s="16">
        <v>42818</v>
      </c>
      <c r="E11" s="147"/>
      <c r="F11" s="147"/>
      <c r="G11" s="147"/>
      <c r="H11" s="147"/>
    </row>
    <row r="12" spans="1:8">
      <c r="B12" s="483"/>
      <c r="C12" s="147"/>
      <c r="D12" s="147"/>
      <c r="E12" s="147"/>
      <c r="F12" s="147"/>
      <c r="G12" s="147"/>
      <c r="H12" s="147"/>
    </row>
    <row r="13" spans="1:8" ht="13.5">
      <c r="B13" s="2559" t="s">
        <v>160</v>
      </c>
      <c r="C13" s="2559"/>
      <c r="D13" s="2559"/>
      <c r="E13" s="2559"/>
      <c r="F13" s="2559"/>
      <c r="G13" s="2559"/>
      <c r="H13" s="2559"/>
    </row>
    <row r="14" spans="1:8" ht="25.5">
      <c r="B14" s="793" t="s">
        <v>337</v>
      </c>
      <c r="C14" s="1000" t="s">
        <v>40</v>
      </c>
      <c r="D14" s="1001" t="s">
        <v>279</v>
      </c>
      <c r="E14" s="1001" t="s">
        <v>148</v>
      </c>
      <c r="F14" s="1001" t="s">
        <v>88</v>
      </c>
      <c r="G14" s="1001" t="s">
        <v>129</v>
      </c>
      <c r="H14" s="921" t="s">
        <v>48</v>
      </c>
    </row>
    <row r="15" spans="1:8" ht="13.5">
      <c r="A15" s="2">
        <v>1</v>
      </c>
      <c r="B15" s="724">
        <v>42819</v>
      </c>
      <c r="C15" s="724">
        <v>42825</v>
      </c>
      <c r="D15" s="894">
        <f t="shared" ref="D15:D20" si="0">_xlfn.DAYS(C15,B15)+1</f>
        <v>7</v>
      </c>
      <c r="E15" s="796">
        <v>0.33510000000000001</v>
      </c>
      <c r="F15" s="796">
        <f>(1+E15)^(1/365)-1</f>
        <v>7.9211135028089963E-4</v>
      </c>
      <c r="G15" s="895">
        <f t="shared" ref="G15:G21" si="1">+$D$10</f>
        <v>36885850</v>
      </c>
      <c r="H15" s="895">
        <f>+G15*F15*D15</f>
        <v>204523.90314831104</v>
      </c>
    </row>
    <row r="16" spans="1:8" ht="13.5">
      <c r="A16" s="2">
        <v>2</v>
      </c>
      <c r="B16" s="724">
        <v>42826</v>
      </c>
      <c r="C16" s="724">
        <v>42855</v>
      </c>
      <c r="D16" s="894">
        <f t="shared" si="0"/>
        <v>30</v>
      </c>
      <c r="E16" s="796">
        <v>0.33494999999999997</v>
      </c>
      <c r="F16" s="796">
        <f t="shared" ref="F16:F70" si="2">(1+E16)^(1/365)-1</f>
        <v>7.9180327787309324E-4</v>
      </c>
      <c r="G16" s="895">
        <f t="shared" si="1"/>
        <v>36885850</v>
      </c>
      <c r="H16" s="895">
        <f t="shared" ref="H16:H68" si="3">+G16*F16*D16</f>
        <v>876190.10811405699</v>
      </c>
    </row>
    <row r="17" spans="1:8" ht="13.5">
      <c r="A17" s="2">
        <v>3</v>
      </c>
      <c r="B17" s="724">
        <f>EDATE(B16,1)</f>
        <v>42856</v>
      </c>
      <c r="C17" s="724">
        <v>42886</v>
      </c>
      <c r="D17" s="894">
        <f t="shared" si="0"/>
        <v>31</v>
      </c>
      <c r="E17" s="796">
        <v>0.33494999999999997</v>
      </c>
      <c r="F17" s="796">
        <f t="shared" si="2"/>
        <v>7.9180327787309324E-4</v>
      </c>
      <c r="G17" s="895">
        <f t="shared" si="1"/>
        <v>36885850</v>
      </c>
      <c r="H17" s="895">
        <f t="shared" si="3"/>
        <v>905396.44505119231</v>
      </c>
    </row>
    <row r="18" spans="1:8" ht="13.5">
      <c r="A18" s="2">
        <v>4</v>
      </c>
      <c r="B18" s="724">
        <f t="shared" ref="B18:B72" si="4">EDATE(B17,1)</f>
        <v>42887</v>
      </c>
      <c r="C18" s="724">
        <v>42916</v>
      </c>
      <c r="D18" s="894">
        <f t="shared" si="0"/>
        <v>30</v>
      </c>
      <c r="E18" s="796">
        <v>0.33494999999999997</v>
      </c>
      <c r="F18" s="796">
        <f t="shared" si="2"/>
        <v>7.9180327787309324E-4</v>
      </c>
      <c r="G18" s="895">
        <f t="shared" si="1"/>
        <v>36885850</v>
      </c>
      <c r="H18" s="895">
        <f t="shared" si="3"/>
        <v>876190.10811405699</v>
      </c>
    </row>
    <row r="19" spans="1:8" ht="13.5">
      <c r="A19" s="2">
        <v>5</v>
      </c>
      <c r="B19" s="724">
        <f t="shared" si="4"/>
        <v>42917</v>
      </c>
      <c r="C19" s="724">
        <v>42947</v>
      </c>
      <c r="D19" s="894">
        <f t="shared" si="0"/>
        <v>31</v>
      </c>
      <c r="E19" s="796">
        <v>0.32969999999999999</v>
      </c>
      <c r="F19" s="796">
        <f t="shared" si="2"/>
        <v>7.8099893845218205E-4</v>
      </c>
      <c r="G19" s="895">
        <f t="shared" si="1"/>
        <v>36885850</v>
      </c>
      <c r="H19" s="895">
        <f t="shared" si="3"/>
        <v>893042.10051109898</v>
      </c>
    </row>
    <row r="20" spans="1:8" ht="13.5">
      <c r="A20" s="2">
        <v>6</v>
      </c>
      <c r="B20" s="724">
        <f t="shared" si="4"/>
        <v>42948</v>
      </c>
      <c r="C20" s="724">
        <v>42978</v>
      </c>
      <c r="D20" s="894">
        <f t="shared" si="0"/>
        <v>31</v>
      </c>
      <c r="E20" s="796">
        <v>0.32969999999999999</v>
      </c>
      <c r="F20" s="796">
        <f t="shared" si="2"/>
        <v>7.8099893845218205E-4</v>
      </c>
      <c r="G20" s="895">
        <f t="shared" si="1"/>
        <v>36885850</v>
      </c>
      <c r="H20" s="895">
        <f t="shared" si="3"/>
        <v>893042.10051109898</v>
      </c>
    </row>
    <row r="21" spans="1:8" ht="13.5">
      <c r="A21" s="2">
        <v>7</v>
      </c>
      <c r="B21" s="724">
        <f>EDATE(B20,1)</f>
        <v>42979</v>
      </c>
      <c r="C21" s="724">
        <v>43002</v>
      </c>
      <c r="D21" s="894">
        <f>_xlfn.DAYS(C21,B21)+1</f>
        <v>24</v>
      </c>
      <c r="E21" s="796">
        <v>0.32219999999999999</v>
      </c>
      <c r="F21" s="796">
        <f t="shared" si="2"/>
        <v>7.6549014202820231E-4</v>
      </c>
      <c r="G21" s="895">
        <f t="shared" si="1"/>
        <v>36885850</v>
      </c>
      <c r="H21" s="895">
        <f t="shared" si="3"/>
        <v>677658.10932794318</v>
      </c>
    </row>
    <row r="22" spans="1:8" ht="13.5">
      <c r="A22" s="2">
        <v>8</v>
      </c>
      <c r="B22" s="724">
        <f t="shared" si="4"/>
        <v>43009</v>
      </c>
      <c r="C22" s="724">
        <v>43039</v>
      </c>
      <c r="D22" s="737">
        <v>0</v>
      </c>
      <c r="E22" s="796">
        <v>0</v>
      </c>
      <c r="F22" s="796">
        <f t="shared" si="2"/>
        <v>0</v>
      </c>
      <c r="G22" s="895">
        <v>0</v>
      </c>
      <c r="H22" s="895">
        <f t="shared" si="3"/>
        <v>0</v>
      </c>
    </row>
    <row r="23" spans="1:8" ht="13.5">
      <c r="A23" s="2">
        <v>9</v>
      </c>
      <c r="B23" s="724">
        <f t="shared" si="4"/>
        <v>43040</v>
      </c>
      <c r="C23" s="724">
        <v>43069</v>
      </c>
      <c r="D23" s="737">
        <v>0</v>
      </c>
      <c r="E23" s="796">
        <v>0</v>
      </c>
      <c r="F23" s="796">
        <f t="shared" si="2"/>
        <v>0</v>
      </c>
      <c r="G23" s="895">
        <f>G22+H22</f>
        <v>0</v>
      </c>
      <c r="H23" s="895">
        <f t="shared" si="3"/>
        <v>0</v>
      </c>
    </row>
    <row r="24" spans="1:8" ht="13.5">
      <c r="A24" s="2">
        <v>10</v>
      </c>
      <c r="B24" s="724">
        <f t="shared" si="4"/>
        <v>43070</v>
      </c>
      <c r="C24" s="724">
        <v>43100</v>
      </c>
      <c r="D24" s="737">
        <v>0</v>
      </c>
      <c r="E24" s="796">
        <v>0</v>
      </c>
      <c r="F24" s="796">
        <f t="shared" si="2"/>
        <v>0</v>
      </c>
      <c r="G24" s="895">
        <f>G23+H23</f>
        <v>0</v>
      </c>
      <c r="H24" s="895">
        <f t="shared" si="3"/>
        <v>0</v>
      </c>
    </row>
    <row r="25" spans="1:8" ht="13.5">
      <c r="A25" s="2">
        <v>11</v>
      </c>
      <c r="B25" s="724">
        <f t="shared" si="4"/>
        <v>43101</v>
      </c>
      <c r="C25" s="724">
        <v>43131</v>
      </c>
      <c r="D25" s="737">
        <v>0</v>
      </c>
      <c r="E25" s="796">
        <v>0</v>
      </c>
      <c r="F25" s="796">
        <f t="shared" si="2"/>
        <v>0</v>
      </c>
      <c r="G25" s="895">
        <f>G24+H24</f>
        <v>0</v>
      </c>
      <c r="H25" s="895">
        <f t="shared" si="3"/>
        <v>0</v>
      </c>
    </row>
    <row r="26" spans="1:8" ht="13.5">
      <c r="A26" s="2">
        <v>12</v>
      </c>
      <c r="B26" s="724">
        <v>43154</v>
      </c>
      <c r="C26" s="724">
        <v>43159</v>
      </c>
      <c r="D26" s="894">
        <f>_xlfn.DAYS(C26,B26)+1</f>
        <v>6</v>
      </c>
      <c r="E26" s="796">
        <v>0.31515000000000004</v>
      </c>
      <c r="F26" s="796">
        <f t="shared" si="2"/>
        <v>7.5083167162115494E-4</v>
      </c>
      <c r="G26" s="895">
        <f t="shared" ref="G26:G34" si="5">+$D$10</f>
        <v>36885850</v>
      </c>
      <c r="H26" s="895">
        <f>+G26*F26*D26</f>
        <v>166170.38648800307</v>
      </c>
    </row>
    <row r="27" spans="1:8" ht="13.5">
      <c r="A27" s="2">
        <v>13</v>
      </c>
      <c r="B27" s="724">
        <v>43160</v>
      </c>
      <c r="C27" s="724">
        <v>43190</v>
      </c>
      <c r="D27" s="894">
        <f t="shared" ref="D27:D34" si="6">_xlfn.DAYS(C27,B27)+1</f>
        <v>31</v>
      </c>
      <c r="E27" s="796">
        <v>0.31020000000000003</v>
      </c>
      <c r="F27" s="796">
        <f t="shared" si="2"/>
        <v>7.4049265219700011E-4</v>
      </c>
      <c r="G27" s="895">
        <f t="shared" si="5"/>
        <v>36885850</v>
      </c>
      <c r="H27" s="895">
        <f>+G27*F27*D27</f>
        <v>846724.72774626222</v>
      </c>
    </row>
    <row r="28" spans="1:8" ht="13.5">
      <c r="A28" s="2">
        <v>14</v>
      </c>
      <c r="B28" s="724">
        <f t="shared" si="4"/>
        <v>43191</v>
      </c>
      <c r="C28" s="724">
        <v>43220</v>
      </c>
      <c r="D28" s="894">
        <f t="shared" si="6"/>
        <v>30</v>
      </c>
      <c r="E28" s="796">
        <v>0.30720000000000003</v>
      </c>
      <c r="F28" s="796">
        <f t="shared" si="2"/>
        <v>7.34207604366377E-4</v>
      </c>
      <c r="G28" s="895">
        <f t="shared" si="5"/>
        <v>36885850</v>
      </c>
      <c r="H28" s="895">
        <f t="shared" ref="H28:H34" si="7">+G28*F28*D28</f>
        <v>812456.14690552582</v>
      </c>
    </row>
    <row r="29" spans="1:8" ht="13.5">
      <c r="A29" s="2">
        <v>15</v>
      </c>
      <c r="B29" s="724">
        <f t="shared" si="4"/>
        <v>43221</v>
      </c>
      <c r="C29" s="724">
        <v>43251</v>
      </c>
      <c r="D29" s="894">
        <f t="shared" si="6"/>
        <v>31</v>
      </c>
      <c r="E29" s="796">
        <v>0.30659999999999998</v>
      </c>
      <c r="F29" s="796">
        <f t="shared" si="2"/>
        <v>7.3294886878794152E-4</v>
      </c>
      <c r="G29" s="895">
        <f t="shared" si="5"/>
        <v>36885850</v>
      </c>
      <c r="H29" s="895">
        <f t="shared" si="7"/>
        <v>838098.70298523246</v>
      </c>
    </row>
    <row r="30" spans="1:8" ht="13.5">
      <c r="A30" s="2">
        <v>16</v>
      </c>
      <c r="B30" s="724">
        <f t="shared" si="4"/>
        <v>43252</v>
      </c>
      <c r="C30" s="724">
        <v>43281</v>
      </c>
      <c r="D30" s="894">
        <f t="shared" si="6"/>
        <v>30</v>
      </c>
      <c r="E30" s="796">
        <v>0.30420000000000003</v>
      </c>
      <c r="F30" s="796">
        <f t="shared" si="2"/>
        <v>7.2790815549184096E-4</v>
      </c>
      <c r="G30" s="895">
        <f t="shared" si="5"/>
        <v>36885850</v>
      </c>
      <c r="H30" s="895">
        <f t="shared" si="7"/>
        <v>805485.33111746167</v>
      </c>
    </row>
    <row r="31" spans="1:8" ht="13.5">
      <c r="A31" s="2">
        <v>17</v>
      </c>
      <c r="B31" s="724">
        <f t="shared" si="4"/>
        <v>43282</v>
      </c>
      <c r="C31" s="724">
        <v>43312</v>
      </c>
      <c r="D31" s="894">
        <f t="shared" si="6"/>
        <v>31</v>
      </c>
      <c r="E31" s="796">
        <v>0.30044999999999999</v>
      </c>
      <c r="F31" s="796">
        <f t="shared" si="2"/>
        <v>7.2001349197825526E-4</v>
      </c>
      <c r="G31" s="895">
        <f t="shared" si="5"/>
        <v>36885850</v>
      </c>
      <c r="H31" s="895">
        <f t="shared" si="7"/>
        <v>823307.59955566993</v>
      </c>
    </row>
    <row r="32" spans="1:8" ht="13.5">
      <c r="A32" s="2">
        <v>18</v>
      </c>
      <c r="B32" s="724">
        <f t="shared" si="4"/>
        <v>43313</v>
      </c>
      <c r="C32" s="724">
        <v>43343</v>
      </c>
      <c r="D32" s="894">
        <f t="shared" si="6"/>
        <v>31</v>
      </c>
      <c r="E32" s="796">
        <v>0.29909999999999998</v>
      </c>
      <c r="F32" s="796">
        <f t="shared" si="2"/>
        <v>7.1716585429704161E-4</v>
      </c>
      <c r="G32" s="895">
        <f t="shared" si="5"/>
        <v>36885850</v>
      </c>
      <c r="H32" s="895">
        <f t="shared" si="7"/>
        <v>820051.43592839851</v>
      </c>
    </row>
    <row r="33" spans="1:8" ht="14.25" customHeight="1">
      <c r="A33" s="2">
        <v>19</v>
      </c>
      <c r="B33" s="724">
        <f t="shared" si="4"/>
        <v>43344</v>
      </c>
      <c r="C33" s="724">
        <v>43373</v>
      </c>
      <c r="D33" s="894">
        <f t="shared" si="6"/>
        <v>30</v>
      </c>
      <c r="E33" s="796">
        <v>0.29715000000000003</v>
      </c>
      <c r="F33" s="796">
        <f t="shared" si="2"/>
        <v>7.1304738558919389E-4</v>
      </c>
      <c r="G33" s="895">
        <f t="shared" si="5"/>
        <v>36885850</v>
      </c>
      <c r="H33" s="895">
        <f t="shared" si="7"/>
        <v>789040.76723205508</v>
      </c>
    </row>
    <row r="34" spans="1:8" ht="13.5">
      <c r="A34" s="2">
        <v>20</v>
      </c>
      <c r="B34" s="724">
        <f t="shared" si="4"/>
        <v>43374</v>
      </c>
      <c r="C34" s="724">
        <v>43404</v>
      </c>
      <c r="D34" s="894">
        <f t="shared" si="6"/>
        <v>31</v>
      </c>
      <c r="E34" s="796">
        <v>0.29444999999999999</v>
      </c>
      <c r="F34" s="796">
        <f t="shared" si="2"/>
        <v>7.073346857742191E-4</v>
      </c>
      <c r="G34" s="895">
        <f t="shared" si="5"/>
        <v>36885850</v>
      </c>
      <c r="H34" s="895">
        <f t="shared" si="7"/>
        <v>808809.87469721434</v>
      </c>
    </row>
    <row r="35" spans="1:8" ht="13.5">
      <c r="A35" s="2">
        <v>21</v>
      </c>
      <c r="B35" s="724">
        <f t="shared" si="4"/>
        <v>43405</v>
      </c>
      <c r="C35" s="724">
        <v>43434</v>
      </c>
      <c r="D35" s="894">
        <f t="shared" ref="D35:D68" si="8">_xlfn.DAYS(C35,B35)+1</f>
        <v>30</v>
      </c>
      <c r="E35" s="796">
        <v>0.29235</v>
      </c>
      <c r="F35" s="796">
        <f t="shared" si="2"/>
        <v>7.0288325333756063E-4</v>
      </c>
      <c r="G35" s="895">
        <f>G34+I34</f>
        <v>36885850</v>
      </c>
      <c r="H35" s="895">
        <f t="shared" si="3"/>
        <v>777793.38750363782</v>
      </c>
    </row>
    <row r="36" spans="1:8" ht="13.5">
      <c r="A36" s="2">
        <v>22</v>
      </c>
      <c r="B36" s="724">
        <f t="shared" si="4"/>
        <v>43435</v>
      </c>
      <c r="C36" s="724">
        <v>43465</v>
      </c>
      <c r="D36" s="894">
        <f t="shared" si="8"/>
        <v>31</v>
      </c>
      <c r="E36" s="796">
        <v>0.29100000000000004</v>
      </c>
      <c r="F36" s="796">
        <f t="shared" si="2"/>
        <v>7.0001780740103214E-4</v>
      </c>
      <c r="G36" s="895">
        <f>G35+I35</f>
        <v>36885850</v>
      </c>
      <c r="H36" s="895">
        <f t="shared" si="3"/>
        <v>800443.30707482423</v>
      </c>
    </row>
    <row r="37" spans="1:8" ht="13.5">
      <c r="A37" s="2">
        <v>23</v>
      </c>
      <c r="B37" s="724">
        <f t="shared" si="4"/>
        <v>43466</v>
      </c>
      <c r="C37" s="724">
        <v>43496</v>
      </c>
      <c r="D37" s="894">
        <f t="shared" si="8"/>
        <v>31</v>
      </c>
      <c r="E37" s="796">
        <v>0.28739999999999999</v>
      </c>
      <c r="F37" s="796">
        <f t="shared" si="2"/>
        <v>6.9236198468725085E-4</v>
      </c>
      <c r="G37" s="895">
        <f t="shared" ref="G37:G65" si="9">G36+I36</f>
        <v>36885850</v>
      </c>
      <c r="H37" s="895">
        <f t="shared" si="3"/>
        <v>791689.16969916318</v>
      </c>
    </row>
    <row r="38" spans="1:8" ht="13.5">
      <c r="A38" s="2">
        <v>24</v>
      </c>
      <c r="B38" s="724">
        <f t="shared" si="4"/>
        <v>43497</v>
      </c>
      <c r="C38" s="724">
        <v>43524</v>
      </c>
      <c r="D38" s="894">
        <f t="shared" si="8"/>
        <v>28</v>
      </c>
      <c r="E38" s="796">
        <v>0.29549999999999998</v>
      </c>
      <c r="F38" s="796">
        <f t="shared" si="2"/>
        <v>7.0955770203506852E-4</v>
      </c>
      <c r="G38" s="895">
        <f t="shared" si="9"/>
        <v>36885850</v>
      </c>
      <c r="H38" s="895">
        <f t="shared" si="3"/>
        <v>732833.89098108653</v>
      </c>
    </row>
    <row r="39" spans="1:8" ht="13.5">
      <c r="A39" s="2">
        <v>25</v>
      </c>
      <c r="B39" s="724">
        <f t="shared" si="4"/>
        <v>43525</v>
      </c>
      <c r="C39" s="724">
        <v>43555</v>
      </c>
      <c r="D39" s="894">
        <f t="shared" si="8"/>
        <v>31</v>
      </c>
      <c r="E39" s="796">
        <v>0.29055000000000003</v>
      </c>
      <c r="F39" s="796">
        <f t="shared" si="2"/>
        <v>6.9906199467517638E-4</v>
      </c>
      <c r="G39" s="895">
        <f t="shared" si="9"/>
        <v>36885850</v>
      </c>
      <c r="H39" s="895">
        <f t="shared" si="3"/>
        <v>799350.37216497003</v>
      </c>
    </row>
    <row r="40" spans="1:8" ht="13.5">
      <c r="A40" s="2">
        <v>26</v>
      </c>
      <c r="B40" s="724">
        <f t="shared" si="4"/>
        <v>43556</v>
      </c>
      <c r="C40" s="724">
        <v>43585</v>
      </c>
      <c r="D40" s="894">
        <f t="shared" si="8"/>
        <v>30</v>
      </c>
      <c r="E40" s="796">
        <v>0.2898</v>
      </c>
      <c r="F40" s="796">
        <f t="shared" si="2"/>
        <v>6.9746823462724095E-4</v>
      </c>
      <c r="G40" s="895">
        <f t="shared" si="9"/>
        <v>36885850</v>
      </c>
      <c r="H40" s="895">
        <f t="shared" si="3"/>
        <v>771801.26046675653</v>
      </c>
    </row>
    <row r="41" spans="1:8" ht="13.5">
      <c r="A41" s="2">
        <v>27</v>
      </c>
      <c r="B41" s="724">
        <f t="shared" si="4"/>
        <v>43586</v>
      </c>
      <c r="C41" s="724">
        <v>43616</v>
      </c>
      <c r="D41" s="894">
        <f t="shared" si="8"/>
        <v>31</v>
      </c>
      <c r="E41" s="796">
        <v>0.29009999999999997</v>
      </c>
      <c r="F41" s="796">
        <f t="shared" si="2"/>
        <v>6.9810584952367805E-4</v>
      </c>
      <c r="G41" s="895">
        <f t="shared" si="9"/>
        <v>36885850</v>
      </c>
      <c r="H41" s="895">
        <f t="shared" si="3"/>
        <v>798257.05713924172</v>
      </c>
    </row>
    <row r="42" spans="1:8" ht="13.5">
      <c r="A42" s="2">
        <v>28</v>
      </c>
      <c r="B42" s="724">
        <f t="shared" si="4"/>
        <v>43617</v>
      </c>
      <c r="C42" s="724">
        <v>43646</v>
      </c>
      <c r="D42" s="894">
        <f t="shared" si="8"/>
        <v>30</v>
      </c>
      <c r="E42" s="796">
        <v>0.28949999999999998</v>
      </c>
      <c r="F42" s="796">
        <f t="shared" si="2"/>
        <v>6.9683047181468005E-4</v>
      </c>
      <c r="G42" s="895">
        <f t="shared" si="9"/>
        <v>36885850</v>
      </c>
      <c r="H42" s="895">
        <f t="shared" si="3"/>
        <v>771095.52776356554</v>
      </c>
    </row>
    <row r="43" spans="1:8" ht="13.5">
      <c r="A43" s="2">
        <v>29</v>
      </c>
      <c r="B43" s="724">
        <f t="shared" si="4"/>
        <v>43647</v>
      </c>
      <c r="C43" s="724">
        <v>43677</v>
      </c>
      <c r="D43" s="894">
        <f t="shared" si="8"/>
        <v>31</v>
      </c>
      <c r="E43" s="796">
        <v>0.28920000000000001</v>
      </c>
      <c r="F43" s="796">
        <f t="shared" si="2"/>
        <v>6.9619256101671745E-4</v>
      </c>
      <c r="G43" s="895">
        <f t="shared" si="9"/>
        <v>36885850</v>
      </c>
      <c r="H43" s="895">
        <f t="shared" si="3"/>
        <v>796069.28568013303</v>
      </c>
    </row>
    <row r="44" spans="1:8" ht="13.5">
      <c r="A44" s="2">
        <v>30</v>
      </c>
      <c r="B44" s="724">
        <f t="shared" si="4"/>
        <v>43678</v>
      </c>
      <c r="C44" s="724">
        <v>43708</v>
      </c>
      <c r="D44" s="894">
        <f t="shared" si="8"/>
        <v>31</v>
      </c>
      <c r="E44" s="796">
        <v>0.2898</v>
      </c>
      <c r="F44" s="796">
        <f t="shared" si="2"/>
        <v>6.9746823462724095E-4</v>
      </c>
      <c r="G44" s="895">
        <f t="shared" si="9"/>
        <v>36885850</v>
      </c>
      <c r="H44" s="895">
        <f t="shared" si="3"/>
        <v>797527.96914898173</v>
      </c>
    </row>
    <row r="45" spans="1:8" ht="13.5">
      <c r="A45" s="2">
        <v>31</v>
      </c>
      <c r="B45" s="724">
        <f t="shared" si="4"/>
        <v>43709</v>
      </c>
      <c r="C45" s="724">
        <v>43738</v>
      </c>
      <c r="D45" s="894">
        <f t="shared" si="8"/>
        <v>30</v>
      </c>
      <c r="E45" s="796">
        <v>0.2898</v>
      </c>
      <c r="F45" s="796">
        <f t="shared" si="2"/>
        <v>6.9746823462724095E-4</v>
      </c>
      <c r="G45" s="895">
        <f t="shared" si="9"/>
        <v>36885850</v>
      </c>
      <c r="H45" s="895">
        <f t="shared" si="3"/>
        <v>771801.26046675653</v>
      </c>
    </row>
    <row r="46" spans="1:8" ht="13.5">
      <c r="A46" s="2">
        <v>32</v>
      </c>
      <c r="B46" s="724">
        <f t="shared" si="4"/>
        <v>43739</v>
      </c>
      <c r="C46" s="724">
        <v>43769</v>
      </c>
      <c r="D46" s="894">
        <f t="shared" si="8"/>
        <v>31</v>
      </c>
      <c r="E46" s="796">
        <v>0.28649999999999998</v>
      </c>
      <c r="F46" s="796">
        <f t="shared" si="2"/>
        <v>6.9044469314105683E-4</v>
      </c>
      <c r="G46" s="895">
        <f t="shared" si="9"/>
        <v>36885850</v>
      </c>
      <c r="H46" s="895">
        <f t="shared" si="3"/>
        <v>789496.82091940858</v>
      </c>
    </row>
    <row r="47" spans="1:8" ht="13.5">
      <c r="A47" s="2">
        <v>33</v>
      </c>
      <c r="B47" s="724">
        <f t="shared" si="4"/>
        <v>43770</v>
      </c>
      <c r="C47" s="724">
        <v>43799</v>
      </c>
      <c r="D47" s="894">
        <f t="shared" si="8"/>
        <v>30</v>
      </c>
      <c r="E47" s="796">
        <v>0.28544999999999998</v>
      </c>
      <c r="F47" s="796">
        <f t="shared" si="2"/>
        <v>6.8820616169262827E-4</v>
      </c>
      <c r="G47" s="895">
        <f t="shared" si="9"/>
        <v>36885850</v>
      </c>
      <c r="H47" s="895">
        <f t="shared" si="3"/>
        <v>761552.07747810101</v>
      </c>
    </row>
    <row r="48" spans="1:8" ht="13.5">
      <c r="A48" s="2">
        <v>34</v>
      </c>
      <c r="B48" s="724">
        <f t="shared" si="4"/>
        <v>43800</v>
      </c>
      <c r="C48" s="724">
        <v>43830</v>
      </c>
      <c r="D48" s="894">
        <f t="shared" si="8"/>
        <v>31</v>
      </c>
      <c r="E48" s="796">
        <v>0.28364999999999996</v>
      </c>
      <c r="F48" s="796">
        <f t="shared" si="2"/>
        <v>6.8436443340047504E-4</v>
      </c>
      <c r="G48" s="895">
        <f t="shared" si="9"/>
        <v>36885850</v>
      </c>
      <c r="H48" s="895">
        <f t="shared" si="3"/>
        <v>782544.2789080923</v>
      </c>
    </row>
    <row r="49" spans="1:8" ht="13.5">
      <c r="A49" s="2">
        <v>35</v>
      </c>
      <c r="B49" s="724">
        <f t="shared" si="4"/>
        <v>43831</v>
      </c>
      <c r="C49" s="724">
        <v>43861</v>
      </c>
      <c r="D49" s="894">
        <f t="shared" si="8"/>
        <v>31</v>
      </c>
      <c r="E49" s="796">
        <v>0.28155000000000002</v>
      </c>
      <c r="F49" s="796">
        <f t="shared" si="2"/>
        <v>6.7987562124560696E-4</v>
      </c>
      <c r="G49" s="895">
        <f t="shared" si="9"/>
        <v>36885850</v>
      </c>
      <c r="H49" s="895">
        <f t="shared" si="3"/>
        <v>777411.49570159044</v>
      </c>
    </row>
    <row r="50" spans="1:8" ht="13.5">
      <c r="A50" s="2">
        <v>36</v>
      </c>
      <c r="B50" s="724">
        <f t="shared" si="4"/>
        <v>43862</v>
      </c>
      <c r="C50" s="724">
        <v>43890</v>
      </c>
      <c r="D50" s="894">
        <f t="shared" si="8"/>
        <v>29</v>
      </c>
      <c r="E50" s="796">
        <v>0.28589999999999999</v>
      </c>
      <c r="F50" s="796">
        <f t="shared" si="2"/>
        <v>6.8916575551658532E-4</v>
      </c>
      <c r="G50" s="895">
        <f t="shared" si="9"/>
        <v>36885850</v>
      </c>
      <c r="H50" s="895">
        <f t="shared" si="3"/>
        <v>737193.47581052175</v>
      </c>
    </row>
    <row r="51" spans="1:8" ht="13.5">
      <c r="A51" s="2">
        <v>37</v>
      </c>
      <c r="B51" s="724">
        <f t="shared" si="4"/>
        <v>43891</v>
      </c>
      <c r="C51" s="724">
        <v>43921</v>
      </c>
      <c r="D51" s="894">
        <f t="shared" si="8"/>
        <v>31</v>
      </c>
      <c r="E51" s="796">
        <v>0.28425</v>
      </c>
      <c r="F51" s="796">
        <f t="shared" si="2"/>
        <v>6.8564560609574166E-4</v>
      </c>
      <c r="G51" s="895">
        <f t="shared" si="9"/>
        <v>36885850</v>
      </c>
      <c r="H51" s="895">
        <f t="shared" si="3"/>
        <v>784009.25036780501</v>
      </c>
    </row>
    <row r="52" spans="1:8" ht="13.5">
      <c r="A52" s="2">
        <v>38</v>
      </c>
      <c r="B52" s="724">
        <f t="shared" si="4"/>
        <v>43922</v>
      </c>
      <c r="C52" s="724">
        <v>43951</v>
      </c>
      <c r="D52" s="894">
        <f t="shared" si="8"/>
        <v>30</v>
      </c>
      <c r="E52" s="796">
        <v>0.28034999999999999</v>
      </c>
      <c r="F52" s="796">
        <f t="shared" si="2"/>
        <v>6.7730729113191224E-4</v>
      </c>
      <c r="G52" s="895">
        <f t="shared" si="9"/>
        <v>36885850</v>
      </c>
      <c r="H52" s="895">
        <f t="shared" si="3"/>
        <v>749491.65433794132</v>
      </c>
    </row>
    <row r="53" spans="1:8" ht="13.5">
      <c r="A53" s="2">
        <v>39</v>
      </c>
      <c r="B53" s="724">
        <f t="shared" si="4"/>
        <v>43952</v>
      </c>
      <c r="C53" s="724">
        <v>43982</v>
      </c>
      <c r="D53" s="894">
        <f t="shared" si="8"/>
        <v>31</v>
      </c>
      <c r="E53" s="796">
        <v>0.27285000000000004</v>
      </c>
      <c r="F53" s="796">
        <f t="shared" si="2"/>
        <v>6.6120063584418354E-4</v>
      </c>
      <c r="G53" s="895">
        <f t="shared" si="9"/>
        <v>36885850</v>
      </c>
      <c r="H53" s="895">
        <f t="shared" si="3"/>
        <v>756057.37168324855</v>
      </c>
    </row>
    <row r="54" spans="1:8" ht="13.5">
      <c r="A54" s="2">
        <v>40</v>
      </c>
      <c r="B54" s="724">
        <f t="shared" si="4"/>
        <v>43983</v>
      </c>
      <c r="C54" s="724">
        <v>44012</v>
      </c>
      <c r="D54" s="894">
        <f t="shared" si="8"/>
        <v>30</v>
      </c>
      <c r="E54" s="796">
        <v>0.27179999999999999</v>
      </c>
      <c r="F54" s="796">
        <f t="shared" si="2"/>
        <v>6.5893815469997286E-4</v>
      </c>
      <c r="G54" s="895">
        <f t="shared" si="9"/>
        <v>36885850</v>
      </c>
      <c r="H54" s="895">
        <f t="shared" si="3"/>
        <v>729164.81800619978</v>
      </c>
    </row>
    <row r="55" spans="1:8" ht="13.5">
      <c r="A55" s="2">
        <v>41</v>
      </c>
      <c r="B55" s="724">
        <f t="shared" si="4"/>
        <v>44013</v>
      </c>
      <c r="C55" s="724">
        <v>44043</v>
      </c>
      <c r="D55" s="894">
        <f t="shared" si="8"/>
        <v>31</v>
      </c>
      <c r="E55" s="796">
        <v>0.27179999999999999</v>
      </c>
      <c r="F55" s="796">
        <f t="shared" si="2"/>
        <v>6.5893815469997286E-4</v>
      </c>
      <c r="G55" s="895">
        <f t="shared" si="9"/>
        <v>36885850</v>
      </c>
      <c r="H55" s="895">
        <f t="shared" si="3"/>
        <v>753470.31193973986</v>
      </c>
    </row>
    <row r="56" spans="1:8" ht="13.5">
      <c r="A56" s="2">
        <v>42</v>
      </c>
      <c r="B56" s="724">
        <f t="shared" si="4"/>
        <v>44044</v>
      </c>
      <c r="C56" s="724">
        <v>44074</v>
      </c>
      <c r="D56" s="894">
        <f t="shared" si="8"/>
        <v>31</v>
      </c>
      <c r="E56" s="796">
        <v>0.27434999999999998</v>
      </c>
      <c r="F56" s="796">
        <f t="shared" si="2"/>
        <v>6.6442952514544906E-4</v>
      </c>
      <c r="G56" s="895">
        <f t="shared" si="9"/>
        <v>36885850</v>
      </c>
      <c r="H56" s="895">
        <f t="shared" si="3"/>
        <v>759749.48180267424</v>
      </c>
    </row>
    <row r="57" spans="1:8" ht="13.5">
      <c r="A57" s="2">
        <v>43</v>
      </c>
      <c r="B57" s="724">
        <f t="shared" si="4"/>
        <v>44075</v>
      </c>
      <c r="C57" s="724">
        <v>44104</v>
      </c>
      <c r="D57" s="894">
        <f t="shared" si="8"/>
        <v>30</v>
      </c>
      <c r="E57" s="796">
        <v>0.27524999999999999</v>
      </c>
      <c r="F57" s="796">
        <f t="shared" si="2"/>
        <v>6.6636503991857055E-4</v>
      </c>
      <c r="G57" s="895">
        <f t="shared" si="9"/>
        <v>36885850</v>
      </c>
      <c r="H57" s="895">
        <f t="shared" si="3"/>
        <v>737383.22723041207</v>
      </c>
    </row>
    <row r="58" spans="1:8" ht="13.5">
      <c r="A58" s="2">
        <v>44</v>
      </c>
      <c r="B58" s="724">
        <f t="shared" si="4"/>
        <v>44105</v>
      </c>
      <c r="C58" s="724">
        <v>44135</v>
      </c>
      <c r="D58" s="894">
        <f t="shared" si="8"/>
        <v>31</v>
      </c>
      <c r="E58" s="796">
        <v>0.27134999999999998</v>
      </c>
      <c r="F58" s="796">
        <f t="shared" si="2"/>
        <v>6.5796794962613703E-4</v>
      </c>
      <c r="G58" s="895">
        <f t="shared" si="9"/>
        <v>36885850</v>
      </c>
      <c r="H58" s="895">
        <f t="shared" si="3"/>
        <v>752360.9199362346</v>
      </c>
    </row>
    <row r="59" spans="1:8" ht="13.5">
      <c r="A59" s="2">
        <v>45</v>
      </c>
      <c r="B59" s="724">
        <f t="shared" si="4"/>
        <v>44136</v>
      </c>
      <c r="C59" s="724">
        <v>44165</v>
      </c>
      <c r="D59" s="894">
        <f t="shared" si="8"/>
        <v>30</v>
      </c>
      <c r="E59" s="796">
        <v>0.2676</v>
      </c>
      <c r="F59" s="796">
        <f t="shared" si="2"/>
        <v>6.4986956374091243E-4</v>
      </c>
      <c r="G59" s="895">
        <f t="shared" si="9"/>
        <v>36885850</v>
      </c>
      <c r="H59" s="895">
        <f t="shared" si="3"/>
        <v>719129.73743138206</v>
      </c>
    </row>
    <row r="60" spans="1:8" ht="13.5">
      <c r="A60" s="2">
        <v>46</v>
      </c>
      <c r="B60" s="724">
        <f t="shared" si="4"/>
        <v>44166</v>
      </c>
      <c r="C60" s="724">
        <v>44196</v>
      </c>
      <c r="D60" s="894">
        <f t="shared" si="8"/>
        <v>31</v>
      </c>
      <c r="E60" s="796">
        <v>0.26190000000000002</v>
      </c>
      <c r="F60" s="796">
        <f t="shared" si="2"/>
        <v>6.3751414410861962E-4</v>
      </c>
      <c r="G60" s="895">
        <f t="shared" si="9"/>
        <v>36885850</v>
      </c>
      <c r="H60" s="895">
        <f t="shared" si="3"/>
        <v>728972.78386653669</v>
      </c>
    </row>
    <row r="61" spans="1:8" ht="13.5">
      <c r="A61" s="2">
        <v>47</v>
      </c>
      <c r="B61" s="724">
        <f t="shared" si="4"/>
        <v>44197</v>
      </c>
      <c r="C61" s="724">
        <v>44227</v>
      </c>
      <c r="D61" s="894">
        <f t="shared" si="8"/>
        <v>31</v>
      </c>
      <c r="E61" s="796">
        <v>0.25979999999999998</v>
      </c>
      <c r="F61" s="796">
        <f t="shared" si="2"/>
        <v>6.3294811266723094E-4</v>
      </c>
      <c r="G61" s="895">
        <f t="shared" si="9"/>
        <v>36885850</v>
      </c>
      <c r="H61" s="895">
        <f t="shared" si="3"/>
        <v>723751.70339042402</v>
      </c>
    </row>
    <row r="62" spans="1:8" ht="13.5">
      <c r="A62" s="2">
        <v>48</v>
      </c>
      <c r="B62" s="724">
        <f t="shared" si="4"/>
        <v>44228</v>
      </c>
      <c r="C62" s="724">
        <v>44255</v>
      </c>
      <c r="D62" s="894">
        <f t="shared" si="8"/>
        <v>28</v>
      </c>
      <c r="E62" s="796">
        <v>0.2631</v>
      </c>
      <c r="F62" s="796">
        <f t="shared" si="2"/>
        <v>6.4011990387169426E-4</v>
      </c>
      <c r="G62" s="895">
        <f t="shared" si="9"/>
        <v>36885850</v>
      </c>
      <c r="H62" s="895">
        <f t="shared" si="3"/>
        <v>661118.26917432051</v>
      </c>
    </row>
    <row r="63" spans="1:8" ht="13.5">
      <c r="A63" s="2">
        <v>49</v>
      </c>
      <c r="B63" s="724">
        <f t="shared" si="4"/>
        <v>44256</v>
      </c>
      <c r="C63" s="724">
        <v>44286</v>
      </c>
      <c r="D63" s="894">
        <f t="shared" si="8"/>
        <v>31</v>
      </c>
      <c r="E63" s="796">
        <v>0.26114999999999999</v>
      </c>
      <c r="F63" s="796">
        <f t="shared" si="2"/>
        <v>6.3588428907812578E-4</v>
      </c>
      <c r="G63" s="895">
        <f t="shared" si="9"/>
        <v>36885850</v>
      </c>
      <c r="H63" s="895">
        <f t="shared" si="3"/>
        <v>727109.10763306392</v>
      </c>
    </row>
    <row r="64" spans="1:8" ht="13.5">
      <c r="A64" s="2">
        <v>50</v>
      </c>
      <c r="B64" s="724">
        <f t="shared" si="4"/>
        <v>44287</v>
      </c>
      <c r="C64" s="724">
        <v>44316</v>
      </c>
      <c r="D64" s="894">
        <f t="shared" si="8"/>
        <v>30</v>
      </c>
      <c r="E64" s="796">
        <v>0.25964999999999999</v>
      </c>
      <c r="F64" s="796">
        <f t="shared" si="2"/>
        <v>6.326216771728177E-4</v>
      </c>
      <c r="G64" s="895">
        <f t="shared" si="9"/>
        <v>36885850</v>
      </c>
      <c r="H64" s="895">
        <f t="shared" si="3"/>
        <v>700043.64872834925</v>
      </c>
    </row>
    <row r="65" spans="1:9" ht="13.5">
      <c r="A65" s="2">
        <v>51</v>
      </c>
      <c r="B65" s="724">
        <f t="shared" si="4"/>
        <v>44317</v>
      </c>
      <c r="C65" s="724">
        <v>44347</v>
      </c>
      <c r="D65" s="894">
        <f t="shared" si="8"/>
        <v>31</v>
      </c>
      <c r="E65" s="796">
        <v>0.25829999999999997</v>
      </c>
      <c r="F65" s="796">
        <f t="shared" si="2"/>
        <v>6.2968201205726437E-4</v>
      </c>
      <c r="G65" s="895">
        <f t="shared" si="9"/>
        <v>36885850</v>
      </c>
      <c r="H65" s="895">
        <f t="shared" si="3"/>
        <v>720017.04357771587</v>
      </c>
    </row>
    <row r="66" spans="1:9" ht="13.5">
      <c r="A66" s="2">
        <v>52</v>
      </c>
      <c r="B66" s="724">
        <f t="shared" si="4"/>
        <v>44348</v>
      </c>
      <c r="C66" s="724">
        <v>44377</v>
      </c>
      <c r="D66" s="894">
        <f t="shared" si="8"/>
        <v>30</v>
      </c>
      <c r="E66" s="796">
        <v>0.25814999999999999</v>
      </c>
      <c r="F66" s="796">
        <f t="shared" si="2"/>
        <v>6.2935518846773952E-4</v>
      </c>
      <c r="G66" s="895">
        <f t="shared" ref="G66:G72" si="10">G65+I65</f>
        <v>36885850</v>
      </c>
      <c r="H66" s="895">
        <f t="shared" si="3"/>
        <v>696429.03235628305</v>
      </c>
    </row>
    <row r="67" spans="1:9" s="374" customFormat="1" ht="13.5">
      <c r="A67" s="2">
        <v>53</v>
      </c>
      <c r="B67" s="724">
        <f t="shared" si="4"/>
        <v>44378</v>
      </c>
      <c r="C67" s="724">
        <v>44408</v>
      </c>
      <c r="D67" s="894">
        <f t="shared" si="8"/>
        <v>31</v>
      </c>
      <c r="E67" s="796">
        <f>17.18%*1.5</f>
        <v>0.25770000000000004</v>
      </c>
      <c r="F67" s="796">
        <f t="shared" si="2"/>
        <v>6.2837448450037137E-4</v>
      </c>
      <c r="G67" s="895">
        <f t="shared" si="10"/>
        <v>36885850</v>
      </c>
      <c r="H67" s="895">
        <f>+G67*F67*D67</f>
        <v>718521.93635234877</v>
      </c>
      <c r="I67"/>
    </row>
    <row r="68" spans="1:9" s="374" customFormat="1" ht="13.5">
      <c r="A68" s="2">
        <v>54</v>
      </c>
      <c r="B68" s="724">
        <f t="shared" si="4"/>
        <v>44409</v>
      </c>
      <c r="C68" s="724">
        <v>44439</v>
      </c>
      <c r="D68" s="894">
        <f t="shared" si="8"/>
        <v>31</v>
      </c>
      <c r="E68" s="796">
        <f>17.24%*1.5</f>
        <v>0.2586</v>
      </c>
      <c r="F68" s="796">
        <f t="shared" si="2"/>
        <v>6.3033554269220637E-4</v>
      </c>
      <c r="G68" s="895">
        <f t="shared" si="10"/>
        <v>36885850</v>
      </c>
      <c r="H68" s="895">
        <f t="shared" si="3"/>
        <v>720764.33059981291</v>
      </c>
      <c r="I68"/>
    </row>
    <row r="69" spans="1:9" s="374" customFormat="1" ht="13.5">
      <c r="A69" s="2">
        <v>55</v>
      </c>
      <c r="B69" s="724">
        <f t="shared" si="4"/>
        <v>44440</v>
      </c>
      <c r="C69" s="724">
        <v>44469</v>
      </c>
      <c r="D69" s="894">
        <f>_xlfn.DAYS(C69,B69)+1</f>
        <v>30</v>
      </c>
      <c r="E69" s="796">
        <f>17.19%*1.5</f>
        <v>0.25785000000000002</v>
      </c>
      <c r="F69" s="796">
        <f t="shared" si="2"/>
        <v>6.2870142469861889E-4</v>
      </c>
      <c r="G69" s="895">
        <f t="shared" si="10"/>
        <v>36885850</v>
      </c>
      <c r="H69" s="895">
        <f>+G69*F69*D69</f>
        <v>695705.59338658652</v>
      </c>
      <c r="I69"/>
    </row>
    <row r="70" spans="1:9" s="374" customFormat="1" ht="13.5">
      <c r="A70" s="2">
        <v>56</v>
      </c>
      <c r="B70" s="724">
        <f t="shared" si="4"/>
        <v>44470</v>
      </c>
      <c r="C70" s="724">
        <v>44500</v>
      </c>
      <c r="D70" s="894">
        <f>_xlfn.DAYS(C70,B70)+1</f>
        <v>31</v>
      </c>
      <c r="E70" s="796">
        <f>17.08%*1.5</f>
        <v>0.25619999999999998</v>
      </c>
      <c r="F70" s="796">
        <f t="shared" si="2"/>
        <v>6.2510294214179751E-4</v>
      </c>
      <c r="G70" s="895">
        <f t="shared" si="10"/>
        <v>36885850</v>
      </c>
      <c r="H70" s="895">
        <f>+G70*F70*D70</f>
        <v>714781.05411043158</v>
      </c>
      <c r="I70"/>
    </row>
    <row r="71" spans="1:9" s="374" customFormat="1" ht="13.5">
      <c r="A71" s="2">
        <v>57</v>
      </c>
      <c r="B71" s="724">
        <f t="shared" si="4"/>
        <v>44501</v>
      </c>
      <c r="C71" s="724">
        <v>44530</v>
      </c>
      <c r="D71" s="894">
        <f>_xlfn.DAYS(C71,B71)+1</f>
        <v>30</v>
      </c>
      <c r="E71" s="796">
        <f>17.27%*1.5</f>
        <v>0.25905</v>
      </c>
      <c r="F71" s="796">
        <f>(1+E71)^(1/365)-1</f>
        <v>6.3131554742335005E-4</v>
      </c>
      <c r="G71" s="895">
        <f t="shared" si="10"/>
        <v>36885850</v>
      </c>
      <c r="H71" s="895">
        <f>+G71*F71*D71</f>
        <v>698598.31754776731</v>
      </c>
      <c r="I71"/>
    </row>
    <row r="72" spans="1:9" s="374" customFormat="1" ht="13.5">
      <c r="A72" s="2">
        <v>58</v>
      </c>
      <c r="B72" s="724">
        <f t="shared" si="4"/>
        <v>44531</v>
      </c>
      <c r="C72" s="724">
        <v>44544</v>
      </c>
      <c r="D72" s="894">
        <f>_xlfn.DAYS(C72,B72)+1</f>
        <v>14</v>
      </c>
      <c r="E72" s="796">
        <f>17.08%*1.5</f>
        <v>0.25619999999999998</v>
      </c>
      <c r="F72" s="796">
        <f>(1+E72)^(1/365)-1</f>
        <v>6.2510294214179751E-4</v>
      </c>
      <c r="G72" s="895">
        <f t="shared" si="10"/>
        <v>36885850</v>
      </c>
      <c r="H72" s="895">
        <f>+G72*F72*D72</f>
        <v>322804.34701761429</v>
      </c>
      <c r="I72"/>
    </row>
    <row r="73" spans="1:9" ht="13.5">
      <c r="B73" s="791"/>
      <c r="C73" s="791"/>
      <c r="D73" s="791"/>
      <c r="E73" s="791"/>
      <c r="F73" s="951" t="s">
        <v>338</v>
      </c>
      <c r="G73" s="1002"/>
      <c r="H73" s="1003">
        <f>SUM(H15:H72)</f>
        <v>40062482.424817294</v>
      </c>
    </row>
    <row r="74" spans="1:9" ht="19.5" customHeight="1" thickBot="1">
      <c r="B74" s="2570" t="s">
        <v>55</v>
      </c>
      <c r="C74" s="2571"/>
      <c r="D74" s="791"/>
      <c r="E74" s="791"/>
      <c r="F74" s="791"/>
      <c r="G74" s="978" t="s">
        <v>339</v>
      </c>
      <c r="H74" s="940">
        <f>+D10+H73</f>
        <v>76948332.424817294</v>
      </c>
    </row>
    <row r="75" spans="1:9" ht="14.25" thickTop="1">
      <c r="B75" s="726" t="s">
        <v>56</v>
      </c>
      <c r="C75" s="726"/>
      <c r="D75" s="791"/>
      <c r="E75" s="791"/>
      <c r="F75" s="791"/>
      <c r="G75" s="791"/>
      <c r="H75" s="791"/>
    </row>
    <row r="76" spans="1:9" ht="13.5">
      <c r="B76" s="741" t="s">
        <v>133</v>
      </c>
      <c r="C76" s="857">
        <f>+G15</f>
        <v>36885850</v>
      </c>
      <c r="D76" s="791"/>
      <c r="E76" s="791"/>
      <c r="F76" s="791"/>
      <c r="G76" s="791"/>
      <c r="H76" s="791"/>
    </row>
    <row r="77" spans="1:9" ht="25.5">
      <c r="B77" s="1004" t="s">
        <v>134</v>
      </c>
      <c r="C77" s="858">
        <f>+H73</f>
        <v>40062482.424817294</v>
      </c>
      <c r="D77" s="791"/>
      <c r="E77" s="791"/>
      <c r="F77" s="791"/>
      <c r="G77" s="791"/>
      <c r="H77" s="791"/>
    </row>
    <row r="78" spans="1:9" ht="14.25" thickBot="1">
      <c r="B78" s="817" t="s">
        <v>61</v>
      </c>
      <c r="C78" s="859">
        <f>+C76+C77</f>
        <v>76948332.424817294</v>
      </c>
      <c r="D78" s="791"/>
      <c r="E78" s="791"/>
      <c r="F78" s="791"/>
      <c r="G78" s="791"/>
      <c r="H78" s="791"/>
    </row>
    <row r="79" spans="1:9" ht="13.5" thickTop="1">
      <c r="B79" s="236" t="s">
        <v>62</v>
      </c>
      <c r="C79" s="147"/>
      <c r="D79" s="147"/>
      <c r="E79" s="147"/>
      <c r="F79" s="147"/>
      <c r="G79" s="147"/>
      <c r="H79" s="147"/>
    </row>
    <row r="80" spans="1:9">
      <c r="B80" s="234"/>
      <c r="C80" s="147"/>
      <c r="D80" s="147"/>
      <c r="E80" s="147"/>
      <c r="F80" s="147"/>
      <c r="G80" s="147"/>
      <c r="H80" s="147"/>
    </row>
    <row r="81" spans="2:8">
      <c r="B81" s="234"/>
      <c r="C81" s="147"/>
      <c r="D81" s="147"/>
      <c r="E81" s="147"/>
      <c r="F81" s="147"/>
      <c r="G81" s="147"/>
      <c r="H81" s="147"/>
    </row>
    <row r="82" spans="2:8">
      <c r="B82" s="476" t="s">
        <v>63</v>
      </c>
      <c r="C82" s="147"/>
      <c r="D82" s="147"/>
      <c r="E82" s="147"/>
      <c r="F82" s="147"/>
      <c r="G82" s="147"/>
      <c r="H82" s="147"/>
    </row>
    <row r="83" spans="2:8">
      <c r="B83" s="476" t="s">
        <v>64</v>
      </c>
      <c r="C83" s="147"/>
      <c r="D83" s="147"/>
      <c r="E83" s="147"/>
      <c r="F83" s="147"/>
      <c r="G83" s="147"/>
      <c r="H83" s="147"/>
    </row>
    <row r="84" spans="2:8">
      <c r="B84" s="236" t="s">
        <v>65</v>
      </c>
      <c r="C84" s="147"/>
      <c r="D84" s="147"/>
      <c r="E84" s="147"/>
      <c r="F84" s="147"/>
      <c r="G84" s="147"/>
      <c r="H84" s="147"/>
    </row>
    <row r="85" spans="2:8">
      <c r="B85" s="147"/>
      <c r="C85" s="147"/>
      <c r="D85" s="147"/>
      <c r="E85" s="147"/>
      <c r="F85" s="147"/>
      <c r="G85" s="147"/>
      <c r="H85" s="147"/>
    </row>
  </sheetData>
  <mergeCells count="3">
    <mergeCell ref="B13:H13"/>
    <mergeCell ref="B74:C74"/>
    <mergeCell ref="C1:D1"/>
  </mergeCells>
  <pageMargins left="0.7" right="0.7" top="0.75" bottom="0.75" header="0.3" footer="0.3"/>
  <pageSetup paperSize="135" scale="9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3ED24-E8CA-49D5-A887-EEB6F36F9986}">
  <sheetPr codeName="Hoja12"/>
  <dimension ref="A2:O141"/>
  <sheetViews>
    <sheetView zoomScaleNormal="100" workbookViewId="0">
      <selection activeCell="E136" sqref="E136"/>
    </sheetView>
  </sheetViews>
  <sheetFormatPr defaultColWidth="9.140625" defaultRowHeight="12.75"/>
  <cols>
    <col min="1" max="1" width="4.42578125" style="217" customWidth="1"/>
    <col min="2" max="2" width="17.7109375" style="217" customWidth="1"/>
    <col min="3" max="3" width="19.42578125" style="217" customWidth="1"/>
    <col min="4" max="4" width="11.42578125" style="217" customWidth="1"/>
    <col min="5" max="5" width="15.5703125" style="217" customWidth="1"/>
    <col min="6" max="6" width="13.28515625" style="659" customWidth="1"/>
    <col min="7" max="7" width="20.42578125" style="217" customWidth="1"/>
    <col min="8" max="8" width="7.85546875" style="475" customWidth="1"/>
    <col min="9" max="9" width="20" style="217" bestFit="1" customWidth="1"/>
    <col min="10" max="10" width="18.140625" style="217" bestFit="1" customWidth="1"/>
    <col min="11" max="11" width="16.5703125" style="217" bestFit="1" customWidth="1"/>
    <col min="12" max="12" width="14.42578125" style="217" bestFit="1" customWidth="1"/>
    <col min="13" max="13" width="11.42578125" style="217" customWidth="1"/>
    <col min="14" max="14" width="5.7109375" style="640" customWidth="1"/>
    <col min="15" max="15" width="15.42578125" style="217" bestFit="1" customWidth="1"/>
    <col min="16" max="257" width="11.42578125" style="217" customWidth="1"/>
    <col min="258" max="16384" width="9.140625" style="217"/>
  </cols>
  <sheetData>
    <row r="2" spans="1:14" ht="56.25" customHeight="1">
      <c r="B2" s="658" t="s">
        <v>0</v>
      </c>
      <c r="C2" s="916" t="s">
        <v>340</v>
      </c>
    </row>
    <row r="3" spans="1:14">
      <c r="B3" s="219" t="s">
        <v>67</v>
      </c>
      <c r="C3" s="660">
        <v>782985430.75</v>
      </c>
    </row>
    <row r="4" spans="1:14">
      <c r="B4" s="219" t="s">
        <v>124</v>
      </c>
      <c r="C4" s="237" t="s">
        <v>341</v>
      </c>
    </row>
    <row r="5" spans="1:14">
      <c r="B5" s="219" t="s">
        <v>331</v>
      </c>
      <c r="C5" s="216" t="s">
        <v>342</v>
      </c>
    </row>
    <row r="6" spans="1:14">
      <c r="B6" s="661" t="s">
        <v>343</v>
      </c>
    </row>
    <row r="7" spans="1:14">
      <c r="B7" s="2574" t="s">
        <v>172</v>
      </c>
      <c r="C7" s="2574"/>
      <c r="D7" s="2574"/>
      <c r="E7" s="2574"/>
      <c r="F7" s="2574"/>
      <c r="G7" s="2574"/>
      <c r="H7" s="2574"/>
      <c r="I7" s="2574"/>
    </row>
    <row r="8" spans="1:14">
      <c r="B8" s="502" t="s">
        <v>206</v>
      </c>
      <c r="C8" s="502" t="s">
        <v>10</v>
      </c>
      <c r="D8" s="219" t="s">
        <v>148</v>
      </c>
      <c r="E8" s="219" t="s">
        <v>149</v>
      </c>
      <c r="F8" s="662" t="s">
        <v>88</v>
      </c>
      <c r="G8" s="647" t="s">
        <v>129</v>
      </c>
      <c r="H8" s="647" t="s">
        <v>86</v>
      </c>
      <c r="I8" s="583" t="s">
        <v>344</v>
      </c>
      <c r="J8" s="222"/>
      <c r="K8" s="218"/>
      <c r="L8" s="218"/>
      <c r="M8" s="218"/>
      <c r="N8" s="663"/>
    </row>
    <row r="9" spans="1:14">
      <c r="A9" s="216">
        <v>1</v>
      </c>
      <c r="B9" s="440">
        <v>40985</v>
      </c>
      <c r="C9" s="440">
        <v>40999</v>
      </c>
      <c r="D9" s="538">
        <v>0.19919999999999999</v>
      </c>
      <c r="E9" s="538">
        <f t="shared" ref="E9:E72" si="0">+D9*1.5</f>
        <v>0.29879999999999995</v>
      </c>
      <c r="F9" s="664">
        <f t="shared" ref="F9:F72" si="1">(1+E9)^(1/365)-1</f>
        <v>7.1653264516413628E-4</v>
      </c>
      <c r="G9" s="665">
        <v>782985432.75</v>
      </c>
      <c r="H9" s="666">
        <f t="shared" ref="H9:H72" si="2">_xlfn.DAYS(C9,B9)+1</f>
        <v>15</v>
      </c>
      <c r="I9" s="585">
        <f t="shared" ref="I9:I72" si="3">+H9*F9*G9</f>
        <v>8415519.3488001525</v>
      </c>
      <c r="J9" s="222"/>
      <c r="K9" s="218"/>
      <c r="L9" s="218"/>
      <c r="M9" s="218"/>
      <c r="N9" s="663"/>
    </row>
    <row r="10" spans="1:14">
      <c r="A10" s="216">
        <v>2</v>
      </c>
      <c r="B10" s="440">
        <v>41000</v>
      </c>
      <c r="C10" s="440">
        <v>41029</v>
      </c>
      <c r="D10" s="538">
        <v>0.20519999999999999</v>
      </c>
      <c r="E10" s="538">
        <f t="shared" si="0"/>
        <v>0.30779999999999996</v>
      </c>
      <c r="F10" s="664">
        <f t="shared" si="1"/>
        <v>7.3546576390448593E-4</v>
      </c>
      <c r="G10" s="665">
        <v>782985433.75</v>
      </c>
      <c r="H10" s="666">
        <f t="shared" si="2"/>
        <v>30</v>
      </c>
      <c r="I10" s="585">
        <f t="shared" si="3"/>
        <v>17275769.40477087</v>
      </c>
      <c r="J10" s="222"/>
      <c r="K10" s="218"/>
      <c r="L10" s="218"/>
      <c r="M10" s="218"/>
      <c r="N10" s="663"/>
    </row>
    <row r="11" spans="1:14">
      <c r="A11" s="216">
        <v>3</v>
      </c>
      <c r="B11" s="440">
        <v>41030</v>
      </c>
      <c r="C11" s="440">
        <v>41060</v>
      </c>
      <c r="D11" s="538">
        <v>0.20519999999999999</v>
      </c>
      <c r="E11" s="538">
        <f t="shared" si="0"/>
        <v>0.30779999999999996</v>
      </c>
      <c r="F11" s="664">
        <f t="shared" si="1"/>
        <v>7.3546576390448593E-4</v>
      </c>
      <c r="G11" s="665">
        <v>782985434.75</v>
      </c>
      <c r="H11" s="666">
        <f t="shared" si="2"/>
        <v>31</v>
      </c>
      <c r="I11" s="585">
        <f t="shared" si="3"/>
        <v>17851628.407729339</v>
      </c>
      <c r="J11" s="222"/>
      <c r="K11" s="218"/>
      <c r="L11" s="218"/>
      <c r="M11" s="218"/>
      <c r="N11" s="663"/>
    </row>
    <row r="12" spans="1:14">
      <c r="A12" s="216">
        <v>4</v>
      </c>
      <c r="B12" s="440">
        <v>41061</v>
      </c>
      <c r="C12" s="440">
        <v>41090</v>
      </c>
      <c r="D12" s="538">
        <v>0.20519999999999999</v>
      </c>
      <c r="E12" s="538">
        <f t="shared" si="0"/>
        <v>0.30779999999999996</v>
      </c>
      <c r="F12" s="664">
        <f t="shared" si="1"/>
        <v>7.3546576390448593E-4</v>
      </c>
      <c r="G12" s="665">
        <v>782985435.75</v>
      </c>
      <c r="H12" s="666">
        <f t="shared" si="2"/>
        <v>30</v>
      </c>
      <c r="I12" s="585">
        <f t="shared" si="3"/>
        <v>17275769.448898815</v>
      </c>
      <c r="J12" s="222"/>
      <c r="K12" s="218"/>
      <c r="L12" s="218"/>
      <c r="M12" s="218"/>
      <c r="N12" s="663"/>
    </row>
    <row r="13" spans="1:14">
      <c r="A13" s="216">
        <v>5</v>
      </c>
      <c r="B13" s="440">
        <v>41091</v>
      </c>
      <c r="C13" s="440">
        <v>41121</v>
      </c>
      <c r="D13" s="538">
        <v>0.20860000000000001</v>
      </c>
      <c r="E13" s="538">
        <f t="shared" si="0"/>
        <v>0.31290000000000001</v>
      </c>
      <c r="F13" s="664">
        <f t="shared" si="1"/>
        <v>7.4613693673164505E-4</v>
      </c>
      <c r="G13" s="665">
        <v>782985436.75</v>
      </c>
      <c r="H13" s="666">
        <f t="shared" si="2"/>
        <v>31</v>
      </c>
      <c r="I13" s="585">
        <f t="shared" si="3"/>
        <v>18110645.013746161</v>
      </c>
      <c r="J13" s="222"/>
      <c r="K13" s="218"/>
      <c r="L13" s="218"/>
      <c r="M13" s="218"/>
      <c r="N13" s="663"/>
    </row>
    <row r="14" spans="1:14">
      <c r="A14" s="216">
        <v>6</v>
      </c>
      <c r="B14" s="440">
        <v>41122</v>
      </c>
      <c r="C14" s="440">
        <v>41152</v>
      </c>
      <c r="D14" s="538">
        <v>0.20860000000000001</v>
      </c>
      <c r="E14" s="538">
        <f t="shared" si="0"/>
        <v>0.31290000000000001</v>
      </c>
      <c r="F14" s="664">
        <f t="shared" si="1"/>
        <v>7.4613693673164505E-4</v>
      </c>
      <c r="G14" s="665">
        <v>782985437.75</v>
      </c>
      <c r="H14" s="666">
        <f t="shared" si="2"/>
        <v>31</v>
      </c>
      <c r="I14" s="585">
        <f t="shared" si="3"/>
        <v>18110645.036876407</v>
      </c>
      <c r="J14" s="222"/>
      <c r="K14" s="218"/>
      <c r="L14" s="218"/>
      <c r="M14" s="218"/>
      <c r="N14" s="663"/>
    </row>
    <row r="15" spans="1:14">
      <c r="A15" s="216">
        <v>7</v>
      </c>
      <c r="B15" s="440">
        <v>41153</v>
      </c>
      <c r="C15" s="440">
        <v>41182</v>
      </c>
      <c r="D15" s="538">
        <v>0.20860000000000001</v>
      </c>
      <c r="E15" s="538">
        <f t="shared" si="0"/>
        <v>0.31290000000000001</v>
      </c>
      <c r="F15" s="664">
        <f t="shared" si="1"/>
        <v>7.4613693673164505E-4</v>
      </c>
      <c r="G15" s="665">
        <v>782985438.75</v>
      </c>
      <c r="H15" s="666">
        <f t="shared" si="2"/>
        <v>30</v>
      </c>
      <c r="I15" s="585">
        <f t="shared" si="3"/>
        <v>17526430.703232244</v>
      </c>
      <c r="J15" s="222"/>
      <c r="K15" s="218"/>
      <c r="L15" s="218"/>
      <c r="M15" s="218"/>
      <c r="N15" s="663"/>
    </row>
    <row r="16" spans="1:14">
      <c r="A16" s="216">
        <v>8</v>
      </c>
      <c r="B16" s="440">
        <v>41183</v>
      </c>
      <c r="C16" s="440">
        <v>41213</v>
      </c>
      <c r="D16" s="538">
        <v>0.2089</v>
      </c>
      <c r="E16" s="538">
        <f t="shared" si="0"/>
        <v>0.31335000000000002</v>
      </c>
      <c r="F16" s="664">
        <f t="shared" si="1"/>
        <v>7.470765252692857E-4</v>
      </c>
      <c r="G16" s="665">
        <v>782985439.75</v>
      </c>
      <c r="H16" s="666">
        <f t="shared" si="2"/>
        <v>31</v>
      </c>
      <c r="I16" s="585">
        <f t="shared" si="3"/>
        <v>18133451.291611083</v>
      </c>
      <c r="J16" s="222"/>
      <c r="K16" s="218"/>
      <c r="L16" s="218"/>
      <c r="M16" s="218"/>
      <c r="N16" s="663"/>
    </row>
    <row r="17" spans="1:14">
      <c r="A17" s="216">
        <v>9</v>
      </c>
      <c r="B17" s="440">
        <v>41214</v>
      </c>
      <c r="C17" s="440">
        <v>41243</v>
      </c>
      <c r="D17" s="538">
        <v>0.2089</v>
      </c>
      <c r="E17" s="538">
        <f t="shared" si="0"/>
        <v>0.31335000000000002</v>
      </c>
      <c r="F17" s="664">
        <f t="shared" si="1"/>
        <v>7.470765252692857E-4</v>
      </c>
      <c r="G17" s="665">
        <v>782985440.75</v>
      </c>
      <c r="H17" s="666">
        <f t="shared" si="2"/>
        <v>30</v>
      </c>
      <c r="I17" s="585">
        <f t="shared" si="3"/>
        <v>17548501.272358507</v>
      </c>
      <c r="J17" s="222"/>
      <c r="K17" s="218"/>
      <c r="L17" s="218"/>
      <c r="M17" s="218"/>
      <c r="N17" s="663"/>
    </row>
    <row r="18" spans="1:14">
      <c r="A18" s="216">
        <v>10</v>
      </c>
      <c r="B18" s="440">
        <v>41244</v>
      </c>
      <c r="C18" s="440">
        <v>41274</v>
      </c>
      <c r="D18" s="538">
        <v>0.2089</v>
      </c>
      <c r="E18" s="538">
        <f t="shared" si="0"/>
        <v>0.31335000000000002</v>
      </c>
      <c r="F18" s="664">
        <f t="shared" si="1"/>
        <v>7.470765252692857E-4</v>
      </c>
      <c r="G18" s="665">
        <v>782985441.75</v>
      </c>
      <c r="H18" s="666">
        <f t="shared" si="2"/>
        <v>31</v>
      </c>
      <c r="I18" s="585">
        <f t="shared" si="3"/>
        <v>18133451.337929826</v>
      </c>
      <c r="J18" s="222"/>
      <c r="K18" s="218"/>
      <c r="L18" s="218"/>
      <c r="M18" s="218"/>
      <c r="N18" s="663"/>
    </row>
    <row r="19" spans="1:14">
      <c r="A19" s="216">
        <v>11</v>
      </c>
      <c r="B19" s="440">
        <v>41275</v>
      </c>
      <c r="C19" s="440">
        <v>41305</v>
      </c>
      <c r="D19" s="538">
        <v>0.20749999999999999</v>
      </c>
      <c r="E19" s="538">
        <f t="shared" si="0"/>
        <v>0.31124999999999997</v>
      </c>
      <c r="F19" s="664">
        <f t="shared" si="1"/>
        <v>7.4268902887886235E-4</v>
      </c>
      <c r="G19" s="665">
        <v>782985442.75</v>
      </c>
      <c r="H19" s="666">
        <f t="shared" si="2"/>
        <v>31</v>
      </c>
      <c r="I19" s="585">
        <f t="shared" si="3"/>
        <v>18026955.641170792</v>
      </c>
      <c r="J19" s="222"/>
      <c r="K19" s="218"/>
      <c r="L19" s="218"/>
      <c r="M19" s="218"/>
      <c r="N19" s="663"/>
    </row>
    <row r="20" spans="1:14">
      <c r="A20" s="216">
        <v>12</v>
      </c>
      <c r="B20" s="440">
        <v>41306</v>
      </c>
      <c r="C20" s="440">
        <v>41333</v>
      </c>
      <c r="D20" s="538">
        <v>0.20749999999999999</v>
      </c>
      <c r="E20" s="538">
        <f t="shared" si="0"/>
        <v>0.31124999999999997</v>
      </c>
      <c r="F20" s="664">
        <f t="shared" si="1"/>
        <v>7.4268902887886235E-4</v>
      </c>
      <c r="G20" s="665">
        <v>782985443.75</v>
      </c>
      <c r="H20" s="666">
        <f t="shared" si="2"/>
        <v>28</v>
      </c>
      <c r="I20" s="585">
        <f t="shared" si="3"/>
        <v>16282411.567659233</v>
      </c>
      <c r="J20" s="222"/>
      <c r="K20" s="218"/>
      <c r="L20" s="218"/>
      <c r="M20" s="218"/>
      <c r="N20" s="663"/>
    </row>
    <row r="21" spans="1:14">
      <c r="A21" s="216">
        <v>13</v>
      </c>
      <c r="B21" s="440">
        <v>41334</v>
      </c>
      <c r="C21" s="440">
        <v>41364</v>
      </c>
      <c r="D21" s="538">
        <v>0.20749999999999999</v>
      </c>
      <c r="E21" s="538">
        <f t="shared" si="0"/>
        <v>0.31124999999999997</v>
      </c>
      <c r="F21" s="664">
        <f t="shared" si="1"/>
        <v>7.4268902887886235E-4</v>
      </c>
      <c r="G21" s="665">
        <v>782985444.75</v>
      </c>
      <c r="H21" s="666">
        <f t="shared" si="2"/>
        <v>31</v>
      </c>
      <c r="I21" s="585">
        <f t="shared" si="3"/>
        <v>18026955.687217511</v>
      </c>
      <c r="J21" s="222"/>
      <c r="K21" s="218"/>
      <c r="L21" s="218"/>
      <c r="M21" s="218"/>
      <c r="N21" s="663"/>
    </row>
    <row r="22" spans="1:14">
      <c r="A22" s="216">
        <v>14</v>
      </c>
      <c r="B22" s="440">
        <v>41365</v>
      </c>
      <c r="C22" s="440">
        <v>41394</v>
      </c>
      <c r="D22" s="538">
        <v>0.20830000000000001</v>
      </c>
      <c r="E22" s="538">
        <f t="shared" si="0"/>
        <v>0.31245000000000001</v>
      </c>
      <c r="F22" s="664">
        <f t="shared" si="1"/>
        <v>7.4519702697495305E-4</v>
      </c>
      <c r="G22" s="665">
        <v>782985445.75</v>
      </c>
      <c r="H22" s="666">
        <f t="shared" si="2"/>
        <v>30</v>
      </c>
      <c r="I22" s="585">
        <f t="shared" si="3"/>
        <v>17504352.790126752</v>
      </c>
      <c r="J22" s="222"/>
      <c r="K22" s="218"/>
      <c r="L22" s="218"/>
      <c r="M22" s="218"/>
      <c r="N22" s="663"/>
    </row>
    <row r="23" spans="1:14">
      <c r="A23" s="216">
        <v>15</v>
      </c>
      <c r="B23" s="440">
        <v>41395</v>
      </c>
      <c r="C23" s="440">
        <v>41425</v>
      </c>
      <c r="D23" s="538">
        <v>0.20830000000000001</v>
      </c>
      <c r="E23" s="538">
        <f t="shared" si="0"/>
        <v>0.31245000000000001</v>
      </c>
      <c r="F23" s="664">
        <f t="shared" si="1"/>
        <v>7.4519702697495305E-4</v>
      </c>
      <c r="G23" s="665">
        <v>782985446.75</v>
      </c>
      <c r="H23" s="666">
        <f t="shared" si="2"/>
        <v>31</v>
      </c>
      <c r="I23" s="585">
        <f t="shared" si="3"/>
        <v>18087831.239565417</v>
      </c>
      <c r="J23" s="222"/>
      <c r="K23" s="218"/>
      <c r="L23" s="218"/>
      <c r="M23" s="218"/>
      <c r="N23" s="663"/>
    </row>
    <row r="24" spans="1:14">
      <c r="A24" s="216">
        <v>16</v>
      </c>
      <c r="B24" s="440">
        <v>41426</v>
      </c>
      <c r="C24" s="440">
        <v>41455</v>
      </c>
      <c r="D24" s="538">
        <v>0.20830000000000001</v>
      </c>
      <c r="E24" s="538">
        <f t="shared" si="0"/>
        <v>0.31245000000000001</v>
      </c>
      <c r="F24" s="664">
        <f t="shared" si="1"/>
        <v>7.4519702697495305E-4</v>
      </c>
      <c r="G24" s="665">
        <v>782985447.75</v>
      </c>
      <c r="H24" s="666">
        <f t="shared" si="2"/>
        <v>30</v>
      </c>
      <c r="I24" s="585">
        <f t="shared" si="3"/>
        <v>17504352.834838573</v>
      </c>
      <c r="J24" s="222"/>
      <c r="K24" s="218"/>
      <c r="L24" s="218"/>
      <c r="M24" s="218"/>
      <c r="N24" s="663"/>
    </row>
    <row r="25" spans="1:14">
      <c r="A25" s="216">
        <v>17</v>
      </c>
      <c r="B25" s="440">
        <v>41456</v>
      </c>
      <c r="C25" s="440">
        <v>41486</v>
      </c>
      <c r="D25" s="538">
        <v>0.2034</v>
      </c>
      <c r="E25" s="538">
        <f t="shared" si="0"/>
        <v>0.30509999999999998</v>
      </c>
      <c r="F25" s="664">
        <f t="shared" si="1"/>
        <v>7.29799506196116E-4</v>
      </c>
      <c r="G25" s="665">
        <v>782985448.75</v>
      </c>
      <c r="H25" s="666">
        <f t="shared" si="2"/>
        <v>31</v>
      </c>
      <c r="I25" s="585">
        <f t="shared" si="3"/>
        <v>17714094.209551323</v>
      </c>
      <c r="J25" s="222"/>
      <c r="K25" s="218"/>
      <c r="L25" s="218"/>
      <c r="M25" s="218"/>
      <c r="N25" s="663"/>
    </row>
    <row r="26" spans="1:14">
      <c r="A26" s="216">
        <v>18</v>
      </c>
      <c r="B26" s="440">
        <v>41487</v>
      </c>
      <c r="C26" s="440">
        <v>41517</v>
      </c>
      <c r="D26" s="538">
        <v>0.2034</v>
      </c>
      <c r="E26" s="538">
        <f t="shared" si="0"/>
        <v>0.30509999999999998</v>
      </c>
      <c r="F26" s="664">
        <f t="shared" si="1"/>
        <v>7.29799506196116E-4</v>
      </c>
      <c r="G26" s="665">
        <v>782985449.75</v>
      </c>
      <c r="H26" s="666">
        <f t="shared" si="2"/>
        <v>31</v>
      </c>
      <c r="I26" s="585">
        <f t="shared" si="3"/>
        <v>17714094.232175108</v>
      </c>
      <c r="J26" s="222"/>
      <c r="K26" s="218"/>
      <c r="L26" s="218"/>
      <c r="M26" s="218"/>
      <c r="N26" s="663"/>
    </row>
    <row r="27" spans="1:14">
      <c r="A27" s="216">
        <v>19</v>
      </c>
      <c r="B27" s="440">
        <v>41518</v>
      </c>
      <c r="C27" s="440">
        <v>41547</v>
      </c>
      <c r="D27" s="538">
        <v>0.2034</v>
      </c>
      <c r="E27" s="538">
        <f t="shared" si="0"/>
        <v>0.30509999999999998</v>
      </c>
      <c r="F27" s="664">
        <f t="shared" si="1"/>
        <v>7.29799506196116E-4</v>
      </c>
      <c r="G27" s="665">
        <v>782985450.75</v>
      </c>
      <c r="H27" s="666">
        <f t="shared" si="2"/>
        <v>30</v>
      </c>
      <c r="I27" s="585">
        <f t="shared" si="3"/>
        <v>17142671.859482799</v>
      </c>
      <c r="J27" s="222"/>
      <c r="K27" s="218"/>
      <c r="L27" s="218"/>
      <c r="M27" s="218"/>
      <c r="N27" s="663"/>
    </row>
    <row r="28" spans="1:14">
      <c r="A28" s="216">
        <v>20</v>
      </c>
      <c r="B28" s="440">
        <v>41548</v>
      </c>
      <c r="C28" s="440">
        <v>41578</v>
      </c>
      <c r="D28" s="538">
        <v>0.19850000000000001</v>
      </c>
      <c r="E28" s="538">
        <f t="shared" si="0"/>
        <v>0.29775000000000001</v>
      </c>
      <c r="F28" s="664">
        <f t="shared" si="1"/>
        <v>7.1431526398191281E-4</v>
      </c>
      <c r="G28" s="665">
        <v>782985451.75</v>
      </c>
      <c r="H28" s="666">
        <f t="shared" si="2"/>
        <v>31</v>
      </c>
      <c r="I28" s="585">
        <f t="shared" si="3"/>
        <v>17338252.249484755</v>
      </c>
      <c r="J28" s="222"/>
      <c r="K28" s="218"/>
      <c r="L28" s="218"/>
      <c r="M28" s="218"/>
      <c r="N28" s="663"/>
    </row>
    <row r="29" spans="1:14">
      <c r="A29" s="216">
        <v>21</v>
      </c>
      <c r="B29" s="440">
        <v>41579</v>
      </c>
      <c r="C29" s="440">
        <v>41608</v>
      </c>
      <c r="D29" s="538">
        <v>0.19850000000000001</v>
      </c>
      <c r="E29" s="538">
        <f t="shared" si="0"/>
        <v>0.29775000000000001</v>
      </c>
      <c r="F29" s="664">
        <f t="shared" si="1"/>
        <v>7.1431526398191281E-4</v>
      </c>
      <c r="G29" s="665">
        <v>782985452.75</v>
      </c>
      <c r="H29" s="666">
        <f t="shared" si="2"/>
        <v>30</v>
      </c>
      <c r="I29" s="585">
        <f t="shared" si="3"/>
        <v>16778953.811253414</v>
      </c>
      <c r="J29" s="222"/>
      <c r="K29" s="218"/>
      <c r="L29" s="218"/>
      <c r="M29" s="218"/>
      <c r="N29" s="663"/>
    </row>
    <row r="30" spans="1:14">
      <c r="A30" s="216">
        <v>22</v>
      </c>
      <c r="B30" s="440">
        <v>41609</v>
      </c>
      <c r="C30" s="440">
        <v>41639</v>
      </c>
      <c r="D30" s="538">
        <v>0.19850000000000001</v>
      </c>
      <c r="E30" s="538">
        <f t="shared" si="0"/>
        <v>0.29775000000000001</v>
      </c>
      <c r="F30" s="664">
        <f t="shared" si="1"/>
        <v>7.1431526398191281E-4</v>
      </c>
      <c r="G30" s="665">
        <v>782985453.75</v>
      </c>
      <c r="H30" s="666">
        <f t="shared" si="2"/>
        <v>31</v>
      </c>
      <c r="I30" s="585">
        <f t="shared" si="3"/>
        <v>17338252.293772299</v>
      </c>
      <c r="J30" s="222"/>
      <c r="K30" s="218"/>
      <c r="L30" s="218"/>
      <c r="M30" s="218"/>
      <c r="N30" s="663"/>
    </row>
    <row r="31" spans="1:14">
      <c r="A31" s="216">
        <v>23</v>
      </c>
      <c r="B31" s="440">
        <v>41640</v>
      </c>
      <c r="C31" s="440">
        <v>41670</v>
      </c>
      <c r="D31" s="538">
        <v>0.19650000000000001</v>
      </c>
      <c r="E31" s="538">
        <f t="shared" si="0"/>
        <v>0.29475000000000001</v>
      </c>
      <c r="F31" s="664">
        <f t="shared" si="1"/>
        <v>7.079700167211822E-4</v>
      </c>
      <c r="G31" s="665">
        <v>782985454.75</v>
      </c>
      <c r="H31" s="666">
        <f t="shared" si="2"/>
        <v>31</v>
      </c>
      <c r="I31" s="585">
        <f t="shared" si="3"/>
        <v>17184236.990245797</v>
      </c>
      <c r="J31" s="222"/>
      <c r="K31" s="218"/>
      <c r="L31" s="218"/>
      <c r="M31" s="218"/>
      <c r="N31" s="663"/>
    </row>
    <row r="32" spans="1:14">
      <c r="A32" s="216">
        <v>24</v>
      </c>
      <c r="B32" s="440">
        <v>41671</v>
      </c>
      <c r="C32" s="440">
        <v>41698</v>
      </c>
      <c r="D32" s="538">
        <v>0.19650000000000001</v>
      </c>
      <c r="E32" s="538">
        <f t="shared" si="0"/>
        <v>0.29475000000000001</v>
      </c>
      <c r="F32" s="664">
        <f t="shared" si="1"/>
        <v>7.079700167211822E-4</v>
      </c>
      <c r="G32" s="665">
        <v>782985455.75</v>
      </c>
      <c r="H32" s="666">
        <f t="shared" si="2"/>
        <v>28</v>
      </c>
      <c r="I32" s="585">
        <f t="shared" si="3"/>
        <v>15521246.333593559</v>
      </c>
      <c r="J32" s="222"/>
      <c r="K32" s="218"/>
      <c r="L32" s="218"/>
      <c r="M32" s="218"/>
      <c r="N32" s="663"/>
    </row>
    <row r="33" spans="1:14">
      <c r="A33" s="216">
        <v>25</v>
      </c>
      <c r="B33" s="440">
        <v>41699</v>
      </c>
      <c r="C33" s="440">
        <v>41729</v>
      </c>
      <c r="D33" s="538">
        <v>0.19650000000000001</v>
      </c>
      <c r="E33" s="538">
        <f t="shared" si="0"/>
        <v>0.29475000000000001</v>
      </c>
      <c r="F33" s="664">
        <f t="shared" si="1"/>
        <v>7.079700167211822E-4</v>
      </c>
      <c r="G33" s="665">
        <v>782985456.75</v>
      </c>
      <c r="H33" s="666">
        <f t="shared" si="2"/>
        <v>31</v>
      </c>
      <c r="I33" s="585">
        <f t="shared" si="3"/>
        <v>17184237.034139939</v>
      </c>
      <c r="J33" s="222"/>
      <c r="K33" s="218"/>
      <c r="L33" s="218"/>
      <c r="M33" s="218"/>
      <c r="N33" s="663"/>
    </row>
    <row r="34" spans="1:14">
      <c r="A34" s="216">
        <v>26</v>
      </c>
      <c r="B34" s="440">
        <v>41730</v>
      </c>
      <c r="C34" s="440">
        <v>41759</v>
      </c>
      <c r="D34" s="538">
        <v>0.1963</v>
      </c>
      <c r="E34" s="538">
        <f t="shared" si="0"/>
        <v>0.29444999999999999</v>
      </c>
      <c r="F34" s="664">
        <f t="shared" si="1"/>
        <v>7.073346857742191E-4</v>
      </c>
      <c r="G34" s="665">
        <v>782985457.75</v>
      </c>
      <c r="H34" s="666">
        <f t="shared" si="2"/>
        <v>30</v>
      </c>
      <c r="I34" s="585">
        <f t="shared" si="3"/>
        <v>16614983.181701381</v>
      </c>
      <c r="J34" s="222"/>
      <c r="K34" s="218"/>
      <c r="L34" s="218"/>
      <c r="M34" s="218"/>
      <c r="N34" s="663"/>
    </row>
    <row r="35" spans="1:14">
      <c r="A35" s="216">
        <v>27</v>
      </c>
      <c r="B35" s="440">
        <v>41760</v>
      </c>
      <c r="C35" s="440">
        <v>41790</v>
      </c>
      <c r="D35" s="538">
        <v>0.1963</v>
      </c>
      <c r="E35" s="538">
        <f t="shared" si="0"/>
        <v>0.29444999999999999</v>
      </c>
      <c r="F35" s="664">
        <f t="shared" si="1"/>
        <v>7.073346857742191E-4</v>
      </c>
      <c r="G35" s="665">
        <v>782985458.75</v>
      </c>
      <c r="H35" s="666">
        <f t="shared" si="2"/>
        <v>31</v>
      </c>
      <c r="I35" s="585">
        <f t="shared" si="3"/>
        <v>17168815.976352137</v>
      </c>
      <c r="J35" s="222"/>
      <c r="K35" s="218"/>
      <c r="L35" s="218"/>
      <c r="M35" s="218"/>
      <c r="N35" s="663"/>
    </row>
    <row r="36" spans="1:14">
      <c r="A36" s="216">
        <v>28</v>
      </c>
      <c r="B36" s="440">
        <v>41791</v>
      </c>
      <c r="C36" s="440">
        <v>41820</v>
      </c>
      <c r="D36" s="538">
        <v>0.1963</v>
      </c>
      <c r="E36" s="538">
        <f t="shared" si="0"/>
        <v>0.29444999999999999</v>
      </c>
      <c r="F36" s="664">
        <f t="shared" si="1"/>
        <v>7.073346857742191E-4</v>
      </c>
      <c r="G36" s="665">
        <v>782985459.75</v>
      </c>
      <c r="H36" s="666">
        <f t="shared" si="2"/>
        <v>30</v>
      </c>
      <c r="I36" s="585">
        <f t="shared" si="3"/>
        <v>16614983.224141462</v>
      </c>
      <c r="J36" s="222"/>
      <c r="K36" s="218"/>
      <c r="L36" s="218"/>
      <c r="M36" s="218"/>
      <c r="N36" s="663"/>
    </row>
    <row r="37" spans="1:14">
      <c r="A37" s="216">
        <v>29</v>
      </c>
      <c r="B37" s="440">
        <v>41821</v>
      </c>
      <c r="C37" s="440">
        <v>41851</v>
      </c>
      <c r="D37" s="538">
        <v>0.1933</v>
      </c>
      <c r="E37" s="538">
        <f t="shared" si="0"/>
        <v>0.28994999999999999</v>
      </c>
      <c r="F37" s="664">
        <f t="shared" si="1"/>
        <v>6.9778706056067286E-4</v>
      </c>
      <c r="G37" s="665">
        <v>782985460.75</v>
      </c>
      <c r="H37" s="666">
        <f t="shared" si="2"/>
        <v>31</v>
      </c>
      <c r="I37" s="585">
        <f t="shared" si="3"/>
        <v>16937070.816673085</v>
      </c>
      <c r="J37" s="222"/>
      <c r="K37" s="218"/>
      <c r="L37" s="218"/>
      <c r="M37" s="218"/>
      <c r="N37" s="663"/>
    </row>
    <row r="38" spans="1:14">
      <c r="A38" s="216">
        <v>30</v>
      </c>
      <c r="B38" s="440">
        <v>41852</v>
      </c>
      <c r="C38" s="440">
        <v>41882</v>
      </c>
      <c r="D38" s="538">
        <v>0.1933</v>
      </c>
      <c r="E38" s="538">
        <f t="shared" si="0"/>
        <v>0.28994999999999999</v>
      </c>
      <c r="F38" s="664">
        <f t="shared" si="1"/>
        <v>6.9778706056067286E-4</v>
      </c>
      <c r="G38" s="665">
        <v>782985461.75</v>
      </c>
      <c r="H38" s="666">
        <f t="shared" si="2"/>
        <v>31</v>
      </c>
      <c r="I38" s="585">
        <f t="shared" si="3"/>
        <v>16937070.838304482</v>
      </c>
      <c r="J38" s="222"/>
      <c r="K38" s="218"/>
      <c r="L38" s="218"/>
      <c r="M38" s="218"/>
      <c r="N38" s="663"/>
    </row>
    <row r="39" spans="1:14">
      <c r="A39" s="216">
        <v>31</v>
      </c>
      <c r="B39" s="440">
        <v>41883</v>
      </c>
      <c r="C39" s="440">
        <v>41912</v>
      </c>
      <c r="D39" s="538">
        <v>0.1933</v>
      </c>
      <c r="E39" s="538">
        <f t="shared" si="0"/>
        <v>0.28994999999999999</v>
      </c>
      <c r="F39" s="664">
        <f t="shared" si="1"/>
        <v>6.9778706056067286E-4</v>
      </c>
      <c r="G39" s="665">
        <v>782985462.75</v>
      </c>
      <c r="H39" s="666">
        <f t="shared" si="2"/>
        <v>30</v>
      </c>
      <c r="I39" s="585">
        <f t="shared" si="3"/>
        <v>16390713.735421821</v>
      </c>
      <c r="J39" s="222"/>
      <c r="K39" s="218"/>
      <c r="L39" s="218"/>
      <c r="M39" s="218"/>
      <c r="N39" s="663"/>
    </row>
    <row r="40" spans="1:14">
      <c r="A40" s="216">
        <v>32</v>
      </c>
      <c r="B40" s="440">
        <v>41913</v>
      </c>
      <c r="C40" s="440">
        <v>41943</v>
      </c>
      <c r="D40" s="538">
        <v>0.19170000000000001</v>
      </c>
      <c r="E40" s="538">
        <f t="shared" si="0"/>
        <v>0.28755000000000003</v>
      </c>
      <c r="F40" s="664">
        <f t="shared" si="1"/>
        <v>6.9268140331879557E-4</v>
      </c>
      <c r="G40" s="665">
        <v>782985463.75</v>
      </c>
      <c r="H40" s="666">
        <f t="shared" si="2"/>
        <v>31</v>
      </c>
      <c r="I40" s="585">
        <f t="shared" si="3"/>
        <v>16813143.564065605</v>
      </c>
      <c r="J40" s="222"/>
      <c r="K40" s="218"/>
      <c r="L40" s="218"/>
      <c r="M40" s="218"/>
      <c r="N40" s="663"/>
    </row>
    <row r="41" spans="1:14">
      <c r="A41" s="216">
        <v>33</v>
      </c>
      <c r="B41" s="440">
        <v>41944</v>
      </c>
      <c r="C41" s="440">
        <v>41973</v>
      </c>
      <c r="D41" s="538">
        <v>0.19170000000000001</v>
      </c>
      <c r="E41" s="538">
        <f t="shared" si="0"/>
        <v>0.28755000000000003</v>
      </c>
      <c r="F41" s="664">
        <f t="shared" si="1"/>
        <v>6.9268140331879557E-4</v>
      </c>
      <c r="G41" s="665">
        <v>782985464.75</v>
      </c>
      <c r="H41" s="666">
        <f t="shared" si="2"/>
        <v>30</v>
      </c>
      <c r="I41" s="585">
        <f t="shared" si="3"/>
        <v>16270784.11503748</v>
      </c>
      <c r="J41" s="222"/>
      <c r="K41" s="218"/>
      <c r="L41" s="218"/>
      <c r="M41" s="218"/>
      <c r="N41" s="663"/>
    </row>
    <row r="42" spans="1:14">
      <c r="A42" s="216">
        <v>34</v>
      </c>
      <c r="B42" s="440">
        <v>41974</v>
      </c>
      <c r="C42" s="440">
        <v>42004</v>
      </c>
      <c r="D42" s="538">
        <v>0.19170000000000001</v>
      </c>
      <c r="E42" s="538">
        <f t="shared" si="0"/>
        <v>0.28755000000000003</v>
      </c>
      <c r="F42" s="664">
        <f t="shared" si="1"/>
        <v>6.9268140331879557E-4</v>
      </c>
      <c r="G42" s="665">
        <v>782985465.75</v>
      </c>
      <c r="H42" s="666">
        <f t="shared" si="2"/>
        <v>31</v>
      </c>
      <c r="I42" s="585">
        <f t="shared" si="3"/>
        <v>16813143.607011855</v>
      </c>
      <c r="J42" s="222"/>
      <c r="K42" s="218"/>
      <c r="L42" s="218"/>
      <c r="M42" s="218"/>
      <c r="N42" s="663"/>
    </row>
    <row r="43" spans="1:14">
      <c r="A43" s="216">
        <v>35</v>
      </c>
      <c r="B43" s="440">
        <v>42005</v>
      </c>
      <c r="C43" s="440">
        <v>42035</v>
      </c>
      <c r="D43" s="538">
        <v>0.19209999999999999</v>
      </c>
      <c r="E43" s="538">
        <f t="shared" si="0"/>
        <v>0.28815000000000002</v>
      </c>
      <c r="F43" s="664">
        <f t="shared" si="1"/>
        <v>6.9395870684818561E-4</v>
      </c>
      <c r="G43" s="665">
        <v>782985466.75</v>
      </c>
      <c r="H43" s="666">
        <f t="shared" si="2"/>
        <v>31</v>
      </c>
      <c r="I43" s="585">
        <f t="shared" si="3"/>
        <v>16844147.041589346</v>
      </c>
      <c r="J43" s="222"/>
      <c r="K43" s="218"/>
      <c r="L43" s="218"/>
      <c r="M43" s="218"/>
      <c r="N43" s="663"/>
    </row>
    <row r="44" spans="1:14">
      <c r="A44" s="216">
        <v>36</v>
      </c>
      <c r="B44" s="440">
        <v>42036</v>
      </c>
      <c r="C44" s="440">
        <v>42063</v>
      </c>
      <c r="D44" s="538">
        <v>0.19209999999999999</v>
      </c>
      <c r="E44" s="538">
        <f t="shared" si="0"/>
        <v>0.28815000000000002</v>
      </c>
      <c r="F44" s="664">
        <f t="shared" si="1"/>
        <v>6.9395870684818561E-4</v>
      </c>
      <c r="G44" s="665">
        <v>782985467.75</v>
      </c>
      <c r="H44" s="666">
        <f t="shared" si="2"/>
        <v>28</v>
      </c>
      <c r="I44" s="585">
        <f t="shared" si="3"/>
        <v>15214068.315059928</v>
      </c>
      <c r="J44" s="222"/>
      <c r="K44" s="218"/>
      <c r="L44" s="218"/>
      <c r="M44" s="218"/>
      <c r="N44" s="663"/>
    </row>
    <row r="45" spans="1:14">
      <c r="A45" s="216">
        <v>37</v>
      </c>
      <c r="B45" s="440">
        <v>42064</v>
      </c>
      <c r="C45" s="440">
        <v>42094</v>
      </c>
      <c r="D45" s="538">
        <v>0.19209999999999999</v>
      </c>
      <c r="E45" s="538">
        <f t="shared" si="0"/>
        <v>0.28815000000000002</v>
      </c>
      <c r="F45" s="664">
        <f t="shared" si="1"/>
        <v>6.9395870684818561E-4</v>
      </c>
      <c r="G45" s="665">
        <v>782985468.75</v>
      </c>
      <c r="H45" s="666">
        <f t="shared" si="2"/>
        <v>31</v>
      </c>
      <c r="I45" s="585">
        <f t="shared" si="3"/>
        <v>16844147.084614784</v>
      </c>
      <c r="J45" s="222"/>
      <c r="K45" s="218"/>
      <c r="L45" s="218"/>
      <c r="M45" s="218"/>
      <c r="N45" s="663"/>
    </row>
    <row r="46" spans="1:14">
      <c r="A46" s="216">
        <v>38</v>
      </c>
      <c r="B46" s="440">
        <v>42095</v>
      </c>
      <c r="C46" s="440">
        <v>42124</v>
      </c>
      <c r="D46" s="538">
        <v>0.19370000000000001</v>
      </c>
      <c r="E46" s="538">
        <f t="shared" si="0"/>
        <v>0.29055000000000003</v>
      </c>
      <c r="F46" s="664">
        <f t="shared" si="1"/>
        <v>6.9906199467517638E-4</v>
      </c>
      <c r="G46" s="665">
        <v>782985469.75</v>
      </c>
      <c r="H46" s="666">
        <f t="shared" si="2"/>
        <v>30</v>
      </c>
      <c r="I46" s="585">
        <f t="shared" si="3"/>
        <v>16420661.528553449</v>
      </c>
      <c r="J46" s="222"/>
      <c r="K46" s="218"/>
      <c r="L46" s="218"/>
      <c r="M46" s="218"/>
      <c r="N46" s="663"/>
    </row>
    <row r="47" spans="1:14">
      <c r="A47" s="216">
        <v>39</v>
      </c>
      <c r="B47" s="440">
        <v>42125</v>
      </c>
      <c r="C47" s="440">
        <v>42155</v>
      </c>
      <c r="D47" s="538">
        <v>0.19370000000000001</v>
      </c>
      <c r="E47" s="538">
        <f t="shared" si="0"/>
        <v>0.29055000000000003</v>
      </c>
      <c r="F47" s="664">
        <f t="shared" si="1"/>
        <v>6.9906199467517638E-4</v>
      </c>
      <c r="G47" s="665">
        <v>782985470.75</v>
      </c>
      <c r="H47" s="666">
        <f t="shared" si="2"/>
        <v>31</v>
      </c>
      <c r="I47" s="585">
        <f t="shared" si="3"/>
        <v>16968016.934509486</v>
      </c>
      <c r="J47" s="222"/>
      <c r="K47" s="218"/>
      <c r="L47" s="218"/>
      <c r="M47" s="218"/>
      <c r="N47" s="663"/>
    </row>
    <row r="48" spans="1:14">
      <c r="A48" s="216">
        <v>40</v>
      </c>
      <c r="B48" s="440">
        <v>42156</v>
      </c>
      <c r="C48" s="440">
        <v>42185</v>
      </c>
      <c r="D48" s="538">
        <v>0.19370000000000001</v>
      </c>
      <c r="E48" s="538">
        <f t="shared" si="0"/>
        <v>0.29055000000000003</v>
      </c>
      <c r="F48" s="664">
        <f t="shared" si="1"/>
        <v>6.9906199467517638E-4</v>
      </c>
      <c r="G48" s="665">
        <v>782985471.75</v>
      </c>
      <c r="H48" s="666">
        <f t="shared" si="2"/>
        <v>30</v>
      </c>
      <c r="I48" s="585">
        <f t="shared" si="3"/>
        <v>16420661.570497168</v>
      </c>
      <c r="J48" s="222"/>
      <c r="K48" s="218"/>
      <c r="L48" s="218"/>
      <c r="M48" s="218"/>
      <c r="N48" s="663"/>
    </row>
    <row r="49" spans="1:14">
      <c r="A49" s="216">
        <v>41</v>
      </c>
      <c r="B49" s="440">
        <v>42186</v>
      </c>
      <c r="C49" s="440">
        <v>42216</v>
      </c>
      <c r="D49" s="538">
        <v>0.19259999999999999</v>
      </c>
      <c r="E49" s="538">
        <f t="shared" si="0"/>
        <v>0.28889999999999999</v>
      </c>
      <c r="F49" s="664">
        <f t="shared" si="1"/>
        <v>6.9555450216518544E-4</v>
      </c>
      <c r="G49" s="665">
        <v>782985472.75</v>
      </c>
      <c r="H49" s="666">
        <f t="shared" si="2"/>
        <v>31</v>
      </c>
      <c r="I49" s="585">
        <f t="shared" si="3"/>
        <v>16882881.191737156</v>
      </c>
      <c r="J49" s="222"/>
      <c r="K49" s="218"/>
      <c r="L49" s="218"/>
      <c r="M49" s="218"/>
      <c r="N49" s="663"/>
    </row>
    <row r="50" spans="1:14">
      <c r="A50" s="216">
        <v>42</v>
      </c>
      <c r="B50" s="440">
        <v>42217</v>
      </c>
      <c r="C50" s="440">
        <v>42247</v>
      </c>
      <c r="D50" s="538">
        <v>0.19259999999999999</v>
      </c>
      <c r="E50" s="538">
        <f t="shared" si="0"/>
        <v>0.28889999999999999</v>
      </c>
      <c r="F50" s="664">
        <f t="shared" si="1"/>
        <v>6.9555450216518544E-4</v>
      </c>
      <c r="G50" s="665">
        <v>782985473.75</v>
      </c>
      <c r="H50" s="666">
        <f t="shared" si="2"/>
        <v>31</v>
      </c>
      <c r="I50" s="585">
        <f t="shared" si="3"/>
        <v>16882881.213299345</v>
      </c>
      <c r="J50" s="222"/>
      <c r="K50" s="218"/>
      <c r="L50" s="218"/>
      <c r="M50" s="218"/>
      <c r="N50" s="663"/>
    </row>
    <row r="51" spans="1:14">
      <c r="A51" s="216">
        <v>43</v>
      </c>
      <c r="B51" s="440">
        <v>42248</v>
      </c>
      <c r="C51" s="440">
        <v>42277</v>
      </c>
      <c r="D51" s="538">
        <v>0.19259999999999999</v>
      </c>
      <c r="E51" s="538">
        <f t="shared" si="0"/>
        <v>0.28889999999999999</v>
      </c>
      <c r="F51" s="664">
        <f t="shared" si="1"/>
        <v>6.9555450216518544E-4</v>
      </c>
      <c r="G51" s="665">
        <v>782985474.75</v>
      </c>
      <c r="H51" s="666">
        <f t="shared" si="2"/>
        <v>30</v>
      </c>
      <c r="I51" s="585">
        <f t="shared" si="3"/>
        <v>16338272.162769228</v>
      </c>
      <c r="J51" s="222"/>
      <c r="K51" s="218"/>
      <c r="L51" s="218"/>
      <c r="M51" s="218"/>
      <c r="N51" s="663"/>
    </row>
    <row r="52" spans="1:14">
      <c r="A52" s="216">
        <v>44</v>
      </c>
      <c r="B52" s="440">
        <v>42278</v>
      </c>
      <c r="C52" s="440">
        <v>42308</v>
      </c>
      <c r="D52" s="538">
        <v>0.1933</v>
      </c>
      <c r="E52" s="538">
        <f t="shared" si="0"/>
        <v>0.28994999999999999</v>
      </c>
      <c r="F52" s="664">
        <f t="shared" si="1"/>
        <v>6.9778706056067286E-4</v>
      </c>
      <c r="G52" s="665">
        <v>782985475.75</v>
      </c>
      <c r="H52" s="666">
        <f t="shared" si="2"/>
        <v>31</v>
      </c>
      <c r="I52" s="585">
        <f t="shared" si="3"/>
        <v>16937071.141144067</v>
      </c>
      <c r="J52" s="222"/>
      <c r="K52" s="218"/>
      <c r="L52" s="218"/>
      <c r="M52" s="218"/>
      <c r="N52" s="663"/>
    </row>
    <row r="53" spans="1:14">
      <c r="A53" s="216">
        <v>45</v>
      </c>
      <c r="B53" s="440">
        <v>42309</v>
      </c>
      <c r="C53" s="440">
        <v>42338</v>
      </c>
      <c r="D53" s="538">
        <v>0.1933</v>
      </c>
      <c r="E53" s="538">
        <f t="shared" si="0"/>
        <v>0.28994999999999999</v>
      </c>
      <c r="F53" s="664">
        <f t="shared" si="1"/>
        <v>6.9778706056067286E-4</v>
      </c>
      <c r="G53" s="665">
        <v>782985476.75</v>
      </c>
      <c r="H53" s="666">
        <f t="shared" si="2"/>
        <v>30</v>
      </c>
      <c r="I53" s="585">
        <f t="shared" si="3"/>
        <v>16390714.028492387</v>
      </c>
      <c r="J53" s="222"/>
      <c r="K53" s="218"/>
      <c r="L53" s="218"/>
      <c r="M53" s="218"/>
      <c r="N53" s="663"/>
    </row>
    <row r="54" spans="1:14">
      <c r="A54" s="216">
        <v>46</v>
      </c>
      <c r="B54" s="440">
        <v>42339</v>
      </c>
      <c r="C54" s="440">
        <v>42369</v>
      </c>
      <c r="D54" s="538">
        <v>0.1933</v>
      </c>
      <c r="E54" s="538">
        <f t="shared" si="0"/>
        <v>0.28994999999999999</v>
      </c>
      <c r="F54" s="664">
        <f t="shared" si="1"/>
        <v>6.9778706056067286E-4</v>
      </c>
      <c r="G54" s="665">
        <v>782985477.75</v>
      </c>
      <c r="H54" s="666">
        <f t="shared" si="2"/>
        <v>31</v>
      </c>
      <c r="I54" s="585">
        <f t="shared" si="3"/>
        <v>16937071.184406865</v>
      </c>
      <c r="J54" s="222"/>
      <c r="K54" s="218"/>
      <c r="L54" s="218"/>
      <c r="M54" s="218"/>
      <c r="N54" s="663"/>
    </row>
    <row r="55" spans="1:14">
      <c r="A55" s="216">
        <v>47</v>
      </c>
      <c r="B55" s="440">
        <v>42370</v>
      </c>
      <c r="C55" s="440">
        <v>42400</v>
      </c>
      <c r="D55" s="538">
        <v>0.1968</v>
      </c>
      <c r="E55" s="538">
        <f t="shared" si="0"/>
        <v>0.29520000000000002</v>
      </c>
      <c r="F55" s="664">
        <f t="shared" si="1"/>
        <v>7.0892273793354832E-4</v>
      </c>
      <c r="G55" s="665">
        <v>782985478.75</v>
      </c>
      <c r="H55" s="666">
        <f t="shared" si="2"/>
        <v>31</v>
      </c>
      <c r="I55" s="585">
        <f t="shared" si="3"/>
        <v>17207362.490087464</v>
      </c>
      <c r="J55" s="222"/>
      <c r="K55" s="218"/>
      <c r="L55" s="218"/>
      <c r="M55" s="218"/>
      <c r="N55" s="663"/>
    </row>
    <row r="56" spans="1:14">
      <c r="A56" s="216">
        <v>48</v>
      </c>
      <c r="B56" s="440">
        <v>42401</v>
      </c>
      <c r="C56" s="440">
        <v>42429</v>
      </c>
      <c r="D56" s="538">
        <v>0.1968</v>
      </c>
      <c r="E56" s="538">
        <f t="shared" si="0"/>
        <v>0.29520000000000002</v>
      </c>
      <c r="F56" s="664">
        <f t="shared" si="1"/>
        <v>7.0892273793354832E-4</v>
      </c>
      <c r="G56" s="665">
        <v>782985479.75</v>
      </c>
      <c r="H56" s="666">
        <f t="shared" si="2"/>
        <v>29</v>
      </c>
      <c r="I56" s="585">
        <f t="shared" si="3"/>
        <v>16097210.091930903</v>
      </c>
      <c r="J56" s="222"/>
      <c r="K56" s="218"/>
      <c r="L56" s="218"/>
      <c r="M56" s="218"/>
      <c r="N56" s="663"/>
    </row>
    <row r="57" spans="1:14">
      <c r="A57" s="216">
        <v>49</v>
      </c>
      <c r="B57" s="440">
        <v>42430</v>
      </c>
      <c r="C57" s="440">
        <v>42460</v>
      </c>
      <c r="D57" s="538">
        <v>0.1968</v>
      </c>
      <c r="E57" s="538">
        <f t="shared" si="0"/>
        <v>0.29520000000000002</v>
      </c>
      <c r="F57" s="664">
        <f t="shared" si="1"/>
        <v>7.0892273793354832E-4</v>
      </c>
      <c r="G57" s="665">
        <v>782985480.75</v>
      </c>
      <c r="H57" s="666">
        <f t="shared" si="2"/>
        <v>31</v>
      </c>
      <c r="I57" s="585">
        <f t="shared" si="3"/>
        <v>17207362.534040675</v>
      </c>
      <c r="J57" s="222"/>
      <c r="K57" s="218"/>
      <c r="L57" s="218"/>
      <c r="M57" s="218"/>
      <c r="N57" s="663"/>
    </row>
    <row r="58" spans="1:14">
      <c r="A58" s="216">
        <v>50</v>
      </c>
      <c r="B58" s="440">
        <v>42461</v>
      </c>
      <c r="C58" s="440">
        <v>42490</v>
      </c>
      <c r="D58" s="538">
        <v>0.2054</v>
      </c>
      <c r="E58" s="538">
        <f t="shared" si="0"/>
        <v>0.30809999999999998</v>
      </c>
      <c r="F58" s="664">
        <f t="shared" si="1"/>
        <v>7.3609462782320279E-4</v>
      </c>
      <c r="G58" s="665">
        <v>782985481.75</v>
      </c>
      <c r="H58" s="666">
        <f t="shared" si="2"/>
        <v>30</v>
      </c>
      <c r="I58" s="585">
        <f t="shared" si="3"/>
        <v>17290542.203392122</v>
      </c>
      <c r="J58" s="222"/>
      <c r="K58" s="218"/>
      <c r="L58" s="218"/>
      <c r="M58" s="218"/>
      <c r="N58" s="663"/>
    </row>
    <row r="59" spans="1:14">
      <c r="A59" s="216">
        <v>51</v>
      </c>
      <c r="B59" s="440">
        <v>42491</v>
      </c>
      <c r="C59" s="440">
        <v>42521</v>
      </c>
      <c r="D59" s="538">
        <v>0.2054</v>
      </c>
      <c r="E59" s="538">
        <f t="shared" si="0"/>
        <v>0.30809999999999998</v>
      </c>
      <c r="F59" s="664">
        <f t="shared" si="1"/>
        <v>7.3609462782320279E-4</v>
      </c>
      <c r="G59" s="665">
        <v>782985482.75</v>
      </c>
      <c r="H59" s="666">
        <f t="shared" si="2"/>
        <v>31</v>
      </c>
      <c r="I59" s="585">
        <f t="shared" si="3"/>
        <v>17866893.632990792</v>
      </c>
      <c r="J59" s="222"/>
      <c r="K59" s="218"/>
      <c r="L59" s="218"/>
      <c r="M59" s="218"/>
      <c r="N59" s="663"/>
    </row>
    <row r="60" spans="1:14">
      <c r="A60" s="216">
        <v>52</v>
      </c>
      <c r="B60" s="440">
        <v>42522</v>
      </c>
      <c r="C60" s="440">
        <v>42551</v>
      </c>
      <c r="D60" s="538">
        <v>0.2054</v>
      </c>
      <c r="E60" s="538">
        <f t="shared" si="0"/>
        <v>0.30809999999999998</v>
      </c>
      <c r="F60" s="664">
        <f t="shared" si="1"/>
        <v>7.3609462782320279E-4</v>
      </c>
      <c r="G60" s="665">
        <v>782985483.75</v>
      </c>
      <c r="H60" s="666">
        <f t="shared" si="2"/>
        <v>30</v>
      </c>
      <c r="I60" s="585">
        <f t="shared" si="3"/>
        <v>17290542.2475578</v>
      </c>
      <c r="J60" s="222"/>
      <c r="K60" s="218"/>
      <c r="L60" s="218"/>
      <c r="M60" s="218"/>
      <c r="N60" s="663"/>
    </row>
    <row r="61" spans="1:14">
      <c r="A61" s="216">
        <v>53</v>
      </c>
      <c r="B61" s="440">
        <v>42552</v>
      </c>
      <c r="C61" s="440">
        <v>42582</v>
      </c>
      <c r="D61" s="538">
        <v>0.21340000000000001</v>
      </c>
      <c r="E61" s="538">
        <f t="shared" si="0"/>
        <v>0.3201</v>
      </c>
      <c r="F61" s="664">
        <f t="shared" si="1"/>
        <v>7.6113195596128058E-4</v>
      </c>
      <c r="G61" s="665">
        <v>782985484.75</v>
      </c>
      <c r="H61" s="666">
        <f t="shared" si="2"/>
        <v>31</v>
      </c>
      <c r="I61" s="585">
        <f t="shared" si="3"/>
        <v>18474613.478408828</v>
      </c>
      <c r="J61" s="222"/>
      <c r="K61" s="218"/>
      <c r="L61" s="218"/>
      <c r="M61" s="218"/>
      <c r="N61" s="663"/>
    </row>
    <row r="62" spans="1:14">
      <c r="A62" s="216">
        <v>54</v>
      </c>
      <c r="B62" s="440">
        <v>42583</v>
      </c>
      <c r="C62" s="440">
        <v>42613</v>
      </c>
      <c r="D62" s="538">
        <v>0.21340000000000001</v>
      </c>
      <c r="E62" s="538">
        <f t="shared" si="0"/>
        <v>0.3201</v>
      </c>
      <c r="F62" s="664">
        <f t="shared" si="1"/>
        <v>7.6113195596128058E-4</v>
      </c>
      <c r="G62" s="665">
        <v>782985485.75</v>
      </c>
      <c r="H62" s="666">
        <f t="shared" si="2"/>
        <v>31</v>
      </c>
      <c r="I62" s="585">
        <f t="shared" si="3"/>
        <v>18474613.502003916</v>
      </c>
      <c r="J62" s="222"/>
      <c r="K62" s="218"/>
      <c r="L62" s="218"/>
      <c r="M62" s="218"/>
      <c r="N62" s="663"/>
    </row>
    <row r="63" spans="1:14">
      <c r="A63" s="216">
        <v>55</v>
      </c>
      <c r="B63" s="440">
        <v>42614</v>
      </c>
      <c r="C63" s="440">
        <v>42643</v>
      </c>
      <c r="D63" s="538">
        <v>0.21340000000000001</v>
      </c>
      <c r="E63" s="538">
        <f t="shared" si="0"/>
        <v>0.3201</v>
      </c>
      <c r="F63" s="664">
        <f t="shared" si="1"/>
        <v>7.6113195596128058E-4</v>
      </c>
      <c r="G63" s="665">
        <v>782985486.75</v>
      </c>
      <c r="H63" s="666">
        <f t="shared" si="2"/>
        <v>30</v>
      </c>
      <c r="I63" s="585">
        <f t="shared" si="3"/>
        <v>17878658.250579685</v>
      </c>
      <c r="J63" s="222"/>
      <c r="K63" s="218"/>
      <c r="L63" s="218"/>
      <c r="M63" s="218"/>
      <c r="N63" s="663"/>
    </row>
    <row r="64" spans="1:14">
      <c r="A64" s="216">
        <v>56</v>
      </c>
      <c r="B64" s="440">
        <v>42644</v>
      </c>
      <c r="C64" s="440">
        <v>42674</v>
      </c>
      <c r="D64" s="538">
        <v>0.21990000000000001</v>
      </c>
      <c r="E64" s="538">
        <f t="shared" si="0"/>
        <v>0.32985000000000003</v>
      </c>
      <c r="F64" s="664">
        <f t="shared" si="1"/>
        <v>7.8130822380240161E-4</v>
      </c>
      <c r="G64" s="665">
        <v>782985487.75</v>
      </c>
      <c r="H64" s="666">
        <f t="shared" si="2"/>
        <v>31</v>
      </c>
      <c r="I64" s="585">
        <f t="shared" si="3"/>
        <v>18964343.021607298</v>
      </c>
      <c r="J64" s="222"/>
      <c r="K64" s="218"/>
      <c r="L64" s="218"/>
      <c r="M64" s="218"/>
      <c r="N64" s="663"/>
    </row>
    <row r="65" spans="1:15">
      <c r="A65" s="216">
        <v>57</v>
      </c>
      <c r="B65" s="440">
        <v>42675</v>
      </c>
      <c r="C65" s="440">
        <v>42704</v>
      </c>
      <c r="D65" s="538">
        <v>0.21990000000000001</v>
      </c>
      <c r="E65" s="538">
        <f t="shared" si="0"/>
        <v>0.32985000000000003</v>
      </c>
      <c r="F65" s="664">
        <f t="shared" si="1"/>
        <v>7.8130822380240161E-4</v>
      </c>
      <c r="G65" s="665">
        <v>782985488.75</v>
      </c>
      <c r="H65" s="666">
        <f t="shared" si="2"/>
        <v>30</v>
      </c>
      <c r="I65" s="585">
        <f t="shared" si="3"/>
        <v>18352590.044349533</v>
      </c>
      <c r="J65" s="222"/>
      <c r="K65" s="218"/>
      <c r="L65" s="218"/>
      <c r="M65" s="218"/>
      <c r="N65" s="663"/>
    </row>
    <row r="66" spans="1:15">
      <c r="A66" s="216">
        <v>58</v>
      </c>
      <c r="B66" s="440">
        <v>42705</v>
      </c>
      <c r="C66" s="440">
        <v>42735</v>
      </c>
      <c r="D66" s="538">
        <v>0.21990000000000001</v>
      </c>
      <c r="E66" s="538">
        <f t="shared" si="0"/>
        <v>0.32985000000000003</v>
      </c>
      <c r="F66" s="664">
        <f t="shared" si="1"/>
        <v>7.8130822380240161E-4</v>
      </c>
      <c r="G66" s="665">
        <v>782985489.75</v>
      </c>
      <c r="H66" s="666">
        <f t="shared" si="2"/>
        <v>31</v>
      </c>
      <c r="I66" s="585">
        <f t="shared" si="3"/>
        <v>18964343.070048407</v>
      </c>
      <c r="J66" s="222"/>
      <c r="K66" s="218"/>
      <c r="L66" s="218"/>
      <c r="M66" s="218"/>
      <c r="N66" s="663"/>
    </row>
    <row r="67" spans="1:15">
      <c r="A67" s="216">
        <v>59</v>
      </c>
      <c r="B67" s="440">
        <v>42736</v>
      </c>
      <c r="C67" s="440">
        <v>42766</v>
      </c>
      <c r="D67" s="538">
        <v>0.22339999999999999</v>
      </c>
      <c r="E67" s="538">
        <f t="shared" si="0"/>
        <v>0.33509999999999995</v>
      </c>
      <c r="F67" s="664">
        <f t="shared" si="1"/>
        <v>7.9211135028089963E-4</v>
      </c>
      <c r="G67" s="665">
        <v>782985490.75</v>
      </c>
      <c r="H67" s="666">
        <f t="shared" si="2"/>
        <v>31</v>
      </c>
      <c r="I67" s="585">
        <f t="shared" si="3"/>
        <v>19226562.524178397</v>
      </c>
      <c r="J67" s="222"/>
      <c r="K67" s="218"/>
      <c r="L67" s="218"/>
      <c r="M67" s="218"/>
      <c r="N67" s="663"/>
    </row>
    <row r="68" spans="1:15">
      <c r="A68" s="216">
        <v>60</v>
      </c>
      <c r="B68" s="440">
        <v>42767</v>
      </c>
      <c r="C68" s="440">
        <v>42794</v>
      </c>
      <c r="D68" s="538">
        <v>0.22339999999999999</v>
      </c>
      <c r="E68" s="538">
        <f t="shared" si="0"/>
        <v>0.33509999999999995</v>
      </c>
      <c r="F68" s="664">
        <f t="shared" si="1"/>
        <v>7.9211135028089963E-4</v>
      </c>
      <c r="G68" s="665">
        <v>782985491.75</v>
      </c>
      <c r="H68" s="666">
        <f t="shared" si="2"/>
        <v>28</v>
      </c>
      <c r="I68" s="585">
        <f t="shared" si="3"/>
        <v>17365927.463372506</v>
      </c>
      <c r="J68" s="222"/>
      <c r="K68" s="218"/>
      <c r="L68" s="218"/>
      <c r="M68" s="218"/>
      <c r="N68" s="663"/>
    </row>
    <row r="69" spans="1:15">
      <c r="A69" s="216">
        <v>61</v>
      </c>
      <c r="B69" s="440">
        <v>42795</v>
      </c>
      <c r="C69" s="440">
        <v>42825</v>
      </c>
      <c r="D69" s="538">
        <v>0.22339999999999999</v>
      </c>
      <c r="E69" s="538">
        <f t="shared" si="0"/>
        <v>0.33509999999999995</v>
      </c>
      <c r="F69" s="664">
        <f t="shared" si="1"/>
        <v>7.9211135028089963E-4</v>
      </c>
      <c r="G69" s="665">
        <v>782985492.75</v>
      </c>
      <c r="H69" s="666">
        <f t="shared" si="2"/>
        <v>31</v>
      </c>
      <c r="I69" s="585">
        <f t="shared" si="3"/>
        <v>19226562.573289301</v>
      </c>
      <c r="J69" s="222"/>
      <c r="K69" s="218"/>
      <c r="L69" s="218"/>
      <c r="M69" s="218"/>
      <c r="N69" s="663"/>
    </row>
    <row r="70" spans="1:15">
      <c r="A70" s="216">
        <v>62</v>
      </c>
      <c r="B70" s="440">
        <v>42826</v>
      </c>
      <c r="C70" s="440">
        <v>42855</v>
      </c>
      <c r="D70" s="538">
        <v>0.2233</v>
      </c>
      <c r="E70" s="538">
        <f t="shared" si="0"/>
        <v>0.33494999999999997</v>
      </c>
      <c r="F70" s="664">
        <f t="shared" si="1"/>
        <v>7.9180327787309324E-4</v>
      </c>
      <c r="G70" s="665">
        <v>782985493.75</v>
      </c>
      <c r="H70" s="666">
        <f t="shared" si="2"/>
        <v>30</v>
      </c>
      <c r="I70" s="585">
        <f t="shared" si="3"/>
        <v>18599114.414349969</v>
      </c>
      <c r="J70" s="222"/>
      <c r="K70" s="218"/>
      <c r="L70" s="218"/>
      <c r="M70" s="218"/>
      <c r="N70" s="663"/>
    </row>
    <row r="71" spans="1:15">
      <c r="A71" s="216">
        <v>63</v>
      </c>
      <c r="B71" s="440">
        <v>42856</v>
      </c>
      <c r="C71" s="440">
        <v>42886</v>
      </c>
      <c r="D71" s="538">
        <v>0.2233</v>
      </c>
      <c r="E71" s="538">
        <f t="shared" si="0"/>
        <v>0.33494999999999997</v>
      </c>
      <c r="F71" s="664">
        <f t="shared" si="1"/>
        <v>7.9180327787309324E-4</v>
      </c>
      <c r="G71" s="665">
        <v>782985494.75</v>
      </c>
      <c r="H71" s="666">
        <f t="shared" si="2"/>
        <v>31</v>
      </c>
      <c r="I71" s="585">
        <f t="shared" si="3"/>
        <v>19219084.919374205</v>
      </c>
      <c r="J71" s="222"/>
      <c r="K71" s="218"/>
      <c r="L71" s="218"/>
      <c r="M71" s="218"/>
      <c r="N71" s="663"/>
    </row>
    <row r="72" spans="1:15">
      <c r="A72" s="216">
        <v>64</v>
      </c>
      <c r="B72" s="440">
        <v>42887</v>
      </c>
      <c r="C72" s="440">
        <v>42916</v>
      </c>
      <c r="D72" s="538">
        <v>0.2233</v>
      </c>
      <c r="E72" s="538">
        <f t="shared" si="0"/>
        <v>0.33494999999999997</v>
      </c>
      <c r="F72" s="664">
        <f t="shared" si="1"/>
        <v>7.9180327787309324E-4</v>
      </c>
      <c r="G72" s="665">
        <v>782985495.75</v>
      </c>
      <c r="H72" s="666">
        <f t="shared" si="2"/>
        <v>30</v>
      </c>
      <c r="I72" s="585">
        <f t="shared" si="3"/>
        <v>18599114.461858168</v>
      </c>
      <c r="J72" s="222"/>
      <c r="K72" s="218"/>
      <c r="L72" s="218"/>
      <c r="M72" s="218"/>
      <c r="N72" s="663"/>
    </row>
    <row r="73" spans="1:15">
      <c r="A73" s="216">
        <v>65</v>
      </c>
      <c r="B73" s="440">
        <v>42917</v>
      </c>
      <c r="C73" s="440">
        <v>42947</v>
      </c>
      <c r="D73" s="538">
        <v>0.2198</v>
      </c>
      <c r="E73" s="538">
        <f>+D73*1.5</f>
        <v>0.32969999999999999</v>
      </c>
      <c r="F73" s="664">
        <f>(1+E73)^(1/365)-1</f>
        <v>7.8099893845218205E-4</v>
      </c>
      <c r="G73" s="665">
        <v>782985496.75</v>
      </c>
      <c r="H73" s="666">
        <f t="shared" ref="H73:H128" si="4">_xlfn.DAYS(C73,B73)+1</f>
        <v>31</v>
      </c>
      <c r="I73" s="585">
        <f>+H73*F73*G73</f>
        <v>18956836.095341336</v>
      </c>
      <c r="J73" s="222"/>
      <c r="K73" s="218"/>
      <c r="L73" s="218"/>
      <c r="M73" s="218"/>
      <c r="N73" s="663"/>
    </row>
    <row r="74" spans="1:15">
      <c r="A74" s="216">
        <v>66</v>
      </c>
      <c r="B74" s="440">
        <v>42948</v>
      </c>
      <c r="C74" s="440">
        <v>42972</v>
      </c>
      <c r="D74" s="538">
        <v>0.2198</v>
      </c>
      <c r="E74" s="538">
        <f>+D74*1.5</f>
        <v>0.32969999999999999</v>
      </c>
      <c r="F74" s="664">
        <f>(1+E74)^(1/365)-1</f>
        <v>7.8099893845218205E-4</v>
      </c>
      <c r="G74" s="665">
        <v>782985497.75</v>
      </c>
      <c r="H74" s="666">
        <f t="shared" si="4"/>
        <v>25</v>
      </c>
      <c r="I74" s="585">
        <f>+H74*F74*G74</f>
        <v>15287771.064155085</v>
      </c>
      <c r="J74" s="222"/>
      <c r="K74" s="218"/>
      <c r="L74" s="218"/>
      <c r="M74" s="218"/>
      <c r="N74" s="663"/>
    </row>
    <row r="75" spans="1:15" ht="10.5" customHeight="1">
      <c r="A75" s="216"/>
      <c r="B75" s="440"/>
      <c r="C75" s="440"/>
      <c r="D75" s="219"/>
      <c r="E75" s="219"/>
      <c r="F75" s="662"/>
      <c r="G75" s="647"/>
      <c r="H75" s="647"/>
      <c r="I75" s="583"/>
      <c r="J75" s="222"/>
      <c r="K75" s="218"/>
      <c r="L75" s="218"/>
      <c r="M75" s="218"/>
      <c r="N75" s="663"/>
    </row>
    <row r="76" spans="1:15">
      <c r="A76" s="216">
        <v>67</v>
      </c>
      <c r="B76" s="440">
        <v>42973</v>
      </c>
      <c r="C76" s="440">
        <v>42978</v>
      </c>
      <c r="D76" s="538">
        <v>0.2198</v>
      </c>
      <c r="E76" s="538">
        <f>+D76*1.5</f>
        <v>0.32969999999999999</v>
      </c>
      <c r="F76" s="667">
        <f>(1+E76)^(1/365)-1</f>
        <v>7.8099893845218205E-4</v>
      </c>
      <c r="G76" s="668">
        <f>+$C$3</f>
        <v>782985430.75</v>
      </c>
      <c r="H76" s="666">
        <f t="shared" si="4"/>
        <v>6</v>
      </c>
      <c r="I76" s="585">
        <f>+H76*F76*G76</f>
        <v>3669064.741435647</v>
      </c>
      <c r="J76" s="222"/>
      <c r="K76" s="218"/>
      <c r="L76" s="587"/>
      <c r="M76" s="587"/>
      <c r="N76" s="669"/>
      <c r="O76" s="532"/>
    </row>
    <row r="77" spans="1:15">
      <c r="A77" s="216">
        <v>68</v>
      </c>
      <c r="B77" s="440">
        <v>42979</v>
      </c>
      <c r="C77" s="440">
        <v>43008</v>
      </c>
      <c r="D77" s="538">
        <v>0.21479999999999999</v>
      </c>
      <c r="E77" s="538">
        <f>+D77*1.5</f>
        <v>0.32219999999999999</v>
      </c>
      <c r="F77" s="667">
        <f t="shared" ref="F77:F127" si="5">(1+E77)^(1/365)-1</f>
        <v>7.6549014202820231E-4</v>
      </c>
      <c r="G77" s="668">
        <f t="shared" ref="G77:G128" si="6">+$C$3</f>
        <v>782985430.75</v>
      </c>
      <c r="H77" s="666">
        <f t="shared" si="4"/>
        <v>30</v>
      </c>
      <c r="I77" s="585">
        <f>+H77*F77*G77</f>
        <v>17981028.85772492</v>
      </c>
      <c r="J77" s="222"/>
      <c r="K77" s="218"/>
      <c r="L77" s="218"/>
      <c r="M77" s="218"/>
      <c r="N77" s="663"/>
    </row>
    <row r="78" spans="1:15">
      <c r="A78" s="216">
        <v>69</v>
      </c>
      <c r="B78" s="440">
        <v>43009</v>
      </c>
      <c r="C78" s="440">
        <v>43039</v>
      </c>
      <c r="D78" s="538">
        <v>0.21149999999999999</v>
      </c>
      <c r="E78" s="538">
        <f t="shared" ref="E78:E127" si="7">+D78*1.5</f>
        <v>0.31724999999999998</v>
      </c>
      <c r="F78" s="667">
        <f t="shared" si="5"/>
        <v>7.5520620308799913E-4</v>
      </c>
      <c r="G78" s="668">
        <f t="shared" si="6"/>
        <v>782985430.75</v>
      </c>
      <c r="H78" s="666">
        <f t="shared" si="4"/>
        <v>31</v>
      </c>
      <c r="I78" s="585">
        <f>+H78*F78*G78</f>
        <v>18330779.0811278</v>
      </c>
      <c r="J78" s="222"/>
      <c r="K78" s="218"/>
      <c r="L78" s="218"/>
      <c r="M78" s="218"/>
      <c r="N78" s="663"/>
      <c r="O78" s="218"/>
    </row>
    <row r="79" spans="1:15">
      <c r="A79" s="216">
        <v>70</v>
      </c>
      <c r="B79" s="440">
        <v>43040</v>
      </c>
      <c r="C79" s="440">
        <v>43069</v>
      </c>
      <c r="D79" s="538">
        <v>0.20960000000000001</v>
      </c>
      <c r="E79" s="538">
        <f t="shared" si="7"/>
        <v>0.31440000000000001</v>
      </c>
      <c r="F79" s="667">
        <f t="shared" si="5"/>
        <v>7.4926765057248268E-4</v>
      </c>
      <c r="G79" s="668">
        <f t="shared" si="6"/>
        <v>782985430.75</v>
      </c>
      <c r="H79" s="666">
        <f t="shared" si="4"/>
        <v>30</v>
      </c>
      <c r="I79" s="585">
        <f>+H79*F79*G79</f>
        <v>17599969.623916075</v>
      </c>
      <c r="J79" s="222"/>
      <c r="K79" s="218"/>
      <c r="O79" s="587"/>
    </row>
    <row r="80" spans="1:15">
      <c r="A80" s="216">
        <v>71</v>
      </c>
      <c r="B80" s="440">
        <v>43070</v>
      </c>
      <c r="C80" s="440">
        <v>43100</v>
      </c>
      <c r="D80" s="538">
        <v>0.2077</v>
      </c>
      <c r="E80" s="538">
        <f t="shared" si="7"/>
        <v>0.31154999999999999</v>
      </c>
      <c r="F80" s="667">
        <f t="shared" si="5"/>
        <v>7.4331624292400811E-4</v>
      </c>
      <c r="G80" s="668">
        <f t="shared" si="6"/>
        <v>782985430.75</v>
      </c>
      <c r="H80" s="666">
        <f t="shared" si="4"/>
        <v>31</v>
      </c>
      <c r="I80" s="585">
        <f t="shared" ref="I80:I125" si="8">+H80*F80*G80</f>
        <v>18042179.44812911</v>
      </c>
      <c r="J80" s="222"/>
      <c r="K80" s="218"/>
      <c r="O80" s="222"/>
    </row>
    <row r="81" spans="1:15">
      <c r="A81" s="216">
        <v>72</v>
      </c>
      <c r="B81" s="440">
        <v>43101</v>
      </c>
      <c r="C81" s="440">
        <v>43131</v>
      </c>
      <c r="D81" s="538">
        <v>0.2069</v>
      </c>
      <c r="E81" s="538">
        <f>+D81*1.5</f>
        <v>0.31035000000000001</v>
      </c>
      <c r="F81" s="667">
        <f>(1+E81)^(1/365)-1</f>
        <v>7.4080652774299871E-4</v>
      </c>
      <c r="G81" s="668">
        <f t="shared" si="6"/>
        <v>782985430.75</v>
      </c>
      <c r="H81" s="666">
        <f t="shared" si="4"/>
        <v>31</v>
      </c>
      <c r="I81" s="585">
        <f>+H81*F81*G81</f>
        <v>17981262.265045173</v>
      </c>
      <c r="J81" s="222"/>
      <c r="K81" s="218"/>
      <c r="O81" s="222"/>
    </row>
    <row r="82" spans="1:15">
      <c r="A82" s="216">
        <v>73</v>
      </c>
      <c r="B82" s="440">
        <v>43132</v>
      </c>
      <c r="C82" s="440">
        <v>43159</v>
      </c>
      <c r="D82" s="538">
        <v>0.21010000000000001</v>
      </c>
      <c r="E82" s="538">
        <f t="shared" si="7"/>
        <v>0.31515000000000004</v>
      </c>
      <c r="F82" s="667">
        <f t="shared" si="5"/>
        <v>7.5083167162115494E-4</v>
      </c>
      <c r="G82" s="668">
        <f t="shared" si="6"/>
        <v>782985430.75</v>
      </c>
      <c r="H82" s="666">
        <f t="shared" si="4"/>
        <v>28</v>
      </c>
      <c r="I82" s="585">
        <f t="shared" si="8"/>
        <v>16460927.275100911</v>
      </c>
      <c r="J82" s="222"/>
      <c r="K82" s="218"/>
    </row>
    <row r="83" spans="1:15">
      <c r="A83" s="216">
        <v>74</v>
      </c>
      <c r="B83" s="440">
        <v>43160</v>
      </c>
      <c r="C83" s="440">
        <v>43190</v>
      </c>
      <c r="D83" s="538">
        <v>0.20680000000000001</v>
      </c>
      <c r="E83" s="538">
        <f t="shared" si="7"/>
        <v>0.31020000000000003</v>
      </c>
      <c r="F83" s="667">
        <f t="shared" si="5"/>
        <v>7.4049265219700011E-4</v>
      </c>
      <c r="G83" s="668">
        <f t="shared" si="6"/>
        <v>782985430.75</v>
      </c>
      <c r="H83" s="666">
        <f t="shared" si="4"/>
        <v>31</v>
      </c>
      <c r="I83" s="585">
        <f t="shared" si="8"/>
        <v>17973643.70567802</v>
      </c>
      <c r="J83" s="222"/>
      <c r="K83" s="218"/>
    </row>
    <row r="84" spans="1:15">
      <c r="A84" s="216">
        <v>75</v>
      </c>
      <c r="B84" s="440">
        <v>43191</v>
      </c>
      <c r="C84" s="440">
        <v>43220</v>
      </c>
      <c r="D84" s="538">
        <v>0.20480000000000001</v>
      </c>
      <c r="E84" s="538">
        <f t="shared" si="7"/>
        <v>0.30720000000000003</v>
      </c>
      <c r="F84" s="667">
        <f t="shared" si="5"/>
        <v>7.34207604366377E-4</v>
      </c>
      <c r="G84" s="668">
        <f t="shared" si="6"/>
        <v>782985430.75</v>
      </c>
      <c r="H84" s="666">
        <f t="shared" si="4"/>
        <v>30</v>
      </c>
      <c r="I84" s="585">
        <f t="shared" si="8"/>
        <v>17246215.720941998</v>
      </c>
      <c r="J84" s="222"/>
      <c r="K84" s="218"/>
    </row>
    <row r="85" spans="1:15">
      <c r="A85" s="216">
        <v>76</v>
      </c>
      <c r="B85" s="440">
        <v>43221</v>
      </c>
      <c r="C85" s="440">
        <v>43251</v>
      </c>
      <c r="D85" s="538">
        <v>0.2044</v>
      </c>
      <c r="E85" s="538">
        <f t="shared" si="7"/>
        <v>0.30659999999999998</v>
      </c>
      <c r="F85" s="667">
        <f t="shared" si="5"/>
        <v>7.3294886878794152E-4</v>
      </c>
      <c r="G85" s="668">
        <f t="shared" si="6"/>
        <v>782985430.75</v>
      </c>
      <c r="H85" s="666">
        <f t="shared" si="4"/>
        <v>31</v>
      </c>
      <c r="I85" s="585">
        <f t="shared" si="8"/>
        <v>17790536.8581152</v>
      </c>
      <c r="J85" s="222"/>
      <c r="K85" s="218"/>
    </row>
    <row r="86" spans="1:15">
      <c r="A86" s="216">
        <v>77</v>
      </c>
      <c r="B86" s="440">
        <v>43252</v>
      </c>
      <c r="C86" s="440">
        <v>43281</v>
      </c>
      <c r="D86" s="538">
        <v>0.20280000000000001</v>
      </c>
      <c r="E86" s="538">
        <f t="shared" si="7"/>
        <v>0.30420000000000003</v>
      </c>
      <c r="F86" s="667">
        <f t="shared" si="5"/>
        <v>7.2790815549184096E-4</v>
      </c>
      <c r="G86" s="668">
        <f t="shared" si="6"/>
        <v>782985430.75</v>
      </c>
      <c r="H86" s="666">
        <f t="shared" si="4"/>
        <v>30</v>
      </c>
      <c r="I86" s="585">
        <f t="shared" si="8"/>
        <v>17098244.420226511</v>
      </c>
      <c r="J86" s="222"/>
      <c r="K86" s="218"/>
    </row>
    <row r="87" spans="1:15">
      <c r="A87" s="216">
        <v>78</v>
      </c>
      <c r="B87" s="440">
        <v>43282</v>
      </c>
      <c r="C87" s="440">
        <v>43312</v>
      </c>
      <c r="D87" s="538">
        <v>0.20030000000000001</v>
      </c>
      <c r="E87" s="538">
        <f t="shared" si="7"/>
        <v>0.30044999999999999</v>
      </c>
      <c r="F87" s="667">
        <f t="shared" si="5"/>
        <v>7.2001349197825526E-4</v>
      </c>
      <c r="G87" s="668">
        <f t="shared" si="6"/>
        <v>782985430.75</v>
      </c>
      <c r="H87" s="666">
        <f t="shared" si="4"/>
        <v>31</v>
      </c>
      <c r="I87" s="585">
        <f t="shared" si="8"/>
        <v>17476562.299034581</v>
      </c>
      <c r="J87" s="222"/>
      <c r="K87" s="218"/>
    </row>
    <row r="88" spans="1:15">
      <c r="A88" s="216">
        <v>79</v>
      </c>
      <c r="B88" s="440">
        <v>43313</v>
      </c>
      <c r="C88" s="440">
        <v>43343</v>
      </c>
      <c r="D88" s="538">
        <v>0.19939999999999999</v>
      </c>
      <c r="E88" s="538">
        <f t="shared" si="7"/>
        <v>0.29909999999999998</v>
      </c>
      <c r="F88" s="667">
        <f t="shared" si="5"/>
        <v>7.1716585429704161E-4</v>
      </c>
      <c r="G88" s="668">
        <f t="shared" si="6"/>
        <v>782985430.75</v>
      </c>
      <c r="H88" s="666">
        <f t="shared" si="4"/>
        <v>31</v>
      </c>
      <c r="I88" s="585">
        <f t="shared" si="8"/>
        <v>17407442.875724785</v>
      </c>
      <c r="J88" s="222"/>
      <c r="K88" s="218"/>
    </row>
    <row r="89" spans="1:15">
      <c r="A89" s="216">
        <v>80</v>
      </c>
      <c r="B89" s="440">
        <v>43344</v>
      </c>
      <c r="C89" s="440">
        <v>43373</v>
      </c>
      <c r="D89" s="538">
        <v>0.1981</v>
      </c>
      <c r="E89" s="538">
        <f t="shared" si="7"/>
        <v>0.29715000000000003</v>
      </c>
      <c r="F89" s="667">
        <f t="shared" si="5"/>
        <v>7.1304738558919389E-4</v>
      </c>
      <c r="G89" s="668">
        <f t="shared" si="6"/>
        <v>782985430.75</v>
      </c>
      <c r="H89" s="666">
        <f t="shared" si="4"/>
        <v>30</v>
      </c>
      <c r="I89" s="585">
        <f t="shared" si="8"/>
        <v>16749171.43052149</v>
      </c>
      <c r="J89" s="222"/>
      <c r="K89" s="218"/>
    </row>
    <row r="90" spans="1:15">
      <c r="A90" s="216">
        <v>81</v>
      </c>
      <c r="B90" s="440">
        <v>43374</v>
      </c>
      <c r="C90" s="440">
        <v>43404</v>
      </c>
      <c r="D90" s="538">
        <v>0.1963</v>
      </c>
      <c r="E90" s="538">
        <f t="shared" si="7"/>
        <v>0.29444999999999999</v>
      </c>
      <c r="F90" s="667">
        <f t="shared" si="5"/>
        <v>7.073346857742191E-4</v>
      </c>
      <c r="G90" s="668">
        <f t="shared" si="6"/>
        <v>782985430.75</v>
      </c>
      <c r="H90" s="666">
        <f t="shared" si="4"/>
        <v>31</v>
      </c>
      <c r="I90" s="585">
        <f t="shared" si="8"/>
        <v>17168815.362385627</v>
      </c>
      <c r="J90" s="222"/>
      <c r="K90" s="218"/>
    </row>
    <row r="91" spans="1:15">
      <c r="A91" s="216">
        <v>82</v>
      </c>
      <c r="B91" s="440">
        <v>43405</v>
      </c>
      <c r="C91" s="440">
        <v>43434</v>
      </c>
      <c r="D91" s="538">
        <v>0.19489999999999999</v>
      </c>
      <c r="E91" s="538">
        <f t="shared" si="7"/>
        <v>0.29235</v>
      </c>
      <c r="F91" s="667">
        <f t="shared" si="5"/>
        <v>7.0288325333756063E-4</v>
      </c>
      <c r="G91" s="668">
        <f t="shared" si="6"/>
        <v>782985430.75</v>
      </c>
      <c r="H91" s="666">
        <f t="shared" si="4"/>
        <v>30</v>
      </c>
      <c r="I91" s="585">
        <f t="shared" si="8"/>
        <v>16510420.406444138</v>
      </c>
      <c r="J91" s="222"/>
      <c r="K91" s="218"/>
    </row>
    <row r="92" spans="1:15">
      <c r="A92" s="216">
        <v>83</v>
      </c>
      <c r="B92" s="440">
        <v>43435</v>
      </c>
      <c r="C92" s="440">
        <v>43465</v>
      </c>
      <c r="D92" s="538">
        <v>0.19400000000000001</v>
      </c>
      <c r="E92" s="538">
        <f t="shared" si="7"/>
        <v>0.29100000000000004</v>
      </c>
      <c r="F92" s="667">
        <f t="shared" si="5"/>
        <v>7.0001780740103214E-4</v>
      </c>
      <c r="G92" s="668">
        <f t="shared" si="6"/>
        <v>782985430.75</v>
      </c>
      <c r="H92" s="666">
        <f t="shared" si="4"/>
        <v>31</v>
      </c>
      <c r="I92" s="585">
        <f t="shared" si="8"/>
        <v>16991216.078277599</v>
      </c>
      <c r="J92" s="222"/>
      <c r="K92" s="218"/>
    </row>
    <row r="93" spans="1:15">
      <c r="A93" s="216">
        <v>84</v>
      </c>
      <c r="B93" s="440">
        <v>43466</v>
      </c>
      <c r="C93" s="440">
        <v>43496</v>
      </c>
      <c r="D93" s="538">
        <v>0.19159999999999999</v>
      </c>
      <c r="E93" s="538">
        <f t="shared" si="7"/>
        <v>0.28739999999999999</v>
      </c>
      <c r="F93" s="667">
        <f t="shared" si="5"/>
        <v>6.9236198468725085E-4</v>
      </c>
      <c r="G93" s="668">
        <f t="shared" si="6"/>
        <v>782985430.75</v>
      </c>
      <c r="H93" s="666">
        <f t="shared" si="4"/>
        <v>31</v>
      </c>
      <c r="I93" s="585">
        <f t="shared" si="8"/>
        <v>16805389.751273431</v>
      </c>
      <c r="J93" s="222"/>
      <c r="K93" s="218"/>
    </row>
    <row r="94" spans="1:15">
      <c r="A94" s="216">
        <v>85</v>
      </c>
      <c r="B94" s="440">
        <v>43497</v>
      </c>
      <c r="C94" s="440">
        <v>43524</v>
      </c>
      <c r="D94" s="538">
        <v>0.19700000000000001</v>
      </c>
      <c r="E94" s="538">
        <f t="shared" si="7"/>
        <v>0.29549999999999998</v>
      </c>
      <c r="F94" s="667">
        <f t="shared" si="5"/>
        <v>7.0955770203506852E-4</v>
      </c>
      <c r="G94" s="668">
        <f t="shared" si="6"/>
        <v>782985430.75</v>
      </c>
      <c r="H94" s="666">
        <f t="shared" si="4"/>
        <v>28</v>
      </c>
      <c r="I94" s="585">
        <f t="shared" si="8"/>
        <v>15556053.603157431</v>
      </c>
      <c r="J94" s="222"/>
      <c r="K94" s="218"/>
    </row>
    <row r="95" spans="1:15">
      <c r="A95" s="216">
        <v>86</v>
      </c>
      <c r="B95" s="440">
        <v>43525</v>
      </c>
      <c r="C95" s="440">
        <v>43555</v>
      </c>
      <c r="D95" s="538">
        <v>0.19370000000000001</v>
      </c>
      <c r="E95" s="538">
        <f t="shared" si="7"/>
        <v>0.29055000000000003</v>
      </c>
      <c r="F95" s="667">
        <f t="shared" si="5"/>
        <v>6.9906199467517638E-4</v>
      </c>
      <c r="G95" s="668">
        <f t="shared" si="6"/>
        <v>782985430.75</v>
      </c>
      <c r="H95" s="666">
        <f t="shared" si="4"/>
        <v>31</v>
      </c>
      <c r="I95" s="585">
        <f t="shared" si="8"/>
        <v>16968016.067672614</v>
      </c>
      <c r="J95" s="222"/>
      <c r="K95" s="218"/>
    </row>
    <row r="96" spans="1:15">
      <c r="A96" s="216">
        <v>87</v>
      </c>
      <c r="B96" s="440">
        <v>43556</v>
      </c>
      <c r="C96" s="440">
        <v>43585</v>
      </c>
      <c r="D96" s="538">
        <v>0.19320000000000001</v>
      </c>
      <c r="E96" s="538">
        <f t="shared" si="7"/>
        <v>0.2898</v>
      </c>
      <c r="F96" s="667">
        <f t="shared" si="5"/>
        <v>6.9746823462724095E-4</v>
      </c>
      <c r="G96" s="668">
        <f t="shared" si="6"/>
        <v>782985430.75</v>
      </c>
      <c r="H96" s="666">
        <f t="shared" si="4"/>
        <v>30</v>
      </c>
      <c r="I96" s="585">
        <f t="shared" si="8"/>
        <v>16383223.983721569</v>
      </c>
      <c r="J96" s="222"/>
      <c r="K96" s="218"/>
    </row>
    <row r="97" spans="1:11">
      <c r="A97" s="216">
        <v>88</v>
      </c>
      <c r="B97" s="440">
        <v>43586</v>
      </c>
      <c r="C97" s="440">
        <v>43616</v>
      </c>
      <c r="D97" s="538">
        <v>0.19339999999999999</v>
      </c>
      <c r="E97" s="538">
        <f t="shared" si="7"/>
        <v>0.29009999999999997</v>
      </c>
      <c r="F97" s="667">
        <f t="shared" si="5"/>
        <v>6.9810584952367805E-4</v>
      </c>
      <c r="G97" s="668">
        <f t="shared" si="6"/>
        <v>782985430.75</v>
      </c>
      <c r="H97" s="666">
        <f t="shared" si="4"/>
        <v>31</v>
      </c>
      <c r="I97" s="585">
        <f t="shared" si="8"/>
        <v>16944807.988250144</v>
      </c>
      <c r="J97" s="222"/>
      <c r="K97" s="218"/>
    </row>
    <row r="98" spans="1:11">
      <c r="A98" s="216">
        <v>89</v>
      </c>
      <c r="B98" s="440">
        <v>43617</v>
      </c>
      <c r="C98" s="440">
        <v>43646</v>
      </c>
      <c r="D98" s="538">
        <v>0.193</v>
      </c>
      <c r="E98" s="538">
        <f t="shared" si="7"/>
        <v>0.28949999999999998</v>
      </c>
      <c r="F98" s="667">
        <f t="shared" si="5"/>
        <v>6.9683047181468005E-4</v>
      </c>
      <c r="G98" s="668">
        <f t="shared" si="6"/>
        <v>782985430.75</v>
      </c>
      <c r="H98" s="666">
        <f t="shared" si="4"/>
        <v>30</v>
      </c>
      <c r="I98" s="585">
        <f t="shared" si="8"/>
        <v>16368243.21400629</v>
      </c>
      <c r="J98" s="588"/>
    </row>
    <row r="99" spans="1:11">
      <c r="A99" s="216">
        <v>90</v>
      </c>
      <c r="B99" s="440">
        <v>43647</v>
      </c>
      <c r="C99" s="440">
        <v>43677</v>
      </c>
      <c r="D99" s="538">
        <v>0.1928</v>
      </c>
      <c r="E99" s="538">
        <f t="shared" si="7"/>
        <v>0.28920000000000001</v>
      </c>
      <c r="F99" s="667">
        <f t="shared" si="5"/>
        <v>6.9619256101671745E-4</v>
      </c>
      <c r="G99" s="668">
        <f t="shared" si="6"/>
        <v>782985430.75</v>
      </c>
      <c r="H99" s="666">
        <f t="shared" si="4"/>
        <v>31</v>
      </c>
      <c r="I99" s="585">
        <f t="shared" si="8"/>
        <v>16898367.600451224</v>
      </c>
      <c r="J99" s="589"/>
    </row>
    <row r="100" spans="1:11">
      <c r="A100" s="216">
        <v>91</v>
      </c>
      <c r="B100" s="440">
        <v>43678</v>
      </c>
      <c r="C100" s="440">
        <v>43708</v>
      </c>
      <c r="D100" s="538">
        <v>0.19320000000000001</v>
      </c>
      <c r="E100" s="538">
        <f t="shared" si="7"/>
        <v>0.2898</v>
      </c>
      <c r="F100" s="667">
        <f t="shared" si="5"/>
        <v>6.9746823462724095E-4</v>
      </c>
      <c r="G100" s="668">
        <f t="shared" si="6"/>
        <v>782985430.75</v>
      </c>
      <c r="H100" s="666">
        <f t="shared" si="4"/>
        <v>31</v>
      </c>
      <c r="I100" s="585">
        <f t="shared" si="8"/>
        <v>16929331.449845623</v>
      </c>
    </row>
    <row r="101" spans="1:11">
      <c r="A101" s="216">
        <v>92</v>
      </c>
      <c r="B101" s="440">
        <v>43709</v>
      </c>
      <c r="C101" s="440">
        <v>43738</v>
      </c>
      <c r="D101" s="538">
        <v>0.19320000000000001</v>
      </c>
      <c r="E101" s="538">
        <f t="shared" si="7"/>
        <v>0.2898</v>
      </c>
      <c r="F101" s="667">
        <f t="shared" si="5"/>
        <v>6.9746823462724095E-4</v>
      </c>
      <c r="G101" s="668">
        <f t="shared" si="6"/>
        <v>782985430.75</v>
      </c>
      <c r="H101" s="666">
        <f t="shared" si="4"/>
        <v>30</v>
      </c>
      <c r="I101" s="585">
        <f t="shared" si="8"/>
        <v>16383223.983721569</v>
      </c>
    </row>
    <row r="102" spans="1:11">
      <c r="A102" s="216">
        <v>93</v>
      </c>
      <c r="B102" s="440">
        <v>43739</v>
      </c>
      <c r="C102" s="440">
        <v>43769</v>
      </c>
      <c r="D102" s="538">
        <v>0.191</v>
      </c>
      <c r="E102" s="538">
        <f t="shared" si="7"/>
        <v>0.28649999999999998</v>
      </c>
      <c r="F102" s="667">
        <f t="shared" si="5"/>
        <v>6.9044469314105683E-4</v>
      </c>
      <c r="G102" s="668">
        <f t="shared" si="6"/>
        <v>782985430.75</v>
      </c>
      <c r="H102" s="666">
        <f t="shared" si="4"/>
        <v>31</v>
      </c>
      <c r="I102" s="585">
        <f t="shared" si="8"/>
        <v>16758852.199511161</v>
      </c>
    </row>
    <row r="103" spans="1:11">
      <c r="A103" s="216">
        <v>94</v>
      </c>
      <c r="B103" s="440">
        <v>43770</v>
      </c>
      <c r="C103" s="440">
        <v>43799</v>
      </c>
      <c r="D103" s="538">
        <v>0.1903</v>
      </c>
      <c r="E103" s="538">
        <f t="shared" si="7"/>
        <v>0.28544999999999998</v>
      </c>
      <c r="F103" s="667">
        <f t="shared" si="5"/>
        <v>6.8820616169262827E-4</v>
      </c>
      <c r="G103" s="668">
        <f t="shared" si="6"/>
        <v>782985430.75</v>
      </c>
      <c r="H103" s="666">
        <f t="shared" si="4"/>
        <v>30</v>
      </c>
      <c r="I103" s="585">
        <f t="shared" si="8"/>
        <v>16165661.938731201</v>
      </c>
    </row>
    <row r="104" spans="1:11">
      <c r="A104" s="216">
        <v>95</v>
      </c>
      <c r="B104" s="440">
        <v>43800</v>
      </c>
      <c r="C104" s="440">
        <v>43830</v>
      </c>
      <c r="D104" s="538">
        <v>0.18909999999999999</v>
      </c>
      <c r="E104" s="538">
        <f t="shared" si="7"/>
        <v>0.28364999999999996</v>
      </c>
      <c r="F104" s="667">
        <f t="shared" si="5"/>
        <v>6.8436443340047504E-4</v>
      </c>
      <c r="G104" s="668">
        <f t="shared" si="6"/>
        <v>782985430.75</v>
      </c>
      <c r="H104" s="666">
        <f t="shared" si="4"/>
        <v>31</v>
      </c>
      <c r="I104" s="585">
        <f t="shared" si="8"/>
        <v>16611268.80095757</v>
      </c>
    </row>
    <row r="105" spans="1:11">
      <c r="A105" s="216">
        <v>96</v>
      </c>
      <c r="B105" s="440">
        <v>43831</v>
      </c>
      <c r="C105" s="440">
        <v>43861</v>
      </c>
      <c r="D105" s="538">
        <v>0.18770000000000001</v>
      </c>
      <c r="E105" s="538">
        <f t="shared" si="7"/>
        <v>0.28155000000000002</v>
      </c>
      <c r="F105" s="667">
        <f t="shared" si="5"/>
        <v>6.7987562124560696E-4</v>
      </c>
      <c r="G105" s="668">
        <f t="shared" si="6"/>
        <v>782985430.75</v>
      </c>
      <c r="H105" s="666">
        <f t="shared" si="4"/>
        <v>31</v>
      </c>
      <c r="I105" s="585">
        <f t="shared" si="8"/>
        <v>16502313.890879879</v>
      </c>
    </row>
    <row r="106" spans="1:11">
      <c r="A106" s="216">
        <v>97</v>
      </c>
      <c r="B106" s="440">
        <v>43862</v>
      </c>
      <c r="C106" s="440">
        <v>43890</v>
      </c>
      <c r="D106" s="538">
        <v>0.19059999999999999</v>
      </c>
      <c r="E106" s="538">
        <f t="shared" si="7"/>
        <v>0.28589999999999999</v>
      </c>
      <c r="F106" s="667">
        <f t="shared" si="5"/>
        <v>6.8916575551658532E-4</v>
      </c>
      <c r="G106" s="668">
        <f t="shared" si="6"/>
        <v>782985430.75</v>
      </c>
      <c r="H106" s="666">
        <f t="shared" si="4"/>
        <v>29</v>
      </c>
      <c r="I106" s="585">
        <f t="shared" si="8"/>
        <v>15648595.63229778</v>
      </c>
    </row>
    <row r="107" spans="1:11">
      <c r="A107" s="216">
        <v>98</v>
      </c>
      <c r="B107" s="440">
        <v>43891</v>
      </c>
      <c r="C107" s="440">
        <v>43921</v>
      </c>
      <c r="D107" s="538">
        <v>0.1895</v>
      </c>
      <c r="E107" s="538">
        <f t="shared" si="7"/>
        <v>0.28425</v>
      </c>
      <c r="F107" s="667">
        <f t="shared" si="5"/>
        <v>6.8564560609574166E-4</v>
      </c>
      <c r="G107" s="668">
        <f t="shared" si="6"/>
        <v>782985430.75</v>
      </c>
      <c r="H107" s="666">
        <f t="shared" si="4"/>
        <v>31</v>
      </c>
      <c r="I107" s="585">
        <f t="shared" si="8"/>
        <v>16642366.127152292</v>
      </c>
    </row>
    <row r="108" spans="1:11">
      <c r="A108" s="216">
        <v>99</v>
      </c>
      <c r="B108" s="440">
        <v>43922</v>
      </c>
      <c r="C108" s="440">
        <v>43951</v>
      </c>
      <c r="D108" s="538">
        <v>0.18690000000000001</v>
      </c>
      <c r="E108" s="538">
        <f t="shared" si="7"/>
        <v>0.28034999999999999</v>
      </c>
      <c r="F108" s="667">
        <f t="shared" si="5"/>
        <v>6.7730729113191224E-4</v>
      </c>
      <c r="G108" s="668">
        <f t="shared" si="6"/>
        <v>782985430.75</v>
      </c>
      <c r="H108" s="666">
        <f t="shared" si="4"/>
        <v>30</v>
      </c>
      <c r="I108" s="585">
        <f t="shared" si="8"/>
        <v>15909652.232911078</v>
      </c>
    </row>
    <row r="109" spans="1:11">
      <c r="A109" s="216">
        <v>100</v>
      </c>
      <c r="B109" s="440">
        <v>43952</v>
      </c>
      <c r="C109" s="440">
        <v>43982</v>
      </c>
      <c r="D109" s="538">
        <v>0.18190000000000001</v>
      </c>
      <c r="E109" s="538">
        <f t="shared" si="7"/>
        <v>0.27285000000000004</v>
      </c>
      <c r="F109" s="667">
        <f t="shared" si="5"/>
        <v>6.6120063584418354E-4</v>
      </c>
      <c r="G109" s="668">
        <f t="shared" si="6"/>
        <v>782985430.75</v>
      </c>
      <c r="H109" s="666">
        <f t="shared" si="4"/>
        <v>31</v>
      </c>
      <c r="I109" s="585">
        <f t="shared" si="8"/>
        <v>16049024.404727589</v>
      </c>
    </row>
    <row r="110" spans="1:11">
      <c r="A110" s="216">
        <v>101</v>
      </c>
      <c r="B110" s="440">
        <v>43983</v>
      </c>
      <c r="C110" s="440">
        <v>44012</v>
      </c>
      <c r="D110" s="538">
        <v>0.1812</v>
      </c>
      <c r="E110" s="538">
        <f t="shared" si="7"/>
        <v>0.27179999999999999</v>
      </c>
      <c r="F110" s="667">
        <f t="shared" si="5"/>
        <v>6.5893815469997286E-4</v>
      </c>
      <c r="G110" s="668">
        <f t="shared" si="6"/>
        <v>782985430.75</v>
      </c>
      <c r="H110" s="666">
        <f t="shared" si="4"/>
        <v>30</v>
      </c>
      <c r="I110" s="585">
        <f t="shared" si="8"/>
        <v>15478169.246861052</v>
      </c>
    </row>
    <row r="111" spans="1:11">
      <c r="A111" s="216">
        <v>102</v>
      </c>
      <c r="B111" s="440">
        <v>44013</v>
      </c>
      <c r="C111" s="440">
        <v>44043</v>
      </c>
      <c r="D111" s="538">
        <v>0.1812</v>
      </c>
      <c r="E111" s="538">
        <f t="shared" si="7"/>
        <v>0.27179999999999999</v>
      </c>
      <c r="F111" s="667">
        <f t="shared" si="5"/>
        <v>6.5893815469997286E-4</v>
      </c>
      <c r="G111" s="668">
        <f t="shared" si="6"/>
        <v>782985430.75</v>
      </c>
      <c r="H111" s="666">
        <f t="shared" si="4"/>
        <v>31</v>
      </c>
      <c r="I111" s="585">
        <f t="shared" si="8"/>
        <v>15994108.221756419</v>
      </c>
    </row>
    <row r="112" spans="1:11">
      <c r="A112" s="216">
        <v>103</v>
      </c>
      <c r="B112" s="440">
        <v>44044</v>
      </c>
      <c r="C112" s="440">
        <v>44074</v>
      </c>
      <c r="D112" s="538">
        <v>0.18290000000000001</v>
      </c>
      <c r="E112" s="538">
        <f t="shared" si="7"/>
        <v>0.27434999999999998</v>
      </c>
      <c r="F112" s="667">
        <f t="shared" si="5"/>
        <v>6.6442952514544906E-4</v>
      </c>
      <c r="G112" s="668">
        <f t="shared" si="6"/>
        <v>782985430.75</v>
      </c>
      <c r="H112" s="666">
        <f t="shared" si="4"/>
        <v>31</v>
      </c>
      <c r="I112" s="585">
        <f t="shared" si="8"/>
        <v>16127397.776419848</v>
      </c>
    </row>
    <row r="113" spans="1:14">
      <c r="A113" s="216">
        <v>104</v>
      </c>
      <c r="B113" s="440">
        <v>44075</v>
      </c>
      <c r="C113" s="440">
        <v>44104</v>
      </c>
      <c r="D113" s="538">
        <v>0.1835</v>
      </c>
      <c r="E113" s="538">
        <f t="shared" si="7"/>
        <v>0.27524999999999999</v>
      </c>
      <c r="F113" s="667">
        <f t="shared" si="5"/>
        <v>6.6636503991857055E-4</v>
      </c>
      <c r="G113" s="668">
        <f t="shared" si="6"/>
        <v>782985430.75</v>
      </c>
      <c r="H113" s="666">
        <f t="shared" si="4"/>
        <v>30</v>
      </c>
      <c r="I113" s="585">
        <f t="shared" si="8"/>
        <v>15652623.534521487</v>
      </c>
    </row>
    <row r="114" spans="1:14">
      <c r="A114" s="216">
        <v>105</v>
      </c>
      <c r="B114" s="440">
        <v>44105</v>
      </c>
      <c r="C114" s="440">
        <v>44135</v>
      </c>
      <c r="D114" s="538">
        <v>0.18090000000000001</v>
      </c>
      <c r="E114" s="538">
        <f t="shared" si="7"/>
        <v>0.27134999999999998</v>
      </c>
      <c r="F114" s="667">
        <f t="shared" si="5"/>
        <v>6.5796794962613703E-4</v>
      </c>
      <c r="G114" s="668">
        <f t="shared" si="6"/>
        <v>782985430.75</v>
      </c>
      <c r="H114" s="666">
        <f t="shared" si="4"/>
        <v>31</v>
      </c>
      <c r="I114" s="585">
        <f t="shared" si="8"/>
        <v>15970558.872189172</v>
      </c>
    </row>
    <row r="115" spans="1:14">
      <c r="A115" s="216">
        <v>106</v>
      </c>
      <c r="B115" s="440">
        <v>44136</v>
      </c>
      <c r="C115" s="440">
        <v>44165</v>
      </c>
      <c r="D115" s="538">
        <v>0.1784</v>
      </c>
      <c r="E115" s="538">
        <f t="shared" si="7"/>
        <v>0.2676</v>
      </c>
      <c r="F115" s="667">
        <f t="shared" si="5"/>
        <v>6.4986956374091243E-4</v>
      </c>
      <c r="G115" s="668">
        <f t="shared" si="6"/>
        <v>782985430.75</v>
      </c>
      <c r="H115" s="666">
        <f t="shared" si="4"/>
        <v>30</v>
      </c>
      <c r="I115" s="585">
        <f t="shared" si="8"/>
        <v>15265152.008909786</v>
      </c>
    </row>
    <row r="116" spans="1:14">
      <c r="A116" s="216">
        <v>107</v>
      </c>
      <c r="B116" s="440">
        <v>44166</v>
      </c>
      <c r="C116" s="440">
        <v>44196</v>
      </c>
      <c r="D116" s="538">
        <v>0.17460000000000001</v>
      </c>
      <c r="E116" s="538">
        <f t="shared" si="7"/>
        <v>0.26190000000000002</v>
      </c>
      <c r="F116" s="667">
        <f t="shared" si="5"/>
        <v>6.3751414410861962E-4</v>
      </c>
      <c r="G116" s="668">
        <f t="shared" si="6"/>
        <v>782985430.75</v>
      </c>
      <c r="H116" s="666">
        <f t="shared" si="4"/>
        <v>31</v>
      </c>
      <c r="I116" s="585">
        <f t="shared" si="8"/>
        <v>15474092.888757259</v>
      </c>
    </row>
    <row r="117" spans="1:14">
      <c r="A117" s="216">
        <v>108</v>
      </c>
      <c r="B117" s="440">
        <v>44197</v>
      </c>
      <c r="C117" s="440">
        <v>44227</v>
      </c>
      <c r="D117" s="538">
        <v>0.17319999999999999</v>
      </c>
      <c r="E117" s="538">
        <f t="shared" si="7"/>
        <v>0.25979999999999998</v>
      </c>
      <c r="F117" s="667">
        <f t="shared" si="5"/>
        <v>6.3294811266723094E-4</v>
      </c>
      <c r="G117" s="668">
        <f t="shared" si="6"/>
        <v>782985430.75</v>
      </c>
      <c r="H117" s="666">
        <f t="shared" si="4"/>
        <v>31</v>
      </c>
      <c r="I117" s="585">
        <f t="shared" si="8"/>
        <v>15363263.669813693</v>
      </c>
    </row>
    <row r="118" spans="1:14">
      <c r="A118" s="216">
        <v>109</v>
      </c>
      <c r="B118" s="440">
        <v>44228</v>
      </c>
      <c r="C118" s="440">
        <v>44255</v>
      </c>
      <c r="D118" s="538">
        <v>0.1754</v>
      </c>
      <c r="E118" s="538">
        <f t="shared" si="7"/>
        <v>0.2631</v>
      </c>
      <c r="F118" s="667">
        <f t="shared" si="5"/>
        <v>6.4011990387169426E-4</v>
      </c>
      <c r="G118" s="668">
        <f t="shared" si="6"/>
        <v>782985430.75</v>
      </c>
      <c r="H118" s="666">
        <f t="shared" si="4"/>
        <v>28</v>
      </c>
      <c r="I118" s="585">
        <f t="shared" si="8"/>
        <v>14033727.642609559</v>
      </c>
    </row>
    <row r="119" spans="1:14">
      <c r="A119" s="216">
        <v>110</v>
      </c>
      <c r="B119" s="440">
        <v>44256</v>
      </c>
      <c r="C119" s="440">
        <v>44286</v>
      </c>
      <c r="D119" s="538">
        <v>0.1741</v>
      </c>
      <c r="E119" s="538">
        <f t="shared" si="7"/>
        <v>0.26114999999999999</v>
      </c>
      <c r="F119" s="667">
        <f t="shared" si="5"/>
        <v>6.3588428907812578E-4</v>
      </c>
      <c r="G119" s="668">
        <f t="shared" si="6"/>
        <v>782985430.75</v>
      </c>
      <c r="H119" s="666">
        <f t="shared" si="4"/>
        <v>31</v>
      </c>
      <c r="I119" s="585">
        <f t="shared" si="8"/>
        <v>15434532.153720809</v>
      </c>
    </row>
    <row r="120" spans="1:14">
      <c r="A120" s="216">
        <v>111</v>
      </c>
      <c r="B120" s="590">
        <v>44287</v>
      </c>
      <c r="C120" s="590">
        <v>44316</v>
      </c>
      <c r="D120" s="670">
        <v>0.1731</v>
      </c>
      <c r="E120" s="670">
        <f t="shared" si="7"/>
        <v>0.25964999999999999</v>
      </c>
      <c r="F120" s="671">
        <f t="shared" si="5"/>
        <v>6.326216771728177E-4</v>
      </c>
      <c r="G120" s="672">
        <f t="shared" si="6"/>
        <v>782985430.75</v>
      </c>
      <c r="H120" s="666">
        <f t="shared" si="4"/>
        <v>30</v>
      </c>
      <c r="I120" s="585">
        <f t="shared" si="8"/>
        <v>14860006.692088382</v>
      </c>
    </row>
    <row r="121" spans="1:14">
      <c r="A121" s="216">
        <v>112</v>
      </c>
      <c r="B121" s="590">
        <v>44317</v>
      </c>
      <c r="C121" s="590">
        <v>44347</v>
      </c>
      <c r="D121" s="670">
        <v>0.17219999999999999</v>
      </c>
      <c r="E121" s="670">
        <f>+D121*1.5</f>
        <v>0.25829999999999997</v>
      </c>
      <c r="F121" s="671">
        <f>(1+E121)^(1/365)-1</f>
        <v>6.2968201205726437E-4</v>
      </c>
      <c r="G121" s="672">
        <f t="shared" si="6"/>
        <v>782985430.75</v>
      </c>
      <c r="H121" s="666">
        <f t="shared" si="4"/>
        <v>31</v>
      </c>
      <c r="I121" s="585">
        <f t="shared" si="8"/>
        <v>15283987.0848317</v>
      </c>
    </row>
    <row r="122" spans="1:14">
      <c r="A122" s="216">
        <v>113</v>
      </c>
      <c r="B122" s="440">
        <v>44348</v>
      </c>
      <c r="C122" s="440">
        <v>44377</v>
      </c>
      <c r="D122" s="538">
        <v>0.1721</v>
      </c>
      <c r="E122" s="538">
        <f t="shared" si="7"/>
        <v>0.25814999999999999</v>
      </c>
      <c r="F122" s="667">
        <f t="shared" si="5"/>
        <v>6.2935518846773952E-4</v>
      </c>
      <c r="G122" s="668">
        <f t="shared" si="6"/>
        <v>782985430.75</v>
      </c>
      <c r="H122" s="666">
        <f t="shared" si="4"/>
        <v>30</v>
      </c>
      <c r="I122" s="585">
        <f t="shared" si="8"/>
        <v>14783278.300114814</v>
      </c>
    </row>
    <row r="123" spans="1:14" s="253" customFormat="1">
      <c r="A123" s="216">
        <v>114</v>
      </c>
      <c r="B123" s="440">
        <v>44378</v>
      </c>
      <c r="C123" s="440">
        <v>44408</v>
      </c>
      <c r="D123" s="538">
        <v>0.17180000000000001</v>
      </c>
      <c r="E123" s="538">
        <f t="shared" si="7"/>
        <v>0.25770000000000004</v>
      </c>
      <c r="F123" s="667">
        <f t="shared" si="5"/>
        <v>6.2837448450037137E-4</v>
      </c>
      <c r="G123" s="660">
        <f t="shared" si="6"/>
        <v>782985430.75</v>
      </c>
      <c r="H123" s="666">
        <f t="shared" si="4"/>
        <v>31</v>
      </c>
      <c r="I123" s="585">
        <f t="shared" si="8"/>
        <v>15252250.058983807</v>
      </c>
      <c r="N123" s="673"/>
    </row>
    <row r="124" spans="1:14">
      <c r="A124" s="216">
        <v>115</v>
      </c>
      <c r="B124" s="440">
        <v>44409</v>
      </c>
      <c r="C124" s="440">
        <v>44439</v>
      </c>
      <c r="D124" s="538">
        <v>0.1724</v>
      </c>
      <c r="E124" s="538">
        <f t="shared" si="7"/>
        <v>0.2586</v>
      </c>
      <c r="F124" s="667">
        <f t="shared" si="5"/>
        <v>6.3033554269220637E-4</v>
      </c>
      <c r="G124" s="660">
        <f t="shared" si="6"/>
        <v>782985430.75</v>
      </c>
      <c r="H124" s="666">
        <f t="shared" si="4"/>
        <v>31</v>
      </c>
      <c r="I124" s="585">
        <f t="shared" si="8"/>
        <v>15299849.938768659</v>
      </c>
    </row>
    <row r="125" spans="1:14">
      <c r="A125" s="216">
        <v>116</v>
      </c>
      <c r="B125" s="440">
        <v>44440</v>
      </c>
      <c r="C125" s="440">
        <v>44469</v>
      </c>
      <c r="D125" s="538">
        <v>0.1719</v>
      </c>
      <c r="E125" s="538">
        <f t="shared" si="7"/>
        <v>0.25785000000000002</v>
      </c>
      <c r="F125" s="667">
        <f t="shared" si="5"/>
        <v>6.2870142469861889E-4</v>
      </c>
      <c r="G125" s="660">
        <f t="shared" si="6"/>
        <v>782985430.75</v>
      </c>
      <c r="H125" s="666">
        <f t="shared" si="4"/>
        <v>30</v>
      </c>
      <c r="I125" s="585">
        <f t="shared" si="8"/>
        <v>14767921.674923604</v>
      </c>
    </row>
    <row r="126" spans="1:14">
      <c r="A126" s="216">
        <v>117</v>
      </c>
      <c r="B126" s="440">
        <v>44470</v>
      </c>
      <c r="C126" s="440">
        <v>44500</v>
      </c>
      <c r="D126" s="538">
        <v>0.17080000000000001</v>
      </c>
      <c r="E126" s="538">
        <f t="shared" si="7"/>
        <v>0.25619999999999998</v>
      </c>
      <c r="F126" s="667">
        <f t="shared" si="5"/>
        <v>6.2510294214179751E-4</v>
      </c>
      <c r="G126" s="660">
        <f t="shared" si="6"/>
        <v>782985430.75</v>
      </c>
      <c r="H126" s="666">
        <f t="shared" si="4"/>
        <v>31</v>
      </c>
      <c r="I126" s="585">
        <f>+H126*F126*G126</f>
        <v>15172841.388895618</v>
      </c>
    </row>
    <row r="127" spans="1:14">
      <c r="A127" s="216">
        <v>118</v>
      </c>
      <c r="B127" s="440">
        <v>44501</v>
      </c>
      <c r="C127" s="440">
        <v>44530</v>
      </c>
      <c r="D127" s="538">
        <v>0.17269999999999999</v>
      </c>
      <c r="E127" s="538">
        <f t="shared" si="7"/>
        <v>0.25905</v>
      </c>
      <c r="F127" s="667">
        <f t="shared" si="5"/>
        <v>6.3131554742335005E-4</v>
      </c>
      <c r="G127" s="660">
        <f t="shared" si="6"/>
        <v>782985430.75</v>
      </c>
      <c r="H127" s="666">
        <f t="shared" si="4"/>
        <v>30</v>
      </c>
      <c r="I127" s="585">
        <f>+H127*F127*G127</f>
        <v>14829326.275153315</v>
      </c>
    </row>
    <row r="128" spans="1:14">
      <c r="A128" s="216">
        <v>119</v>
      </c>
      <c r="B128" s="440">
        <v>44531</v>
      </c>
      <c r="C128" s="440">
        <v>44536</v>
      </c>
      <c r="D128" s="538">
        <v>0.17460000000000001</v>
      </c>
      <c r="E128" s="538">
        <f>+D128*1.5</f>
        <v>0.26190000000000002</v>
      </c>
      <c r="F128" s="667">
        <f>(1+E128)^(1/365)-1</f>
        <v>6.3751414410861962E-4</v>
      </c>
      <c r="G128" s="660">
        <f t="shared" si="6"/>
        <v>782985430.75</v>
      </c>
      <c r="H128" s="666">
        <f t="shared" si="4"/>
        <v>6</v>
      </c>
      <c r="I128" s="585">
        <f>+H128*F128*G128</f>
        <v>2994985.7204046305</v>
      </c>
    </row>
    <row r="129" spans="2:9" ht="15" thickBot="1">
      <c r="E129" s="2575" t="s">
        <v>345</v>
      </c>
      <c r="F129" s="2576"/>
      <c r="G129" s="2576"/>
      <c r="H129" s="2577"/>
      <c r="I129" s="749">
        <f>SUM(I9:I128)</f>
        <v>1977962007.0473516</v>
      </c>
    </row>
    <row r="130" spans="2:9" ht="13.5" thickTop="1"/>
    <row r="131" spans="2:9">
      <c r="B131" s="2578" t="s">
        <v>346</v>
      </c>
      <c r="C131" s="2578"/>
      <c r="D131" s="2578"/>
      <c r="E131" s="233"/>
    </row>
    <row r="132" spans="2:9">
      <c r="B132" s="917" t="s">
        <v>198</v>
      </c>
      <c r="C132" s="918"/>
      <c r="D132" s="919"/>
      <c r="E132" s="920">
        <f>+C3</f>
        <v>782985430.75</v>
      </c>
    </row>
    <row r="133" spans="2:9">
      <c r="B133" s="674" t="s">
        <v>347</v>
      </c>
      <c r="C133" s="675"/>
      <c r="D133" s="676"/>
      <c r="E133" s="602">
        <f>+I129</f>
        <v>1977962007.0473516</v>
      </c>
    </row>
    <row r="134" spans="2:9">
      <c r="B134" s="677" t="s">
        <v>348</v>
      </c>
      <c r="C134" s="547"/>
      <c r="D134" s="547"/>
      <c r="E134" s="678">
        <v>96049354</v>
      </c>
    </row>
    <row r="135" spans="2:9" ht="13.5" thickBot="1">
      <c r="B135" s="679" t="s">
        <v>61</v>
      </c>
      <c r="C135" s="680"/>
      <c r="D135" s="681"/>
      <c r="E135" s="750">
        <f>SUM(E132:E134)</f>
        <v>2856996791.7973518</v>
      </c>
    </row>
    <row r="136" spans="2:9">
      <c r="B136" s="221" t="s">
        <v>62</v>
      </c>
      <c r="E136" s="217">
        <v>2700269443</v>
      </c>
    </row>
    <row r="137" spans="2:9">
      <c r="C137" s="218"/>
      <c r="E137" s="1935">
        <f>+E135-E136</f>
        <v>156727348.79735184</v>
      </c>
    </row>
    <row r="138" spans="2:9">
      <c r="C138" s="218"/>
    </row>
    <row r="139" spans="2:9">
      <c r="B139" s="682" t="s">
        <v>63</v>
      </c>
      <c r="C139" s="218"/>
    </row>
    <row r="140" spans="2:9">
      <c r="B140" s="682" t="s">
        <v>64</v>
      </c>
      <c r="C140" s="218"/>
    </row>
    <row r="141" spans="2:9">
      <c r="B141" s="221" t="s">
        <v>65</v>
      </c>
      <c r="C141" s="218"/>
    </row>
  </sheetData>
  <mergeCells count="3">
    <mergeCell ref="B7:I7"/>
    <mergeCell ref="E129:H129"/>
    <mergeCell ref="B131:D131"/>
  </mergeCells>
  <pageMargins left="0.7" right="0.7" top="0.75" bottom="0.75" header="0.3" footer="0.3"/>
  <pageSetup paperSize="135" scale="68"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13"/>
  <dimension ref="A2:K147"/>
  <sheetViews>
    <sheetView topLeftCell="A124" zoomScale="106" zoomScaleNormal="106" workbookViewId="0">
      <selection activeCell="I17" sqref="I17"/>
    </sheetView>
  </sheetViews>
  <sheetFormatPr defaultColWidth="9.140625" defaultRowHeight="12.75"/>
  <cols>
    <col min="1" max="1" width="5.7109375" customWidth="1"/>
    <col min="2" max="2" width="16.5703125" customWidth="1"/>
    <col min="3" max="3" width="14.85546875" customWidth="1"/>
    <col min="4" max="5" width="11.85546875" customWidth="1"/>
    <col min="6" max="6" width="13.5703125" style="537" customWidth="1"/>
    <col min="7" max="7" width="12.7109375" customWidth="1"/>
    <col min="8" max="8" width="9" customWidth="1"/>
    <col min="9" max="9" width="15.28515625" customWidth="1"/>
    <col min="10" max="10" width="15.85546875" customWidth="1"/>
    <col min="11" max="11" width="20.85546875" bestFit="1" customWidth="1"/>
    <col min="12" max="257" width="11.42578125" customWidth="1"/>
  </cols>
  <sheetData>
    <row r="2" spans="2:11" ht="25.5">
      <c r="B2" s="1078" t="s">
        <v>0</v>
      </c>
      <c r="C2" s="1246" t="s">
        <v>349</v>
      </c>
      <c r="D2" s="791"/>
      <c r="E2" s="791"/>
      <c r="F2" s="1241"/>
      <c r="G2" s="791"/>
      <c r="H2" s="791"/>
      <c r="I2" s="791"/>
    </row>
    <row r="3" spans="2:11" ht="13.5">
      <c r="B3" s="728" t="s">
        <v>287</v>
      </c>
      <c r="C3" s="945">
        <v>42969</v>
      </c>
      <c r="D3" s="791"/>
      <c r="E3" s="791"/>
      <c r="F3" s="1241"/>
      <c r="G3" s="791"/>
      <c r="H3" s="791"/>
      <c r="I3" s="791"/>
    </row>
    <row r="4" spans="2:11" ht="25.5">
      <c r="B4" s="893" t="s">
        <v>350</v>
      </c>
      <c r="C4" s="945">
        <v>42990</v>
      </c>
      <c r="D4" s="791"/>
      <c r="E4" s="791"/>
      <c r="F4" s="1241"/>
      <c r="G4" s="791"/>
      <c r="H4" s="791"/>
      <c r="I4" s="791"/>
    </row>
    <row r="5" spans="2:11" ht="13.5">
      <c r="B5" s="728" t="s">
        <v>351</v>
      </c>
      <c r="C5" s="887" t="s">
        <v>352</v>
      </c>
      <c r="D5" s="791"/>
      <c r="E5" s="791"/>
      <c r="F5" s="1241"/>
      <c r="G5" s="791"/>
      <c r="H5" s="791"/>
      <c r="I5" s="791"/>
      <c r="J5">
        <v>2011</v>
      </c>
      <c r="K5" s="32">
        <v>31291495</v>
      </c>
    </row>
    <row r="6" spans="2:11" ht="13.5">
      <c r="B6" s="728"/>
      <c r="C6" s="850"/>
      <c r="D6" s="791"/>
      <c r="E6" s="791"/>
      <c r="F6" s="1241"/>
      <c r="G6" s="791"/>
      <c r="H6" s="791"/>
      <c r="I6" s="791"/>
      <c r="J6" s="379">
        <v>2012</v>
      </c>
      <c r="K6" s="32">
        <v>72609662</v>
      </c>
    </row>
    <row r="7" spans="2:11" ht="13.5">
      <c r="B7" s="1244" t="s">
        <v>353</v>
      </c>
      <c r="C7" s="982"/>
      <c r="D7" s="791"/>
      <c r="E7" s="791"/>
      <c r="F7" s="1241"/>
      <c r="G7" s="791"/>
      <c r="H7" s="791"/>
      <c r="I7" s="791"/>
      <c r="J7">
        <v>2013</v>
      </c>
      <c r="K7" s="32">
        <v>76797161</v>
      </c>
    </row>
    <row r="8" spans="2:11" ht="13.5">
      <c r="B8" s="1244" t="s">
        <v>354</v>
      </c>
      <c r="C8" s="982"/>
      <c r="D8" s="791"/>
      <c r="E8" s="791"/>
      <c r="F8" s="1241"/>
      <c r="G8" s="791"/>
      <c r="H8" s="791"/>
      <c r="I8" s="791"/>
      <c r="J8" s="379">
        <v>2014</v>
      </c>
      <c r="K8" s="32">
        <v>78593114</v>
      </c>
    </row>
    <row r="9" spans="2:11" ht="13.5">
      <c r="B9" s="791"/>
      <c r="C9" s="791"/>
      <c r="D9" s="791"/>
      <c r="E9" s="791"/>
      <c r="F9" s="1241"/>
      <c r="G9" s="791"/>
      <c r="H9" s="791"/>
      <c r="I9" s="791"/>
      <c r="J9">
        <v>2015</v>
      </c>
      <c r="K9" s="32">
        <v>83367724</v>
      </c>
    </row>
    <row r="10" spans="2:11" ht="13.5">
      <c r="B10" s="848" t="s">
        <v>355</v>
      </c>
      <c r="C10" s="982"/>
      <c r="D10" s="791"/>
      <c r="E10" s="791"/>
      <c r="F10" s="1241"/>
      <c r="G10" s="791"/>
      <c r="H10" s="791"/>
      <c r="I10" s="791"/>
      <c r="J10" s="379">
        <v>2016</v>
      </c>
      <c r="K10" s="32">
        <v>83752158</v>
      </c>
    </row>
    <row r="11" spans="2:11" ht="13.5">
      <c r="B11" s="908" t="s">
        <v>356</v>
      </c>
      <c r="C11" s="850">
        <v>503706643</v>
      </c>
      <c r="D11" s="791"/>
      <c r="E11" s="791"/>
      <c r="F11" s="1241"/>
      <c r="G11" s="791"/>
      <c r="H11" s="791"/>
      <c r="I11" s="791"/>
      <c r="J11">
        <v>2017</v>
      </c>
      <c r="K11" s="32">
        <v>77295943</v>
      </c>
    </row>
    <row r="12" spans="2:11" ht="13.5">
      <c r="B12" s="724" t="s">
        <v>357</v>
      </c>
      <c r="C12" s="850">
        <v>211754277</v>
      </c>
      <c r="D12" s="791"/>
      <c r="E12" s="791"/>
      <c r="F12" s="1241"/>
      <c r="G12" s="791"/>
      <c r="H12" s="791"/>
      <c r="I12" s="791"/>
      <c r="K12" s="1940">
        <f>SUM(K5:K11)</f>
        <v>503707257</v>
      </c>
    </row>
    <row r="13" spans="2:11" ht="13.5">
      <c r="B13" s="724" t="s">
        <v>61</v>
      </c>
      <c r="C13" s="850">
        <f>+C11+C12</f>
        <v>715460920</v>
      </c>
      <c r="D13" s="791"/>
      <c r="E13" s="791"/>
      <c r="F13" s="1241"/>
      <c r="G13" s="791"/>
      <c r="H13" s="791"/>
      <c r="I13" s="791"/>
      <c r="K13" s="8"/>
    </row>
    <row r="14" spans="2:11" ht="13.5">
      <c r="B14" s="886"/>
      <c r="C14" s="1170"/>
      <c r="D14" s="791"/>
      <c r="E14" s="791"/>
      <c r="F14" s="1241"/>
      <c r="G14" s="791"/>
      <c r="H14" s="791"/>
      <c r="I14" s="791"/>
      <c r="K14" s="8"/>
    </row>
    <row r="15" spans="2:11" ht="13.5">
      <c r="B15" s="2579" t="s">
        <v>160</v>
      </c>
      <c r="C15" s="2579"/>
      <c r="D15" s="2579"/>
      <c r="E15" s="2579"/>
      <c r="F15" s="2579"/>
      <c r="G15" s="2579"/>
      <c r="H15" s="2579"/>
      <c r="I15" s="2579"/>
    </row>
    <row r="16" spans="2:11" ht="38.25">
      <c r="B16" s="793" t="s">
        <v>337</v>
      </c>
      <c r="C16" s="793" t="s">
        <v>40</v>
      </c>
      <c r="D16" s="793" t="s">
        <v>148</v>
      </c>
      <c r="E16" s="794" t="s">
        <v>358</v>
      </c>
      <c r="F16" s="1242" t="s">
        <v>43</v>
      </c>
      <c r="G16" s="794" t="s">
        <v>129</v>
      </c>
      <c r="H16" s="794" t="s">
        <v>47</v>
      </c>
      <c r="I16" s="794" t="s">
        <v>48</v>
      </c>
    </row>
    <row r="17" spans="1:11" ht="13.5">
      <c r="A17">
        <v>1</v>
      </c>
      <c r="B17" s="724">
        <v>42970</v>
      </c>
      <c r="C17" s="724">
        <v>42978</v>
      </c>
      <c r="D17" s="796">
        <v>0.2198</v>
      </c>
      <c r="E17" s="937">
        <f>+D17*1.5</f>
        <v>0.32969999999999999</v>
      </c>
      <c r="F17" s="1243">
        <f>((1+E17)^(1/365)-1)</f>
        <v>7.8099893845218205E-4</v>
      </c>
      <c r="G17" s="895">
        <f>+$C$11</f>
        <v>503706643</v>
      </c>
      <c r="H17" s="931">
        <f t="shared" ref="H17:H23" si="0">_xlfn.DAYS(C17,B17)+1</f>
        <v>9</v>
      </c>
      <c r="I17" s="850">
        <f>+G17*F17*H17</f>
        <v>3540549.1812688103</v>
      </c>
    </row>
    <row r="18" spans="1:11" ht="13.5">
      <c r="A18">
        <v>2</v>
      </c>
      <c r="B18" s="724">
        <v>42979</v>
      </c>
      <c r="C18" s="724">
        <v>43008</v>
      </c>
      <c r="D18" s="796">
        <v>0.21479999999999999</v>
      </c>
      <c r="E18" s="937">
        <f t="shared" ref="E18:E37" si="1">+D18*1.5</f>
        <v>0.32219999999999999</v>
      </c>
      <c r="F18" s="1243">
        <f t="shared" ref="F18:F37" si="2">((1+E18)^(1/365)-1)</f>
        <v>7.6549014202820231E-4</v>
      </c>
      <c r="G18" s="895">
        <f t="shared" ref="G18:G37" si="3">+$C$11</f>
        <v>503706643</v>
      </c>
      <c r="H18" s="931">
        <f t="shared" si="0"/>
        <v>30</v>
      </c>
      <c r="I18" s="850">
        <f t="shared" ref="I18:I37" si="4">+G18*F18*H18</f>
        <v>11567474.090718569</v>
      </c>
    </row>
    <row r="19" spans="1:11" ht="13.5">
      <c r="A19">
        <v>3</v>
      </c>
      <c r="B19" s="724">
        <v>43009</v>
      </c>
      <c r="C19" s="724">
        <v>43039</v>
      </c>
      <c r="D19" s="796">
        <v>0.21149999999999999</v>
      </c>
      <c r="E19" s="937">
        <f t="shared" si="1"/>
        <v>0.31724999999999998</v>
      </c>
      <c r="F19" s="1243">
        <f t="shared" si="2"/>
        <v>7.5520620308799913E-4</v>
      </c>
      <c r="G19" s="895">
        <f t="shared" si="3"/>
        <v>503706643</v>
      </c>
      <c r="H19" s="931">
        <f t="shared" si="0"/>
        <v>31</v>
      </c>
      <c r="I19" s="850">
        <f t="shared" si="4"/>
        <v>11792473.821237199</v>
      </c>
    </row>
    <row r="20" spans="1:11" ht="13.5">
      <c r="A20">
        <v>4</v>
      </c>
      <c r="B20" s="724">
        <v>43040</v>
      </c>
      <c r="C20" s="724">
        <v>43069</v>
      </c>
      <c r="D20" s="796">
        <v>0.20960000000000001</v>
      </c>
      <c r="E20" s="937">
        <f t="shared" si="1"/>
        <v>0.31440000000000001</v>
      </c>
      <c r="F20" s="1243">
        <f t="shared" si="2"/>
        <v>7.4926765057248268E-4</v>
      </c>
      <c r="G20" s="895">
        <f t="shared" si="3"/>
        <v>503706643</v>
      </c>
      <c r="H20" s="931">
        <f t="shared" si="0"/>
        <v>30</v>
      </c>
      <c r="I20" s="850">
        <f t="shared" si="4"/>
        <v>11322332.789350869</v>
      </c>
    </row>
    <row r="21" spans="1:11" ht="13.5">
      <c r="A21">
        <v>5</v>
      </c>
      <c r="B21" s="724">
        <v>43070</v>
      </c>
      <c r="C21" s="724">
        <v>43100</v>
      </c>
      <c r="D21" s="796">
        <v>0.2077</v>
      </c>
      <c r="E21" s="937">
        <f t="shared" si="1"/>
        <v>0.31154999999999999</v>
      </c>
      <c r="F21" s="1243">
        <f t="shared" si="2"/>
        <v>7.4331624292400811E-4</v>
      </c>
      <c r="G21" s="895">
        <f t="shared" si="3"/>
        <v>503706643</v>
      </c>
      <c r="H21" s="931">
        <f t="shared" si="0"/>
        <v>31</v>
      </c>
      <c r="I21" s="850">
        <f t="shared" si="4"/>
        <v>11606813.211729364</v>
      </c>
    </row>
    <row r="22" spans="1:11" ht="13.5">
      <c r="A22">
        <v>6</v>
      </c>
      <c r="B22" s="724">
        <v>43101</v>
      </c>
      <c r="C22" s="724">
        <v>43131</v>
      </c>
      <c r="D22" s="796">
        <v>0.2069</v>
      </c>
      <c r="E22" s="937">
        <f t="shared" si="1"/>
        <v>0.31035000000000001</v>
      </c>
      <c r="F22" s="1243">
        <f t="shared" si="2"/>
        <v>7.4080652774299871E-4</v>
      </c>
      <c r="G22" s="895">
        <f t="shared" si="3"/>
        <v>503706643</v>
      </c>
      <c r="H22" s="931">
        <f t="shared" si="0"/>
        <v>31</v>
      </c>
      <c r="I22" s="850">
        <f t="shared" si="4"/>
        <v>11567624.245259279</v>
      </c>
    </row>
    <row r="23" spans="1:11" ht="13.5">
      <c r="A23">
        <v>7</v>
      </c>
      <c r="B23" s="724">
        <v>43132</v>
      </c>
      <c r="C23" s="724">
        <v>43154</v>
      </c>
      <c r="D23" s="796">
        <v>0.21010000000000001</v>
      </c>
      <c r="E23" s="937">
        <f t="shared" si="1"/>
        <v>0.31515000000000004</v>
      </c>
      <c r="F23" s="1243">
        <f t="shared" si="2"/>
        <v>7.5083167162115494E-4</v>
      </c>
      <c r="G23" s="895">
        <f t="shared" si="3"/>
        <v>503706643</v>
      </c>
      <c r="H23" s="931">
        <f t="shared" si="0"/>
        <v>23</v>
      </c>
      <c r="I23" s="850">
        <f t="shared" si="4"/>
        <v>8698574.7177185174</v>
      </c>
    </row>
    <row r="24" spans="1:11" ht="13.5">
      <c r="A24">
        <v>8</v>
      </c>
      <c r="B24" s="724">
        <v>43155</v>
      </c>
      <c r="C24" s="724">
        <v>43159</v>
      </c>
      <c r="D24" s="796">
        <v>0.21010000000000001</v>
      </c>
      <c r="E24" s="937">
        <f t="shared" si="1"/>
        <v>0.31515000000000004</v>
      </c>
      <c r="F24" s="1243">
        <f t="shared" si="2"/>
        <v>7.5083167162115494E-4</v>
      </c>
      <c r="G24" s="895">
        <f t="shared" si="3"/>
        <v>503706643</v>
      </c>
      <c r="H24" s="931">
        <v>0</v>
      </c>
      <c r="I24" s="850">
        <f>+G24*F24*H24</f>
        <v>0</v>
      </c>
    </row>
    <row r="25" spans="1:11" ht="13.5">
      <c r="A25">
        <v>9</v>
      </c>
      <c r="B25" s="724">
        <v>43160</v>
      </c>
      <c r="C25" s="724">
        <v>43190</v>
      </c>
      <c r="D25" s="796">
        <v>0.20680000000000001</v>
      </c>
      <c r="E25" s="937">
        <f t="shared" si="1"/>
        <v>0.31020000000000003</v>
      </c>
      <c r="F25" s="1243">
        <f t="shared" si="2"/>
        <v>7.4049265219700011E-4</v>
      </c>
      <c r="G25" s="895">
        <f t="shared" si="3"/>
        <v>503706643</v>
      </c>
      <c r="H25" s="931">
        <v>0</v>
      </c>
      <c r="I25" s="850">
        <f t="shared" si="4"/>
        <v>0</v>
      </c>
    </row>
    <row r="26" spans="1:11" ht="13.5">
      <c r="A26">
        <v>10</v>
      </c>
      <c r="B26" s="724">
        <v>43191</v>
      </c>
      <c r="C26" s="724">
        <v>43220</v>
      </c>
      <c r="D26" s="796">
        <v>0.20480000000000001</v>
      </c>
      <c r="E26" s="937">
        <f t="shared" si="1"/>
        <v>0.30720000000000003</v>
      </c>
      <c r="F26" s="1243">
        <f t="shared" si="2"/>
        <v>7.34207604366377E-4</v>
      </c>
      <c r="G26" s="895">
        <f t="shared" si="3"/>
        <v>503706643</v>
      </c>
      <c r="H26" s="931">
        <v>0</v>
      </c>
      <c r="I26" s="850">
        <f t="shared" si="4"/>
        <v>0</v>
      </c>
    </row>
    <row r="27" spans="1:11" ht="13.5">
      <c r="A27">
        <v>11</v>
      </c>
      <c r="B27" s="724">
        <v>43221</v>
      </c>
      <c r="C27" s="724">
        <v>43251</v>
      </c>
      <c r="D27" s="796">
        <v>0.2044</v>
      </c>
      <c r="E27" s="937">
        <f t="shared" si="1"/>
        <v>0.30659999999999998</v>
      </c>
      <c r="F27" s="1243">
        <f t="shared" si="2"/>
        <v>7.3294886878794152E-4</v>
      </c>
      <c r="G27" s="895">
        <f t="shared" si="3"/>
        <v>503706643</v>
      </c>
      <c r="H27" s="931">
        <v>0</v>
      </c>
      <c r="I27" s="850">
        <f t="shared" si="4"/>
        <v>0</v>
      </c>
    </row>
    <row r="28" spans="1:11" ht="13.5">
      <c r="A28">
        <v>12</v>
      </c>
      <c r="B28" s="724">
        <v>43252</v>
      </c>
      <c r="C28" s="724">
        <v>43281</v>
      </c>
      <c r="D28" s="796">
        <v>0.20280000000000001</v>
      </c>
      <c r="E28" s="937">
        <f t="shared" si="1"/>
        <v>0.30420000000000003</v>
      </c>
      <c r="F28" s="1243">
        <f t="shared" si="2"/>
        <v>7.2790815549184096E-4</v>
      </c>
      <c r="G28" s="895">
        <f t="shared" si="3"/>
        <v>503706643</v>
      </c>
      <c r="H28" s="931">
        <v>0</v>
      </c>
      <c r="I28" s="850">
        <f t="shared" si="4"/>
        <v>0</v>
      </c>
    </row>
    <row r="29" spans="1:11" ht="13.5">
      <c r="A29">
        <v>13</v>
      </c>
      <c r="B29" s="724">
        <v>43282</v>
      </c>
      <c r="C29" s="724">
        <v>43312</v>
      </c>
      <c r="D29" s="796">
        <v>0.20030000000000001</v>
      </c>
      <c r="E29" s="937">
        <f t="shared" si="1"/>
        <v>0.30044999999999999</v>
      </c>
      <c r="F29" s="1243">
        <f t="shared" si="2"/>
        <v>7.2001349197825526E-4</v>
      </c>
      <c r="G29" s="895">
        <f t="shared" si="3"/>
        <v>503706643</v>
      </c>
      <c r="H29" s="931">
        <v>0</v>
      </c>
      <c r="I29" s="850">
        <f t="shared" si="4"/>
        <v>0</v>
      </c>
      <c r="K29" s="46"/>
    </row>
    <row r="30" spans="1:11" ht="13.5">
      <c r="A30">
        <v>14</v>
      </c>
      <c r="B30" s="724">
        <v>43313</v>
      </c>
      <c r="C30" s="724">
        <v>43343</v>
      </c>
      <c r="D30" s="796">
        <v>0.19939999999999999</v>
      </c>
      <c r="E30" s="937">
        <f t="shared" si="1"/>
        <v>0.29909999999999998</v>
      </c>
      <c r="F30" s="1243">
        <f t="shared" si="2"/>
        <v>7.1716585429704161E-4</v>
      </c>
      <c r="G30" s="895">
        <f t="shared" si="3"/>
        <v>503706643</v>
      </c>
      <c r="H30" s="931">
        <v>0</v>
      </c>
      <c r="I30" s="850">
        <f t="shared" si="4"/>
        <v>0</v>
      </c>
    </row>
    <row r="31" spans="1:11" ht="13.5">
      <c r="A31">
        <v>15</v>
      </c>
      <c r="B31" s="724">
        <v>43344</v>
      </c>
      <c r="C31" s="724">
        <v>43373</v>
      </c>
      <c r="D31" s="796">
        <v>0.1981</v>
      </c>
      <c r="E31" s="937">
        <f t="shared" si="1"/>
        <v>0.29715000000000003</v>
      </c>
      <c r="F31" s="1243">
        <f t="shared" si="2"/>
        <v>7.1304738558919389E-4</v>
      </c>
      <c r="G31" s="895">
        <f t="shared" si="3"/>
        <v>503706643</v>
      </c>
      <c r="H31" s="931">
        <v>0</v>
      </c>
      <c r="I31" s="850">
        <f t="shared" si="4"/>
        <v>0</v>
      </c>
    </row>
    <row r="32" spans="1:11" ht="13.5">
      <c r="A32">
        <v>16</v>
      </c>
      <c r="B32" s="724">
        <v>43374</v>
      </c>
      <c r="C32" s="724">
        <v>43404</v>
      </c>
      <c r="D32" s="796">
        <v>0.1963</v>
      </c>
      <c r="E32" s="937">
        <f t="shared" si="1"/>
        <v>0.29444999999999999</v>
      </c>
      <c r="F32" s="1243">
        <f t="shared" si="2"/>
        <v>7.073346857742191E-4</v>
      </c>
      <c r="G32" s="895">
        <f t="shared" si="3"/>
        <v>503706643</v>
      </c>
      <c r="H32" s="931">
        <v>0</v>
      </c>
      <c r="I32" s="850">
        <f t="shared" si="4"/>
        <v>0</v>
      </c>
    </row>
    <row r="33" spans="1:11" ht="13.5">
      <c r="A33">
        <v>17</v>
      </c>
      <c r="B33" s="724">
        <v>43405</v>
      </c>
      <c r="C33" s="724">
        <v>43434</v>
      </c>
      <c r="D33" s="796">
        <v>0.19489999999999999</v>
      </c>
      <c r="E33" s="937">
        <f t="shared" si="1"/>
        <v>0.29235</v>
      </c>
      <c r="F33" s="1243">
        <f t="shared" si="2"/>
        <v>7.0288325333756063E-4</v>
      </c>
      <c r="G33" s="895">
        <f t="shared" si="3"/>
        <v>503706643</v>
      </c>
      <c r="H33" s="931">
        <v>0</v>
      </c>
      <c r="I33" s="850">
        <f t="shared" si="4"/>
        <v>0</v>
      </c>
    </row>
    <row r="34" spans="1:11" ht="13.5">
      <c r="A34">
        <v>18</v>
      </c>
      <c r="B34" s="724">
        <v>43435</v>
      </c>
      <c r="C34" s="724">
        <v>43465</v>
      </c>
      <c r="D34" s="796">
        <v>0.19400000000000001</v>
      </c>
      <c r="E34" s="937">
        <f t="shared" si="1"/>
        <v>0.29100000000000004</v>
      </c>
      <c r="F34" s="1243">
        <f t="shared" si="2"/>
        <v>7.0001780740103214E-4</v>
      </c>
      <c r="G34" s="895">
        <f t="shared" si="3"/>
        <v>503706643</v>
      </c>
      <c r="H34" s="931">
        <v>0</v>
      </c>
      <c r="I34" s="850">
        <f t="shared" si="4"/>
        <v>0</v>
      </c>
    </row>
    <row r="35" spans="1:11" ht="13.5">
      <c r="A35">
        <v>19</v>
      </c>
      <c r="B35" s="724">
        <v>43466</v>
      </c>
      <c r="C35" s="724">
        <v>43496</v>
      </c>
      <c r="D35" s="796">
        <v>0.19159999999999999</v>
      </c>
      <c r="E35" s="937">
        <f t="shared" si="1"/>
        <v>0.28739999999999999</v>
      </c>
      <c r="F35" s="1243">
        <f t="shared" si="2"/>
        <v>6.9236198468725085E-4</v>
      </c>
      <c r="G35" s="895">
        <f t="shared" si="3"/>
        <v>503706643</v>
      </c>
      <c r="H35" s="931">
        <v>0</v>
      </c>
      <c r="I35" s="850">
        <f t="shared" si="4"/>
        <v>0</v>
      </c>
    </row>
    <row r="36" spans="1:11" ht="13.5">
      <c r="A36">
        <v>20</v>
      </c>
      <c r="B36" s="724">
        <v>43497</v>
      </c>
      <c r="C36" s="724">
        <v>43524</v>
      </c>
      <c r="D36" s="796">
        <v>0.19699999999999998</v>
      </c>
      <c r="E36" s="937">
        <f t="shared" si="1"/>
        <v>0.29549999999999998</v>
      </c>
      <c r="F36" s="1243">
        <f t="shared" si="2"/>
        <v>7.0955770203506852E-4</v>
      </c>
      <c r="G36" s="895">
        <f t="shared" si="3"/>
        <v>503706643</v>
      </c>
      <c r="H36" s="931">
        <v>0</v>
      </c>
      <c r="I36" s="850">
        <f t="shared" si="4"/>
        <v>0</v>
      </c>
    </row>
    <row r="37" spans="1:11" ht="13.5">
      <c r="A37">
        <v>21</v>
      </c>
      <c r="B37" s="724">
        <v>43525</v>
      </c>
      <c r="C37" s="724">
        <v>43555</v>
      </c>
      <c r="D37" s="796">
        <v>0.19370000000000001</v>
      </c>
      <c r="E37" s="937">
        <f t="shared" si="1"/>
        <v>0.29055000000000003</v>
      </c>
      <c r="F37" s="1243">
        <f t="shared" si="2"/>
        <v>6.9906199467517638E-4</v>
      </c>
      <c r="G37" s="895">
        <f t="shared" si="3"/>
        <v>503706643</v>
      </c>
      <c r="H37" s="931">
        <v>0</v>
      </c>
      <c r="I37" s="850">
        <f t="shared" si="4"/>
        <v>0</v>
      </c>
    </row>
    <row r="38" spans="1:11" ht="15" customHeight="1" thickBot="1">
      <c r="B38" s="791"/>
      <c r="C38" s="982"/>
      <c r="D38" s="791"/>
      <c r="E38" s="791"/>
      <c r="F38" s="1241"/>
      <c r="G38" s="2585" t="s">
        <v>359</v>
      </c>
      <c r="H38" s="2585"/>
      <c r="I38" s="1245">
        <f>SUM(I17:I37)</f>
        <v>70095842.057282597</v>
      </c>
    </row>
    <row r="39" spans="1:11" ht="15" customHeight="1" thickTop="1">
      <c r="B39" s="2586" t="s">
        <v>346</v>
      </c>
      <c r="C39" s="2587"/>
      <c r="D39" s="2588"/>
      <c r="E39" s="1241"/>
      <c r="F39" s="1241"/>
      <c r="G39" s="1249"/>
      <c r="H39" s="1249"/>
      <c r="I39" s="1250"/>
      <c r="K39" s="32">
        <f>+D44-C12</f>
        <v>148245723</v>
      </c>
    </row>
    <row r="40" spans="1:11" ht="15" customHeight="1">
      <c r="B40" s="182" t="s">
        <v>360</v>
      </c>
      <c r="C40" s="182"/>
      <c r="D40" s="592">
        <f>+C11</f>
        <v>503706643</v>
      </c>
      <c r="F40" s="1241"/>
      <c r="G40" s="1249"/>
      <c r="H40" s="1249"/>
      <c r="I40" s="1250"/>
    </row>
    <row r="41" spans="1:11" ht="15" customHeight="1">
      <c r="B41" s="2589" t="s">
        <v>361</v>
      </c>
      <c r="C41" s="2590"/>
      <c r="D41" s="179">
        <v>40515043</v>
      </c>
      <c r="F41" s="1241"/>
      <c r="G41" s="1249"/>
      <c r="H41" s="1249"/>
      <c r="I41" s="1250"/>
    </row>
    <row r="42" spans="1:11" ht="15" customHeight="1">
      <c r="B42" s="182" t="s">
        <v>362</v>
      </c>
      <c r="C42" s="2"/>
      <c r="D42" s="179">
        <v>4598630</v>
      </c>
      <c r="F42"/>
      <c r="G42" s="1251"/>
      <c r="H42" s="1249"/>
      <c r="I42" s="1250"/>
      <c r="K42" s="32">
        <f>+D40+D41+D42-D43</f>
        <v>478724473.94271743</v>
      </c>
    </row>
    <row r="43" spans="1:11" ht="15" customHeight="1">
      <c r="B43" s="737" t="s">
        <v>363</v>
      </c>
      <c r="C43" s="929"/>
      <c r="D43" s="895">
        <f>+I38</f>
        <v>70095842.057282597</v>
      </c>
      <c r="F43"/>
      <c r="G43" s="1251"/>
      <c r="H43" s="1249"/>
      <c r="I43" s="1250"/>
      <c r="K43" s="1241">
        <f>+K42-D44</f>
        <v>118724473.94271743</v>
      </c>
    </row>
    <row r="44" spans="1:11" ht="15" customHeight="1" thickBot="1">
      <c r="B44" s="1254" t="s">
        <v>364</v>
      </c>
      <c r="C44" s="633"/>
      <c r="D44" s="1255">
        <v>360000000</v>
      </c>
      <c r="F44"/>
      <c r="G44" s="1249"/>
      <c r="H44" s="1249"/>
      <c r="I44" s="1250"/>
      <c r="K44" s="1241"/>
    </row>
    <row r="45" spans="1:11" ht="15" customHeight="1">
      <c r="B45" s="1252" t="s">
        <v>365</v>
      </c>
      <c r="C45" s="1252"/>
      <c r="D45" s="1253">
        <f>+D40+D41+D42+D43-D44</f>
        <v>258916158.05728257</v>
      </c>
      <c r="F45" s="1241"/>
      <c r="G45" s="1251"/>
      <c r="H45" s="1249"/>
      <c r="I45" s="1250"/>
    </row>
    <row r="46" spans="1:11" ht="14.1" customHeight="1"/>
    <row r="47" spans="1:11" ht="14.1" customHeight="1">
      <c r="H47" s="236"/>
      <c r="I47" s="147"/>
      <c r="J47" s="32"/>
    </row>
    <row r="48" spans="1:11" ht="13.5">
      <c r="A48" s="1321" t="s">
        <v>366</v>
      </c>
      <c r="B48" s="1322"/>
      <c r="C48" s="1322"/>
      <c r="D48" s="1322"/>
      <c r="E48" s="1322"/>
      <c r="F48" s="1321"/>
    </row>
    <row r="49" spans="1:6">
      <c r="A49" s="1937" t="s">
        <v>367</v>
      </c>
      <c r="B49" s="1938" t="s">
        <v>368</v>
      </c>
      <c r="C49" s="1938" t="s">
        <v>369</v>
      </c>
      <c r="D49" s="1938" t="s">
        <v>370</v>
      </c>
      <c r="E49" s="1938" t="s">
        <v>371</v>
      </c>
      <c r="F49" s="1939" t="s">
        <v>372</v>
      </c>
    </row>
    <row r="50" spans="1:6" ht="13.5">
      <c r="A50" s="1324" t="s">
        <v>373</v>
      </c>
      <c r="B50" s="1325">
        <v>669200</v>
      </c>
      <c r="C50" s="1325">
        <v>1973000</v>
      </c>
      <c r="D50" s="1325">
        <v>492000</v>
      </c>
      <c r="E50" s="1325">
        <v>1450600</v>
      </c>
      <c r="F50" s="1325">
        <f>SUM(B50:E50)</f>
        <v>4584800</v>
      </c>
    </row>
    <row r="51" spans="1:6" ht="13.5">
      <c r="A51" s="886" t="s">
        <v>374</v>
      </c>
      <c r="B51" s="1325">
        <v>669200</v>
      </c>
      <c r="C51" s="1325">
        <v>1957800</v>
      </c>
      <c r="D51" s="1325">
        <v>492000</v>
      </c>
      <c r="E51" s="1325">
        <v>1439300</v>
      </c>
      <c r="F51" s="1325">
        <f>SUM(B51:E51)</f>
        <v>4558300</v>
      </c>
    </row>
    <row r="52" spans="1:6" ht="13.5">
      <c r="A52" s="1324" t="s">
        <v>375</v>
      </c>
      <c r="B52" s="1325">
        <v>669200</v>
      </c>
      <c r="C52" s="1325">
        <v>1940600</v>
      </c>
      <c r="D52" s="1325">
        <v>492000</v>
      </c>
      <c r="E52" s="1325">
        <v>1426600</v>
      </c>
      <c r="F52" s="1325">
        <f t="shared" ref="F52:F118" si="5">SUM(B52:E52)</f>
        <v>4528400</v>
      </c>
    </row>
    <row r="53" spans="1:6" ht="13.5">
      <c r="A53" s="1324" t="s">
        <v>376</v>
      </c>
      <c r="B53" s="1325">
        <v>669200</v>
      </c>
      <c r="C53" s="1325">
        <v>1924600</v>
      </c>
      <c r="D53" s="1325">
        <v>492000</v>
      </c>
      <c r="E53" s="1325">
        <v>1414900</v>
      </c>
      <c r="F53" s="1325">
        <f>SUM(B53:E53)</f>
        <v>4500700</v>
      </c>
    </row>
    <row r="54" spans="1:6" ht="13.5">
      <c r="A54" s="1324" t="s">
        <v>377</v>
      </c>
      <c r="B54" s="1326">
        <v>669200</v>
      </c>
      <c r="C54" s="1325">
        <v>1909000</v>
      </c>
      <c r="D54" s="1325">
        <v>492000</v>
      </c>
      <c r="E54" s="1325">
        <v>1403500</v>
      </c>
      <c r="F54" s="1325">
        <f t="shared" si="5"/>
        <v>4473700</v>
      </c>
    </row>
    <row r="55" spans="1:6" ht="13.5">
      <c r="A55" s="1324" t="s">
        <v>378</v>
      </c>
      <c r="B55" s="1325">
        <v>669200</v>
      </c>
      <c r="C55" s="1325">
        <v>1891800</v>
      </c>
      <c r="D55" s="1325">
        <v>492000</v>
      </c>
      <c r="E55" s="1325">
        <v>1390900</v>
      </c>
      <c r="F55" s="1325">
        <f>SUM(B55:E55)</f>
        <v>4443900</v>
      </c>
    </row>
    <row r="56" spans="1:6" ht="13.5">
      <c r="A56" s="1324" t="s">
        <v>379</v>
      </c>
      <c r="B56" s="1325">
        <v>702700</v>
      </c>
      <c r="C56" s="1325">
        <v>1970000</v>
      </c>
      <c r="D56" s="1325">
        <v>516600</v>
      </c>
      <c r="E56" s="1325">
        <v>1448200</v>
      </c>
      <c r="F56" s="1325">
        <f t="shared" si="5"/>
        <v>4637500</v>
      </c>
    </row>
    <row r="57" spans="1:6" ht="13.5">
      <c r="A57" s="1324" t="s">
        <v>380</v>
      </c>
      <c r="B57" s="1325">
        <v>702700</v>
      </c>
      <c r="C57" s="1325">
        <v>1953300</v>
      </c>
      <c r="D57" s="1325">
        <v>516600</v>
      </c>
      <c r="E57" s="1325">
        <v>1435900</v>
      </c>
      <c r="F57" s="1325">
        <f t="shared" si="5"/>
        <v>4608500</v>
      </c>
    </row>
    <row r="58" spans="1:6" ht="13.5">
      <c r="A58" s="1324" t="s">
        <v>381</v>
      </c>
      <c r="B58" s="1325">
        <v>702700</v>
      </c>
      <c r="C58" s="1325">
        <v>1933500</v>
      </c>
      <c r="D58" s="1325">
        <v>516600</v>
      </c>
      <c r="E58" s="1325">
        <v>1421400</v>
      </c>
      <c r="F58" s="1325">
        <f t="shared" si="5"/>
        <v>4574200</v>
      </c>
    </row>
    <row r="59" spans="1:6" ht="13.5">
      <c r="A59" s="791" t="s">
        <v>382</v>
      </c>
      <c r="B59" s="1325">
        <v>702700</v>
      </c>
      <c r="C59" s="1325">
        <v>1917300</v>
      </c>
      <c r="D59" s="1325">
        <v>516600</v>
      </c>
      <c r="E59" s="1325">
        <v>1409500</v>
      </c>
      <c r="F59" s="1325">
        <f t="shared" si="5"/>
        <v>4546100</v>
      </c>
    </row>
    <row r="60" spans="1:6" ht="13.5">
      <c r="A60" s="1324" t="s">
        <v>383</v>
      </c>
      <c r="B60" s="1325">
        <v>702700</v>
      </c>
      <c r="C60" s="1325">
        <v>1897200</v>
      </c>
      <c r="D60" s="1325">
        <v>516600</v>
      </c>
      <c r="E60" s="1325">
        <v>1394800</v>
      </c>
      <c r="F60" s="1325">
        <f t="shared" si="5"/>
        <v>4511300</v>
      </c>
    </row>
    <row r="61" spans="1:6" ht="13.5">
      <c r="A61" s="1324" t="s">
        <v>384</v>
      </c>
      <c r="B61" s="1325">
        <v>702700</v>
      </c>
      <c r="C61" s="1325">
        <v>1880500</v>
      </c>
      <c r="D61" s="1325">
        <v>516600</v>
      </c>
      <c r="E61" s="1325">
        <v>1382500</v>
      </c>
      <c r="F61" s="1325">
        <f t="shared" si="5"/>
        <v>4482300</v>
      </c>
    </row>
    <row r="62" spans="1:6" ht="13.5">
      <c r="A62" s="791" t="s">
        <v>385</v>
      </c>
      <c r="B62" s="1325">
        <v>702700</v>
      </c>
      <c r="C62" s="1325">
        <v>1862500</v>
      </c>
      <c r="D62" s="1325">
        <v>516600</v>
      </c>
      <c r="E62" s="1325">
        <v>1369200</v>
      </c>
      <c r="F62" s="1325">
        <f t="shared" si="5"/>
        <v>4451000</v>
      </c>
    </row>
    <row r="63" spans="1:6" ht="13.5">
      <c r="A63" s="1324" t="s">
        <v>386</v>
      </c>
      <c r="B63" s="1325">
        <v>702700</v>
      </c>
      <c r="C63" s="1325">
        <v>1843200</v>
      </c>
      <c r="D63" s="1325">
        <v>516600</v>
      </c>
      <c r="E63" s="1325">
        <v>1355100</v>
      </c>
      <c r="F63" s="1325">
        <f t="shared" si="5"/>
        <v>4417600</v>
      </c>
    </row>
    <row r="64" spans="1:6" ht="13.5">
      <c r="A64" s="1324" t="s">
        <v>387</v>
      </c>
      <c r="B64" s="1325">
        <v>702700</v>
      </c>
      <c r="C64" s="1325">
        <v>1825800</v>
      </c>
      <c r="D64" s="1325">
        <v>516600</v>
      </c>
      <c r="E64" s="1325">
        <v>1342300</v>
      </c>
      <c r="F64" s="1325">
        <f t="shared" si="5"/>
        <v>4387400</v>
      </c>
    </row>
    <row r="65" spans="1:8" ht="13.5">
      <c r="A65" s="791" t="s">
        <v>388</v>
      </c>
      <c r="B65" s="1325">
        <v>702700</v>
      </c>
      <c r="C65" s="1325">
        <v>1805400</v>
      </c>
      <c r="D65" s="1325">
        <v>516600</v>
      </c>
      <c r="E65" s="1325">
        <v>1327200</v>
      </c>
      <c r="F65" s="1325">
        <f t="shared" si="5"/>
        <v>4351900</v>
      </c>
    </row>
    <row r="66" spans="1:8" ht="13.5">
      <c r="A66" s="1324" t="s">
        <v>389</v>
      </c>
      <c r="B66" s="1325">
        <v>702700</v>
      </c>
      <c r="C66" s="1325">
        <v>1788500</v>
      </c>
      <c r="D66" s="1325">
        <v>516600</v>
      </c>
      <c r="E66" s="1325">
        <v>1314900</v>
      </c>
      <c r="F66" s="1325">
        <f t="shared" si="5"/>
        <v>4322700</v>
      </c>
      <c r="H66" s="1317"/>
    </row>
    <row r="67" spans="1:8" ht="13.5">
      <c r="A67" s="1324" t="s">
        <v>390</v>
      </c>
      <c r="B67" s="1325">
        <v>702700</v>
      </c>
      <c r="C67" s="1325">
        <v>1770000</v>
      </c>
      <c r="D67" s="1325">
        <v>516600</v>
      </c>
      <c r="E67" s="1325">
        <v>1301200</v>
      </c>
      <c r="F67" s="1325">
        <f t="shared" si="5"/>
        <v>4290500</v>
      </c>
    </row>
    <row r="68" spans="1:8" ht="13.5">
      <c r="A68" s="791" t="s">
        <v>391</v>
      </c>
      <c r="B68" s="1325">
        <v>759000</v>
      </c>
      <c r="C68" s="1325">
        <v>1893100</v>
      </c>
      <c r="D68" s="1325">
        <v>558000</v>
      </c>
      <c r="E68" s="1325">
        <v>1391700</v>
      </c>
      <c r="F68" s="1325">
        <f t="shared" si="5"/>
        <v>4601800</v>
      </c>
    </row>
    <row r="69" spans="1:8" ht="13.5">
      <c r="A69" s="1324" t="s">
        <v>392</v>
      </c>
      <c r="B69" s="1325">
        <v>759000</v>
      </c>
      <c r="C69" s="1325">
        <v>1875100</v>
      </c>
      <c r="D69" s="1325">
        <v>558000</v>
      </c>
      <c r="E69" s="1325">
        <v>1378400</v>
      </c>
      <c r="F69" s="1325">
        <f t="shared" si="5"/>
        <v>4570500</v>
      </c>
    </row>
    <row r="70" spans="1:8" ht="13.5">
      <c r="A70" s="791" t="s">
        <v>393</v>
      </c>
      <c r="B70" s="1325">
        <v>759000</v>
      </c>
      <c r="C70" s="1325">
        <v>1855000</v>
      </c>
      <c r="D70" s="1325">
        <v>558000</v>
      </c>
      <c r="E70" s="1325">
        <v>1363700</v>
      </c>
      <c r="F70" s="1325">
        <f t="shared" si="5"/>
        <v>4535700</v>
      </c>
    </row>
    <row r="71" spans="1:8" ht="13.5">
      <c r="A71" s="1324" t="s">
        <v>394</v>
      </c>
      <c r="B71" s="1325">
        <v>759000</v>
      </c>
      <c r="C71" s="1325">
        <v>1834300</v>
      </c>
      <c r="D71" s="1325">
        <v>558000</v>
      </c>
      <c r="E71" s="1325">
        <v>1348400</v>
      </c>
      <c r="F71" s="1325">
        <f t="shared" si="5"/>
        <v>4499700</v>
      </c>
    </row>
    <row r="72" spans="1:8" ht="13.5">
      <c r="A72" s="791" t="s">
        <v>395</v>
      </c>
      <c r="B72" s="1325">
        <v>759000</v>
      </c>
      <c r="C72" s="1325">
        <v>1812700</v>
      </c>
      <c r="D72" s="1325">
        <v>558000</v>
      </c>
      <c r="E72" s="1325">
        <v>1332700</v>
      </c>
      <c r="F72" s="1325">
        <f t="shared" si="5"/>
        <v>4462400</v>
      </c>
    </row>
    <row r="73" spans="1:8" ht="13.5">
      <c r="A73" s="1324" t="s">
        <v>396</v>
      </c>
      <c r="B73" s="1325">
        <v>759000</v>
      </c>
      <c r="C73" s="1325">
        <v>1795500</v>
      </c>
      <c r="D73" s="1325">
        <v>558000</v>
      </c>
      <c r="E73" s="1325">
        <v>1320000</v>
      </c>
      <c r="F73" s="1325">
        <f t="shared" si="5"/>
        <v>4432500</v>
      </c>
    </row>
    <row r="74" spans="1:8" ht="13.5">
      <c r="A74" s="791" t="s">
        <v>397</v>
      </c>
      <c r="B74" s="1325">
        <v>759000</v>
      </c>
      <c r="C74" s="1325">
        <v>1776100</v>
      </c>
      <c r="D74" s="1325">
        <v>558000</v>
      </c>
      <c r="E74" s="1326">
        <v>1305600</v>
      </c>
      <c r="F74" s="1325">
        <f t="shared" si="5"/>
        <v>4398700</v>
      </c>
    </row>
    <row r="75" spans="1:8" ht="13.5">
      <c r="A75" s="1324" t="s">
        <v>398</v>
      </c>
      <c r="B75" s="1325">
        <v>759000</v>
      </c>
      <c r="C75" s="1325">
        <v>1756400</v>
      </c>
      <c r="D75" s="1325">
        <v>558000</v>
      </c>
      <c r="E75" s="1325">
        <v>1291200</v>
      </c>
      <c r="F75" s="1325">
        <f t="shared" si="5"/>
        <v>4364600</v>
      </c>
    </row>
    <row r="76" spans="1:8" ht="13.5">
      <c r="A76" s="791" t="s">
        <v>399</v>
      </c>
      <c r="B76" s="1325">
        <v>759000</v>
      </c>
      <c r="C76" s="1325">
        <v>1737600</v>
      </c>
      <c r="D76" s="1325">
        <v>558000</v>
      </c>
      <c r="E76" s="1325">
        <v>1277400</v>
      </c>
      <c r="F76" s="1325">
        <f t="shared" si="5"/>
        <v>4332000</v>
      </c>
    </row>
    <row r="77" spans="1:8" ht="13.5">
      <c r="A77" s="1324" t="s">
        <v>400</v>
      </c>
      <c r="B77" s="1325">
        <v>759000</v>
      </c>
      <c r="C77" s="1325">
        <v>1716600</v>
      </c>
      <c r="D77" s="1325">
        <v>558000</v>
      </c>
      <c r="E77" s="1325">
        <v>1262000</v>
      </c>
      <c r="F77" s="1325">
        <f t="shared" si="5"/>
        <v>4295600</v>
      </c>
    </row>
    <row r="78" spans="1:8" ht="13.5">
      <c r="A78" s="1324" t="s">
        <v>401</v>
      </c>
      <c r="B78" s="1326">
        <v>759000</v>
      </c>
      <c r="C78" s="1325">
        <v>1699900</v>
      </c>
      <c r="D78" s="1325">
        <v>558000</v>
      </c>
      <c r="E78" s="1325">
        <v>1249700</v>
      </c>
      <c r="F78" s="1325">
        <f t="shared" si="5"/>
        <v>4266600</v>
      </c>
    </row>
    <row r="79" spans="1:8" ht="13.5">
      <c r="A79" s="791" t="s">
        <v>402</v>
      </c>
      <c r="B79" s="1325">
        <v>759000</v>
      </c>
      <c r="C79" s="1325">
        <v>1680200</v>
      </c>
      <c r="D79" s="1325">
        <v>558000</v>
      </c>
      <c r="E79" s="1325">
        <v>1235300</v>
      </c>
      <c r="F79" s="1325">
        <f t="shared" si="5"/>
        <v>4232500</v>
      </c>
    </row>
    <row r="80" spans="1:8" ht="13.5">
      <c r="A80" s="791" t="s">
        <v>403</v>
      </c>
      <c r="B80" s="1325">
        <v>800600</v>
      </c>
      <c r="C80" s="1325">
        <v>1752400</v>
      </c>
      <c r="D80" s="1325">
        <v>588600</v>
      </c>
      <c r="E80" s="1325">
        <v>1288300</v>
      </c>
      <c r="F80" s="1325">
        <f t="shared" si="5"/>
        <v>4429900</v>
      </c>
    </row>
    <row r="81" spans="1:6" ht="13.5">
      <c r="A81" s="1324" t="s">
        <v>404</v>
      </c>
      <c r="B81" s="1325">
        <v>800600</v>
      </c>
      <c r="C81" s="1325">
        <v>1734400</v>
      </c>
      <c r="D81" s="1325">
        <v>588600</v>
      </c>
      <c r="E81" s="1325">
        <v>1275000</v>
      </c>
      <c r="F81" s="1325">
        <f t="shared" si="5"/>
        <v>4398600</v>
      </c>
    </row>
    <row r="82" spans="1:6" ht="13.5">
      <c r="A82" s="791" t="s">
        <v>405</v>
      </c>
      <c r="B82" s="1325">
        <v>800600</v>
      </c>
      <c r="C82" s="1325">
        <v>1715600</v>
      </c>
      <c r="D82" s="1325">
        <v>588600</v>
      </c>
      <c r="E82" s="1325">
        <v>1261300</v>
      </c>
      <c r="F82" s="1325">
        <f t="shared" si="5"/>
        <v>4366100</v>
      </c>
    </row>
    <row r="83" spans="1:6" ht="13.5">
      <c r="A83" s="1324" t="s">
        <v>406</v>
      </c>
      <c r="B83" s="1325">
        <v>800600</v>
      </c>
      <c r="C83" s="1325">
        <v>1695600</v>
      </c>
      <c r="D83" s="1325">
        <v>588600</v>
      </c>
      <c r="E83" s="1325">
        <v>1246600</v>
      </c>
      <c r="F83" s="1325">
        <f t="shared" si="5"/>
        <v>4331400</v>
      </c>
    </row>
    <row r="84" spans="1:6" ht="13.5">
      <c r="A84" s="791" t="s">
        <v>407</v>
      </c>
      <c r="B84" s="1325">
        <v>800600</v>
      </c>
      <c r="C84" s="1325">
        <v>1675000</v>
      </c>
      <c r="D84" s="1325">
        <v>588600</v>
      </c>
      <c r="E84" s="1325">
        <v>1231400</v>
      </c>
      <c r="F84" s="1325">
        <f t="shared" si="5"/>
        <v>4295600</v>
      </c>
    </row>
    <row r="85" spans="1:6" ht="13.5">
      <c r="A85" s="1324" t="s">
        <v>408</v>
      </c>
      <c r="B85" s="1325">
        <v>800600</v>
      </c>
      <c r="C85" s="1325">
        <v>1657200</v>
      </c>
      <c r="D85" s="1325">
        <v>588600</v>
      </c>
      <c r="E85" s="1325">
        <v>1218300</v>
      </c>
      <c r="F85" s="1325">
        <f t="shared" si="5"/>
        <v>4264700</v>
      </c>
    </row>
    <row r="86" spans="1:6" ht="13.5">
      <c r="A86" s="791" t="s">
        <v>409</v>
      </c>
      <c r="B86" s="1325">
        <v>800600</v>
      </c>
      <c r="C86" s="1325">
        <v>1634900</v>
      </c>
      <c r="D86" s="1325">
        <v>588600</v>
      </c>
      <c r="E86" s="1325">
        <v>1202000</v>
      </c>
      <c r="F86" s="1325">
        <f t="shared" si="5"/>
        <v>4226100</v>
      </c>
    </row>
    <row r="87" spans="1:6" ht="13.5">
      <c r="A87" s="1324" t="s">
        <v>410</v>
      </c>
      <c r="B87" s="1325">
        <v>800600</v>
      </c>
      <c r="C87" s="1325">
        <v>1617800</v>
      </c>
      <c r="D87" s="1325">
        <v>588600</v>
      </c>
      <c r="E87" s="1325">
        <v>1189400</v>
      </c>
      <c r="F87" s="1325">
        <f t="shared" si="5"/>
        <v>4196400</v>
      </c>
    </row>
    <row r="88" spans="1:6" ht="13.5">
      <c r="A88" s="791" t="s">
        <v>411</v>
      </c>
      <c r="B88" s="1325">
        <v>800600</v>
      </c>
      <c r="C88" s="1325">
        <v>1598300</v>
      </c>
      <c r="D88" s="1325">
        <v>588600</v>
      </c>
      <c r="E88" s="1325">
        <v>1175000</v>
      </c>
      <c r="F88" s="1325">
        <f t="shared" si="5"/>
        <v>4162500</v>
      </c>
    </row>
    <row r="89" spans="1:6" ht="13.5">
      <c r="A89" s="1324" t="s">
        <v>412</v>
      </c>
      <c r="B89" s="1325">
        <v>800600</v>
      </c>
      <c r="C89" s="1325">
        <v>1576800</v>
      </c>
      <c r="D89" s="1325">
        <v>588600</v>
      </c>
      <c r="E89" s="1325">
        <v>1159300</v>
      </c>
      <c r="F89" s="1325">
        <f t="shared" si="5"/>
        <v>4125300</v>
      </c>
    </row>
    <row r="90" spans="1:6" ht="13.5">
      <c r="A90" s="791" t="s">
        <v>413</v>
      </c>
      <c r="B90" s="1325">
        <v>800600</v>
      </c>
      <c r="C90" s="1325">
        <v>1559800</v>
      </c>
      <c r="D90" s="1325">
        <v>588600</v>
      </c>
      <c r="E90" s="1325">
        <v>1146800</v>
      </c>
      <c r="F90" s="1325">
        <f t="shared" si="5"/>
        <v>4095800</v>
      </c>
    </row>
    <row r="91" spans="1:6" ht="13.5">
      <c r="A91" s="1324" t="s">
        <v>414</v>
      </c>
      <c r="B91" s="1325">
        <v>800600</v>
      </c>
      <c r="C91" s="1325">
        <v>1538500</v>
      </c>
      <c r="D91" s="1325">
        <v>588600</v>
      </c>
      <c r="E91" s="1325">
        <v>1131000</v>
      </c>
      <c r="F91" s="1325">
        <f t="shared" si="5"/>
        <v>4058700</v>
      </c>
    </row>
    <row r="92" spans="1:6" ht="13.5">
      <c r="A92" s="1324" t="s">
        <v>415</v>
      </c>
      <c r="B92" s="1325">
        <v>848600</v>
      </c>
      <c r="C92" s="1325">
        <v>1611900</v>
      </c>
      <c r="D92" s="1325">
        <v>624000</v>
      </c>
      <c r="E92" s="1325">
        <v>1185300</v>
      </c>
      <c r="F92" s="1325">
        <f t="shared" si="5"/>
        <v>4269800</v>
      </c>
    </row>
    <row r="93" spans="1:6" ht="13.5">
      <c r="A93" s="1324" t="s">
        <v>416</v>
      </c>
      <c r="B93" s="1325">
        <v>848600</v>
      </c>
      <c r="C93" s="1325">
        <v>1593300</v>
      </c>
      <c r="D93" s="1325">
        <v>624000</v>
      </c>
      <c r="E93" s="1325">
        <v>1171500</v>
      </c>
      <c r="F93" s="1325">
        <f t="shared" si="5"/>
        <v>4237400</v>
      </c>
    </row>
    <row r="94" spans="1:6" ht="13.5">
      <c r="A94" s="1324" t="s">
        <v>417</v>
      </c>
      <c r="B94" s="1325">
        <v>848600</v>
      </c>
      <c r="C94" s="1325">
        <v>1571900</v>
      </c>
      <c r="D94" s="1325">
        <v>624000</v>
      </c>
      <c r="E94" s="1325">
        <v>1155700</v>
      </c>
      <c r="F94" s="1325">
        <f t="shared" si="5"/>
        <v>4200200</v>
      </c>
    </row>
    <row r="95" spans="1:6" ht="13.5">
      <c r="A95" s="1324" t="s">
        <v>418</v>
      </c>
      <c r="B95" s="1325">
        <v>848600</v>
      </c>
      <c r="C95" s="1325">
        <v>1551300</v>
      </c>
      <c r="D95" s="1325">
        <v>624000</v>
      </c>
      <c r="E95" s="1325">
        <v>1140700</v>
      </c>
      <c r="F95" s="1325">
        <f t="shared" si="5"/>
        <v>4164600</v>
      </c>
    </row>
    <row r="96" spans="1:6" ht="13.5">
      <c r="A96" s="1324" t="s">
        <v>419</v>
      </c>
      <c r="B96" s="1325">
        <v>848600</v>
      </c>
      <c r="C96" s="1325">
        <v>1531900</v>
      </c>
      <c r="D96" s="1325">
        <v>624000</v>
      </c>
      <c r="E96" s="1325">
        <v>1126300</v>
      </c>
      <c r="F96" s="1325">
        <f t="shared" si="5"/>
        <v>4130800</v>
      </c>
    </row>
    <row r="97" spans="1:6" ht="13.5">
      <c r="A97" s="1324" t="s">
        <v>420</v>
      </c>
      <c r="B97" s="1325">
        <v>848600</v>
      </c>
      <c r="C97" s="1325">
        <v>1513000</v>
      </c>
      <c r="D97" s="1325">
        <v>624000</v>
      </c>
      <c r="E97" s="1325">
        <v>1112500</v>
      </c>
      <c r="F97" s="1325">
        <f t="shared" si="5"/>
        <v>4098100</v>
      </c>
    </row>
    <row r="98" spans="1:6" ht="13.5">
      <c r="A98" s="1324" t="s">
        <v>421</v>
      </c>
      <c r="B98" s="1325">
        <v>848600</v>
      </c>
      <c r="C98" s="1325">
        <v>1489500</v>
      </c>
      <c r="D98" s="1325">
        <v>624000</v>
      </c>
      <c r="E98" s="1325">
        <v>1095300</v>
      </c>
      <c r="F98" s="1325">
        <f t="shared" si="5"/>
        <v>4057400</v>
      </c>
    </row>
    <row r="99" spans="1:6" ht="13.5">
      <c r="A99" s="1324" t="s">
        <v>422</v>
      </c>
      <c r="B99" s="1325">
        <v>848600</v>
      </c>
      <c r="C99" s="1325">
        <v>1471500</v>
      </c>
      <c r="D99" s="1325">
        <v>624000</v>
      </c>
      <c r="E99" s="1325">
        <v>1082000</v>
      </c>
      <c r="F99" s="1325">
        <f t="shared" si="5"/>
        <v>4026100</v>
      </c>
    </row>
    <row r="100" spans="1:6" ht="13.5">
      <c r="A100" s="1324" t="s">
        <v>423</v>
      </c>
      <c r="B100" s="1325">
        <v>848600</v>
      </c>
      <c r="C100" s="1325">
        <v>1450700</v>
      </c>
      <c r="D100" s="1325">
        <v>624000</v>
      </c>
      <c r="E100" s="1326">
        <v>1066700</v>
      </c>
      <c r="F100" s="1325">
        <f t="shared" si="5"/>
        <v>3990000</v>
      </c>
    </row>
    <row r="101" spans="1:6" ht="13.5">
      <c r="A101" s="1324" t="s">
        <v>424</v>
      </c>
      <c r="B101" s="1325">
        <v>848600</v>
      </c>
      <c r="C101" s="1325">
        <v>1428400</v>
      </c>
      <c r="D101" s="1325">
        <v>624000</v>
      </c>
      <c r="E101" s="1325">
        <v>1050400</v>
      </c>
      <c r="F101" s="1325">
        <f t="shared" si="5"/>
        <v>3951400</v>
      </c>
    </row>
    <row r="102" spans="1:6" ht="13.5">
      <c r="A102" s="1324" t="s">
        <v>425</v>
      </c>
      <c r="B102" s="1325">
        <v>848600</v>
      </c>
      <c r="C102" s="1325">
        <v>1409700</v>
      </c>
      <c r="D102" s="1325">
        <v>624000</v>
      </c>
      <c r="E102" s="1326">
        <v>1036500</v>
      </c>
      <c r="F102" s="1325">
        <f t="shared" si="5"/>
        <v>3918800</v>
      </c>
    </row>
    <row r="103" spans="1:6" ht="13.5">
      <c r="A103" s="1324" t="s">
        <v>426</v>
      </c>
      <c r="B103" s="1325">
        <v>848600</v>
      </c>
      <c r="C103" s="1325">
        <v>1386600</v>
      </c>
      <c r="D103" s="1325">
        <v>624000</v>
      </c>
      <c r="E103" s="1325">
        <v>1019500</v>
      </c>
      <c r="F103" s="1325">
        <f t="shared" si="5"/>
        <v>3878700</v>
      </c>
    </row>
    <row r="104" spans="1:6" ht="13.5">
      <c r="A104" s="1324" t="s">
        <v>427</v>
      </c>
      <c r="B104" s="1325">
        <v>1268200</v>
      </c>
      <c r="C104" s="1325">
        <v>2044500</v>
      </c>
      <c r="D104" s="1325">
        <v>932500</v>
      </c>
      <c r="E104" s="1325">
        <v>1503000</v>
      </c>
      <c r="F104" s="1325">
        <f t="shared" si="5"/>
        <v>5748200</v>
      </c>
    </row>
    <row r="105" spans="1:6" ht="13.5">
      <c r="A105" s="1324" t="s">
        <v>428</v>
      </c>
      <c r="B105" s="1325">
        <v>1268200</v>
      </c>
      <c r="C105" s="1325">
        <v>2014800</v>
      </c>
      <c r="D105" s="1325">
        <v>932500</v>
      </c>
      <c r="E105" s="1325">
        <v>1481400</v>
      </c>
      <c r="F105" s="1325">
        <f t="shared" si="5"/>
        <v>5696900</v>
      </c>
    </row>
    <row r="106" spans="1:6" ht="13.5">
      <c r="A106" s="1324" t="s">
        <v>429</v>
      </c>
      <c r="B106" s="1325">
        <v>1268200</v>
      </c>
      <c r="C106" s="1325">
        <v>1982500</v>
      </c>
      <c r="D106" s="1325">
        <v>932500</v>
      </c>
      <c r="E106" s="1325">
        <v>1457600</v>
      </c>
      <c r="F106" s="1325">
        <f t="shared" si="5"/>
        <v>5640800</v>
      </c>
    </row>
    <row r="107" spans="1:6" ht="13.5">
      <c r="A107" s="1324" t="s">
        <v>430</v>
      </c>
      <c r="B107" s="1325">
        <v>1268200</v>
      </c>
      <c r="C107" s="1325">
        <v>1948200</v>
      </c>
      <c r="D107" s="1325">
        <v>932500</v>
      </c>
      <c r="E107" s="1325">
        <v>1432500</v>
      </c>
      <c r="F107" s="1325">
        <f t="shared" si="5"/>
        <v>5581400</v>
      </c>
    </row>
    <row r="108" spans="1:6" ht="13.5">
      <c r="A108" s="1324" t="s">
        <v>431</v>
      </c>
      <c r="B108" s="1325">
        <v>1268200</v>
      </c>
      <c r="C108" s="1325">
        <v>1916200</v>
      </c>
      <c r="D108" s="1325">
        <v>932500</v>
      </c>
      <c r="E108" s="1325">
        <v>1409000</v>
      </c>
      <c r="F108" s="1325">
        <f t="shared" si="5"/>
        <v>5525900</v>
      </c>
    </row>
    <row r="109" spans="1:6" ht="13.5">
      <c r="A109" s="1324" t="s">
        <v>432</v>
      </c>
      <c r="B109" s="1325">
        <v>1268200</v>
      </c>
      <c r="C109" s="1325">
        <v>1881400</v>
      </c>
      <c r="D109" s="1325">
        <v>932500</v>
      </c>
      <c r="E109" s="1325">
        <v>1383300</v>
      </c>
      <c r="F109" s="1325">
        <f t="shared" si="5"/>
        <v>5465400</v>
      </c>
    </row>
    <row r="110" spans="1:6" ht="13.5">
      <c r="A110" s="1324" t="s">
        <v>433</v>
      </c>
      <c r="B110" s="1325">
        <v>1268200</v>
      </c>
      <c r="C110" s="1325">
        <v>1849100</v>
      </c>
      <c r="D110" s="1325">
        <v>932500</v>
      </c>
      <c r="E110" s="1325">
        <v>1359600</v>
      </c>
      <c r="F110" s="1325">
        <f t="shared" si="5"/>
        <v>5409400</v>
      </c>
    </row>
    <row r="111" spans="1:6" ht="13.5">
      <c r="A111" s="1324" t="s">
        <v>434</v>
      </c>
      <c r="B111" s="1325">
        <v>1268200</v>
      </c>
      <c r="C111" s="1325">
        <v>1816000</v>
      </c>
      <c r="D111" s="1325">
        <v>932500</v>
      </c>
      <c r="E111" s="1325">
        <v>1335200</v>
      </c>
      <c r="F111" s="1325">
        <f t="shared" si="5"/>
        <v>5351900</v>
      </c>
    </row>
    <row r="112" spans="1:6" ht="13.5">
      <c r="A112" s="1324" t="s">
        <v>435</v>
      </c>
      <c r="B112" s="1325">
        <v>1268200</v>
      </c>
      <c r="C112" s="1325">
        <v>1778800</v>
      </c>
      <c r="D112" s="1325">
        <v>932500</v>
      </c>
      <c r="E112" s="1325">
        <v>1307800</v>
      </c>
      <c r="F112" s="1325">
        <f t="shared" si="5"/>
        <v>5287300</v>
      </c>
    </row>
    <row r="113" spans="1:6" ht="13.5">
      <c r="A113" s="1324" t="s">
        <v>436</v>
      </c>
      <c r="B113" s="1325">
        <v>1268200</v>
      </c>
      <c r="C113" s="1325">
        <v>1744500</v>
      </c>
      <c r="D113" s="1325">
        <v>932500</v>
      </c>
      <c r="E113" s="1325">
        <v>1282600</v>
      </c>
      <c r="F113" s="1325">
        <f t="shared" si="5"/>
        <v>5227800</v>
      </c>
    </row>
    <row r="114" spans="1:6" ht="13.5">
      <c r="A114" s="1324" t="s">
        <v>437</v>
      </c>
      <c r="B114" s="1325">
        <v>1268200</v>
      </c>
      <c r="C114" s="1325">
        <v>1711300</v>
      </c>
      <c r="D114" s="1325">
        <v>932500</v>
      </c>
      <c r="E114" s="1325">
        <v>1258200</v>
      </c>
      <c r="F114" s="1325">
        <f t="shared" si="5"/>
        <v>5170200</v>
      </c>
    </row>
    <row r="115" spans="1:6" ht="13.5">
      <c r="A115" s="1324" t="s">
        <v>438</v>
      </c>
      <c r="B115" s="1325">
        <v>1268200</v>
      </c>
      <c r="C115" s="1325">
        <v>1675500</v>
      </c>
      <c r="D115" s="1325">
        <v>932500</v>
      </c>
      <c r="E115" s="1325">
        <v>1232000</v>
      </c>
      <c r="F115" s="1325">
        <f t="shared" si="5"/>
        <v>5108200</v>
      </c>
    </row>
    <row r="116" spans="1:6" ht="13.5">
      <c r="A116" s="1324" t="s">
        <v>439</v>
      </c>
      <c r="B116" s="1325">
        <v>1401600</v>
      </c>
      <c r="C116" s="1325">
        <v>1816800</v>
      </c>
      <c r="D116" s="1325">
        <v>1030500</v>
      </c>
      <c r="E116" s="1325">
        <v>1335700</v>
      </c>
      <c r="F116" s="1325">
        <f t="shared" si="5"/>
        <v>5584600</v>
      </c>
    </row>
    <row r="117" spans="1:6" ht="13.5">
      <c r="A117" s="1324" t="s">
        <v>440</v>
      </c>
      <c r="B117" s="1325">
        <v>1401600</v>
      </c>
      <c r="C117" s="1325">
        <v>1775800</v>
      </c>
      <c r="D117" s="1325">
        <v>1030500</v>
      </c>
      <c r="E117" s="1325">
        <v>1305500</v>
      </c>
      <c r="F117" s="1325">
        <f t="shared" si="5"/>
        <v>5513400</v>
      </c>
    </row>
    <row r="118" spans="1:6" ht="13.5">
      <c r="A118" s="1324" t="s">
        <v>441</v>
      </c>
      <c r="B118" s="1325">
        <v>1401600</v>
      </c>
      <c r="C118" s="1325">
        <v>1734800</v>
      </c>
      <c r="D118" s="1325">
        <v>1030500</v>
      </c>
      <c r="E118" s="1325">
        <v>1275400</v>
      </c>
      <c r="F118" s="1325">
        <f t="shared" si="5"/>
        <v>5442300</v>
      </c>
    </row>
    <row r="119" spans="1:6" ht="13.5">
      <c r="A119" s="1324" t="s">
        <v>442</v>
      </c>
      <c r="B119" s="1325">
        <v>1401600</v>
      </c>
      <c r="C119" s="1325">
        <v>1704600</v>
      </c>
      <c r="D119" s="1325">
        <v>1030500</v>
      </c>
      <c r="E119" s="1325">
        <v>1253200</v>
      </c>
      <c r="F119" s="1325">
        <f t="shared" ref="F119:F127" si="6">SUM(B119:E119)</f>
        <v>5389900</v>
      </c>
    </row>
    <row r="120" spans="1:6" ht="13.5">
      <c r="A120" s="1324" t="s">
        <v>443</v>
      </c>
      <c r="B120" s="1325">
        <v>1401600</v>
      </c>
      <c r="C120" s="1325">
        <v>1664800</v>
      </c>
      <c r="D120" s="1325">
        <v>1030500</v>
      </c>
      <c r="E120" s="1325">
        <v>1223900</v>
      </c>
      <c r="F120" s="1325">
        <f t="shared" si="6"/>
        <v>5320800</v>
      </c>
    </row>
    <row r="121" spans="1:6" ht="13.5">
      <c r="A121" s="1324" t="s">
        <v>444</v>
      </c>
      <c r="B121" s="1325">
        <v>1401600</v>
      </c>
      <c r="C121" s="1325">
        <v>1625400</v>
      </c>
      <c r="D121" s="1325">
        <v>1030500</v>
      </c>
      <c r="E121" s="1325">
        <v>1195000</v>
      </c>
      <c r="F121" s="1325">
        <f t="shared" si="6"/>
        <v>5252500</v>
      </c>
    </row>
    <row r="122" spans="1:6" ht="13.5">
      <c r="A122" s="1324" t="s">
        <v>445</v>
      </c>
      <c r="B122" s="1325">
        <v>1401600</v>
      </c>
      <c r="C122" s="1325">
        <v>1591000</v>
      </c>
      <c r="D122" s="1325">
        <v>1030500</v>
      </c>
      <c r="E122" s="1325">
        <v>1169700</v>
      </c>
      <c r="F122" s="1325">
        <f t="shared" si="6"/>
        <v>5192800</v>
      </c>
    </row>
    <row r="123" spans="1:6" ht="13.5">
      <c r="A123" s="1324" t="s">
        <v>446</v>
      </c>
      <c r="B123" s="1325">
        <v>1401600</v>
      </c>
      <c r="C123" s="1325">
        <v>1557200</v>
      </c>
      <c r="D123" s="1325">
        <v>1030500</v>
      </c>
      <c r="E123" s="1325">
        <v>1144900</v>
      </c>
      <c r="F123" s="1325">
        <f t="shared" si="6"/>
        <v>5134200</v>
      </c>
    </row>
    <row r="124" spans="1:6" ht="13.5">
      <c r="A124" s="1324" t="s">
        <v>447</v>
      </c>
      <c r="B124" s="1325">
        <v>1401600</v>
      </c>
      <c r="C124" s="1325">
        <v>1557200</v>
      </c>
      <c r="D124" s="1325">
        <v>1030500</v>
      </c>
      <c r="E124" s="1325">
        <v>1144900</v>
      </c>
      <c r="F124" s="1325">
        <f t="shared" si="6"/>
        <v>5134200</v>
      </c>
    </row>
    <row r="125" spans="1:6" ht="13.5">
      <c r="A125" s="1324" t="s">
        <v>448</v>
      </c>
      <c r="B125" s="1325">
        <v>1401600</v>
      </c>
      <c r="C125" s="1325">
        <v>1522900</v>
      </c>
      <c r="D125" s="1325">
        <v>1030500</v>
      </c>
      <c r="E125" s="1325">
        <v>1119600</v>
      </c>
      <c r="F125" s="1325">
        <f t="shared" si="6"/>
        <v>5074600</v>
      </c>
    </row>
    <row r="126" spans="1:6" ht="13.5">
      <c r="A126" s="1324" t="s">
        <v>449</v>
      </c>
      <c r="B126" s="1325">
        <v>1038200</v>
      </c>
      <c r="C126" s="1325">
        <v>1100500</v>
      </c>
      <c r="D126" s="1325">
        <v>763300</v>
      </c>
      <c r="E126" s="1325">
        <v>809000</v>
      </c>
      <c r="F126" s="1325">
        <f t="shared" si="6"/>
        <v>3711000</v>
      </c>
    </row>
    <row r="127" spans="1:6" ht="13.5">
      <c r="A127" s="1324" t="s">
        <v>449</v>
      </c>
      <c r="B127" s="1325">
        <v>260600</v>
      </c>
      <c r="C127" s="1325">
        <v>270200</v>
      </c>
      <c r="D127" s="1325">
        <v>0</v>
      </c>
      <c r="E127" s="1325">
        <v>0</v>
      </c>
      <c r="F127" s="1325">
        <f t="shared" si="6"/>
        <v>530800</v>
      </c>
    </row>
    <row r="128" spans="1:6" ht="13.5">
      <c r="A128" s="1323" t="s">
        <v>190</v>
      </c>
      <c r="B128" s="1327">
        <f>SUM(B50:B127)</f>
        <v>71879200</v>
      </c>
      <c r="C128" s="1327">
        <f>SUM(C50:C127)</f>
        <v>133526500</v>
      </c>
      <c r="D128" s="1327">
        <f>SUM(D50:D127)</f>
        <v>52656700</v>
      </c>
      <c r="E128" s="1327">
        <f>SUM(E50:E127)</f>
        <v>97969900</v>
      </c>
      <c r="F128" s="1327">
        <f>SUM(F50:F127)</f>
        <v>356032300</v>
      </c>
    </row>
    <row r="129" spans="1:6" ht="13.5">
      <c r="A129" s="791"/>
      <c r="B129" s="1326"/>
      <c r="C129" s="1326"/>
      <c r="D129" s="1326"/>
      <c r="E129" s="1326"/>
      <c r="F129" s="791"/>
    </row>
    <row r="130" spans="1:6" ht="13.5">
      <c r="A130" s="791"/>
      <c r="B130" s="1326"/>
      <c r="C130" s="1326"/>
      <c r="D130" s="1326"/>
      <c r="E130" s="1326"/>
      <c r="F130" s="791"/>
    </row>
    <row r="131" spans="1:6" ht="13.5">
      <c r="A131" s="2580" t="s">
        <v>346</v>
      </c>
      <c r="B131" s="2581"/>
      <c r="C131" s="2582"/>
      <c r="D131" s="1326"/>
      <c r="E131" s="1326"/>
      <c r="F131" s="791"/>
    </row>
    <row r="132" spans="1:6" ht="13.5">
      <c r="A132" s="1203" t="s">
        <v>450</v>
      </c>
      <c r="B132" s="1260"/>
      <c r="C132" s="1130">
        <f>+B128+C128</f>
        <v>205405700</v>
      </c>
      <c r="D132" s="1326"/>
      <c r="E132" s="1326"/>
      <c r="F132" s="791"/>
    </row>
    <row r="133" spans="1:6" ht="13.5">
      <c r="A133" s="1203" t="s">
        <v>451</v>
      </c>
      <c r="B133" s="1328"/>
      <c r="C133" s="1130">
        <f>+D128+E128</f>
        <v>150626600</v>
      </c>
      <c r="D133" s="1326"/>
      <c r="E133" s="1326"/>
      <c r="F133" s="791"/>
    </row>
    <row r="134" spans="1:6" ht="20.25" customHeight="1">
      <c r="A134" s="1319" t="s">
        <v>452</v>
      </c>
      <c r="B134" s="1319"/>
      <c r="C134" s="1130">
        <f>SUM(C132:C133)</f>
        <v>356032300</v>
      </c>
      <c r="D134" s="1326"/>
      <c r="E134" s="1326"/>
      <c r="F134" s="791"/>
    </row>
    <row r="135" spans="1:6" ht="13.5">
      <c r="A135" s="791"/>
      <c r="B135" s="1326"/>
      <c r="C135" s="1326"/>
      <c r="D135" s="1326"/>
      <c r="E135" s="1326"/>
      <c r="F135" s="791"/>
    </row>
    <row r="136" spans="1:6" ht="13.5">
      <c r="A136" s="791"/>
      <c r="B136" s="1326"/>
      <c r="C136" s="1326"/>
      <c r="D136" s="1326"/>
      <c r="E136" s="1326"/>
      <c r="F136" s="791"/>
    </row>
    <row r="137" spans="1:6" ht="13.5">
      <c r="A137" s="2580" t="s">
        <v>453</v>
      </c>
      <c r="B137" s="2581"/>
      <c r="C137" s="2582"/>
      <c r="D137" s="1326"/>
      <c r="E137" s="1326"/>
      <c r="F137" s="791"/>
    </row>
    <row r="138" spans="1:6" ht="13.5">
      <c r="A138" s="1203" t="s">
        <v>452</v>
      </c>
      <c r="B138" s="1327"/>
      <c r="C138" s="1130">
        <f>+C134</f>
        <v>356032300</v>
      </c>
      <c r="D138" s="1347" t="s">
        <v>454</v>
      </c>
      <c r="E138" s="1326" t="s">
        <v>455</v>
      </c>
      <c r="F138" s="791"/>
    </row>
    <row r="139" spans="1:6" ht="13.5">
      <c r="A139" s="1203" t="s">
        <v>365</v>
      </c>
      <c r="B139" s="1320"/>
      <c r="C139" s="1130">
        <v>258916158.05728257</v>
      </c>
      <c r="D139" s="1326">
        <v>554022233</v>
      </c>
      <c r="E139" s="1326">
        <v>60926225.057282567</v>
      </c>
      <c r="F139" s="791"/>
    </row>
    <row r="140" spans="1:6" ht="13.5">
      <c r="A140" s="2583" t="s">
        <v>456</v>
      </c>
      <c r="B140" s="2584"/>
      <c r="C140" s="1130">
        <f>SUM(C138:C139)</f>
        <v>614948458.05728257</v>
      </c>
      <c r="D140" s="1326"/>
      <c r="E140" s="1326"/>
      <c r="F140" s="791"/>
    </row>
    <row r="141" spans="1:6">
      <c r="B141" s="1318"/>
      <c r="C141" s="1318"/>
      <c r="D141" s="1318"/>
      <c r="E141" s="1318"/>
      <c r="F141"/>
    </row>
    <row r="142" spans="1:6">
      <c r="A142" s="221" t="s">
        <v>62</v>
      </c>
      <c r="B142" s="217"/>
      <c r="C142" s="1318"/>
      <c r="D142" s="1318"/>
      <c r="E142" s="1318"/>
      <c r="F142"/>
    </row>
    <row r="143" spans="1:6">
      <c r="A143" s="217"/>
      <c r="B143" s="218"/>
      <c r="F143"/>
    </row>
    <row r="144" spans="1:6">
      <c r="A144" s="217"/>
      <c r="B144" s="218"/>
      <c r="C144" s="1318"/>
      <c r="D144" s="1318"/>
      <c r="E144" s="1318"/>
      <c r="F144"/>
    </row>
    <row r="145" spans="1:5" customFormat="1">
      <c r="A145" s="682" t="s">
        <v>63</v>
      </c>
      <c r="B145" s="218"/>
    </row>
    <row r="146" spans="1:5" customFormat="1">
      <c r="A146" s="682" t="s">
        <v>64</v>
      </c>
      <c r="B146" s="218"/>
      <c r="C146" s="1318"/>
      <c r="D146" s="1318"/>
      <c r="E146" s="1318"/>
    </row>
    <row r="147" spans="1:5">
      <c r="A147" s="221" t="s">
        <v>65</v>
      </c>
      <c r="B147" s="218"/>
    </row>
  </sheetData>
  <mergeCells count="7">
    <mergeCell ref="B15:I15"/>
    <mergeCell ref="A131:C131"/>
    <mergeCell ref="A137:C137"/>
    <mergeCell ref="A140:B140"/>
    <mergeCell ref="G38:H38"/>
    <mergeCell ref="B39:D39"/>
    <mergeCell ref="B41:C41"/>
  </mergeCells>
  <phoneticPr fontId="21" type="noConversion"/>
  <conditionalFormatting sqref="B16:C16">
    <cfRule type="duplicateValues" dxfId="62" priority="9"/>
  </conditionalFormatting>
  <conditionalFormatting sqref="B58:C58">
    <cfRule type="duplicateValues" dxfId="61" priority="10"/>
  </conditionalFormatting>
  <pageMargins left="0.7" right="0.7" top="0.75" bottom="0.75" header="0.3" footer="0.3"/>
  <pageSetup paperSize="5" scale="75" orientation="portrait" r:id="rId1"/>
  <colBreaks count="1" manualBreakCount="1">
    <brk id="9" max="1048575"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D5E36-3986-420C-A887-1CD049D1063F}">
  <sheetPr codeName="Hoja79"/>
  <dimension ref="A2:M150"/>
  <sheetViews>
    <sheetView topLeftCell="A2" zoomScale="106" zoomScaleNormal="106" workbookViewId="0">
      <selection activeCell="D41" sqref="D41"/>
    </sheetView>
  </sheetViews>
  <sheetFormatPr defaultColWidth="9.140625" defaultRowHeight="12.75"/>
  <cols>
    <col min="1" max="1" width="5.7109375" customWidth="1"/>
    <col min="2" max="2" width="16.5703125" customWidth="1"/>
    <col min="3" max="3" width="14.85546875" customWidth="1"/>
    <col min="4" max="5" width="11.85546875" customWidth="1"/>
    <col min="6" max="6" width="13.5703125" style="537" customWidth="1"/>
    <col min="7" max="7" width="12.7109375" customWidth="1"/>
    <col min="8" max="8" width="9" customWidth="1"/>
    <col min="9" max="9" width="15.28515625" customWidth="1"/>
    <col min="10" max="10" width="15.85546875" customWidth="1"/>
    <col min="11" max="11" width="20.85546875" bestFit="1" customWidth="1"/>
    <col min="12" max="257" width="11.42578125" customWidth="1"/>
  </cols>
  <sheetData>
    <row r="2" spans="1:13" ht="25.5">
      <c r="B2" s="1078" t="s">
        <v>0</v>
      </c>
      <c r="C2" s="1246" t="s">
        <v>349</v>
      </c>
      <c r="D2" s="791"/>
      <c r="E2" s="791"/>
      <c r="F2" s="1241"/>
      <c r="G2" s="791"/>
      <c r="H2" s="791"/>
      <c r="I2" s="791"/>
    </row>
    <row r="3" spans="1:13" ht="13.5">
      <c r="B3" s="728" t="s">
        <v>287</v>
      </c>
      <c r="C3" s="945">
        <v>42969</v>
      </c>
      <c r="D3" s="791"/>
      <c r="E3" s="791"/>
      <c r="F3" s="1241"/>
      <c r="G3" s="791"/>
      <c r="H3" s="791"/>
      <c r="I3" s="791"/>
    </row>
    <row r="4" spans="1:13" ht="25.5">
      <c r="B4" s="893" t="s">
        <v>350</v>
      </c>
      <c r="C4" s="945">
        <v>42990</v>
      </c>
      <c r="D4" s="791"/>
      <c r="E4" s="791"/>
      <c r="F4" s="1241"/>
      <c r="G4" s="791"/>
      <c r="H4" s="791"/>
      <c r="I4" s="791"/>
    </row>
    <row r="5" spans="1:13" ht="13.5">
      <c r="B5" s="728" t="s">
        <v>351</v>
      </c>
      <c r="C5" s="887" t="s">
        <v>352</v>
      </c>
      <c r="D5" s="791"/>
      <c r="E5" s="791"/>
      <c r="F5" s="1241"/>
      <c r="G5" s="791"/>
      <c r="H5" s="791"/>
      <c r="I5" s="791"/>
      <c r="K5" s="32"/>
    </row>
    <row r="6" spans="1:13" ht="13.5">
      <c r="B6" s="728"/>
      <c r="C6" s="850"/>
      <c r="D6" s="791"/>
      <c r="E6" s="791"/>
      <c r="F6" s="1241"/>
      <c r="G6" s="791"/>
      <c r="H6" s="791"/>
      <c r="I6" s="791"/>
      <c r="J6" s="379"/>
      <c r="K6" s="32"/>
      <c r="L6" s="791"/>
      <c r="M6" s="791"/>
    </row>
    <row r="7" spans="1:13" ht="13.5">
      <c r="B7" s="1244" t="s">
        <v>353</v>
      </c>
      <c r="C7" s="982"/>
      <c r="D7" s="791"/>
      <c r="E7" s="791"/>
      <c r="F7" s="1241"/>
      <c r="G7" s="791"/>
      <c r="H7" s="791"/>
      <c r="I7" s="791"/>
      <c r="K7" s="32"/>
      <c r="L7" s="848"/>
      <c r="M7" s="982"/>
    </row>
    <row r="8" spans="1:13" ht="13.5">
      <c r="B8" s="1244" t="s">
        <v>354</v>
      </c>
      <c r="C8" s="982"/>
      <c r="D8" s="791"/>
      <c r="E8" s="791"/>
      <c r="F8" s="1241"/>
      <c r="G8" s="791"/>
      <c r="H8" s="791"/>
      <c r="I8" s="791"/>
      <c r="J8" s="379"/>
      <c r="K8" s="32"/>
      <c r="L8" s="908"/>
      <c r="M8" s="850"/>
    </row>
    <row r="9" spans="1:13" ht="13.5">
      <c r="B9" s="886"/>
      <c r="C9" s="1170"/>
      <c r="D9" s="791"/>
      <c r="E9" s="791"/>
      <c r="F9" s="1241"/>
      <c r="G9" s="791"/>
      <c r="H9" s="791"/>
      <c r="I9" s="791"/>
      <c r="K9" s="8"/>
    </row>
    <row r="10" spans="1:13" ht="13.5">
      <c r="B10" s="2579" t="s">
        <v>160</v>
      </c>
      <c r="C10" s="2579"/>
      <c r="D10" s="2579"/>
      <c r="E10" s="2579"/>
      <c r="F10" s="2579"/>
      <c r="G10" s="2579"/>
      <c r="H10" s="2579"/>
      <c r="I10" s="2579"/>
    </row>
    <row r="11" spans="1:13" ht="38.25">
      <c r="B11" s="793" t="s">
        <v>337</v>
      </c>
      <c r="C11" s="793" t="s">
        <v>40</v>
      </c>
      <c r="D11" s="793" t="s">
        <v>148</v>
      </c>
      <c r="E11" s="794" t="s">
        <v>358</v>
      </c>
      <c r="F11" s="1242" t="s">
        <v>43</v>
      </c>
      <c r="G11" s="794" t="s">
        <v>129</v>
      </c>
      <c r="H11" s="794" t="s">
        <v>47</v>
      </c>
      <c r="I11" s="794" t="s">
        <v>48</v>
      </c>
    </row>
    <row r="12" spans="1:13" ht="13.5">
      <c r="A12">
        <v>1</v>
      </c>
      <c r="B12" s="724">
        <v>42970</v>
      </c>
      <c r="C12" s="724">
        <v>42978</v>
      </c>
      <c r="D12" s="796">
        <v>0.2198</v>
      </c>
      <c r="E12" s="937">
        <f>+D12*1.5</f>
        <v>0.32969999999999999</v>
      </c>
      <c r="F12" s="1243">
        <f>((1+E12)^(1/365)-1)</f>
        <v>7.8099893845218205E-4</v>
      </c>
      <c r="G12" s="895">
        <v>503707257</v>
      </c>
      <c r="H12" s="931">
        <f t="shared" ref="H12:H18" si="0">_xlfn.DAYS(C12,B12)+1</f>
        <v>9</v>
      </c>
      <c r="I12" s="850">
        <f>+G12*F12*H12</f>
        <v>3540553.4970689444</v>
      </c>
    </row>
    <row r="13" spans="1:13" ht="13.5">
      <c r="A13">
        <v>2</v>
      </c>
      <c r="B13" s="724">
        <v>42979</v>
      </c>
      <c r="C13" s="724">
        <v>43008</v>
      </c>
      <c r="D13" s="796">
        <v>0.21479999999999999</v>
      </c>
      <c r="E13" s="937">
        <f t="shared" ref="E13:E32" si="1">+D13*1.5</f>
        <v>0.32219999999999999</v>
      </c>
      <c r="F13" s="1243">
        <f t="shared" ref="F13:F32" si="2">((1+E13)^(1/365)-1)</f>
        <v>7.6549014202820231E-4</v>
      </c>
      <c r="G13" s="895">
        <f>+$G$12</f>
        <v>503707257</v>
      </c>
      <c r="H13" s="931">
        <f t="shared" si="0"/>
        <v>30</v>
      </c>
      <c r="I13" s="850">
        <f t="shared" ref="I13:I32" si="3">+G13*F13*H13</f>
        <v>11567488.191046985</v>
      </c>
    </row>
    <row r="14" spans="1:13" ht="13.5">
      <c r="A14">
        <v>3</v>
      </c>
      <c r="B14" s="724">
        <v>43009</v>
      </c>
      <c r="C14" s="724">
        <v>43039</v>
      </c>
      <c r="D14" s="796">
        <v>0.21149999999999999</v>
      </c>
      <c r="E14" s="937">
        <f t="shared" si="1"/>
        <v>0.31724999999999998</v>
      </c>
      <c r="F14" s="1243">
        <f t="shared" si="2"/>
        <v>7.5520620308799913E-4</v>
      </c>
      <c r="G14" s="895">
        <f t="shared" ref="G14:G32" si="4">+$G$12</f>
        <v>503707257</v>
      </c>
      <c r="H14" s="931">
        <f t="shared" si="0"/>
        <v>31</v>
      </c>
      <c r="I14" s="850">
        <f t="shared" si="3"/>
        <v>11792488.19583207</v>
      </c>
    </row>
    <row r="15" spans="1:13" ht="13.5">
      <c r="A15">
        <v>4</v>
      </c>
      <c r="B15" s="724">
        <v>43040</v>
      </c>
      <c r="C15" s="724">
        <v>43069</v>
      </c>
      <c r="D15" s="796">
        <v>0.20960000000000001</v>
      </c>
      <c r="E15" s="937">
        <f t="shared" si="1"/>
        <v>0.31440000000000001</v>
      </c>
      <c r="F15" s="1243">
        <f t="shared" si="2"/>
        <v>7.4926765057248268E-4</v>
      </c>
      <c r="G15" s="895">
        <f t="shared" si="4"/>
        <v>503707257</v>
      </c>
      <c r="H15" s="931">
        <f t="shared" si="0"/>
        <v>30</v>
      </c>
      <c r="I15" s="850">
        <f t="shared" si="3"/>
        <v>11322346.590860991</v>
      </c>
    </row>
    <row r="16" spans="1:13" ht="13.5">
      <c r="A16">
        <v>5</v>
      </c>
      <c r="B16" s="724">
        <v>43070</v>
      </c>
      <c r="C16" s="724">
        <v>43100</v>
      </c>
      <c r="D16" s="796">
        <v>0.2077</v>
      </c>
      <c r="E16" s="937">
        <f t="shared" si="1"/>
        <v>0.31154999999999999</v>
      </c>
      <c r="F16" s="1243">
        <f t="shared" si="2"/>
        <v>7.4331624292400811E-4</v>
      </c>
      <c r="G16" s="895">
        <f t="shared" si="4"/>
        <v>503707257</v>
      </c>
      <c r="H16" s="931">
        <f t="shared" si="0"/>
        <v>31</v>
      </c>
      <c r="I16" s="850">
        <f t="shared" si="3"/>
        <v>11606827.360010732</v>
      </c>
    </row>
    <row r="17" spans="1:11" ht="13.5">
      <c r="A17">
        <v>6</v>
      </c>
      <c r="B17" s="724">
        <v>43101</v>
      </c>
      <c r="C17" s="724">
        <v>43131</v>
      </c>
      <c r="D17" s="796">
        <v>0.2069</v>
      </c>
      <c r="E17" s="937">
        <f t="shared" si="1"/>
        <v>0.31035000000000001</v>
      </c>
      <c r="F17" s="1243">
        <f t="shared" si="2"/>
        <v>7.4080652774299871E-4</v>
      </c>
      <c r="G17" s="895">
        <f t="shared" si="4"/>
        <v>503707257</v>
      </c>
      <c r="H17" s="931">
        <f t="shared" si="0"/>
        <v>31</v>
      </c>
      <c r="I17" s="850">
        <f t="shared" si="3"/>
        <v>11567638.34577073</v>
      </c>
    </row>
    <row r="18" spans="1:11" ht="13.5">
      <c r="A18">
        <v>7</v>
      </c>
      <c r="B18" s="724">
        <v>43132</v>
      </c>
      <c r="C18" s="724">
        <v>43154</v>
      </c>
      <c r="D18" s="796">
        <v>0.21010000000000001</v>
      </c>
      <c r="E18" s="937">
        <f t="shared" si="1"/>
        <v>0.31515000000000004</v>
      </c>
      <c r="F18" s="1243">
        <f t="shared" si="2"/>
        <v>7.5083167162115494E-4</v>
      </c>
      <c r="G18" s="895">
        <f t="shared" si="4"/>
        <v>503707257</v>
      </c>
      <c r="H18" s="931">
        <f t="shared" si="0"/>
        <v>23</v>
      </c>
      <c r="I18" s="850">
        <f t="shared" si="3"/>
        <v>8698585.3209633846</v>
      </c>
    </row>
    <row r="19" spans="1:11" ht="13.5">
      <c r="A19">
        <v>8</v>
      </c>
      <c r="B19" s="724">
        <v>43155</v>
      </c>
      <c r="C19" s="724">
        <v>43159</v>
      </c>
      <c r="D19" s="796">
        <v>0.21010000000000001</v>
      </c>
      <c r="E19" s="937">
        <f t="shared" si="1"/>
        <v>0.31515000000000004</v>
      </c>
      <c r="F19" s="1243">
        <f t="shared" si="2"/>
        <v>7.5083167162115494E-4</v>
      </c>
      <c r="G19" s="895">
        <f t="shared" si="4"/>
        <v>503707257</v>
      </c>
      <c r="H19" s="931">
        <v>0</v>
      </c>
      <c r="I19" s="850">
        <f t="shared" si="3"/>
        <v>0</v>
      </c>
    </row>
    <row r="20" spans="1:11" ht="13.5">
      <c r="A20">
        <v>9</v>
      </c>
      <c r="B20" s="724">
        <v>43160</v>
      </c>
      <c r="C20" s="724">
        <v>43190</v>
      </c>
      <c r="D20" s="796">
        <v>0.20680000000000001</v>
      </c>
      <c r="E20" s="937">
        <f t="shared" si="1"/>
        <v>0.31020000000000003</v>
      </c>
      <c r="F20" s="1243">
        <f t="shared" si="2"/>
        <v>7.4049265219700011E-4</v>
      </c>
      <c r="G20" s="895">
        <f t="shared" si="4"/>
        <v>503707257</v>
      </c>
      <c r="H20" s="931">
        <v>0</v>
      </c>
      <c r="I20" s="850">
        <f t="shared" si="3"/>
        <v>0</v>
      </c>
    </row>
    <row r="21" spans="1:11" ht="13.5">
      <c r="A21">
        <v>10</v>
      </c>
      <c r="B21" s="724">
        <v>43191</v>
      </c>
      <c r="C21" s="724">
        <v>43220</v>
      </c>
      <c r="D21" s="796">
        <v>0.20480000000000001</v>
      </c>
      <c r="E21" s="937">
        <f t="shared" si="1"/>
        <v>0.30720000000000003</v>
      </c>
      <c r="F21" s="1243">
        <f t="shared" si="2"/>
        <v>7.34207604366377E-4</v>
      </c>
      <c r="G21" s="895">
        <f t="shared" si="4"/>
        <v>503707257</v>
      </c>
      <c r="H21" s="931">
        <v>0</v>
      </c>
      <c r="I21" s="850">
        <f t="shared" si="3"/>
        <v>0</v>
      </c>
    </row>
    <row r="22" spans="1:11" ht="13.5">
      <c r="A22">
        <v>11</v>
      </c>
      <c r="B22" s="724">
        <v>43221</v>
      </c>
      <c r="C22" s="724">
        <v>43251</v>
      </c>
      <c r="D22" s="796">
        <v>0.2044</v>
      </c>
      <c r="E22" s="937">
        <f t="shared" si="1"/>
        <v>0.30659999999999998</v>
      </c>
      <c r="F22" s="1243">
        <f t="shared" si="2"/>
        <v>7.3294886878794152E-4</v>
      </c>
      <c r="G22" s="895">
        <f t="shared" si="4"/>
        <v>503707257</v>
      </c>
      <c r="H22" s="931">
        <v>0</v>
      </c>
      <c r="I22" s="850">
        <f t="shared" si="3"/>
        <v>0</v>
      </c>
    </row>
    <row r="23" spans="1:11" ht="13.5">
      <c r="A23">
        <v>12</v>
      </c>
      <c r="B23" s="724">
        <v>43252</v>
      </c>
      <c r="C23" s="724">
        <v>43281</v>
      </c>
      <c r="D23" s="796">
        <v>0.20280000000000001</v>
      </c>
      <c r="E23" s="937">
        <f t="shared" si="1"/>
        <v>0.30420000000000003</v>
      </c>
      <c r="F23" s="1243">
        <f t="shared" si="2"/>
        <v>7.2790815549184096E-4</v>
      </c>
      <c r="G23" s="895">
        <f t="shared" si="4"/>
        <v>503707257</v>
      </c>
      <c r="H23" s="931">
        <v>0</v>
      </c>
      <c r="I23" s="850">
        <f t="shared" si="3"/>
        <v>0</v>
      </c>
    </row>
    <row r="24" spans="1:11" ht="13.5">
      <c r="A24">
        <v>13</v>
      </c>
      <c r="B24" s="724">
        <v>43282</v>
      </c>
      <c r="C24" s="724">
        <v>43312</v>
      </c>
      <c r="D24" s="796">
        <v>0.20030000000000001</v>
      </c>
      <c r="E24" s="937">
        <f t="shared" si="1"/>
        <v>0.30044999999999999</v>
      </c>
      <c r="F24" s="1243">
        <f t="shared" si="2"/>
        <v>7.2001349197825526E-4</v>
      </c>
      <c r="G24" s="895">
        <f t="shared" si="4"/>
        <v>503707257</v>
      </c>
      <c r="H24" s="931">
        <v>0</v>
      </c>
      <c r="I24" s="850">
        <f t="shared" si="3"/>
        <v>0</v>
      </c>
      <c r="K24" s="46"/>
    </row>
    <row r="25" spans="1:11" ht="13.5">
      <c r="A25">
        <v>14</v>
      </c>
      <c r="B25" s="724">
        <v>43313</v>
      </c>
      <c r="C25" s="724">
        <v>43343</v>
      </c>
      <c r="D25" s="796">
        <v>0.19939999999999999</v>
      </c>
      <c r="E25" s="937">
        <f t="shared" si="1"/>
        <v>0.29909999999999998</v>
      </c>
      <c r="F25" s="1243">
        <f t="shared" si="2"/>
        <v>7.1716585429704161E-4</v>
      </c>
      <c r="G25" s="895">
        <f t="shared" si="4"/>
        <v>503707257</v>
      </c>
      <c r="H25" s="931">
        <v>0</v>
      </c>
      <c r="I25" s="850">
        <f t="shared" si="3"/>
        <v>0</v>
      </c>
    </row>
    <row r="26" spans="1:11" ht="13.5">
      <c r="A26">
        <v>15</v>
      </c>
      <c r="B26" s="724">
        <v>43344</v>
      </c>
      <c r="C26" s="724">
        <v>43373</v>
      </c>
      <c r="D26" s="796">
        <v>0.1981</v>
      </c>
      <c r="E26" s="937">
        <f t="shared" si="1"/>
        <v>0.29715000000000003</v>
      </c>
      <c r="F26" s="1243">
        <f t="shared" si="2"/>
        <v>7.1304738558919389E-4</v>
      </c>
      <c r="G26" s="895">
        <f t="shared" si="4"/>
        <v>503707257</v>
      </c>
      <c r="H26" s="931">
        <v>0</v>
      </c>
      <c r="I26" s="850">
        <f t="shared" si="3"/>
        <v>0</v>
      </c>
    </row>
    <row r="27" spans="1:11" ht="13.5">
      <c r="A27">
        <v>16</v>
      </c>
      <c r="B27" s="724">
        <v>43374</v>
      </c>
      <c r="C27" s="724">
        <v>43404</v>
      </c>
      <c r="D27" s="796">
        <v>0.1963</v>
      </c>
      <c r="E27" s="937">
        <f t="shared" si="1"/>
        <v>0.29444999999999999</v>
      </c>
      <c r="F27" s="1243">
        <f t="shared" si="2"/>
        <v>7.073346857742191E-4</v>
      </c>
      <c r="G27" s="895">
        <f t="shared" si="4"/>
        <v>503707257</v>
      </c>
      <c r="H27" s="931">
        <v>0</v>
      </c>
      <c r="I27" s="850">
        <f t="shared" si="3"/>
        <v>0</v>
      </c>
    </row>
    <row r="28" spans="1:11" ht="13.5">
      <c r="A28">
        <v>17</v>
      </c>
      <c r="B28" s="724">
        <v>43405</v>
      </c>
      <c r="C28" s="724">
        <v>43434</v>
      </c>
      <c r="D28" s="796">
        <v>0.19489999999999999</v>
      </c>
      <c r="E28" s="937">
        <f t="shared" si="1"/>
        <v>0.29235</v>
      </c>
      <c r="F28" s="1243">
        <f t="shared" si="2"/>
        <v>7.0288325333756063E-4</v>
      </c>
      <c r="G28" s="895">
        <f t="shared" si="4"/>
        <v>503707257</v>
      </c>
      <c r="H28" s="931">
        <v>0</v>
      </c>
      <c r="I28" s="850">
        <f t="shared" si="3"/>
        <v>0</v>
      </c>
    </row>
    <row r="29" spans="1:11" ht="13.5">
      <c r="A29">
        <v>18</v>
      </c>
      <c r="B29" s="724">
        <v>43435</v>
      </c>
      <c r="C29" s="724">
        <v>43465</v>
      </c>
      <c r="D29" s="796">
        <v>0.19400000000000001</v>
      </c>
      <c r="E29" s="937">
        <f t="shared" si="1"/>
        <v>0.29100000000000004</v>
      </c>
      <c r="F29" s="1243">
        <f t="shared" si="2"/>
        <v>7.0001780740103214E-4</v>
      </c>
      <c r="G29" s="895">
        <f t="shared" si="4"/>
        <v>503707257</v>
      </c>
      <c r="H29" s="931">
        <v>0</v>
      </c>
      <c r="I29" s="850">
        <f t="shared" si="3"/>
        <v>0</v>
      </c>
    </row>
    <row r="30" spans="1:11" ht="13.5">
      <c r="A30">
        <v>19</v>
      </c>
      <c r="B30" s="724">
        <v>43466</v>
      </c>
      <c r="C30" s="724">
        <v>43496</v>
      </c>
      <c r="D30" s="796">
        <v>0.19159999999999999</v>
      </c>
      <c r="E30" s="937">
        <f t="shared" si="1"/>
        <v>0.28739999999999999</v>
      </c>
      <c r="F30" s="1243">
        <f t="shared" si="2"/>
        <v>6.9236198468725085E-4</v>
      </c>
      <c r="G30" s="895">
        <f t="shared" si="4"/>
        <v>503707257</v>
      </c>
      <c r="H30" s="931">
        <v>0</v>
      </c>
      <c r="I30" s="850">
        <f t="shared" si="3"/>
        <v>0</v>
      </c>
    </row>
    <row r="31" spans="1:11" ht="13.5">
      <c r="A31">
        <v>20</v>
      </c>
      <c r="B31" s="724">
        <v>43497</v>
      </c>
      <c r="C31" s="724">
        <v>43524</v>
      </c>
      <c r="D31" s="796">
        <v>0.19699999999999998</v>
      </c>
      <c r="E31" s="937">
        <f t="shared" si="1"/>
        <v>0.29549999999999998</v>
      </c>
      <c r="F31" s="1243">
        <f t="shared" si="2"/>
        <v>7.0955770203506852E-4</v>
      </c>
      <c r="G31" s="895">
        <f t="shared" si="4"/>
        <v>503707257</v>
      </c>
      <c r="H31" s="931">
        <v>0</v>
      </c>
      <c r="I31" s="850">
        <f t="shared" si="3"/>
        <v>0</v>
      </c>
    </row>
    <row r="32" spans="1:11" ht="13.5">
      <c r="A32">
        <v>21</v>
      </c>
      <c r="B32" s="724">
        <v>43525</v>
      </c>
      <c r="C32" s="724">
        <v>43555</v>
      </c>
      <c r="D32" s="796">
        <v>0.19370000000000001</v>
      </c>
      <c r="E32" s="937">
        <f t="shared" si="1"/>
        <v>0.29055000000000003</v>
      </c>
      <c r="F32" s="1243">
        <f t="shared" si="2"/>
        <v>6.9906199467517638E-4</v>
      </c>
      <c r="G32" s="895">
        <f t="shared" si="4"/>
        <v>503707257</v>
      </c>
      <c r="H32" s="931">
        <v>0</v>
      </c>
      <c r="I32" s="850">
        <f t="shared" si="3"/>
        <v>0</v>
      </c>
    </row>
    <row r="33" spans="2:11" ht="15" customHeight="1" thickBot="1">
      <c r="B33" s="791"/>
      <c r="C33" s="982"/>
      <c r="D33" s="791"/>
      <c r="E33" s="791"/>
      <c r="F33" s="1241"/>
      <c r="G33" s="2585" t="s">
        <v>359</v>
      </c>
      <c r="H33" s="2585"/>
      <c r="I33" s="1245">
        <f>SUM(I12:I32)</f>
        <v>70095927.501553833</v>
      </c>
      <c r="J33" s="46"/>
    </row>
    <row r="34" spans="2:11" ht="15" customHeight="1" thickTop="1">
      <c r="B34" s="2586" t="s">
        <v>346</v>
      </c>
      <c r="C34" s="2587"/>
      <c r="D34" s="2588"/>
      <c r="E34" s="1241"/>
      <c r="F34" s="1241"/>
      <c r="G34" s="1249"/>
      <c r="H34" s="1249"/>
      <c r="I34" s="1250"/>
      <c r="J34" s="1941"/>
      <c r="K34" s="32"/>
    </row>
    <row r="35" spans="2:11" ht="15" customHeight="1">
      <c r="B35" s="182" t="s">
        <v>360</v>
      </c>
      <c r="C35" s="182"/>
      <c r="D35" s="592">
        <f>+G12</f>
        <v>503707257</v>
      </c>
      <c r="F35" s="1241"/>
      <c r="G35" s="1249"/>
      <c r="H35" s="1249"/>
      <c r="I35" s="1250"/>
    </row>
    <row r="36" spans="2:11" ht="15" customHeight="1">
      <c r="B36" s="182" t="s">
        <v>361</v>
      </c>
      <c r="C36" s="2"/>
      <c r="D36" s="179">
        <v>40515043</v>
      </c>
      <c r="F36" s="1241"/>
      <c r="G36" s="1249"/>
      <c r="H36" s="1249"/>
      <c r="I36" s="1250"/>
    </row>
    <row r="37" spans="2:11" ht="15" customHeight="1">
      <c r="B37" s="182" t="s">
        <v>362</v>
      </c>
      <c r="C37" s="2"/>
      <c r="D37" s="179">
        <v>4598630</v>
      </c>
      <c r="F37"/>
      <c r="G37" s="1251"/>
      <c r="H37" s="1249"/>
      <c r="I37" s="1250"/>
      <c r="K37" s="32"/>
    </row>
    <row r="38" spans="2:11" ht="15" customHeight="1">
      <c r="B38" s="737" t="s">
        <v>363</v>
      </c>
      <c r="C38" s="929"/>
      <c r="D38" s="895">
        <f>+I33</f>
        <v>70095927.501553833</v>
      </c>
      <c r="F38"/>
      <c r="G38" s="1251"/>
      <c r="H38" s="1249"/>
      <c r="I38" s="1250"/>
      <c r="K38" s="1241"/>
    </row>
    <row r="39" spans="2:11" ht="15" customHeight="1" thickBot="1">
      <c r="B39" s="1254" t="s">
        <v>364</v>
      </c>
      <c r="C39" s="633"/>
      <c r="D39" s="1255">
        <v>360000000</v>
      </c>
      <c r="F39"/>
      <c r="G39" s="1249"/>
      <c r="H39" s="1249"/>
      <c r="I39" s="1250"/>
      <c r="K39" s="1241"/>
    </row>
    <row r="40" spans="2:11" ht="15" customHeight="1">
      <c r="B40" s="1252" t="s">
        <v>365</v>
      </c>
      <c r="C40" s="1252"/>
      <c r="D40" s="1253">
        <f>+D35+D36+D37+D38-D39</f>
        <v>258916857.50155377</v>
      </c>
      <c r="F40" s="1241"/>
      <c r="G40" s="1251"/>
      <c r="H40" s="1249"/>
      <c r="I40" s="1250"/>
    </row>
    <row r="41" spans="2:11" ht="14.1" customHeight="1"/>
    <row r="42" spans="2:11" ht="14.1" customHeight="1"/>
    <row r="43" spans="2:11" ht="14.1" customHeight="1"/>
    <row r="44" spans="2:11" ht="14.1" customHeight="1"/>
    <row r="45" spans="2:11" ht="14.1" customHeight="1"/>
    <row r="46" spans="2:11" ht="14.1" customHeight="1"/>
    <row r="47" spans="2:11" ht="14.1" customHeight="1"/>
    <row r="48" spans="2:11" ht="14.1" customHeight="1"/>
    <row r="49" spans="1:10" ht="14.1" customHeight="1"/>
    <row r="50" spans="1:10" ht="14.1" customHeight="1">
      <c r="H50" s="236"/>
      <c r="I50" s="147"/>
      <c r="J50" s="32"/>
    </row>
    <row r="51" spans="1:10" ht="13.5">
      <c r="A51" s="1321" t="s">
        <v>366</v>
      </c>
      <c r="B51" s="1322"/>
      <c r="C51" s="1322"/>
      <c r="D51" s="1322"/>
      <c r="E51" s="1322"/>
      <c r="F51" s="1321"/>
    </row>
    <row r="52" spans="1:10">
      <c r="A52" s="1937" t="s">
        <v>367</v>
      </c>
      <c r="B52" s="1938" t="s">
        <v>368</v>
      </c>
      <c r="C52" s="1938" t="s">
        <v>369</v>
      </c>
      <c r="D52" s="1938" t="s">
        <v>370</v>
      </c>
      <c r="E52" s="1938" t="s">
        <v>371</v>
      </c>
      <c r="F52" s="1939" t="s">
        <v>372</v>
      </c>
    </row>
    <row r="53" spans="1:10" ht="13.5">
      <c r="A53" s="1324" t="s">
        <v>373</v>
      </c>
      <c r="B53" s="1325">
        <v>669200</v>
      </c>
      <c r="C53" s="1325">
        <v>1973000</v>
      </c>
      <c r="D53" s="1325">
        <v>492000</v>
      </c>
      <c r="E53" s="1325">
        <v>1450600</v>
      </c>
      <c r="F53" s="1325">
        <f>SUM(B53:E53)</f>
        <v>4584800</v>
      </c>
    </row>
    <row r="54" spans="1:10" ht="13.5">
      <c r="A54" s="886" t="s">
        <v>374</v>
      </c>
      <c r="B54" s="1325">
        <v>669200</v>
      </c>
      <c r="C54" s="1325">
        <v>1957800</v>
      </c>
      <c r="D54" s="1325">
        <v>492000</v>
      </c>
      <c r="E54" s="1325">
        <v>1439300</v>
      </c>
      <c r="F54" s="1325">
        <f>SUM(B54:E54)</f>
        <v>4558300</v>
      </c>
    </row>
    <row r="55" spans="1:10" ht="13.5">
      <c r="A55" s="1324" t="s">
        <v>375</v>
      </c>
      <c r="B55" s="1325">
        <v>669200</v>
      </c>
      <c r="C55" s="1325">
        <v>1940600</v>
      </c>
      <c r="D55" s="1325">
        <v>492000</v>
      </c>
      <c r="E55" s="1325">
        <v>1426600</v>
      </c>
      <c r="F55" s="1325">
        <f t="shared" ref="F55:F121" si="5">SUM(B55:E55)</f>
        <v>4528400</v>
      </c>
    </row>
    <row r="56" spans="1:10" ht="13.5">
      <c r="A56" s="1324" t="s">
        <v>376</v>
      </c>
      <c r="B56" s="1325">
        <v>669200</v>
      </c>
      <c r="C56" s="1325">
        <v>1924600</v>
      </c>
      <c r="D56" s="1325">
        <v>492000</v>
      </c>
      <c r="E56" s="1325">
        <v>1414900</v>
      </c>
      <c r="F56" s="1325">
        <f>SUM(B56:E56)</f>
        <v>4500700</v>
      </c>
    </row>
    <row r="57" spans="1:10" ht="13.5">
      <c r="A57" s="1324" t="s">
        <v>377</v>
      </c>
      <c r="B57" s="1326">
        <v>669200</v>
      </c>
      <c r="C57" s="1325">
        <v>1909000</v>
      </c>
      <c r="D57" s="1325">
        <v>492000</v>
      </c>
      <c r="E57" s="1325">
        <v>1403500</v>
      </c>
      <c r="F57" s="1325">
        <f t="shared" si="5"/>
        <v>4473700</v>
      </c>
    </row>
    <row r="58" spans="1:10" ht="13.5">
      <c r="A58" s="1324" t="s">
        <v>378</v>
      </c>
      <c r="B58" s="1325">
        <v>669200</v>
      </c>
      <c r="C58" s="1325">
        <v>1891800</v>
      </c>
      <c r="D58" s="1325">
        <v>492000</v>
      </c>
      <c r="E58" s="1325">
        <v>1390900</v>
      </c>
      <c r="F58" s="1325">
        <f>SUM(B58:E58)</f>
        <v>4443900</v>
      </c>
    </row>
    <row r="59" spans="1:10" ht="13.5">
      <c r="A59" s="1324" t="s">
        <v>379</v>
      </c>
      <c r="B59" s="1325">
        <v>702700</v>
      </c>
      <c r="C59" s="1325">
        <v>1970000</v>
      </c>
      <c r="D59" s="1325">
        <v>516600</v>
      </c>
      <c r="E59" s="1325">
        <v>1448200</v>
      </c>
      <c r="F59" s="1325">
        <f t="shared" si="5"/>
        <v>4637500</v>
      </c>
    </row>
    <row r="60" spans="1:10" ht="13.5">
      <c r="A60" s="1324" t="s">
        <v>380</v>
      </c>
      <c r="B60" s="1325">
        <v>702700</v>
      </c>
      <c r="C60" s="1325">
        <v>1953300</v>
      </c>
      <c r="D60" s="1325">
        <v>516600</v>
      </c>
      <c r="E60" s="1325">
        <v>1435900</v>
      </c>
      <c r="F60" s="1325">
        <f t="shared" si="5"/>
        <v>4608500</v>
      </c>
    </row>
    <row r="61" spans="1:10" ht="13.5">
      <c r="A61" s="1324" t="s">
        <v>381</v>
      </c>
      <c r="B61" s="1325">
        <v>702700</v>
      </c>
      <c r="C61" s="1325">
        <v>1933500</v>
      </c>
      <c r="D61" s="1325">
        <v>516600</v>
      </c>
      <c r="E61" s="1325">
        <v>1421400</v>
      </c>
      <c r="F61" s="1325">
        <f t="shared" si="5"/>
        <v>4574200</v>
      </c>
    </row>
    <row r="62" spans="1:10" ht="13.5">
      <c r="A62" s="791" t="s">
        <v>382</v>
      </c>
      <c r="B62" s="1325">
        <v>702700</v>
      </c>
      <c r="C62" s="1325">
        <v>1917300</v>
      </c>
      <c r="D62" s="1325">
        <v>516600</v>
      </c>
      <c r="E62" s="1325">
        <v>1409500</v>
      </c>
      <c r="F62" s="1325">
        <f t="shared" si="5"/>
        <v>4546100</v>
      </c>
    </row>
    <row r="63" spans="1:10" ht="13.5">
      <c r="A63" s="1324" t="s">
        <v>383</v>
      </c>
      <c r="B63" s="1325">
        <v>702700</v>
      </c>
      <c r="C63" s="1325">
        <v>1897200</v>
      </c>
      <c r="D63" s="1325">
        <v>516600</v>
      </c>
      <c r="E63" s="1325">
        <v>1394800</v>
      </c>
      <c r="F63" s="1325">
        <f t="shared" si="5"/>
        <v>4511300</v>
      </c>
    </row>
    <row r="64" spans="1:10" ht="13.5">
      <c r="A64" s="1324" t="s">
        <v>384</v>
      </c>
      <c r="B64" s="1325">
        <v>702700</v>
      </c>
      <c r="C64" s="1325">
        <v>1880500</v>
      </c>
      <c r="D64" s="1325">
        <v>516600</v>
      </c>
      <c r="E64" s="1325">
        <v>1382500</v>
      </c>
      <c r="F64" s="1325">
        <f t="shared" si="5"/>
        <v>4482300</v>
      </c>
    </row>
    <row r="65" spans="1:8" ht="13.5">
      <c r="A65" s="791" t="s">
        <v>385</v>
      </c>
      <c r="B65" s="1325">
        <v>702700</v>
      </c>
      <c r="C65" s="1325">
        <v>1862500</v>
      </c>
      <c r="D65" s="1325">
        <v>516600</v>
      </c>
      <c r="E65" s="1325">
        <v>1369200</v>
      </c>
      <c r="F65" s="1325">
        <f t="shared" si="5"/>
        <v>4451000</v>
      </c>
    </row>
    <row r="66" spans="1:8" ht="13.5">
      <c r="A66" s="1324" t="s">
        <v>386</v>
      </c>
      <c r="B66" s="1325">
        <v>702700</v>
      </c>
      <c r="C66" s="1325">
        <v>1843200</v>
      </c>
      <c r="D66" s="1325">
        <v>516600</v>
      </c>
      <c r="E66" s="1325">
        <v>1355100</v>
      </c>
      <c r="F66" s="1325">
        <f t="shared" si="5"/>
        <v>4417600</v>
      </c>
    </row>
    <row r="67" spans="1:8" ht="13.5">
      <c r="A67" s="1324" t="s">
        <v>387</v>
      </c>
      <c r="B67" s="1325">
        <v>702700</v>
      </c>
      <c r="C67" s="1325">
        <v>1825800</v>
      </c>
      <c r="D67" s="1325">
        <v>516600</v>
      </c>
      <c r="E67" s="1325">
        <v>1342300</v>
      </c>
      <c r="F67" s="1325">
        <f t="shared" si="5"/>
        <v>4387400</v>
      </c>
    </row>
    <row r="68" spans="1:8" ht="13.5">
      <c r="A68" s="791" t="s">
        <v>388</v>
      </c>
      <c r="B68" s="1325">
        <v>702700</v>
      </c>
      <c r="C68" s="1325">
        <v>1805400</v>
      </c>
      <c r="D68" s="1325">
        <v>516600</v>
      </c>
      <c r="E68" s="1325">
        <v>1327200</v>
      </c>
      <c r="F68" s="1325">
        <f t="shared" si="5"/>
        <v>4351900</v>
      </c>
    </row>
    <row r="69" spans="1:8" ht="13.5">
      <c r="A69" s="1324" t="s">
        <v>389</v>
      </c>
      <c r="B69" s="1325">
        <v>702700</v>
      </c>
      <c r="C69" s="1325">
        <v>1788500</v>
      </c>
      <c r="D69" s="1325">
        <v>516600</v>
      </c>
      <c r="E69" s="1325">
        <v>1314900</v>
      </c>
      <c r="F69" s="1325">
        <f t="shared" si="5"/>
        <v>4322700</v>
      </c>
      <c r="H69" s="1317"/>
    </row>
    <row r="70" spans="1:8" ht="13.5">
      <c r="A70" s="1324" t="s">
        <v>390</v>
      </c>
      <c r="B70" s="1325">
        <v>702700</v>
      </c>
      <c r="C70" s="1325">
        <v>1770000</v>
      </c>
      <c r="D70" s="1325">
        <v>516600</v>
      </c>
      <c r="E70" s="1325">
        <v>1301200</v>
      </c>
      <c r="F70" s="1325">
        <f t="shared" si="5"/>
        <v>4290500</v>
      </c>
    </row>
    <row r="71" spans="1:8" ht="13.5">
      <c r="A71" s="791" t="s">
        <v>391</v>
      </c>
      <c r="B71" s="1325">
        <v>759000</v>
      </c>
      <c r="C71" s="1325">
        <v>1893100</v>
      </c>
      <c r="D71" s="1325">
        <v>558000</v>
      </c>
      <c r="E71" s="1325">
        <v>1391700</v>
      </c>
      <c r="F71" s="1325">
        <f t="shared" si="5"/>
        <v>4601800</v>
      </c>
    </row>
    <row r="72" spans="1:8" ht="13.5">
      <c r="A72" s="1324" t="s">
        <v>392</v>
      </c>
      <c r="B72" s="1325">
        <v>759000</v>
      </c>
      <c r="C72" s="1325">
        <v>1875100</v>
      </c>
      <c r="D72" s="1325">
        <v>558000</v>
      </c>
      <c r="E72" s="1325">
        <v>1378400</v>
      </c>
      <c r="F72" s="1325">
        <f t="shared" si="5"/>
        <v>4570500</v>
      </c>
    </row>
    <row r="73" spans="1:8" ht="13.5">
      <c r="A73" s="791" t="s">
        <v>393</v>
      </c>
      <c r="B73" s="1325">
        <v>759000</v>
      </c>
      <c r="C73" s="1325">
        <v>1855000</v>
      </c>
      <c r="D73" s="1325">
        <v>558000</v>
      </c>
      <c r="E73" s="1325">
        <v>1363700</v>
      </c>
      <c r="F73" s="1325">
        <f t="shared" si="5"/>
        <v>4535700</v>
      </c>
    </row>
    <row r="74" spans="1:8" ht="13.5">
      <c r="A74" s="1324" t="s">
        <v>394</v>
      </c>
      <c r="B74" s="1325">
        <v>759000</v>
      </c>
      <c r="C74" s="1325">
        <v>1834300</v>
      </c>
      <c r="D74" s="1325">
        <v>558000</v>
      </c>
      <c r="E74" s="1325">
        <v>1348400</v>
      </c>
      <c r="F74" s="1325">
        <f t="shared" si="5"/>
        <v>4499700</v>
      </c>
    </row>
    <row r="75" spans="1:8" ht="13.5">
      <c r="A75" s="791" t="s">
        <v>395</v>
      </c>
      <c r="B75" s="1325">
        <v>759000</v>
      </c>
      <c r="C75" s="1325">
        <v>1812700</v>
      </c>
      <c r="D75" s="1325">
        <v>558000</v>
      </c>
      <c r="E75" s="1325">
        <v>1332700</v>
      </c>
      <c r="F75" s="1325">
        <f t="shared" si="5"/>
        <v>4462400</v>
      </c>
    </row>
    <row r="76" spans="1:8" ht="13.5">
      <c r="A76" s="1324" t="s">
        <v>396</v>
      </c>
      <c r="B76" s="1325">
        <v>759000</v>
      </c>
      <c r="C76" s="1325">
        <v>1795500</v>
      </c>
      <c r="D76" s="1325">
        <v>558000</v>
      </c>
      <c r="E76" s="1325">
        <v>1320000</v>
      </c>
      <c r="F76" s="1325">
        <f t="shared" si="5"/>
        <v>4432500</v>
      </c>
    </row>
    <row r="77" spans="1:8" ht="13.5">
      <c r="A77" s="791" t="s">
        <v>397</v>
      </c>
      <c r="B77" s="1325">
        <v>759000</v>
      </c>
      <c r="C77" s="1325">
        <v>1776100</v>
      </c>
      <c r="D77" s="1325">
        <v>558000</v>
      </c>
      <c r="E77" s="1326">
        <v>1305600</v>
      </c>
      <c r="F77" s="1325">
        <f t="shared" si="5"/>
        <v>4398700</v>
      </c>
    </row>
    <row r="78" spans="1:8" ht="13.5">
      <c r="A78" s="1324" t="s">
        <v>398</v>
      </c>
      <c r="B78" s="1325">
        <v>759000</v>
      </c>
      <c r="C78" s="1325">
        <v>1756400</v>
      </c>
      <c r="D78" s="1325">
        <v>558000</v>
      </c>
      <c r="E78" s="1325">
        <v>1291200</v>
      </c>
      <c r="F78" s="1325">
        <f t="shared" si="5"/>
        <v>4364600</v>
      </c>
    </row>
    <row r="79" spans="1:8" ht="13.5">
      <c r="A79" s="791" t="s">
        <v>399</v>
      </c>
      <c r="B79" s="1325">
        <v>759000</v>
      </c>
      <c r="C79" s="1325">
        <v>1737600</v>
      </c>
      <c r="D79" s="1325">
        <v>558000</v>
      </c>
      <c r="E79" s="1325">
        <v>1277400</v>
      </c>
      <c r="F79" s="1325">
        <f t="shared" si="5"/>
        <v>4332000</v>
      </c>
    </row>
    <row r="80" spans="1:8" ht="13.5">
      <c r="A80" s="1324" t="s">
        <v>400</v>
      </c>
      <c r="B80" s="1325">
        <v>759000</v>
      </c>
      <c r="C80" s="1325">
        <v>1716600</v>
      </c>
      <c r="D80" s="1325">
        <v>558000</v>
      </c>
      <c r="E80" s="1325">
        <v>1262000</v>
      </c>
      <c r="F80" s="1325">
        <f t="shared" si="5"/>
        <v>4295600</v>
      </c>
    </row>
    <row r="81" spans="1:6" ht="13.5">
      <c r="A81" s="1324" t="s">
        <v>401</v>
      </c>
      <c r="B81" s="1326">
        <v>759000</v>
      </c>
      <c r="C81" s="1325">
        <v>1699900</v>
      </c>
      <c r="D81" s="1325">
        <v>558000</v>
      </c>
      <c r="E81" s="1325">
        <v>1249700</v>
      </c>
      <c r="F81" s="1325">
        <f t="shared" si="5"/>
        <v>4266600</v>
      </c>
    </row>
    <row r="82" spans="1:6" ht="13.5">
      <c r="A82" s="791" t="s">
        <v>402</v>
      </c>
      <c r="B82" s="1325">
        <v>759000</v>
      </c>
      <c r="C82" s="1325">
        <v>1680200</v>
      </c>
      <c r="D82" s="1325">
        <v>558000</v>
      </c>
      <c r="E82" s="1325">
        <v>1235300</v>
      </c>
      <c r="F82" s="1325">
        <f t="shared" si="5"/>
        <v>4232500</v>
      </c>
    </row>
    <row r="83" spans="1:6" ht="13.5">
      <c r="A83" s="791" t="s">
        <v>403</v>
      </c>
      <c r="B83" s="1325">
        <v>800600</v>
      </c>
      <c r="C83" s="1325">
        <v>1752400</v>
      </c>
      <c r="D83" s="1325">
        <v>588600</v>
      </c>
      <c r="E83" s="1325">
        <v>1288300</v>
      </c>
      <c r="F83" s="1325">
        <f t="shared" si="5"/>
        <v>4429900</v>
      </c>
    </row>
    <row r="84" spans="1:6" ht="13.5">
      <c r="A84" s="1324" t="s">
        <v>404</v>
      </c>
      <c r="B84" s="1325">
        <v>800600</v>
      </c>
      <c r="C84" s="1325">
        <v>1734400</v>
      </c>
      <c r="D84" s="1325">
        <v>588600</v>
      </c>
      <c r="E84" s="1325">
        <v>1275000</v>
      </c>
      <c r="F84" s="1325">
        <f t="shared" si="5"/>
        <v>4398600</v>
      </c>
    </row>
    <row r="85" spans="1:6" ht="13.5">
      <c r="A85" s="791" t="s">
        <v>405</v>
      </c>
      <c r="B85" s="1325">
        <v>800600</v>
      </c>
      <c r="C85" s="1325">
        <v>1715600</v>
      </c>
      <c r="D85" s="1325">
        <v>588600</v>
      </c>
      <c r="E85" s="1325">
        <v>1261300</v>
      </c>
      <c r="F85" s="1325">
        <f t="shared" si="5"/>
        <v>4366100</v>
      </c>
    </row>
    <row r="86" spans="1:6" ht="13.5">
      <c r="A86" s="1324" t="s">
        <v>406</v>
      </c>
      <c r="B86" s="1325">
        <v>800600</v>
      </c>
      <c r="C86" s="1325">
        <v>1695600</v>
      </c>
      <c r="D86" s="1325">
        <v>588600</v>
      </c>
      <c r="E86" s="1325">
        <v>1246600</v>
      </c>
      <c r="F86" s="1325">
        <f t="shared" si="5"/>
        <v>4331400</v>
      </c>
    </row>
    <row r="87" spans="1:6" ht="13.5">
      <c r="A87" s="791" t="s">
        <v>407</v>
      </c>
      <c r="B87" s="1325">
        <v>800600</v>
      </c>
      <c r="C87" s="1325">
        <v>1675000</v>
      </c>
      <c r="D87" s="1325">
        <v>588600</v>
      </c>
      <c r="E87" s="1325">
        <v>1231400</v>
      </c>
      <c r="F87" s="1325">
        <f t="shared" si="5"/>
        <v>4295600</v>
      </c>
    </row>
    <row r="88" spans="1:6" ht="13.5">
      <c r="A88" s="1324" t="s">
        <v>408</v>
      </c>
      <c r="B88" s="1325">
        <v>800600</v>
      </c>
      <c r="C88" s="1325">
        <v>1657200</v>
      </c>
      <c r="D88" s="1325">
        <v>588600</v>
      </c>
      <c r="E88" s="1325">
        <v>1218300</v>
      </c>
      <c r="F88" s="1325">
        <f t="shared" si="5"/>
        <v>4264700</v>
      </c>
    </row>
    <row r="89" spans="1:6" ht="13.5">
      <c r="A89" s="791" t="s">
        <v>409</v>
      </c>
      <c r="B89" s="1325">
        <v>800600</v>
      </c>
      <c r="C89" s="1325">
        <v>1634900</v>
      </c>
      <c r="D89" s="1325">
        <v>588600</v>
      </c>
      <c r="E89" s="1325">
        <v>1202000</v>
      </c>
      <c r="F89" s="1325">
        <f t="shared" si="5"/>
        <v>4226100</v>
      </c>
    </row>
    <row r="90" spans="1:6" ht="13.5">
      <c r="A90" s="1324" t="s">
        <v>410</v>
      </c>
      <c r="B90" s="1325">
        <v>800600</v>
      </c>
      <c r="C90" s="1325">
        <v>1617800</v>
      </c>
      <c r="D90" s="1325">
        <v>588600</v>
      </c>
      <c r="E90" s="1325">
        <v>1189400</v>
      </c>
      <c r="F90" s="1325">
        <f t="shared" si="5"/>
        <v>4196400</v>
      </c>
    </row>
    <row r="91" spans="1:6" ht="13.5">
      <c r="A91" s="791" t="s">
        <v>411</v>
      </c>
      <c r="B91" s="1325">
        <v>800600</v>
      </c>
      <c r="C91" s="1325">
        <v>1598300</v>
      </c>
      <c r="D91" s="1325">
        <v>588600</v>
      </c>
      <c r="E91" s="1325">
        <v>1175000</v>
      </c>
      <c r="F91" s="1325">
        <f t="shared" si="5"/>
        <v>4162500</v>
      </c>
    </row>
    <row r="92" spans="1:6" ht="13.5">
      <c r="A92" s="1324" t="s">
        <v>412</v>
      </c>
      <c r="B92" s="1325">
        <v>800600</v>
      </c>
      <c r="C92" s="1325">
        <v>1576800</v>
      </c>
      <c r="D92" s="1325">
        <v>588600</v>
      </c>
      <c r="E92" s="1325">
        <v>1159300</v>
      </c>
      <c r="F92" s="1325">
        <f t="shared" si="5"/>
        <v>4125300</v>
      </c>
    </row>
    <row r="93" spans="1:6" ht="13.5">
      <c r="A93" s="791" t="s">
        <v>413</v>
      </c>
      <c r="B93" s="1325">
        <v>800600</v>
      </c>
      <c r="C93" s="1325">
        <v>1559800</v>
      </c>
      <c r="D93" s="1325">
        <v>588600</v>
      </c>
      <c r="E93" s="1325">
        <v>1146800</v>
      </c>
      <c r="F93" s="1325">
        <f t="shared" si="5"/>
        <v>4095800</v>
      </c>
    </row>
    <row r="94" spans="1:6" ht="13.5">
      <c r="A94" s="1324" t="s">
        <v>414</v>
      </c>
      <c r="B94" s="1325">
        <v>800600</v>
      </c>
      <c r="C94" s="1325">
        <v>1538500</v>
      </c>
      <c r="D94" s="1325">
        <v>588600</v>
      </c>
      <c r="E94" s="1325">
        <v>1131000</v>
      </c>
      <c r="F94" s="1325">
        <f t="shared" si="5"/>
        <v>4058700</v>
      </c>
    </row>
    <row r="95" spans="1:6" ht="13.5">
      <c r="A95" s="1324" t="s">
        <v>415</v>
      </c>
      <c r="B95" s="1325">
        <v>848600</v>
      </c>
      <c r="C95" s="1325">
        <v>1611900</v>
      </c>
      <c r="D95" s="1325">
        <v>624000</v>
      </c>
      <c r="E95" s="1325">
        <v>1185300</v>
      </c>
      <c r="F95" s="1325">
        <f t="shared" si="5"/>
        <v>4269800</v>
      </c>
    </row>
    <row r="96" spans="1:6" ht="13.5">
      <c r="A96" s="1324" t="s">
        <v>416</v>
      </c>
      <c r="B96" s="1325">
        <v>848600</v>
      </c>
      <c r="C96" s="1325">
        <v>1593300</v>
      </c>
      <c r="D96" s="1325">
        <v>624000</v>
      </c>
      <c r="E96" s="1325">
        <v>1171500</v>
      </c>
      <c r="F96" s="1325">
        <f t="shared" si="5"/>
        <v>4237400</v>
      </c>
    </row>
    <row r="97" spans="1:6" ht="13.5">
      <c r="A97" s="1324" t="s">
        <v>417</v>
      </c>
      <c r="B97" s="1325">
        <v>848600</v>
      </c>
      <c r="C97" s="1325">
        <v>1571900</v>
      </c>
      <c r="D97" s="1325">
        <v>624000</v>
      </c>
      <c r="E97" s="1325">
        <v>1155700</v>
      </c>
      <c r="F97" s="1325">
        <f t="shared" si="5"/>
        <v>4200200</v>
      </c>
    </row>
    <row r="98" spans="1:6" ht="13.5">
      <c r="A98" s="1324" t="s">
        <v>418</v>
      </c>
      <c r="B98" s="1325">
        <v>848600</v>
      </c>
      <c r="C98" s="1325">
        <v>1551300</v>
      </c>
      <c r="D98" s="1325">
        <v>624000</v>
      </c>
      <c r="E98" s="1325">
        <v>1140700</v>
      </c>
      <c r="F98" s="1325">
        <f t="shared" si="5"/>
        <v>4164600</v>
      </c>
    </row>
    <row r="99" spans="1:6" ht="13.5">
      <c r="A99" s="1324" t="s">
        <v>419</v>
      </c>
      <c r="B99" s="1325">
        <v>848600</v>
      </c>
      <c r="C99" s="1325">
        <v>1531900</v>
      </c>
      <c r="D99" s="1325">
        <v>624000</v>
      </c>
      <c r="E99" s="1325">
        <v>1126300</v>
      </c>
      <c r="F99" s="1325">
        <f t="shared" si="5"/>
        <v>4130800</v>
      </c>
    </row>
    <row r="100" spans="1:6" ht="13.5">
      <c r="A100" s="1324" t="s">
        <v>420</v>
      </c>
      <c r="B100" s="1325">
        <v>848600</v>
      </c>
      <c r="C100" s="1325">
        <v>1513000</v>
      </c>
      <c r="D100" s="1325">
        <v>624000</v>
      </c>
      <c r="E100" s="1325">
        <v>1112500</v>
      </c>
      <c r="F100" s="1325">
        <f t="shared" si="5"/>
        <v>4098100</v>
      </c>
    </row>
    <row r="101" spans="1:6" ht="13.5">
      <c r="A101" s="1324" t="s">
        <v>421</v>
      </c>
      <c r="B101" s="1325">
        <v>848600</v>
      </c>
      <c r="C101" s="1325">
        <v>1489500</v>
      </c>
      <c r="D101" s="1325">
        <v>624000</v>
      </c>
      <c r="E101" s="1325">
        <v>1095300</v>
      </c>
      <c r="F101" s="1325">
        <f t="shared" si="5"/>
        <v>4057400</v>
      </c>
    </row>
    <row r="102" spans="1:6" ht="13.5">
      <c r="A102" s="1324" t="s">
        <v>422</v>
      </c>
      <c r="B102" s="1325">
        <v>848600</v>
      </c>
      <c r="C102" s="1325">
        <v>1471500</v>
      </c>
      <c r="D102" s="1325">
        <v>624000</v>
      </c>
      <c r="E102" s="1325">
        <v>1082000</v>
      </c>
      <c r="F102" s="1325">
        <f t="shared" si="5"/>
        <v>4026100</v>
      </c>
    </row>
    <row r="103" spans="1:6" ht="13.5">
      <c r="A103" s="1324" t="s">
        <v>423</v>
      </c>
      <c r="B103" s="1325">
        <v>848600</v>
      </c>
      <c r="C103" s="1325">
        <v>1450700</v>
      </c>
      <c r="D103" s="1325">
        <v>624000</v>
      </c>
      <c r="E103" s="1326">
        <v>1066700</v>
      </c>
      <c r="F103" s="1325">
        <f t="shared" si="5"/>
        <v>3990000</v>
      </c>
    </row>
    <row r="104" spans="1:6" ht="13.5">
      <c r="A104" s="1324" t="s">
        <v>424</v>
      </c>
      <c r="B104" s="1325">
        <v>848600</v>
      </c>
      <c r="C104" s="1325">
        <v>1428400</v>
      </c>
      <c r="D104" s="1325">
        <v>624000</v>
      </c>
      <c r="E104" s="1325">
        <v>1050400</v>
      </c>
      <c r="F104" s="1325">
        <f t="shared" si="5"/>
        <v>3951400</v>
      </c>
    </row>
    <row r="105" spans="1:6" ht="13.5">
      <c r="A105" s="1324" t="s">
        <v>425</v>
      </c>
      <c r="B105" s="1325">
        <v>848600</v>
      </c>
      <c r="C105" s="1325">
        <v>1409700</v>
      </c>
      <c r="D105" s="1325">
        <v>624000</v>
      </c>
      <c r="E105" s="1326">
        <v>1036500</v>
      </c>
      <c r="F105" s="1325">
        <f t="shared" si="5"/>
        <v>3918800</v>
      </c>
    </row>
    <row r="106" spans="1:6" ht="13.5">
      <c r="A106" s="1324" t="s">
        <v>426</v>
      </c>
      <c r="B106" s="1325">
        <v>848600</v>
      </c>
      <c r="C106" s="1325">
        <v>1386600</v>
      </c>
      <c r="D106" s="1325">
        <v>624000</v>
      </c>
      <c r="E106" s="1325">
        <v>1019500</v>
      </c>
      <c r="F106" s="1325">
        <f t="shared" si="5"/>
        <v>3878700</v>
      </c>
    </row>
    <row r="107" spans="1:6" ht="13.5">
      <c r="A107" s="1324" t="s">
        <v>427</v>
      </c>
      <c r="B107" s="1325">
        <v>1268200</v>
      </c>
      <c r="C107" s="1325">
        <v>2044500</v>
      </c>
      <c r="D107" s="1325">
        <v>932500</v>
      </c>
      <c r="E107" s="1325">
        <v>1503000</v>
      </c>
      <c r="F107" s="1325">
        <f t="shared" si="5"/>
        <v>5748200</v>
      </c>
    </row>
    <row r="108" spans="1:6" ht="13.5">
      <c r="A108" s="1324" t="s">
        <v>428</v>
      </c>
      <c r="B108" s="1325">
        <v>1268200</v>
      </c>
      <c r="C108" s="1325">
        <v>2014800</v>
      </c>
      <c r="D108" s="1325">
        <v>932500</v>
      </c>
      <c r="E108" s="1325">
        <v>1481400</v>
      </c>
      <c r="F108" s="1325">
        <f t="shared" si="5"/>
        <v>5696900</v>
      </c>
    </row>
    <row r="109" spans="1:6" ht="13.5">
      <c r="A109" s="1324" t="s">
        <v>429</v>
      </c>
      <c r="B109" s="1325">
        <v>1268200</v>
      </c>
      <c r="C109" s="1325">
        <v>1982500</v>
      </c>
      <c r="D109" s="1325">
        <v>932500</v>
      </c>
      <c r="E109" s="1325">
        <v>1457600</v>
      </c>
      <c r="F109" s="1325">
        <f t="shared" si="5"/>
        <v>5640800</v>
      </c>
    </row>
    <row r="110" spans="1:6" ht="13.5">
      <c r="A110" s="1324" t="s">
        <v>430</v>
      </c>
      <c r="B110" s="1325">
        <v>1268200</v>
      </c>
      <c r="C110" s="1325">
        <v>1948200</v>
      </c>
      <c r="D110" s="1325">
        <v>932500</v>
      </c>
      <c r="E110" s="1325">
        <v>1432500</v>
      </c>
      <c r="F110" s="1325">
        <f t="shared" si="5"/>
        <v>5581400</v>
      </c>
    </row>
    <row r="111" spans="1:6" ht="13.5">
      <c r="A111" s="1324" t="s">
        <v>431</v>
      </c>
      <c r="B111" s="1325">
        <v>1268200</v>
      </c>
      <c r="C111" s="1325">
        <v>1916200</v>
      </c>
      <c r="D111" s="1325">
        <v>932500</v>
      </c>
      <c r="E111" s="1325">
        <v>1409000</v>
      </c>
      <c r="F111" s="1325">
        <f t="shared" si="5"/>
        <v>5525900</v>
      </c>
    </row>
    <row r="112" spans="1:6" ht="13.5">
      <c r="A112" s="1324" t="s">
        <v>432</v>
      </c>
      <c r="B112" s="1325">
        <v>1268200</v>
      </c>
      <c r="C112" s="1325">
        <v>1881400</v>
      </c>
      <c r="D112" s="1325">
        <v>932500</v>
      </c>
      <c r="E112" s="1325">
        <v>1383300</v>
      </c>
      <c r="F112" s="1325">
        <f t="shared" si="5"/>
        <v>5465400</v>
      </c>
    </row>
    <row r="113" spans="1:6" ht="13.5">
      <c r="A113" s="1324" t="s">
        <v>433</v>
      </c>
      <c r="B113" s="1325">
        <v>1268200</v>
      </c>
      <c r="C113" s="1325">
        <v>1849100</v>
      </c>
      <c r="D113" s="1325">
        <v>932500</v>
      </c>
      <c r="E113" s="1325">
        <v>1359600</v>
      </c>
      <c r="F113" s="1325">
        <f t="shared" si="5"/>
        <v>5409400</v>
      </c>
    </row>
    <row r="114" spans="1:6" ht="13.5">
      <c r="A114" s="1324" t="s">
        <v>434</v>
      </c>
      <c r="B114" s="1325">
        <v>1268200</v>
      </c>
      <c r="C114" s="1325">
        <v>1816000</v>
      </c>
      <c r="D114" s="1325">
        <v>932500</v>
      </c>
      <c r="E114" s="1325">
        <v>1335200</v>
      </c>
      <c r="F114" s="1325">
        <f t="shared" si="5"/>
        <v>5351900</v>
      </c>
    </row>
    <row r="115" spans="1:6" ht="13.5">
      <c r="A115" s="1324" t="s">
        <v>435</v>
      </c>
      <c r="B115" s="1325">
        <v>1268200</v>
      </c>
      <c r="C115" s="1325">
        <v>1778800</v>
      </c>
      <c r="D115" s="1325">
        <v>932500</v>
      </c>
      <c r="E115" s="1325">
        <v>1307800</v>
      </c>
      <c r="F115" s="1325">
        <f t="shared" si="5"/>
        <v>5287300</v>
      </c>
    </row>
    <row r="116" spans="1:6" ht="13.5">
      <c r="A116" s="1324" t="s">
        <v>436</v>
      </c>
      <c r="B116" s="1325">
        <v>1268200</v>
      </c>
      <c r="C116" s="1325">
        <v>1744500</v>
      </c>
      <c r="D116" s="1325">
        <v>932500</v>
      </c>
      <c r="E116" s="1325">
        <v>1282600</v>
      </c>
      <c r="F116" s="1325">
        <f t="shared" si="5"/>
        <v>5227800</v>
      </c>
    </row>
    <row r="117" spans="1:6" ht="13.5">
      <c r="A117" s="1324" t="s">
        <v>437</v>
      </c>
      <c r="B117" s="1325">
        <v>1268200</v>
      </c>
      <c r="C117" s="1325">
        <v>1711300</v>
      </c>
      <c r="D117" s="1325">
        <v>932500</v>
      </c>
      <c r="E117" s="1325">
        <v>1258200</v>
      </c>
      <c r="F117" s="1325">
        <f t="shared" si="5"/>
        <v>5170200</v>
      </c>
    </row>
    <row r="118" spans="1:6" ht="13.5">
      <c r="A118" s="1324" t="s">
        <v>438</v>
      </c>
      <c r="B118" s="1325">
        <v>1268200</v>
      </c>
      <c r="C118" s="1325">
        <v>1675500</v>
      </c>
      <c r="D118" s="1325">
        <v>932500</v>
      </c>
      <c r="E118" s="1325">
        <v>1232000</v>
      </c>
      <c r="F118" s="1325">
        <f t="shared" si="5"/>
        <v>5108200</v>
      </c>
    </row>
    <row r="119" spans="1:6" ht="13.5">
      <c r="A119" s="1324" t="s">
        <v>439</v>
      </c>
      <c r="B119" s="1325">
        <v>1401600</v>
      </c>
      <c r="C119" s="1325">
        <v>1816800</v>
      </c>
      <c r="D119" s="1325">
        <v>1030500</v>
      </c>
      <c r="E119" s="1325">
        <v>1335700</v>
      </c>
      <c r="F119" s="1325">
        <f t="shared" si="5"/>
        <v>5584600</v>
      </c>
    </row>
    <row r="120" spans="1:6" ht="13.5">
      <c r="A120" s="1324" t="s">
        <v>440</v>
      </c>
      <c r="B120" s="1325">
        <v>1401600</v>
      </c>
      <c r="C120" s="1325">
        <v>1775800</v>
      </c>
      <c r="D120" s="1325">
        <v>1030500</v>
      </c>
      <c r="E120" s="1325">
        <v>1305500</v>
      </c>
      <c r="F120" s="1325">
        <f t="shared" si="5"/>
        <v>5513400</v>
      </c>
    </row>
    <row r="121" spans="1:6" ht="13.5">
      <c r="A121" s="1324" t="s">
        <v>441</v>
      </c>
      <c r="B121" s="1325">
        <v>1401600</v>
      </c>
      <c r="C121" s="1325">
        <v>1734800</v>
      </c>
      <c r="D121" s="1325">
        <v>1030500</v>
      </c>
      <c r="E121" s="1325">
        <v>1275400</v>
      </c>
      <c r="F121" s="1325">
        <f t="shared" si="5"/>
        <v>5442300</v>
      </c>
    </row>
    <row r="122" spans="1:6" ht="13.5">
      <c r="A122" s="1324" t="s">
        <v>442</v>
      </c>
      <c r="B122" s="1325">
        <v>1401600</v>
      </c>
      <c r="C122" s="1325">
        <v>1704600</v>
      </c>
      <c r="D122" s="1325">
        <v>1030500</v>
      </c>
      <c r="E122" s="1325">
        <v>1253200</v>
      </c>
      <c r="F122" s="1325">
        <f t="shared" ref="F122:F130" si="6">SUM(B122:E122)</f>
        <v>5389900</v>
      </c>
    </row>
    <row r="123" spans="1:6" ht="13.5">
      <c r="A123" s="1324" t="s">
        <v>443</v>
      </c>
      <c r="B123" s="1325">
        <v>1401600</v>
      </c>
      <c r="C123" s="1325">
        <v>1664800</v>
      </c>
      <c r="D123" s="1325">
        <v>1030500</v>
      </c>
      <c r="E123" s="1325">
        <v>1223900</v>
      </c>
      <c r="F123" s="1325">
        <f t="shared" si="6"/>
        <v>5320800</v>
      </c>
    </row>
    <row r="124" spans="1:6" ht="13.5">
      <c r="A124" s="1324" t="s">
        <v>444</v>
      </c>
      <c r="B124" s="1325">
        <v>1401600</v>
      </c>
      <c r="C124" s="1325">
        <v>1625400</v>
      </c>
      <c r="D124" s="1325">
        <v>1030500</v>
      </c>
      <c r="E124" s="1325">
        <v>1195000</v>
      </c>
      <c r="F124" s="1325">
        <f t="shared" si="6"/>
        <v>5252500</v>
      </c>
    </row>
    <row r="125" spans="1:6" ht="13.5">
      <c r="A125" s="1324" t="s">
        <v>445</v>
      </c>
      <c r="B125" s="1325">
        <v>1401600</v>
      </c>
      <c r="C125" s="1325">
        <v>1591000</v>
      </c>
      <c r="D125" s="1325">
        <v>1030500</v>
      </c>
      <c r="E125" s="1325">
        <v>1169700</v>
      </c>
      <c r="F125" s="1325">
        <f t="shared" si="6"/>
        <v>5192800</v>
      </c>
    </row>
    <row r="126" spans="1:6" ht="13.5">
      <c r="A126" s="1324" t="s">
        <v>446</v>
      </c>
      <c r="B126" s="1325">
        <v>1401600</v>
      </c>
      <c r="C126" s="1325">
        <v>1557200</v>
      </c>
      <c r="D126" s="1325">
        <v>1030500</v>
      </c>
      <c r="E126" s="1325">
        <v>1144900</v>
      </c>
      <c r="F126" s="1325">
        <f t="shared" si="6"/>
        <v>5134200</v>
      </c>
    </row>
    <row r="127" spans="1:6" ht="13.5">
      <c r="A127" s="1324" t="s">
        <v>447</v>
      </c>
      <c r="B127" s="1325">
        <v>1401600</v>
      </c>
      <c r="C127" s="1325">
        <v>1557200</v>
      </c>
      <c r="D127" s="1325">
        <v>1030500</v>
      </c>
      <c r="E127" s="1325">
        <v>1144900</v>
      </c>
      <c r="F127" s="1325">
        <f t="shared" si="6"/>
        <v>5134200</v>
      </c>
    </row>
    <row r="128" spans="1:6" ht="13.5">
      <c r="A128" s="1324" t="s">
        <v>448</v>
      </c>
      <c r="B128" s="1325">
        <v>1401600</v>
      </c>
      <c r="C128" s="1325">
        <v>1522900</v>
      </c>
      <c r="D128" s="1325">
        <v>1030500</v>
      </c>
      <c r="E128" s="1325">
        <v>1119600</v>
      </c>
      <c r="F128" s="1325">
        <f t="shared" si="6"/>
        <v>5074600</v>
      </c>
    </row>
    <row r="129" spans="1:6" ht="13.5">
      <c r="A129" s="1324" t="s">
        <v>449</v>
      </c>
      <c r="B129" s="1325">
        <v>1038200</v>
      </c>
      <c r="C129" s="1325">
        <v>1100500</v>
      </c>
      <c r="D129" s="1325">
        <v>763300</v>
      </c>
      <c r="E129" s="1325">
        <v>809000</v>
      </c>
      <c r="F129" s="1325">
        <f t="shared" si="6"/>
        <v>3711000</v>
      </c>
    </row>
    <row r="130" spans="1:6" ht="13.5">
      <c r="A130" s="1324" t="s">
        <v>449</v>
      </c>
      <c r="B130" s="1325">
        <v>260600</v>
      </c>
      <c r="C130" s="1325">
        <v>270200</v>
      </c>
      <c r="D130" s="1325">
        <v>0</v>
      </c>
      <c r="E130" s="1325">
        <v>0</v>
      </c>
      <c r="F130" s="1325">
        <f t="shared" si="6"/>
        <v>530800</v>
      </c>
    </row>
    <row r="131" spans="1:6" ht="13.5">
      <c r="A131" s="1323" t="s">
        <v>190</v>
      </c>
      <c r="B131" s="1327">
        <f>SUM(B53:B130)</f>
        <v>71879200</v>
      </c>
      <c r="C131" s="1327">
        <f>SUM(C53:C130)</f>
        <v>133526500</v>
      </c>
      <c r="D131" s="1327">
        <f>SUM(D53:D130)</f>
        <v>52656700</v>
      </c>
      <c r="E131" s="1327">
        <f>SUM(E53:E130)</f>
        <v>97969900</v>
      </c>
      <c r="F131" s="1327">
        <f>SUM(F53:F130)</f>
        <v>356032300</v>
      </c>
    </row>
    <row r="132" spans="1:6" ht="13.5">
      <c r="A132" s="791"/>
      <c r="B132" s="1326"/>
      <c r="C132" s="1326"/>
      <c r="D132" s="1326"/>
      <c r="E132" s="1326"/>
      <c r="F132" s="791"/>
    </row>
    <row r="133" spans="1:6" ht="13.5">
      <c r="A133" s="791"/>
      <c r="B133" s="1326"/>
      <c r="C133" s="1326"/>
      <c r="D133" s="1326"/>
      <c r="E133" s="1326"/>
      <c r="F133" s="791"/>
    </row>
    <row r="134" spans="1:6" ht="13.5">
      <c r="A134" s="2580" t="s">
        <v>346</v>
      </c>
      <c r="B134" s="2581"/>
      <c r="C134" s="2582"/>
      <c r="D134" s="1326"/>
      <c r="E134" s="1326"/>
      <c r="F134" s="791"/>
    </row>
    <row r="135" spans="1:6" ht="13.5">
      <c r="A135" s="1203" t="s">
        <v>450</v>
      </c>
      <c r="B135" s="1260"/>
      <c r="C135" s="1130">
        <f>+B131+C131</f>
        <v>205405700</v>
      </c>
      <c r="D135" s="1326"/>
      <c r="E135" s="1326"/>
      <c r="F135" s="791"/>
    </row>
    <row r="136" spans="1:6" ht="13.5">
      <c r="A136" s="1203" t="s">
        <v>451</v>
      </c>
      <c r="B136" s="1328"/>
      <c r="C136" s="1130">
        <f>+D131+E131</f>
        <v>150626600</v>
      </c>
      <c r="D136" s="1326"/>
      <c r="E136" s="1326"/>
      <c r="F136" s="791"/>
    </row>
    <row r="137" spans="1:6" ht="20.25" customHeight="1">
      <c r="A137" s="1319" t="s">
        <v>452</v>
      </c>
      <c r="B137" s="1319"/>
      <c r="C137" s="1130">
        <f>SUM(C135:C136)</f>
        <v>356032300</v>
      </c>
      <c r="D137" s="1326"/>
      <c r="E137" s="1326"/>
      <c r="F137" s="791"/>
    </row>
    <row r="138" spans="1:6" ht="13.5">
      <c r="A138" s="791"/>
      <c r="B138" s="1326"/>
      <c r="C138" s="1326"/>
      <c r="D138" s="1326"/>
      <c r="E138" s="1326"/>
      <c r="F138" s="791"/>
    </row>
    <row r="139" spans="1:6" ht="13.5">
      <c r="A139" s="791"/>
      <c r="B139" s="1326"/>
      <c r="C139" s="1326"/>
      <c r="D139" s="1326"/>
      <c r="E139" s="1326"/>
      <c r="F139" s="791"/>
    </row>
    <row r="140" spans="1:6" ht="13.5">
      <c r="A140" s="2580" t="s">
        <v>453</v>
      </c>
      <c r="B140" s="2581"/>
      <c r="C140" s="2582"/>
      <c r="D140" s="1326"/>
      <c r="E140" s="1326"/>
      <c r="F140" s="791"/>
    </row>
    <row r="141" spans="1:6" ht="13.5">
      <c r="A141" s="1203" t="s">
        <v>452</v>
      </c>
      <c r="B141" s="1327"/>
      <c r="C141" s="1130">
        <f>+C137</f>
        <v>356032300</v>
      </c>
      <c r="D141" s="1347" t="s">
        <v>454</v>
      </c>
      <c r="E141" s="1326" t="s">
        <v>455</v>
      </c>
      <c r="F141" s="791"/>
    </row>
    <row r="142" spans="1:6" ht="13.5">
      <c r="A142" s="1203" t="s">
        <v>365</v>
      </c>
      <c r="B142" s="1320"/>
      <c r="C142" s="1130">
        <v>258916158.05728257</v>
      </c>
      <c r="D142" s="1326">
        <v>554022233</v>
      </c>
      <c r="E142" s="1326">
        <v>60926225.057282567</v>
      </c>
      <c r="F142" s="791"/>
    </row>
    <row r="143" spans="1:6" ht="13.5">
      <c r="A143" s="2583" t="s">
        <v>456</v>
      </c>
      <c r="B143" s="2584"/>
      <c r="C143" s="1130">
        <f>SUM(C141:C142)</f>
        <v>614948458.05728257</v>
      </c>
      <c r="D143" s="1326"/>
      <c r="E143" s="1326"/>
      <c r="F143" s="791"/>
    </row>
    <row r="144" spans="1:6">
      <c r="B144" s="1318"/>
      <c r="C144" s="1318"/>
      <c r="D144" s="1318"/>
      <c r="E144" s="1318"/>
      <c r="F144"/>
    </row>
    <row r="145" spans="1:13">
      <c r="A145" s="221" t="s">
        <v>62</v>
      </c>
      <c r="B145" s="217"/>
      <c r="C145" s="1318"/>
      <c r="D145" s="1318"/>
      <c r="E145" s="1318"/>
      <c r="F145"/>
    </row>
    <row r="146" spans="1:13">
      <c r="A146" s="217"/>
      <c r="B146" s="218"/>
      <c r="F146"/>
    </row>
    <row r="147" spans="1:13">
      <c r="A147" s="217"/>
      <c r="B147" s="218"/>
      <c r="C147" s="1318"/>
      <c r="D147" s="1318"/>
      <c r="E147" s="1318"/>
      <c r="F147"/>
    </row>
    <row r="148" spans="1:13">
      <c r="A148" s="682" t="s">
        <v>63</v>
      </c>
      <c r="B148" s="218"/>
      <c r="F148"/>
    </row>
    <row r="149" spans="1:13">
      <c r="A149" s="682" t="s">
        <v>64</v>
      </c>
      <c r="B149" s="218"/>
      <c r="C149" s="1318"/>
      <c r="D149" s="1318"/>
      <c r="E149" s="1318"/>
      <c r="F149"/>
    </row>
    <row r="150" spans="1:13" s="537" customFormat="1">
      <c r="A150" s="221" t="s">
        <v>65</v>
      </c>
      <c r="B150" s="218"/>
      <c r="C150"/>
      <c r="D150"/>
      <c r="E150"/>
      <c r="G150"/>
      <c r="H150"/>
      <c r="I150"/>
      <c r="J150"/>
      <c r="K150"/>
      <c r="L150"/>
      <c r="M150"/>
    </row>
  </sheetData>
  <mergeCells count="6">
    <mergeCell ref="A143:B143"/>
    <mergeCell ref="B10:I10"/>
    <mergeCell ref="G33:H33"/>
    <mergeCell ref="B34:D34"/>
    <mergeCell ref="A134:C134"/>
    <mergeCell ref="A140:C140"/>
  </mergeCells>
  <conditionalFormatting sqref="B11:C11">
    <cfRule type="duplicateValues" dxfId="60" priority="1"/>
  </conditionalFormatting>
  <conditionalFormatting sqref="B61:C61">
    <cfRule type="duplicateValues" dxfId="59" priority="2"/>
  </conditionalFormatting>
  <pageMargins left="0.7" right="0.7" top="0.75" bottom="0.75" header="0.3" footer="0.3"/>
  <pageSetup paperSize="5" scale="75" orientation="portrait" r:id="rId1"/>
  <colBreaks count="1" manualBreakCount="1">
    <brk id="9" max="1048575" man="1"/>
  </col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BD00C-5802-4DBF-AB25-58BBE99D8FE5}">
  <sheetPr codeName="Hoja14"/>
  <dimension ref="A1:O159"/>
  <sheetViews>
    <sheetView zoomScale="106" zoomScaleNormal="106" workbookViewId="0">
      <selection activeCell="K14" sqref="K14"/>
    </sheetView>
  </sheetViews>
  <sheetFormatPr defaultColWidth="11.42578125" defaultRowHeight="12.75"/>
  <cols>
    <col min="1" max="1" width="2.85546875" style="217" customWidth="1"/>
    <col min="2" max="2" width="18.7109375" style="217" customWidth="1"/>
    <col min="3" max="3" width="15.5703125" style="217" customWidth="1"/>
    <col min="4" max="4" width="13.140625" style="217" customWidth="1"/>
    <col min="5" max="5" width="14" style="217" customWidth="1"/>
    <col min="6" max="6" width="12.28515625" style="217" customWidth="1"/>
    <col min="7" max="7" width="10.140625" style="217" customWidth="1"/>
    <col min="8" max="8" width="14.28515625" style="217" customWidth="1"/>
    <col min="9" max="10" width="11.42578125" style="217"/>
    <col min="11" max="11" width="13.42578125" style="217" bestFit="1" customWidth="1"/>
    <col min="12" max="12" width="13.28515625" style="217" bestFit="1" customWidth="1"/>
    <col min="13" max="13" width="26.28515625" style="217" customWidth="1"/>
    <col min="14" max="14" width="20.42578125" style="217" customWidth="1"/>
    <col min="15" max="15" width="13.28515625" style="217" bestFit="1" customWidth="1"/>
    <col min="16" max="16384" width="11.42578125" style="217"/>
  </cols>
  <sheetData>
    <row r="1" spans="2:15" ht="13.5">
      <c r="B1" s="728" t="s">
        <v>121</v>
      </c>
      <c r="C1" s="741" t="s">
        <v>457</v>
      </c>
      <c r="D1" s="814"/>
      <c r="E1" s="814"/>
      <c r="F1" s="814"/>
      <c r="G1" s="814"/>
      <c r="H1" s="814"/>
    </row>
    <row r="2" spans="2:15" ht="13.5">
      <c r="B2" s="726" t="s">
        <v>238</v>
      </c>
      <c r="C2" s="741">
        <v>73144305</v>
      </c>
      <c r="D2" s="814"/>
      <c r="E2" s="814"/>
      <c r="F2" s="814"/>
      <c r="G2" s="814"/>
      <c r="H2" s="814"/>
      <c r="M2" s="593"/>
    </row>
    <row r="3" spans="2:15" ht="13.5">
      <c r="B3" s="726" t="s">
        <v>4</v>
      </c>
      <c r="C3" s="815">
        <v>42979</v>
      </c>
      <c r="D3" s="814"/>
      <c r="E3" s="814"/>
      <c r="F3" s="814"/>
      <c r="G3" s="814"/>
      <c r="H3" s="814"/>
    </row>
    <row r="4" spans="2:15" ht="13.5">
      <c r="B4" s="1146" t="s">
        <v>290</v>
      </c>
      <c r="C4" s="815">
        <v>43159</v>
      </c>
      <c r="D4" s="814"/>
      <c r="E4" s="814"/>
      <c r="F4" s="814"/>
      <c r="G4" s="814"/>
      <c r="H4" s="814"/>
    </row>
    <row r="5" spans="2:15" ht="13.5">
      <c r="B5" s="741"/>
      <c r="C5" s="1147" t="s">
        <v>458</v>
      </c>
      <c r="D5" s="1147" t="s">
        <v>459</v>
      </c>
      <c r="E5" s="1147" t="s">
        <v>460</v>
      </c>
      <c r="F5" s="814"/>
      <c r="G5" s="814"/>
      <c r="H5" s="814"/>
    </row>
    <row r="6" spans="2:15" ht="25.5">
      <c r="B6" s="1004" t="s">
        <v>461</v>
      </c>
      <c r="C6" s="812">
        <v>1554650</v>
      </c>
      <c r="D6" s="812">
        <v>1243720</v>
      </c>
      <c r="E6" s="812">
        <v>1054000</v>
      </c>
      <c r="F6" s="814"/>
      <c r="G6" s="814"/>
      <c r="H6" s="814"/>
      <c r="L6" s="217" t="s">
        <v>462</v>
      </c>
      <c r="N6" s="217" t="s">
        <v>463</v>
      </c>
    </row>
    <row r="7" spans="2:15" ht="25.5">
      <c r="B7" s="1004" t="s">
        <v>464</v>
      </c>
      <c r="C7" s="812">
        <v>895178</v>
      </c>
      <c r="D7" s="812">
        <v>716142</v>
      </c>
      <c r="E7" s="812">
        <v>606900</v>
      </c>
      <c r="F7" s="814"/>
      <c r="G7" s="814"/>
      <c r="H7" s="814"/>
      <c r="K7" s="595">
        <f>+K9/30</f>
        <v>265419.93333333335</v>
      </c>
      <c r="L7" s="595">
        <f>+K7*7</f>
        <v>1857939.5333333334</v>
      </c>
      <c r="M7" s="594">
        <f>+L7+K10</f>
        <v>7608699.5333333332</v>
      </c>
      <c r="O7" s="217">
        <f>347000/7962598</f>
        <v>4.3578741511250477E-2</v>
      </c>
    </row>
    <row r="8" spans="2:15" ht="13.5">
      <c r="B8" s="741" t="s">
        <v>465</v>
      </c>
      <c r="C8" s="812">
        <f>+C6-C7</f>
        <v>659472</v>
      </c>
      <c r="D8" s="812">
        <f>+D6-D7</f>
        <v>527578</v>
      </c>
      <c r="E8" s="812">
        <f>+E6-E7</f>
        <v>447100</v>
      </c>
      <c r="F8" s="814"/>
      <c r="G8" s="814"/>
      <c r="H8" s="814"/>
      <c r="N8" s="221" t="s">
        <v>466</v>
      </c>
      <c r="O8" s="1885">
        <v>7962598</v>
      </c>
    </row>
    <row r="9" spans="2:15" ht="13.5">
      <c r="B9" s="814"/>
      <c r="C9" s="1148"/>
      <c r="D9" s="1148"/>
      <c r="E9" s="814"/>
      <c r="F9" s="1149">
        <f>+E8*50%</f>
        <v>223550</v>
      </c>
      <c r="G9" s="1149">
        <f>+F9/12</f>
        <v>18629.166666666668</v>
      </c>
      <c r="H9" s="741" t="s">
        <v>467</v>
      </c>
      <c r="K9" s="593">
        <v>7962598</v>
      </c>
      <c r="L9" s="593">
        <f>+K9/12</f>
        <v>663549.83333333337</v>
      </c>
      <c r="M9" s="217" t="s">
        <v>467</v>
      </c>
      <c r="N9" s="217" t="s">
        <v>468</v>
      </c>
      <c r="O9" s="595">
        <f>+(O8/30)*9</f>
        <v>2388779.4000000004</v>
      </c>
    </row>
    <row r="10" spans="2:15" ht="13.5">
      <c r="B10" s="900" t="s">
        <v>469</v>
      </c>
      <c r="C10" s="1148"/>
      <c r="D10" s="1148"/>
      <c r="E10" s="814"/>
      <c r="F10" s="1149">
        <f>+INT(E8/30)*20</f>
        <v>298060</v>
      </c>
      <c r="G10" s="1149">
        <f>INT(E8/12)</f>
        <v>37258</v>
      </c>
      <c r="H10" s="741" t="s">
        <v>470</v>
      </c>
      <c r="I10" s="593">
        <f>+F10/12</f>
        <v>24838.333333333332</v>
      </c>
      <c r="K10" s="593">
        <f>+INT((K9+L9)/30)*20</f>
        <v>5750760</v>
      </c>
      <c r="L10" s="593">
        <f>INT(K9/12)</f>
        <v>663549</v>
      </c>
      <c r="M10" s="217" t="s">
        <v>470</v>
      </c>
      <c r="N10" s="217" t="s">
        <v>471</v>
      </c>
      <c r="O10" s="595">
        <v>5750760</v>
      </c>
    </row>
    <row r="11" spans="2:15" ht="13.5">
      <c r="B11" s="814" t="s">
        <v>472</v>
      </c>
      <c r="C11" s="1148">
        <f>+(D8*16)/360</f>
        <v>23447.911111111112</v>
      </c>
      <c r="D11" s="1148"/>
      <c r="E11" s="814"/>
      <c r="F11" s="1149">
        <f>INT(E8/30)*2</f>
        <v>29806</v>
      </c>
      <c r="G11" s="1149"/>
      <c r="H11" s="741" t="s">
        <v>473</v>
      </c>
      <c r="K11" s="593">
        <f>INT(K9/30)*2</f>
        <v>530838</v>
      </c>
      <c r="L11" s="593"/>
      <c r="M11" s="217" t="s">
        <v>473</v>
      </c>
      <c r="N11" s="217" t="s">
        <v>474</v>
      </c>
      <c r="O11" s="595">
        <v>318600</v>
      </c>
    </row>
    <row r="12" spans="2:15" ht="13.5">
      <c r="B12" s="814" t="s">
        <v>475</v>
      </c>
      <c r="C12" s="1150">
        <f>+(C11*0.12/360*270)</f>
        <v>2110.3119999999999</v>
      </c>
      <c r="D12" s="1148"/>
      <c r="E12" s="814"/>
      <c r="F12" s="1149">
        <f>INT(E8+G9)/30*21</f>
        <v>326010.3</v>
      </c>
      <c r="G12" s="1149"/>
      <c r="H12" s="741" t="s">
        <v>22</v>
      </c>
      <c r="K12" s="593">
        <f>INT(J8+L9)/30*21</f>
        <v>464484.3</v>
      </c>
      <c r="L12" s="593"/>
      <c r="M12" s="217" t="s">
        <v>22</v>
      </c>
      <c r="N12" s="217" t="s">
        <v>476</v>
      </c>
      <c r="O12" s="595">
        <v>318600</v>
      </c>
    </row>
    <row r="13" spans="2:15" ht="13.5">
      <c r="B13" s="814" t="s">
        <v>477</v>
      </c>
      <c r="C13" s="1148">
        <f>+(E8*15)/360</f>
        <v>18629.166666666668</v>
      </c>
      <c r="D13" s="1148"/>
      <c r="E13" s="814"/>
      <c r="F13" s="1149">
        <f>(E8+G9+G10)/360*16</f>
        <v>22354.985185185185</v>
      </c>
      <c r="G13" s="1149">
        <f>+F13/12</f>
        <v>1862.9154320987655</v>
      </c>
      <c r="H13" s="741" t="s">
        <v>478</v>
      </c>
      <c r="K13" s="593">
        <f>(J8+L9+L10)/360*16</f>
        <v>58982.170370370375</v>
      </c>
      <c r="L13" s="593">
        <f>+K13/12</f>
        <v>4915.1808641975313</v>
      </c>
      <c r="M13" s="217" t="s">
        <v>478</v>
      </c>
      <c r="N13" s="217" t="s">
        <v>479</v>
      </c>
      <c r="O13" s="595">
        <v>39900</v>
      </c>
    </row>
    <row r="14" spans="2:15" ht="13.5">
      <c r="B14" s="814" t="s">
        <v>480</v>
      </c>
      <c r="C14" s="1148">
        <f>+F14</f>
        <v>22437.777777777777</v>
      </c>
      <c r="D14" s="1148"/>
      <c r="E14" s="814"/>
      <c r="F14" s="1149">
        <f>INT(E8+G9+G10+G13)/360*16</f>
        <v>22437.777777777777</v>
      </c>
      <c r="G14" s="1149"/>
      <c r="H14" s="741" t="s">
        <v>303</v>
      </c>
      <c r="K14" s="593">
        <f>INT(J8+L9+L10+L13)/360*16</f>
        <v>59200.62222222222</v>
      </c>
      <c r="L14" s="593"/>
      <c r="M14" s="217" t="s">
        <v>303</v>
      </c>
      <c r="N14" s="217" t="s">
        <v>481</v>
      </c>
      <c r="O14" s="595">
        <v>39900</v>
      </c>
    </row>
    <row r="15" spans="2:15" ht="13.5">
      <c r="B15" s="814" t="s">
        <v>482</v>
      </c>
      <c r="C15" s="1148">
        <f>+(E8*15)/720</f>
        <v>9314.5833333333339</v>
      </c>
      <c r="D15" s="1148"/>
      <c r="E15" s="814"/>
      <c r="F15" s="1149">
        <f>+(F14*0.12/360*270)</f>
        <v>2019.4</v>
      </c>
      <c r="G15" s="1149"/>
      <c r="H15" s="741" t="s">
        <v>483</v>
      </c>
      <c r="K15" s="593">
        <f>+(K14*0.12/360*270)</f>
        <v>5328.0559999999996</v>
      </c>
      <c r="L15" s="593"/>
      <c r="M15" s="217" t="s">
        <v>483</v>
      </c>
      <c r="N15" s="217" t="s">
        <v>484</v>
      </c>
      <c r="O15" s="595">
        <v>950000</v>
      </c>
    </row>
    <row r="16" spans="2:15" ht="14.25" thickBot="1">
      <c r="B16" s="1151" t="s">
        <v>485</v>
      </c>
      <c r="C16" s="1152">
        <f>+F11</f>
        <v>29806</v>
      </c>
      <c r="D16" s="1148"/>
      <c r="E16" s="814"/>
      <c r="F16" s="1149">
        <v>0</v>
      </c>
      <c r="G16" s="1149"/>
      <c r="H16" s="741" t="s">
        <v>486</v>
      </c>
      <c r="K16" s="217">
        <v>0</v>
      </c>
      <c r="M16" s="217" t="s">
        <v>486</v>
      </c>
      <c r="N16" s="217" t="s">
        <v>487</v>
      </c>
      <c r="O16" s="595">
        <f>+(O9+O10)*O7</f>
        <v>354710.88353323884</v>
      </c>
    </row>
    <row r="17" spans="2:15" ht="13.5">
      <c r="B17" s="900" t="s">
        <v>488</v>
      </c>
      <c r="C17" s="1118">
        <f>SUM(C11:C16)</f>
        <v>105745.75088888888</v>
      </c>
      <c r="D17" s="1148"/>
      <c r="E17" s="814"/>
      <c r="F17" s="814"/>
      <c r="G17" s="814"/>
      <c r="H17" s="814"/>
      <c r="N17" s="217" t="s">
        <v>120</v>
      </c>
      <c r="O17" s="1536">
        <f>+O9+O10-O11-O12-O13-O14-O15-O16</f>
        <v>6117828.5164667619</v>
      </c>
    </row>
    <row r="18" spans="2:15" ht="13.5">
      <c r="B18" s="900"/>
      <c r="C18" s="1118"/>
      <c r="D18" s="1148"/>
      <c r="E18" s="814"/>
      <c r="F18" s="814"/>
      <c r="G18" s="814"/>
      <c r="H18" s="814"/>
    </row>
    <row r="19" spans="2:15" ht="13.5">
      <c r="B19" s="900" t="s">
        <v>489</v>
      </c>
      <c r="C19" s="1148"/>
      <c r="D19" s="1148"/>
      <c r="E19" s="814"/>
      <c r="F19" s="812">
        <v>329736</v>
      </c>
      <c r="G19" s="812">
        <v>27478</v>
      </c>
      <c r="H19" s="741" t="s">
        <v>467</v>
      </c>
      <c r="I19" s="217">
        <f>+F19/12</f>
        <v>27478</v>
      </c>
    </row>
    <row r="20" spans="2:15" ht="13.5">
      <c r="B20" s="814" t="s">
        <v>472</v>
      </c>
      <c r="C20" s="1148">
        <f>+(D8*360)/360</f>
        <v>527578</v>
      </c>
      <c r="D20" s="1148"/>
      <c r="E20" s="814"/>
      <c r="F20" s="812">
        <v>470789.33333333337</v>
      </c>
      <c r="G20" s="812">
        <v>39232</v>
      </c>
      <c r="H20" s="741" t="s">
        <v>470</v>
      </c>
      <c r="I20" s="217">
        <f>+F20/12</f>
        <v>39232.444444444445</v>
      </c>
    </row>
    <row r="21" spans="2:15" ht="13.5">
      <c r="B21" s="814" t="s">
        <v>475</v>
      </c>
      <c r="C21" s="1148">
        <f>+(C20*0.12/360*360)</f>
        <v>63309.36</v>
      </c>
      <c r="D21" s="1148"/>
      <c r="E21" s="814"/>
      <c r="F21" s="812">
        <v>43964</v>
      </c>
      <c r="G21" s="812">
        <v>0</v>
      </c>
      <c r="H21" s="741" t="s">
        <v>473</v>
      </c>
    </row>
    <row r="22" spans="2:15" ht="13.5">
      <c r="B22" s="814" t="s">
        <v>477</v>
      </c>
      <c r="C22" s="1148">
        <f>+(D8*360)/360</f>
        <v>527578</v>
      </c>
      <c r="D22" s="1148"/>
      <c r="E22" s="814"/>
      <c r="F22" s="812">
        <v>494328.8</v>
      </c>
      <c r="G22" s="812">
        <v>0</v>
      </c>
      <c r="H22" s="741" t="s">
        <v>22</v>
      </c>
    </row>
    <row r="23" spans="2:15" ht="13.5">
      <c r="B23" s="814" t="s">
        <v>480</v>
      </c>
      <c r="C23" s="1148">
        <f>+F23</f>
        <v>745416</v>
      </c>
      <c r="D23" s="1148"/>
      <c r="E23" s="814"/>
      <c r="F23" s="812">
        <v>745416</v>
      </c>
      <c r="G23" s="812">
        <v>62118</v>
      </c>
      <c r="H23" s="741" t="s">
        <v>478</v>
      </c>
    </row>
    <row r="24" spans="2:15" ht="13.5">
      <c r="B24" s="814" t="s">
        <v>482</v>
      </c>
      <c r="C24" s="1148">
        <f>+(D8*360)/720</f>
        <v>263789</v>
      </c>
      <c r="D24" s="1148"/>
      <c r="E24" s="814"/>
      <c r="F24" s="812">
        <v>807534</v>
      </c>
      <c r="G24" s="812"/>
      <c r="H24" s="741" t="s">
        <v>490</v>
      </c>
    </row>
    <row r="25" spans="2:15" ht="14.25" thickBot="1">
      <c r="B25" s="1151" t="s">
        <v>485</v>
      </c>
      <c r="C25" s="1152">
        <f>+F20</f>
        <v>470789.33333333337</v>
      </c>
      <c r="D25" s="814"/>
      <c r="E25" s="814"/>
      <c r="F25" s="812">
        <v>96904.08</v>
      </c>
      <c r="G25" s="812"/>
      <c r="H25" s="741" t="s">
        <v>483</v>
      </c>
    </row>
    <row r="26" spans="2:15" ht="13.5">
      <c r="B26" s="900" t="s">
        <v>488</v>
      </c>
      <c r="C26" s="1118">
        <f>SUM(C20:C25)</f>
        <v>2598459.6933333334</v>
      </c>
      <c r="D26" s="814"/>
      <c r="E26" s="814"/>
      <c r="F26" s="812">
        <v>230815.2</v>
      </c>
      <c r="G26" s="812">
        <v>19234</v>
      </c>
      <c r="H26" s="741" t="s">
        <v>486</v>
      </c>
    </row>
    <row r="27" spans="2:15" ht="13.5">
      <c r="B27" s="814"/>
      <c r="C27" s="814"/>
      <c r="D27" s="814"/>
      <c r="E27" s="814"/>
      <c r="F27" s="1116"/>
      <c r="G27" s="1116"/>
      <c r="H27" s="814"/>
    </row>
    <row r="28" spans="2:15" ht="13.5">
      <c r="B28" s="900" t="s">
        <v>491</v>
      </c>
      <c r="C28" s="814"/>
      <c r="D28" s="814"/>
      <c r="E28" s="814"/>
      <c r="F28" s="814"/>
      <c r="G28" s="814"/>
      <c r="H28" s="814"/>
    </row>
    <row r="29" spans="2:15" ht="13.5">
      <c r="B29" s="814" t="s">
        <v>472</v>
      </c>
      <c r="C29" s="1148">
        <f>+(C8*16)/360</f>
        <v>29309.866666666665</v>
      </c>
      <c r="D29" s="814"/>
      <c r="E29" s="814"/>
      <c r="F29" s="812">
        <f>+C8*50%</f>
        <v>329736</v>
      </c>
      <c r="G29" s="1149">
        <f>+F29/12</f>
        <v>27478</v>
      </c>
      <c r="H29" s="741" t="s">
        <v>467</v>
      </c>
    </row>
    <row r="30" spans="2:15" ht="13.5">
      <c r="B30" s="814" t="s">
        <v>475</v>
      </c>
      <c r="C30" s="1148">
        <f>+(C29*0.12/360*16)</f>
        <v>156.31928888888888</v>
      </c>
      <c r="D30" s="814"/>
      <c r="E30" s="814"/>
      <c r="F30" s="812">
        <f>+INT(D8/30)*20</f>
        <v>351700</v>
      </c>
      <c r="G30" s="1149">
        <f>INT(C8/12)</f>
        <v>54956</v>
      </c>
      <c r="H30" s="741" t="s">
        <v>470</v>
      </c>
    </row>
    <row r="31" spans="2:15" ht="13.5">
      <c r="B31" s="814" t="s">
        <v>477</v>
      </c>
      <c r="C31" s="1148">
        <f>+(C8*16)/360</f>
        <v>29309.866666666665</v>
      </c>
      <c r="D31" s="814"/>
      <c r="E31" s="814"/>
      <c r="F31" s="812">
        <f>INT(C8/30)*2</f>
        <v>43964</v>
      </c>
      <c r="G31" s="1149"/>
      <c r="H31" s="741" t="s">
        <v>473</v>
      </c>
    </row>
    <row r="32" spans="2:15" ht="13.5">
      <c r="B32" s="814" t="s">
        <v>480</v>
      </c>
      <c r="C32" s="1118">
        <f>+F33</f>
        <v>32973.599999999999</v>
      </c>
      <c r="D32" s="814"/>
      <c r="E32" s="814"/>
      <c r="F32" s="812">
        <f>INT(C8+G29)/30*21</f>
        <v>480865</v>
      </c>
      <c r="G32" s="1149"/>
      <c r="H32" s="741" t="s">
        <v>22</v>
      </c>
    </row>
    <row r="33" spans="2:8" ht="13.5">
      <c r="B33" s="814" t="s">
        <v>482</v>
      </c>
      <c r="C33" s="1116">
        <f>+(D8*16)/720</f>
        <v>11723.955555555556</v>
      </c>
      <c r="D33" s="814"/>
      <c r="E33" s="814"/>
      <c r="F33" s="812">
        <f>(C8+G29+G30)/360*16</f>
        <v>32973.599999999999</v>
      </c>
      <c r="G33" s="1149">
        <f>+F33/12</f>
        <v>2747.7999999999997</v>
      </c>
      <c r="H33" s="741" t="s">
        <v>478</v>
      </c>
    </row>
    <row r="34" spans="2:8" ht="14.25" thickBot="1">
      <c r="B34" s="1151" t="s">
        <v>485</v>
      </c>
      <c r="C34" s="1153">
        <f>+G30</f>
        <v>54956</v>
      </c>
      <c r="D34" s="814"/>
      <c r="E34" s="814"/>
      <c r="F34" s="812">
        <f>INT(C8+G29+G30+G33)/360*16</f>
        <v>33095.688888888886</v>
      </c>
      <c r="G34" s="1149"/>
      <c r="H34" s="741" t="s">
        <v>490</v>
      </c>
    </row>
    <row r="35" spans="2:8" ht="13.5">
      <c r="B35" s="900" t="s">
        <v>492</v>
      </c>
      <c r="C35" s="1118">
        <f>SUM(C29:C34)</f>
        <v>158429.60817777779</v>
      </c>
      <c r="D35" s="814"/>
      <c r="E35" s="814"/>
      <c r="F35" s="812">
        <f>+(F34*0.12/360*270)</f>
        <v>2978.6119999999996</v>
      </c>
      <c r="G35" s="1149"/>
      <c r="H35" s="741" t="s">
        <v>483</v>
      </c>
    </row>
    <row r="36" spans="2:8" ht="13.5">
      <c r="B36" s="814"/>
      <c r="C36" s="814"/>
      <c r="D36" s="814"/>
      <c r="E36" s="814"/>
      <c r="F36" s="812"/>
      <c r="G36" s="741">
        <v>15387</v>
      </c>
      <c r="H36" s="741" t="s">
        <v>486</v>
      </c>
    </row>
    <row r="37" spans="2:8" ht="13.5">
      <c r="B37" s="814"/>
      <c r="C37" s="814"/>
      <c r="D37" s="814"/>
      <c r="E37" s="814"/>
      <c r="F37" s="814"/>
      <c r="G37" s="814"/>
      <c r="H37" s="814"/>
    </row>
    <row r="38" spans="2:8" ht="13.5">
      <c r="B38" s="814"/>
      <c r="C38" s="814"/>
      <c r="D38" s="814"/>
      <c r="E38" s="814"/>
      <c r="F38" s="814"/>
      <c r="G38" s="814"/>
      <c r="H38" s="814"/>
    </row>
    <row r="39" spans="2:8" ht="13.5">
      <c r="B39" s="900" t="s">
        <v>493</v>
      </c>
      <c r="C39" s="814"/>
      <c r="D39" s="814"/>
      <c r="E39" s="814"/>
      <c r="F39" s="814"/>
      <c r="G39" s="814"/>
      <c r="H39" s="814"/>
    </row>
    <row r="40" spans="2:8" ht="13.5">
      <c r="B40" s="741" t="s">
        <v>494</v>
      </c>
      <c r="C40" s="800">
        <v>35047</v>
      </c>
      <c r="D40" s="814"/>
      <c r="E40" s="814"/>
      <c r="F40" s="814"/>
      <c r="G40" s="814"/>
      <c r="H40" s="814"/>
    </row>
    <row r="41" spans="2:8" ht="13.5">
      <c r="B41" s="741" t="s">
        <v>495</v>
      </c>
      <c r="C41" s="800">
        <v>35446</v>
      </c>
      <c r="D41" s="814"/>
      <c r="E41" s="814"/>
      <c r="F41" s="814"/>
      <c r="G41" s="814"/>
      <c r="H41" s="814"/>
    </row>
    <row r="42" spans="2:8" ht="13.5">
      <c r="B42" s="741" t="s">
        <v>496</v>
      </c>
      <c r="C42" s="741">
        <f>_xlfn.DAYS(C41,C40)</f>
        <v>399</v>
      </c>
      <c r="D42" s="814"/>
      <c r="E42" s="814"/>
      <c r="F42" s="814"/>
      <c r="G42" s="814"/>
      <c r="H42" s="814"/>
    </row>
    <row r="43" spans="2:8" ht="13.5">
      <c r="B43" s="814"/>
      <c r="C43" s="814"/>
      <c r="D43" s="814"/>
      <c r="E43" s="814"/>
      <c r="F43" s="814"/>
      <c r="G43" s="814"/>
      <c r="H43" s="814"/>
    </row>
    <row r="44" spans="2:8" ht="25.5">
      <c r="B44" s="884" t="s">
        <v>497</v>
      </c>
      <c r="C44" s="732">
        <v>96.36</v>
      </c>
      <c r="D44" s="814"/>
      <c r="E44" s="814"/>
      <c r="F44" s="814"/>
      <c r="G44" s="814"/>
      <c r="H44" s="814"/>
    </row>
    <row r="45" spans="2:8" ht="13.5">
      <c r="B45" s="735" t="s">
        <v>498</v>
      </c>
      <c r="C45" s="734" t="s">
        <v>499</v>
      </c>
      <c r="D45" s="735" t="s">
        <v>76</v>
      </c>
      <c r="E45" s="735" t="s">
        <v>77</v>
      </c>
      <c r="F45" s="734" t="s">
        <v>57</v>
      </c>
      <c r="G45" s="814"/>
      <c r="H45" s="814"/>
    </row>
    <row r="46" spans="2:8" ht="13.5">
      <c r="B46" s="741" t="s">
        <v>500</v>
      </c>
      <c r="C46" s="811">
        <f>(E8/30)*16</f>
        <v>238453.33333333334</v>
      </c>
      <c r="D46" s="741">
        <v>21.8</v>
      </c>
      <c r="E46" s="741">
        <f>+$C$44/D46</f>
        <v>4.4201834862385319</v>
      </c>
      <c r="F46" s="812">
        <f t="shared" ref="F46:F52" si="0">+C46*E46</f>
        <v>1054007.486238532</v>
      </c>
      <c r="G46" s="814"/>
      <c r="H46" s="814"/>
    </row>
    <row r="47" spans="2:8" ht="13.5">
      <c r="B47" s="741" t="s">
        <v>472</v>
      </c>
      <c r="C47" s="811">
        <f>+C11</f>
        <v>23447.911111111112</v>
      </c>
      <c r="D47" s="741">
        <v>21.8</v>
      </c>
      <c r="E47" s="741">
        <f t="shared" ref="E47:E52" si="1">+$C$44/D47</f>
        <v>4.4201834862385319</v>
      </c>
      <c r="F47" s="812">
        <f t="shared" si="0"/>
        <v>103644.06948012233</v>
      </c>
      <c r="G47" s="814"/>
      <c r="H47" s="814"/>
    </row>
    <row r="48" spans="2:8" ht="13.5">
      <c r="B48" s="741" t="s">
        <v>475</v>
      </c>
      <c r="C48" s="811">
        <f>+C12</f>
        <v>2110.3119999999999</v>
      </c>
      <c r="D48" s="741">
        <v>21.8</v>
      </c>
      <c r="E48" s="741">
        <f t="shared" si="1"/>
        <v>4.4201834862385319</v>
      </c>
      <c r="F48" s="812">
        <f t="shared" si="0"/>
        <v>9327.9662532110087</v>
      </c>
      <c r="G48" s="814"/>
      <c r="H48" s="814"/>
    </row>
    <row r="49" spans="2:8" ht="13.5">
      <c r="B49" s="741" t="s">
        <v>477</v>
      </c>
      <c r="C49" s="811">
        <f>+C13</f>
        <v>18629.166666666668</v>
      </c>
      <c r="D49" s="741">
        <v>21.8</v>
      </c>
      <c r="E49" s="741">
        <f t="shared" si="1"/>
        <v>4.4201834862385319</v>
      </c>
      <c r="F49" s="812">
        <f t="shared" si="0"/>
        <v>82344.334862385324</v>
      </c>
      <c r="G49" s="814"/>
      <c r="H49" s="814"/>
    </row>
    <row r="50" spans="2:8" ht="13.5">
      <c r="B50" s="741" t="s">
        <v>480</v>
      </c>
      <c r="C50" s="811">
        <f>+C14</f>
        <v>22437.777777777777</v>
      </c>
      <c r="D50" s="741">
        <v>21.8</v>
      </c>
      <c r="E50" s="741">
        <f t="shared" si="1"/>
        <v>4.4201834862385319</v>
      </c>
      <c r="F50" s="812">
        <f t="shared" si="0"/>
        <v>99179.09480122324</v>
      </c>
      <c r="G50" s="814"/>
      <c r="H50" s="814"/>
    </row>
    <row r="51" spans="2:8" ht="13.5">
      <c r="B51" s="741" t="s">
        <v>482</v>
      </c>
      <c r="C51" s="811">
        <f>+C15</f>
        <v>9314.5833333333339</v>
      </c>
      <c r="D51" s="741">
        <v>21.8</v>
      </c>
      <c r="E51" s="741">
        <f t="shared" si="1"/>
        <v>4.4201834862385319</v>
      </c>
      <c r="F51" s="812">
        <f t="shared" si="0"/>
        <v>41172.167431192662</v>
      </c>
      <c r="G51" s="814"/>
      <c r="H51" s="814"/>
    </row>
    <row r="52" spans="2:8" ht="13.5">
      <c r="B52" s="741" t="s">
        <v>485</v>
      </c>
      <c r="C52" s="811">
        <f>+C25</f>
        <v>470789.33333333337</v>
      </c>
      <c r="D52" s="741">
        <v>21.8</v>
      </c>
      <c r="E52" s="741">
        <f t="shared" si="1"/>
        <v>4.4201834862385319</v>
      </c>
      <c r="F52" s="812">
        <f t="shared" si="0"/>
        <v>2080975.2366972477</v>
      </c>
      <c r="G52" s="814"/>
      <c r="H52" s="814"/>
    </row>
    <row r="53" spans="2:8" ht="13.5">
      <c r="B53" s="814"/>
      <c r="C53" s="814"/>
      <c r="D53" s="814"/>
      <c r="E53" s="1043" t="s">
        <v>61</v>
      </c>
      <c r="F53" s="1114">
        <f>SUM(F46:F52)</f>
        <v>3470650.3557639141</v>
      </c>
      <c r="G53" s="814"/>
      <c r="H53" s="814"/>
    </row>
    <row r="54" spans="2:8" ht="13.5">
      <c r="B54" s="814"/>
      <c r="C54" s="814"/>
      <c r="D54" s="814"/>
      <c r="E54" s="814"/>
      <c r="F54" s="1116"/>
      <c r="G54" s="814"/>
      <c r="H54" s="814"/>
    </row>
    <row r="55" spans="2:8" ht="13.5">
      <c r="B55" s="814"/>
      <c r="C55" s="814"/>
      <c r="D55" s="814"/>
      <c r="E55" s="814"/>
      <c r="F55" s="814"/>
      <c r="G55" s="814"/>
      <c r="H55" s="814"/>
    </row>
    <row r="56" spans="2:8" ht="13.5">
      <c r="B56" s="735" t="s">
        <v>501</v>
      </c>
      <c r="C56" s="734" t="s">
        <v>502</v>
      </c>
      <c r="D56" s="735" t="s">
        <v>76</v>
      </c>
      <c r="E56" s="735" t="s">
        <v>77</v>
      </c>
      <c r="F56" s="734" t="s">
        <v>57</v>
      </c>
      <c r="G56" s="814"/>
      <c r="H56" s="814"/>
    </row>
    <row r="57" spans="2:8" ht="13.5">
      <c r="B57" s="741" t="s">
        <v>16</v>
      </c>
      <c r="C57" s="812">
        <f>+$D$8</f>
        <v>527578</v>
      </c>
      <c r="D57" s="741">
        <v>22.35</v>
      </c>
      <c r="E57" s="741">
        <f>+$C$44/D57</f>
        <v>4.3114093959731541</v>
      </c>
      <c r="F57" s="812">
        <f>+C57*E57</f>
        <v>2274604.7463087249</v>
      </c>
      <c r="G57" s="814"/>
      <c r="H57" s="814"/>
    </row>
    <row r="58" spans="2:8" ht="13.5">
      <c r="B58" s="741" t="s">
        <v>17</v>
      </c>
      <c r="C58" s="812">
        <f t="shared" ref="C58:C68" si="2">+$D$8</f>
        <v>527578</v>
      </c>
      <c r="D58" s="741">
        <v>23.25</v>
      </c>
      <c r="E58" s="741">
        <f t="shared" ref="E58:E74" si="3">+$C$44/D58</f>
        <v>4.1445161290322581</v>
      </c>
      <c r="F58" s="812">
        <f t="shared" ref="F58:F74" si="4">+C58*E58</f>
        <v>2186555.5303225806</v>
      </c>
      <c r="G58" s="814"/>
      <c r="H58" s="814"/>
    </row>
    <row r="59" spans="2:8" ht="13.5">
      <c r="B59" s="741" t="s">
        <v>19</v>
      </c>
      <c r="C59" s="812">
        <f t="shared" si="2"/>
        <v>527578</v>
      </c>
      <c r="D59" s="741">
        <v>23.74</v>
      </c>
      <c r="E59" s="741">
        <f t="shared" si="3"/>
        <v>4.0589721988205563</v>
      </c>
      <c r="F59" s="812">
        <f t="shared" si="4"/>
        <v>2141424.4347093515</v>
      </c>
      <c r="G59" s="814"/>
      <c r="H59" s="814"/>
    </row>
    <row r="60" spans="2:8" ht="13.5">
      <c r="B60" s="741" t="s">
        <v>21</v>
      </c>
      <c r="C60" s="812">
        <f t="shared" si="2"/>
        <v>527578</v>
      </c>
      <c r="D60" s="741">
        <v>24.21</v>
      </c>
      <c r="E60" s="741">
        <f t="shared" si="3"/>
        <v>3.9801734820322179</v>
      </c>
      <c r="F60" s="812">
        <f t="shared" si="4"/>
        <v>2099851.9653035933</v>
      </c>
      <c r="G60" s="814"/>
      <c r="H60" s="814"/>
    </row>
    <row r="61" spans="2:8" ht="13.5">
      <c r="B61" s="741" t="s">
        <v>23</v>
      </c>
      <c r="C61" s="812">
        <f t="shared" si="2"/>
        <v>527578</v>
      </c>
      <c r="D61" s="741">
        <v>24.58</v>
      </c>
      <c r="E61" s="741">
        <f t="shared" si="3"/>
        <v>3.9202603742880391</v>
      </c>
      <c r="F61" s="812">
        <f t="shared" si="4"/>
        <v>2068243.127746135</v>
      </c>
      <c r="G61" s="814"/>
      <c r="H61" s="814"/>
    </row>
    <row r="62" spans="2:8" ht="13.5">
      <c r="B62" s="741" t="s">
        <v>25</v>
      </c>
      <c r="C62" s="812">
        <f t="shared" si="2"/>
        <v>527578</v>
      </c>
      <c r="D62" s="741">
        <v>24.87</v>
      </c>
      <c r="E62" s="741">
        <f t="shared" si="3"/>
        <v>3.8745476477683956</v>
      </c>
      <c r="F62" s="812">
        <f t="shared" si="4"/>
        <v>2044126.0989143546</v>
      </c>
      <c r="G62" s="814"/>
      <c r="H62" s="814"/>
    </row>
    <row r="63" spans="2:8" ht="13.5">
      <c r="B63" s="741" t="s">
        <v>27</v>
      </c>
      <c r="C63" s="812">
        <f t="shared" si="2"/>
        <v>527578</v>
      </c>
      <c r="D63" s="741">
        <v>25.24</v>
      </c>
      <c r="E63" s="741">
        <f t="shared" si="3"/>
        <v>3.8177496038034868</v>
      </c>
      <c r="F63" s="812">
        <f t="shared" si="4"/>
        <v>2014160.7004754359</v>
      </c>
      <c r="G63" s="814"/>
      <c r="H63" s="814"/>
    </row>
    <row r="64" spans="2:8" ht="13.5">
      <c r="B64" s="741" t="s">
        <v>29</v>
      </c>
      <c r="C64" s="812">
        <f t="shared" si="2"/>
        <v>527578</v>
      </c>
      <c r="D64" s="741">
        <v>25.52</v>
      </c>
      <c r="E64" s="741">
        <f t="shared" si="3"/>
        <v>3.7758620689655173</v>
      </c>
      <c r="F64" s="812">
        <f t="shared" si="4"/>
        <v>1992061.7586206896</v>
      </c>
      <c r="G64" s="814"/>
      <c r="H64" s="814"/>
    </row>
    <row r="65" spans="2:8" ht="13.5">
      <c r="B65" s="741" t="s">
        <v>31</v>
      </c>
      <c r="C65" s="812">
        <f t="shared" si="2"/>
        <v>527578</v>
      </c>
      <c r="D65" s="741">
        <v>25.82</v>
      </c>
      <c r="E65" s="741">
        <f t="shared" si="3"/>
        <v>3.7319907048799381</v>
      </c>
      <c r="F65" s="812">
        <f t="shared" si="4"/>
        <v>1968916.1920991479</v>
      </c>
      <c r="G65" s="814"/>
      <c r="H65" s="814"/>
    </row>
    <row r="66" spans="2:8" ht="13.5">
      <c r="B66" s="741" t="s">
        <v>33</v>
      </c>
      <c r="C66" s="812">
        <f t="shared" si="2"/>
        <v>527578</v>
      </c>
      <c r="D66" s="741">
        <v>26.12</v>
      </c>
      <c r="E66" s="741">
        <f t="shared" si="3"/>
        <v>3.6891271056661559</v>
      </c>
      <c r="F66" s="812">
        <f t="shared" si="4"/>
        <v>1946302.3001531393</v>
      </c>
      <c r="G66" s="814"/>
      <c r="H66" s="814"/>
    </row>
    <row r="67" spans="2:8" ht="13.5">
      <c r="B67" s="741" t="s">
        <v>34</v>
      </c>
      <c r="C67" s="812">
        <f t="shared" si="2"/>
        <v>527578</v>
      </c>
      <c r="D67" s="741">
        <v>26.33</v>
      </c>
      <c r="E67" s="741">
        <f t="shared" si="3"/>
        <v>3.6597037599696165</v>
      </c>
      <c r="F67" s="812">
        <f t="shared" si="4"/>
        <v>1930779.1902772503</v>
      </c>
      <c r="G67" s="814"/>
      <c r="H67" s="814"/>
    </row>
    <row r="68" spans="2:8" ht="13.5">
      <c r="B68" s="741" t="s">
        <v>35</v>
      </c>
      <c r="C68" s="812">
        <f t="shared" si="2"/>
        <v>527578</v>
      </c>
      <c r="D68" s="741">
        <v>26.52</v>
      </c>
      <c r="E68" s="741">
        <f t="shared" si="3"/>
        <v>3.6334841628959276</v>
      </c>
      <c r="F68" s="812">
        <f t="shared" si="4"/>
        <v>1916946.3076923077</v>
      </c>
      <c r="G68" s="814"/>
      <c r="H68" s="814"/>
    </row>
    <row r="69" spans="2:8" ht="13.5">
      <c r="B69" s="741" t="s">
        <v>472</v>
      </c>
      <c r="C69" s="812">
        <v>527578</v>
      </c>
      <c r="D69" s="741">
        <v>26.52</v>
      </c>
      <c r="E69" s="741">
        <f t="shared" si="3"/>
        <v>3.6334841628959276</v>
      </c>
      <c r="F69" s="812">
        <f t="shared" si="4"/>
        <v>1916946.3076923077</v>
      </c>
      <c r="G69" s="814"/>
      <c r="H69" s="814"/>
    </row>
    <row r="70" spans="2:8" ht="13.5">
      <c r="B70" s="741" t="s">
        <v>475</v>
      </c>
      <c r="C70" s="812">
        <v>63309.36</v>
      </c>
      <c r="D70" s="741">
        <v>26.52</v>
      </c>
      <c r="E70" s="741">
        <f t="shared" si="3"/>
        <v>3.6334841628959276</v>
      </c>
      <c r="F70" s="812">
        <f t="shared" si="4"/>
        <v>230033.55692307692</v>
      </c>
      <c r="G70" s="814"/>
      <c r="H70" s="814"/>
    </row>
    <row r="71" spans="2:8" ht="13.5">
      <c r="B71" s="741" t="s">
        <v>477</v>
      </c>
      <c r="C71" s="812">
        <v>527578</v>
      </c>
      <c r="D71" s="741">
        <v>26.52</v>
      </c>
      <c r="E71" s="741">
        <f t="shared" si="3"/>
        <v>3.6334841628959276</v>
      </c>
      <c r="F71" s="812">
        <f t="shared" si="4"/>
        <v>1916946.3076923077</v>
      </c>
      <c r="G71" s="814"/>
      <c r="H71" s="814"/>
    </row>
    <row r="72" spans="2:8" ht="13.5">
      <c r="B72" s="741" t="s">
        <v>480</v>
      </c>
      <c r="C72" s="812">
        <v>745416</v>
      </c>
      <c r="D72" s="741">
        <v>26.52</v>
      </c>
      <c r="E72" s="741">
        <f t="shared" si="3"/>
        <v>3.6334841628959276</v>
      </c>
      <c r="F72" s="812">
        <f t="shared" si="4"/>
        <v>2708457.2307692305</v>
      </c>
      <c r="G72" s="814"/>
      <c r="H72" s="814"/>
    </row>
    <row r="73" spans="2:8" ht="13.5">
      <c r="B73" s="741" t="s">
        <v>482</v>
      </c>
      <c r="C73" s="812">
        <v>263789</v>
      </c>
      <c r="D73" s="741">
        <v>26.52</v>
      </c>
      <c r="E73" s="741">
        <f t="shared" si="3"/>
        <v>3.6334841628959276</v>
      </c>
      <c r="F73" s="812">
        <f t="shared" si="4"/>
        <v>958473.15384615387</v>
      </c>
      <c r="G73" s="814"/>
      <c r="H73" s="814"/>
    </row>
    <row r="74" spans="2:8" ht="13.5">
      <c r="B74" s="741" t="s">
        <v>485</v>
      </c>
      <c r="C74" s="812">
        <v>470789.33333333337</v>
      </c>
      <c r="D74" s="741">
        <v>26.52</v>
      </c>
      <c r="E74" s="741">
        <f t="shared" si="3"/>
        <v>3.6334841628959276</v>
      </c>
      <c r="F74" s="812">
        <f t="shared" si="4"/>
        <v>1710605.5867269987</v>
      </c>
      <c r="G74" s="814"/>
      <c r="H74" s="814"/>
    </row>
    <row r="75" spans="2:8" ht="14.25" thickBot="1">
      <c r="B75" s="814"/>
      <c r="C75" s="814"/>
      <c r="D75" s="814"/>
      <c r="E75" s="1040" t="s">
        <v>61</v>
      </c>
      <c r="F75" s="1154">
        <f>SUM(F57:F74)</f>
        <v>34025434.496272787</v>
      </c>
      <c r="G75" s="814"/>
      <c r="H75" s="814"/>
    </row>
    <row r="76" spans="2:8" ht="14.25" thickTop="1">
      <c r="B76" s="814"/>
      <c r="C76" s="814"/>
      <c r="D76" s="814"/>
      <c r="E76" s="814"/>
      <c r="F76" s="814"/>
      <c r="G76" s="814"/>
      <c r="H76" s="814"/>
    </row>
    <row r="77" spans="2:8" ht="13.5">
      <c r="B77" s="735" t="s">
        <v>503</v>
      </c>
      <c r="C77" s="734" t="s">
        <v>504</v>
      </c>
      <c r="D77" s="735" t="s">
        <v>76</v>
      </c>
      <c r="E77" s="735" t="s">
        <v>77</v>
      </c>
      <c r="F77" s="734" t="s">
        <v>57</v>
      </c>
      <c r="G77" s="814"/>
      <c r="H77" s="814"/>
    </row>
    <row r="78" spans="2:8" ht="13.5">
      <c r="B78" s="1155">
        <v>44212</v>
      </c>
      <c r="C78" s="812">
        <f>(C8/30)*16</f>
        <v>351718.40000000002</v>
      </c>
      <c r="D78" s="741">
        <v>26.96</v>
      </c>
      <c r="E78" s="741">
        <f t="shared" ref="E78:E84" si="5">+$C$44/D78</f>
        <v>3.5741839762611276</v>
      </c>
      <c r="F78" s="812">
        <f t="shared" ref="F78:F84" si="6">+C78*E78</f>
        <v>1257106.2694362018</v>
      </c>
      <c r="G78" s="814"/>
      <c r="H78" s="814"/>
    </row>
    <row r="79" spans="2:8" ht="13.5">
      <c r="B79" s="741" t="s">
        <v>472</v>
      </c>
      <c r="C79" s="812">
        <v>29309.866666666665</v>
      </c>
      <c r="D79" s="741">
        <v>26.96</v>
      </c>
      <c r="E79" s="741">
        <f t="shared" si="5"/>
        <v>3.5741839762611276</v>
      </c>
      <c r="F79" s="812">
        <f t="shared" si="6"/>
        <v>104758.85578635015</v>
      </c>
      <c r="G79" s="814"/>
      <c r="H79" s="814"/>
    </row>
    <row r="80" spans="2:8" ht="13.5">
      <c r="B80" s="741" t="s">
        <v>475</v>
      </c>
      <c r="C80" s="812">
        <v>156.31928888888888</v>
      </c>
      <c r="D80" s="741">
        <v>26.96</v>
      </c>
      <c r="E80" s="741">
        <f t="shared" si="5"/>
        <v>3.5741839762611276</v>
      </c>
      <c r="F80" s="812">
        <f t="shared" si="6"/>
        <v>558.71389752720074</v>
      </c>
      <c r="G80" s="814"/>
      <c r="H80" s="814"/>
    </row>
    <row r="81" spans="1:8" ht="13.5">
      <c r="B81" s="741" t="s">
        <v>477</v>
      </c>
      <c r="C81" s="812">
        <v>29309.866666666665</v>
      </c>
      <c r="D81" s="741">
        <v>26.96</v>
      </c>
      <c r="E81" s="741">
        <f t="shared" si="5"/>
        <v>3.5741839762611276</v>
      </c>
      <c r="F81" s="812">
        <f t="shared" si="6"/>
        <v>104758.85578635015</v>
      </c>
      <c r="G81" s="814"/>
      <c r="H81" s="814"/>
    </row>
    <row r="82" spans="1:8" ht="13.5">
      <c r="B82" s="741" t="s">
        <v>480</v>
      </c>
      <c r="C82" s="812">
        <v>32973.599999999999</v>
      </c>
      <c r="D82" s="741">
        <v>26.96</v>
      </c>
      <c r="E82" s="741">
        <f t="shared" si="5"/>
        <v>3.5741839762611276</v>
      </c>
      <c r="F82" s="812">
        <f t="shared" si="6"/>
        <v>117853.71275964391</v>
      </c>
      <c r="G82" s="814"/>
      <c r="H82" s="814"/>
    </row>
    <row r="83" spans="1:8" ht="13.5">
      <c r="B83" s="741" t="s">
        <v>482</v>
      </c>
      <c r="C83" s="812">
        <v>11723.955555555556</v>
      </c>
      <c r="D83" s="741">
        <v>26.96</v>
      </c>
      <c r="E83" s="741">
        <f t="shared" si="5"/>
        <v>3.5741839762611276</v>
      </c>
      <c r="F83" s="812">
        <f t="shared" si="6"/>
        <v>41903.574085064298</v>
      </c>
      <c r="G83" s="814"/>
      <c r="H83" s="814"/>
    </row>
    <row r="84" spans="1:8" ht="13.5">
      <c r="B84" s="741" t="s">
        <v>485</v>
      </c>
      <c r="C84" s="812">
        <v>54956</v>
      </c>
      <c r="D84" s="741">
        <v>26.96</v>
      </c>
      <c r="E84" s="741">
        <f t="shared" si="5"/>
        <v>3.5741839762611276</v>
      </c>
      <c r="F84" s="812">
        <f t="shared" si="6"/>
        <v>196422.85459940654</v>
      </c>
      <c r="G84" s="814"/>
      <c r="H84" s="814"/>
    </row>
    <row r="85" spans="1:8" ht="14.25" thickBot="1">
      <c r="B85" s="814"/>
      <c r="C85" s="814"/>
      <c r="D85" s="814"/>
      <c r="E85" s="1040" t="s">
        <v>61</v>
      </c>
      <c r="F85" s="1154">
        <f>SUM(F78:F84)</f>
        <v>1823362.8363505439</v>
      </c>
      <c r="G85" s="814"/>
      <c r="H85" s="814"/>
    </row>
    <row r="86" spans="1:8" ht="14.25" thickTop="1">
      <c r="B86" s="900" t="s">
        <v>317</v>
      </c>
      <c r="C86" s="814"/>
      <c r="D86" s="814"/>
      <c r="E86" s="814"/>
      <c r="F86" s="814"/>
      <c r="G86" s="814"/>
      <c r="H86" s="814"/>
    </row>
    <row r="87" spans="1:8" ht="13.5">
      <c r="B87" s="900" t="s">
        <v>180</v>
      </c>
      <c r="C87" s="800">
        <v>42979</v>
      </c>
      <c r="D87" s="814"/>
      <c r="E87" s="814"/>
      <c r="F87" s="814"/>
      <c r="G87" s="814"/>
      <c r="H87" s="814"/>
    </row>
    <row r="88" spans="1:8" ht="13.5">
      <c r="B88" s="900" t="s">
        <v>129</v>
      </c>
      <c r="C88" s="1156">
        <f>+F53+F75++F85</f>
        <v>39319447.688387245</v>
      </c>
      <c r="D88" s="1156"/>
      <c r="E88" s="814"/>
      <c r="F88" s="814"/>
      <c r="G88" s="814"/>
      <c r="H88" s="814"/>
    </row>
    <row r="89" spans="1:8" ht="14.25" customHeight="1">
      <c r="B89" s="2591" t="s">
        <v>84</v>
      </c>
      <c r="C89" s="2591"/>
      <c r="D89" s="2591"/>
      <c r="E89" s="2591"/>
      <c r="F89" s="2591"/>
      <c r="G89" s="2591"/>
      <c r="H89" s="2591"/>
    </row>
    <row r="90" spans="1:8" ht="33" customHeight="1">
      <c r="B90" s="761" t="s">
        <v>206</v>
      </c>
      <c r="C90" s="761" t="s">
        <v>10</v>
      </c>
      <c r="D90" s="761" t="s">
        <v>279</v>
      </c>
      <c r="E90" s="1113" t="s">
        <v>129</v>
      </c>
      <c r="F90" s="1112" t="s">
        <v>505</v>
      </c>
      <c r="G90" s="970" t="s">
        <v>43</v>
      </c>
      <c r="H90" s="1113" t="s">
        <v>253</v>
      </c>
    </row>
    <row r="91" spans="1:8" ht="13.5">
      <c r="A91" s="217">
        <v>1</v>
      </c>
      <c r="B91" s="800">
        <v>42980</v>
      </c>
      <c r="C91" s="800">
        <v>43008</v>
      </c>
      <c r="D91" s="1157">
        <f>_xlfn.DAYS(C91,B91)+1</f>
        <v>29</v>
      </c>
      <c r="E91" s="1121">
        <f>+$C$88</f>
        <v>39319447.688387245</v>
      </c>
      <c r="F91" s="1120">
        <v>0.32219999999999999</v>
      </c>
      <c r="G91" s="909">
        <f>((1+F91)^(1/365)-1)</f>
        <v>7.6549014202820231E-4</v>
      </c>
      <c r="H91" s="1121">
        <f>+E91*D91*G91</f>
        <v>872860.83826816664</v>
      </c>
    </row>
    <row r="92" spans="1:8" ht="13.5">
      <c r="A92" s="217">
        <v>2</v>
      </c>
      <c r="B92" s="800">
        <v>43009</v>
      </c>
      <c r="C92" s="800">
        <v>43039</v>
      </c>
      <c r="D92" s="1157">
        <f t="shared" ref="D92:D144" si="7">_xlfn.DAYS(C92,B92)+1</f>
        <v>31</v>
      </c>
      <c r="E92" s="1121">
        <f t="shared" ref="E92:E144" si="8">+$C$88</f>
        <v>39319447.688387245</v>
      </c>
      <c r="F92" s="1120">
        <v>0.31724999999999998</v>
      </c>
      <c r="G92" s="909">
        <f t="shared" ref="G92:G140" si="9">((1+F92)^(1/365)-1)</f>
        <v>7.5520620308799913E-4</v>
      </c>
      <c r="H92" s="1121">
        <f t="shared" ref="H92:H97" si="10">+E92*D92*G92</f>
        <v>920523.0146841883</v>
      </c>
    </row>
    <row r="93" spans="1:8" ht="13.5">
      <c r="A93" s="217">
        <v>3</v>
      </c>
      <c r="B93" s="800">
        <v>43040</v>
      </c>
      <c r="C93" s="800">
        <v>43069</v>
      </c>
      <c r="D93" s="1157">
        <f t="shared" si="7"/>
        <v>30</v>
      </c>
      <c r="E93" s="1121">
        <f t="shared" si="8"/>
        <v>39319447.688387245</v>
      </c>
      <c r="F93" s="1120">
        <v>0.31440000000000001</v>
      </c>
      <c r="G93" s="909">
        <f t="shared" si="9"/>
        <v>7.4926765057248268E-4</v>
      </c>
      <c r="H93" s="1121">
        <f t="shared" si="10"/>
        <v>883823.70573856635</v>
      </c>
    </row>
    <row r="94" spans="1:8" ht="13.5">
      <c r="A94" s="217">
        <v>4</v>
      </c>
      <c r="B94" s="800">
        <v>43070</v>
      </c>
      <c r="C94" s="800">
        <v>43100</v>
      </c>
      <c r="D94" s="1157">
        <f t="shared" si="7"/>
        <v>31</v>
      </c>
      <c r="E94" s="1121">
        <f t="shared" si="8"/>
        <v>39319447.688387245</v>
      </c>
      <c r="F94" s="1120">
        <v>0.31154999999999999</v>
      </c>
      <c r="G94" s="909">
        <f t="shared" si="9"/>
        <v>7.4331624292400811E-4</v>
      </c>
      <c r="H94" s="1121">
        <f t="shared" si="10"/>
        <v>906030.30801695166</v>
      </c>
    </row>
    <row r="95" spans="1:8" ht="13.5">
      <c r="A95" s="217">
        <v>5</v>
      </c>
      <c r="B95" s="800">
        <v>43101</v>
      </c>
      <c r="C95" s="800">
        <v>43131</v>
      </c>
      <c r="D95" s="1157">
        <f t="shared" si="7"/>
        <v>31</v>
      </c>
      <c r="E95" s="1121">
        <f t="shared" si="8"/>
        <v>39319447.688387245</v>
      </c>
      <c r="F95" s="1120">
        <v>0.31035000000000001</v>
      </c>
      <c r="G95" s="909">
        <f t="shared" si="9"/>
        <v>7.4080652774299871E-4</v>
      </c>
      <c r="H95" s="1121">
        <f t="shared" si="10"/>
        <v>902971.20895900566</v>
      </c>
    </row>
    <row r="96" spans="1:8" ht="13.5">
      <c r="A96" s="217">
        <v>6</v>
      </c>
      <c r="B96" s="800">
        <v>43132</v>
      </c>
      <c r="C96" s="800">
        <v>43159</v>
      </c>
      <c r="D96" s="1157">
        <f t="shared" si="7"/>
        <v>28</v>
      </c>
      <c r="E96" s="1121">
        <f t="shared" si="8"/>
        <v>39319447.688387245</v>
      </c>
      <c r="F96" s="1120">
        <v>0.31515000000000004</v>
      </c>
      <c r="G96" s="909">
        <f t="shared" si="9"/>
        <v>7.5083167162115494E-4</v>
      </c>
      <c r="H96" s="1121">
        <f t="shared" si="10"/>
        <v>826624.02578258573</v>
      </c>
    </row>
    <row r="97" spans="1:8" ht="13.5">
      <c r="A97" s="217">
        <v>7</v>
      </c>
      <c r="B97" s="800">
        <v>43160</v>
      </c>
      <c r="C97" s="800">
        <v>43161</v>
      </c>
      <c r="D97" s="1157">
        <f t="shared" si="7"/>
        <v>2</v>
      </c>
      <c r="E97" s="1121">
        <f t="shared" si="8"/>
        <v>39319447.688387245</v>
      </c>
      <c r="F97" s="1120">
        <v>0.31020000000000003</v>
      </c>
      <c r="G97" s="909">
        <f t="shared" si="9"/>
        <v>7.4049265219700011E-4</v>
      </c>
      <c r="H97" s="1121">
        <f t="shared" si="10"/>
        <v>58231.524203390152</v>
      </c>
    </row>
    <row r="98" spans="1:8" ht="13.5">
      <c r="A98" s="217">
        <v>8</v>
      </c>
      <c r="B98" s="800">
        <v>43162</v>
      </c>
      <c r="C98" s="800">
        <v>43190</v>
      </c>
      <c r="D98" s="1157">
        <v>0</v>
      </c>
      <c r="E98" s="1121">
        <f t="shared" si="8"/>
        <v>39319447.688387245</v>
      </c>
      <c r="F98" s="1120">
        <v>0.31020000000000003</v>
      </c>
      <c r="G98" s="909">
        <f>((1+F98)^(1/365)-1)</f>
        <v>7.4049265219700011E-4</v>
      </c>
      <c r="H98" s="1121">
        <f>+E98*D98*G98</f>
        <v>0</v>
      </c>
    </row>
    <row r="99" spans="1:8" ht="13.5">
      <c r="A99" s="217">
        <v>9</v>
      </c>
      <c r="B99" s="800">
        <v>43191</v>
      </c>
      <c r="C99" s="800">
        <v>43220</v>
      </c>
      <c r="D99" s="1157">
        <v>0</v>
      </c>
      <c r="E99" s="1121">
        <f t="shared" si="8"/>
        <v>39319447.688387245</v>
      </c>
      <c r="F99" s="1120">
        <v>0.30720000000000003</v>
      </c>
      <c r="G99" s="909">
        <f t="shared" si="9"/>
        <v>7.34207604366377E-4</v>
      </c>
      <c r="H99" s="1121">
        <f t="shared" ref="H99:H140" si="11">+E99*D99*G99</f>
        <v>0</v>
      </c>
    </row>
    <row r="100" spans="1:8" ht="13.5">
      <c r="A100" s="217">
        <v>10</v>
      </c>
      <c r="B100" s="800">
        <v>43221</v>
      </c>
      <c r="C100" s="800">
        <v>43251</v>
      </c>
      <c r="D100" s="1157">
        <v>0</v>
      </c>
      <c r="E100" s="1121">
        <f t="shared" si="8"/>
        <v>39319447.688387245</v>
      </c>
      <c r="F100" s="1120">
        <v>0.30659999999999998</v>
      </c>
      <c r="G100" s="909">
        <f t="shared" si="9"/>
        <v>7.3294886878794152E-4</v>
      </c>
      <c r="H100" s="1121">
        <f t="shared" si="11"/>
        <v>0</v>
      </c>
    </row>
    <row r="101" spans="1:8" ht="13.5">
      <c r="A101" s="217">
        <v>11</v>
      </c>
      <c r="B101" s="800">
        <v>43252</v>
      </c>
      <c r="C101" s="800">
        <v>43281</v>
      </c>
      <c r="D101" s="1157">
        <v>0</v>
      </c>
      <c r="E101" s="1121">
        <f t="shared" si="8"/>
        <v>39319447.688387245</v>
      </c>
      <c r="F101" s="1120">
        <v>0.30420000000000003</v>
      </c>
      <c r="G101" s="909">
        <f t="shared" si="9"/>
        <v>7.2790815549184096E-4</v>
      </c>
      <c r="H101" s="1121">
        <f t="shared" si="11"/>
        <v>0</v>
      </c>
    </row>
    <row r="102" spans="1:8" ht="13.5">
      <c r="A102" s="217">
        <v>12</v>
      </c>
      <c r="B102" s="800">
        <v>43282</v>
      </c>
      <c r="C102" s="800">
        <v>43312</v>
      </c>
      <c r="D102" s="1157">
        <v>0</v>
      </c>
      <c r="E102" s="1121">
        <f t="shared" si="8"/>
        <v>39319447.688387245</v>
      </c>
      <c r="F102" s="1120">
        <v>0.30044999999999999</v>
      </c>
      <c r="G102" s="909">
        <f t="shared" si="9"/>
        <v>7.2001349197825526E-4</v>
      </c>
      <c r="H102" s="1121">
        <f t="shared" si="11"/>
        <v>0</v>
      </c>
    </row>
    <row r="103" spans="1:8" ht="13.5">
      <c r="A103" s="217">
        <v>13</v>
      </c>
      <c r="B103" s="800">
        <v>43313</v>
      </c>
      <c r="C103" s="800">
        <v>43343</v>
      </c>
      <c r="D103" s="1157">
        <v>0</v>
      </c>
      <c r="E103" s="1121">
        <f t="shared" si="8"/>
        <v>39319447.688387245</v>
      </c>
      <c r="F103" s="1120">
        <v>0.29909999999999998</v>
      </c>
      <c r="G103" s="909">
        <f t="shared" si="9"/>
        <v>7.1716585429704161E-4</v>
      </c>
      <c r="H103" s="1121">
        <f t="shared" si="11"/>
        <v>0</v>
      </c>
    </row>
    <row r="104" spans="1:8" ht="13.5">
      <c r="A104" s="217">
        <v>14</v>
      </c>
      <c r="B104" s="800">
        <v>43344</v>
      </c>
      <c r="C104" s="800">
        <v>43373</v>
      </c>
      <c r="D104" s="1157">
        <v>0</v>
      </c>
      <c r="E104" s="1121">
        <f t="shared" si="8"/>
        <v>39319447.688387245</v>
      </c>
      <c r="F104" s="1120">
        <v>0.29715000000000003</v>
      </c>
      <c r="G104" s="909">
        <f t="shared" si="9"/>
        <v>7.1304738558919389E-4</v>
      </c>
      <c r="H104" s="1121">
        <f t="shared" si="11"/>
        <v>0</v>
      </c>
    </row>
    <row r="105" spans="1:8" ht="13.5">
      <c r="A105" s="217">
        <v>15</v>
      </c>
      <c r="B105" s="800">
        <v>43374</v>
      </c>
      <c r="C105" s="800">
        <v>43404</v>
      </c>
      <c r="D105" s="1157">
        <v>0</v>
      </c>
      <c r="E105" s="1121">
        <f t="shared" si="8"/>
        <v>39319447.688387245</v>
      </c>
      <c r="F105" s="1120">
        <v>0.29444999999999999</v>
      </c>
      <c r="G105" s="909">
        <f t="shared" si="9"/>
        <v>7.073346857742191E-4</v>
      </c>
      <c r="H105" s="1121">
        <f t="shared" si="11"/>
        <v>0</v>
      </c>
    </row>
    <row r="106" spans="1:8" ht="13.5">
      <c r="A106" s="217">
        <v>16</v>
      </c>
      <c r="B106" s="800">
        <v>43405</v>
      </c>
      <c r="C106" s="800">
        <v>43434</v>
      </c>
      <c r="D106" s="1157">
        <v>0</v>
      </c>
      <c r="E106" s="1121">
        <f t="shared" si="8"/>
        <v>39319447.688387245</v>
      </c>
      <c r="F106" s="1120">
        <v>0.29235</v>
      </c>
      <c r="G106" s="909">
        <f t="shared" si="9"/>
        <v>7.0288325333756063E-4</v>
      </c>
      <c r="H106" s="1121">
        <f t="shared" si="11"/>
        <v>0</v>
      </c>
    </row>
    <row r="107" spans="1:8" ht="13.5">
      <c r="A107" s="217">
        <v>17</v>
      </c>
      <c r="B107" s="800">
        <v>43435</v>
      </c>
      <c r="C107" s="800">
        <v>43465</v>
      </c>
      <c r="D107" s="1157">
        <v>0</v>
      </c>
      <c r="E107" s="1121">
        <f t="shared" si="8"/>
        <v>39319447.688387245</v>
      </c>
      <c r="F107" s="1120">
        <v>0.29100000000000004</v>
      </c>
      <c r="G107" s="909">
        <f t="shared" si="9"/>
        <v>7.0001780740103214E-4</v>
      </c>
      <c r="H107" s="1121">
        <f t="shared" si="11"/>
        <v>0</v>
      </c>
    </row>
    <row r="108" spans="1:8" ht="13.5">
      <c r="A108" s="217">
        <v>18</v>
      </c>
      <c r="B108" s="800">
        <v>43466</v>
      </c>
      <c r="C108" s="800">
        <v>43496</v>
      </c>
      <c r="D108" s="1157">
        <v>0</v>
      </c>
      <c r="E108" s="1121">
        <f t="shared" si="8"/>
        <v>39319447.688387245</v>
      </c>
      <c r="F108" s="1120">
        <v>0.28739999999999999</v>
      </c>
      <c r="G108" s="909">
        <f t="shared" si="9"/>
        <v>6.9236198468725085E-4</v>
      </c>
      <c r="H108" s="1121">
        <f t="shared" si="11"/>
        <v>0</v>
      </c>
    </row>
    <row r="109" spans="1:8" ht="13.5">
      <c r="A109" s="217">
        <v>19</v>
      </c>
      <c r="B109" s="800">
        <v>43497</v>
      </c>
      <c r="C109" s="800">
        <v>43524</v>
      </c>
      <c r="D109" s="1157">
        <v>0</v>
      </c>
      <c r="E109" s="1121">
        <f t="shared" si="8"/>
        <v>39319447.688387245</v>
      </c>
      <c r="F109" s="1120">
        <v>0.29549999999999998</v>
      </c>
      <c r="G109" s="909">
        <f t="shared" si="9"/>
        <v>7.0955770203506852E-4</v>
      </c>
      <c r="H109" s="1121">
        <f t="shared" si="11"/>
        <v>0</v>
      </c>
    </row>
    <row r="110" spans="1:8" ht="13.5">
      <c r="A110" s="217">
        <v>20</v>
      </c>
      <c r="B110" s="800">
        <v>43525</v>
      </c>
      <c r="C110" s="800">
        <v>43555</v>
      </c>
      <c r="D110" s="1157">
        <v>0</v>
      </c>
      <c r="E110" s="1121">
        <f t="shared" si="8"/>
        <v>39319447.688387245</v>
      </c>
      <c r="F110" s="1120">
        <v>0.29055000000000003</v>
      </c>
      <c r="G110" s="909">
        <f t="shared" si="9"/>
        <v>6.9906199467517638E-4</v>
      </c>
      <c r="H110" s="1121">
        <f t="shared" si="11"/>
        <v>0</v>
      </c>
    </row>
    <row r="111" spans="1:8" ht="13.5">
      <c r="A111" s="217">
        <v>21</v>
      </c>
      <c r="B111" s="800">
        <v>43556</v>
      </c>
      <c r="C111" s="800">
        <v>43585</v>
      </c>
      <c r="D111" s="1157">
        <v>0</v>
      </c>
      <c r="E111" s="1121">
        <f t="shared" si="8"/>
        <v>39319447.688387245</v>
      </c>
      <c r="F111" s="1120">
        <v>0.2898</v>
      </c>
      <c r="G111" s="909">
        <f t="shared" si="9"/>
        <v>6.9746823462724095E-4</v>
      </c>
      <c r="H111" s="1121">
        <f t="shared" si="11"/>
        <v>0</v>
      </c>
    </row>
    <row r="112" spans="1:8" ht="13.5">
      <c r="A112" s="217">
        <v>22</v>
      </c>
      <c r="B112" s="800">
        <v>43586</v>
      </c>
      <c r="C112" s="800">
        <v>43616</v>
      </c>
      <c r="D112" s="1157">
        <v>0</v>
      </c>
      <c r="E112" s="1121">
        <f t="shared" si="8"/>
        <v>39319447.688387245</v>
      </c>
      <c r="F112" s="1120">
        <v>0.29009999999999997</v>
      </c>
      <c r="G112" s="909">
        <f t="shared" si="9"/>
        <v>6.9810584952367805E-4</v>
      </c>
      <c r="H112" s="1121">
        <f t="shared" si="11"/>
        <v>0</v>
      </c>
    </row>
    <row r="113" spans="1:8" ht="13.5">
      <c r="A113" s="217">
        <v>23</v>
      </c>
      <c r="B113" s="800">
        <v>43617</v>
      </c>
      <c r="C113" s="800">
        <v>43642</v>
      </c>
      <c r="D113" s="1157">
        <v>0</v>
      </c>
      <c r="E113" s="1121">
        <f t="shared" si="8"/>
        <v>39319447.688387245</v>
      </c>
      <c r="F113" s="1120">
        <v>0.28949999999999998</v>
      </c>
      <c r="G113" s="909">
        <f t="shared" si="9"/>
        <v>6.9683047181468005E-4</v>
      </c>
      <c r="H113" s="1121">
        <f t="shared" si="11"/>
        <v>0</v>
      </c>
    </row>
    <row r="114" spans="1:8" ht="13.5">
      <c r="A114" s="217">
        <v>24</v>
      </c>
      <c r="B114" s="800">
        <v>43643</v>
      </c>
      <c r="C114" s="800">
        <v>43646</v>
      </c>
      <c r="D114" s="1157">
        <f t="shared" si="7"/>
        <v>4</v>
      </c>
      <c r="E114" s="1121">
        <f t="shared" si="8"/>
        <v>39319447.688387245</v>
      </c>
      <c r="F114" s="1120">
        <v>0.28949999999999998</v>
      </c>
      <c r="G114" s="909">
        <f>((1+F114)^(1/365)-1)</f>
        <v>6.9683047181468005E-4</v>
      </c>
      <c r="H114" s="1121">
        <f>+E114*D114*G114</f>
        <v>109595.95713676605</v>
      </c>
    </row>
    <row r="115" spans="1:8" ht="13.5">
      <c r="A115" s="217">
        <v>25</v>
      </c>
      <c r="B115" s="800">
        <v>43647</v>
      </c>
      <c r="C115" s="800">
        <v>43677</v>
      </c>
      <c r="D115" s="1157">
        <f t="shared" si="7"/>
        <v>31</v>
      </c>
      <c r="E115" s="1121">
        <f t="shared" si="8"/>
        <v>39319447.688387245</v>
      </c>
      <c r="F115" s="1120">
        <v>0.28920000000000001</v>
      </c>
      <c r="G115" s="909">
        <f t="shared" si="9"/>
        <v>6.9619256101671745E-4</v>
      </c>
      <c r="H115" s="1121">
        <f t="shared" si="11"/>
        <v>848591.11650217627</v>
      </c>
    </row>
    <row r="116" spans="1:8" ht="13.5">
      <c r="A116" s="217">
        <v>26</v>
      </c>
      <c r="B116" s="800">
        <v>43678</v>
      </c>
      <c r="C116" s="800">
        <v>43708</v>
      </c>
      <c r="D116" s="1157">
        <f t="shared" si="7"/>
        <v>31</v>
      </c>
      <c r="E116" s="1121">
        <f t="shared" si="8"/>
        <v>39319447.688387245</v>
      </c>
      <c r="F116" s="1120">
        <v>0.2898</v>
      </c>
      <c r="G116" s="909">
        <f t="shared" si="9"/>
        <v>6.9746823462724095E-4</v>
      </c>
      <c r="H116" s="1121">
        <f t="shared" si="11"/>
        <v>850146.03873786575</v>
      </c>
    </row>
    <row r="117" spans="1:8" ht="13.5">
      <c r="A117" s="217">
        <v>27</v>
      </c>
      <c r="B117" s="800">
        <v>43709</v>
      </c>
      <c r="C117" s="800">
        <v>43738</v>
      </c>
      <c r="D117" s="1157">
        <f t="shared" si="7"/>
        <v>30</v>
      </c>
      <c r="E117" s="1121">
        <f t="shared" si="8"/>
        <v>39319447.688387245</v>
      </c>
      <c r="F117" s="1120">
        <v>0.2898</v>
      </c>
      <c r="G117" s="909">
        <f t="shared" si="9"/>
        <v>6.9746823462724095E-4</v>
      </c>
      <c r="H117" s="1121">
        <f t="shared" si="11"/>
        <v>822721.97297212796</v>
      </c>
    </row>
    <row r="118" spans="1:8" ht="13.5">
      <c r="A118" s="217">
        <v>28</v>
      </c>
      <c r="B118" s="800">
        <v>43739</v>
      </c>
      <c r="C118" s="800">
        <v>43769</v>
      </c>
      <c r="D118" s="1157">
        <f t="shared" si="7"/>
        <v>31</v>
      </c>
      <c r="E118" s="1121">
        <f t="shared" si="8"/>
        <v>39319447.688387245</v>
      </c>
      <c r="F118" s="1120">
        <v>0.28649999999999998</v>
      </c>
      <c r="G118" s="909">
        <f t="shared" si="9"/>
        <v>6.9044469314105683E-4</v>
      </c>
      <c r="H118" s="1121">
        <f t="shared" si="11"/>
        <v>841585.02380421548</v>
      </c>
    </row>
    <row r="119" spans="1:8" ht="13.5">
      <c r="A119" s="217">
        <v>29</v>
      </c>
      <c r="B119" s="800">
        <v>43770</v>
      </c>
      <c r="C119" s="800">
        <v>43799</v>
      </c>
      <c r="D119" s="1157">
        <f t="shared" si="7"/>
        <v>30</v>
      </c>
      <c r="E119" s="1121">
        <f t="shared" si="8"/>
        <v>39319447.688387245</v>
      </c>
      <c r="F119" s="1120">
        <v>0.28544999999999998</v>
      </c>
      <c r="G119" s="909">
        <f t="shared" si="9"/>
        <v>6.8820616169262827E-4</v>
      </c>
      <c r="H119" s="1121">
        <f t="shared" si="11"/>
        <v>811796.58520497207</v>
      </c>
    </row>
    <row r="120" spans="1:8" ht="13.5">
      <c r="A120" s="217">
        <v>30</v>
      </c>
      <c r="B120" s="800">
        <v>43800</v>
      </c>
      <c r="C120" s="800">
        <v>43830</v>
      </c>
      <c r="D120" s="1157">
        <f t="shared" si="7"/>
        <v>31</v>
      </c>
      <c r="E120" s="1121">
        <f t="shared" si="8"/>
        <v>39319447.688387245</v>
      </c>
      <c r="F120" s="1120">
        <v>0.28364999999999996</v>
      </c>
      <c r="G120" s="909">
        <f t="shared" si="9"/>
        <v>6.8436443340047504E-4</v>
      </c>
      <c r="H120" s="1121">
        <f t="shared" si="11"/>
        <v>834173.77770536544</v>
      </c>
    </row>
    <row r="121" spans="1:8" ht="13.5">
      <c r="A121" s="217">
        <v>31</v>
      </c>
      <c r="B121" s="800">
        <v>43831</v>
      </c>
      <c r="C121" s="800">
        <v>43861</v>
      </c>
      <c r="D121" s="1157">
        <f t="shared" si="7"/>
        <v>31</v>
      </c>
      <c r="E121" s="1121">
        <f t="shared" si="8"/>
        <v>39319447.688387245</v>
      </c>
      <c r="F121" s="1120">
        <v>0.28155000000000002</v>
      </c>
      <c r="G121" s="909">
        <f t="shared" si="9"/>
        <v>6.7987562124560696E-4</v>
      </c>
      <c r="H121" s="1121">
        <f t="shared" si="11"/>
        <v>828702.35164946911</v>
      </c>
    </row>
    <row r="122" spans="1:8" ht="13.5">
      <c r="A122" s="217">
        <v>32</v>
      </c>
      <c r="B122" s="800">
        <v>43862</v>
      </c>
      <c r="C122" s="800">
        <v>43890</v>
      </c>
      <c r="D122" s="1157">
        <f t="shared" si="7"/>
        <v>29</v>
      </c>
      <c r="E122" s="1121">
        <f t="shared" si="8"/>
        <v>39319447.688387245</v>
      </c>
      <c r="F122" s="1120">
        <v>0.28589999999999999</v>
      </c>
      <c r="G122" s="909">
        <f t="shared" si="9"/>
        <v>6.8916575551658532E-4</v>
      </c>
      <c r="H122" s="1121">
        <f t="shared" si="11"/>
        <v>785830.88930720522</v>
      </c>
    </row>
    <row r="123" spans="1:8" ht="13.5">
      <c r="A123" s="217">
        <v>33</v>
      </c>
      <c r="B123" s="800">
        <v>43891</v>
      </c>
      <c r="C123" s="800">
        <v>43921</v>
      </c>
      <c r="D123" s="1157">
        <f t="shared" si="7"/>
        <v>31</v>
      </c>
      <c r="E123" s="1121">
        <f t="shared" si="8"/>
        <v>39319447.688387245</v>
      </c>
      <c r="F123" s="1120">
        <v>0.28425</v>
      </c>
      <c r="G123" s="909">
        <f t="shared" si="9"/>
        <v>6.8564560609574166E-4</v>
      </c>
      <c r="H123" s="1121">
        <f t="shared" si="11"/>
        <v>835735.40279127657</v>
      </c>
    </row>
    <row r="124" spans="1:8" ht="13.5">
      <c r="A124" s="217">
        <v>34</v>
      </c>
      <c r="B124" s="800">
        <v>43922</v>
      </c>
      <c r="C124" s="800">
        <v>43951</v>
      </c>
      <c r="D124" s="1157">
        <f t="shared" si="7"/>
        <v>30</v>
      </c>
      <c r="E124" s="1121">
        <f t="shared" si="8"/>
        <v>39319447.688387245</v>
      </c>
      <c r="F124" s="1120">
        <v>0.28034999999999999</v>
      </c>
      <c r="G124" s="909">
        <f t="shared" si="9"/>
        <v>6.7730729113191224E-4</v>
      </c>
      <c r="H124" s="1121">
        <f t="shared" si="11"/>
        <v>798940.45807873481</v>
      </c>
    </row>
    <row r="125" spans="1:8" ht="13.5">
      <c r="A125" s="217">
        <v>35</v>
      </c>
      <c r="B125" s="800">
        <v>43952</v>
      </c>
      <c r="C125" s="800">
        <v>43982</v>
      </c>
      <c r="D125" s="1157">
        <f t="shared" si="7"/>
        <v>31</v>
      </c>
      <c r="E125" s="1121">
        <f t="shared" si="8"/>
        <v>39319447.688387245</v>
      </c>
      <c r="F125" s="1120">
        <v>0.27285000000000004</v>
      </c>
      <c r="G125" s="909">
        <f t="shared" si="9"/>
        <v>6.6120063584418354E-4</v>
      </c>
      <c r="H125" s="1121">
        <f t="shared" si="11"/>
        <v>805939.35819071659</v>
      </c>
    </row>
    <row r="126" spans="1:8" ht="13.5">
      <c r="A126" s="217">
        <v>36</v>
      </c>
      <c r="B126" s="800">
        <v>43983</v>
      </c>
      <c r="C126" s="800">
        <v>44012</v>
      </c>
      <c r="D126" s="1157">
        <f t="shared" si="7"/>
        <v>30</v>
      </c>
      <c r="E126" s="1121">
        <f t="shared" si="8"/>
        <v>39319447.688387245</v>
      </c>
      <c r="F126" s="1120">
        <v>0.27179999999999999</v>
      </c>
      <c r="G126" s="909">
        <f t="shared" si="9"/>
        <v>6.5893815469997286E-4</v>
      </c>
      <c r="H126" s="1121">
        <f t="shared" si="11"/>
        <v>777272.52910824015</v>
      </c>
    </row>
    <row r="127" spans="1:8" ht="13.5">
      <c r="A127" s="217">
        <v>37</v>
      </c>
      <c r="B127" s="800">
        <v>44013</v>
      </c>
      <c r="C127" s="800">
        <v>44043</v>
      </c>
      <c r="D127" s="1157">
        <f t="shared" si="7"/>
        <v>31</v>
      </c>
      <c r="E127" s="1121">
        <f t="shared" si="8"/>
        <v>39319447.688387245</v>
      </c>
      <c r="F127" s="1120">
        <v>0.27179999999999999</v>
      </c>
      <c r="G127" s="909">
        <f t="shared" si="9"/>
        <v>6.5893815469997286E-4</v>
      </c>
      <c r="H127" s="1121">
        <f t="shared" si="11"/>
        <v>803181.6134118482</v>
      </c>
    </row>
    <row r="128" spans="1:8" ht="13.5">
      <c r="A128" s="217">
        <v>38</v>
      </c>
      <c r="B128" s="800">
        <v>44044</v>
      </c>
      <c r="C128" s="800">
        <v>44074</v>
      </c>
      <c r="D128" s="1157">
        <f t="shared" si="7"/>
        <v>31</v>
      </c>
      <c r="E128" s="1121">
        <f t="shared" si="8"/>
        <v>39319447.688387245</v>
      </c>
      <c r="F128" s="1120">
        <v>0.27434999999999998</v>
      </c>
      <c r="G128" s="909">
        <f t="shared" si="9"/>
        <v>6.6442952514544906E-4</v>
      </c>
      <c r="H128" s="1121">
        <f t="shared" si="11"/>
        <v>809875.06065387034</v>
      </c>
    </row>
    <row r="129" spans="1:8" ht="13.5">
      <c r="A129" s="217">
        <v>39</v>
      </c>
      <c r="B129" s="800">
        <v>44075</v>
      </c>
      <c r="C129" s="800">
        <v>44104</v>
      </c>
      <c r="D129" s="1157">
        <f t="shared" si="7"/>
        <v>30</v>
      </c>
      <c r="E129" s="1121">
        <f t="shared" si="8"/>
        <v>39319447.688387245</v>
      </c>
      <c r="F129" s="1120">
        <v>0.27524999999999999</v>
      </c>
      <c r="G129" s="909">
        <f t="shared" si="9"/>
        <v>6.6636503991857055E-4</v>
      </c>
      <c r="H129" s="1121">
        <f t="shared" si="11"/>
        <v>786033.15985344932</v>
      </c>
    </row>
    <row r="130" spans="1:8" ht="13.5">
      <c r="A130" s="217">
        <v>40</v>
      </c>
      <c r="B130" s="800">
        <v>44105</v>
      </c>
      <c r="C130" s="800">
        <v>44135</v>
      </c>
      <c r="D130" s="1157">
        <f t="shared" si="7"/>
        <v>31</v>
      </c>
      <c r="E130" s="1121">
        <f t="shared" si="8"/>
        <v>39319447.688387245</v>
      </c>
      <c r="F130" s="1120">
        <v>0.27134999999999998</v>
      </c>
      <c r="G130" s="909">
        <f t="shared" si="9"/>
        <v>6.5796794962613703E-4</v>
      </c>
      <c r="H130" s="1121">
        <f t="shared" si="11"/>
        <v>801999.0276547696</v>
      </c>
    </row>
    <row r="131" spans="1:8" ht="13.5">
      <c r="A131" s="217">
        <v>41</v>
      </c>
      <c r="B131" s="800">
        <v>44136</v>
      </c>
      <c r="C131" s="800">
        <v>44165</v>
      </c>
      <c r="D131" s="1157">
        <f t="shared" si="7"/>
        <v>30</v>
      </c>
      <c r="E131" s="1121">
        <f t="shared" si="8"/>
        <v>39319447.688387245</v>
      </c>
      <c r="F131" s="1120">
        <v>0.2676</v>
      </c>
      <c r="G131" s="909">
        <f t="shared" si="9"/>
        <v>6.4986956374091243E-4</v>
      </c>
      <c r="H131" s="1121">
        <f t="shared" si="11"/>
        <v>766575.36947357538</v>
      </c>
    </row>
    <row r="132" spans="1:8" ht="13.5">
      <c r="A132" s="217">
        <v>42</v>
      </c>
      <c r="B132" s="800">
        <v>44166</v>
      </c>
      <c r="C132" s="800">
        <v>44196</v>
      </c>
      <c r="D132" s="1157">
        <f t="shared" si="7"/>
        <v>31</v>
      </c>
      <c r="E132" s="1121">
        <f t="shared" si="8"/>
        <v>39319447.688387245</v>
      </c>
      <c r="F132" s="1120">
        <v>0.26190000000000002</v>
      </c>
      <c r="G132" s="909">
        <f t="shared" si="9"/>
        <v>6.3751414410861962E-4</v>
      </c>
      <c r="H132" s="1121">
        <f t="shared" si="11"/>
        <v>777067.82523646101</v>
      </c>
    </row>
    <row r="133" spans="1:8" ht="13.5">
      <c r="A133" s="217">
        <v>43</v>
      </c>
      <c r="B133" s="800">
        <v>44197</v>
      </c>
      <c r="C133" s="800">
        <v>44227</v>
      </c>
      <c r="D133" s="1157">
        <f t="shared" si="7"/>
        <v>31</v>
      </c>
      <c r="E133" s="1121">
        <f t="shared" si="8"/>
        <v>39319447.688387245</v>
      </c>
      <c r="F133" s="1120">
        <v>0.25979999999999998</v>
      </c>
      <c r="G133" s="909">
        <f t="shared" si="9"/>
        <v>6.3294811266723094E-4</v>
      </c>
      <c r="H133" s="1121">
        <f t="shared" si="11"/>
        <v>771502.27636996133</v>
      </c>
    </row>
    <row r="134" spans="1:8" ht="13.5">
      <c r="A134" s="217">
        <v>44</v>
      </c>
      <c r="B134" s="800">
        <v>44228</v>
      </c>
      <c r="C134" s="800">
        <v>44255</v>
      </c>
      <c r="D134" s="1157">
        <f t="shared" si="7"/>
        <v>28</v>
      </c>
      <c r="E134" s="1121">
        <f t="shared" si="8"/>
        <v>39319447.688387245</v>
      </c>
      <c r="F134" s="1120">
        <v>0.2631</v>
      </c>
      <c r="G134" s="909">
        <f t="shared" si="9"/>
        <v>6.4011990387169426E-4</v>
      </c>
      <c r="H134" s="1121">
        <f t="shared" si="11"/>
        <v>704736.5100881994</v>
      </c>
    </row>
    <row r="135" spans="1:8" ht="13.5">
      <c r="A135" s="217">
        <v>45</v>
      </c>
      <c r="B135" s="800">
        <v>44256</v>
      </c>
      <c r="C135" s="800">
        <v>44286</v>
      </c>
      <c r="D135" s="1157">
        <f t="shared" si="7"/>
        <v>31</v>
      </c>
      <c r="E135" s="1121">
        <f t="shared" si="8"/>
        <v>39319447.688387245</v>
      </c>
      <c r="F135" s="1120">
        <v>0.26114999999999999</v>
      </c>
      <c r="G135" s="909">
        <f t="shared" si="9"/>
        <v>6.3588428907812578E-4</v>
      </c>
      <c r="H135" s="1121">
        <f t="shared" si="11"/>
        <v>775081.19024851511</v>
      </c>
    </row>
    <row r="136" spans="1:8" ht="13.5">
      <c r="A136" s="217">
        <v>46</v>
      </c>
      <c r="B136" s="800">
        <v>44287</v>
      </c>
      <c r="C136" s="800">
        <v>44316</v>
      </c>
      <c r="D136" s="1157">
        <f t="shared" si="7"/>
        <v>30</v>
      </c>
      <c r="E136" s="1121">
        <f t="shared" si="8"/>
        <v>39319447.688387245</v>
      </c>
      <c r="F136" s="1120">
        <v>0.25964999999999999</v>
      </c>
      <c r="G136" s="909">
        <f t="shared" si="9"/>
        <v>6.326216771728177E-4</v>
      </c>
      <c r="H136" s="1121">
        <f t="shared" si="11"/>
        <v>746230.04826409218</v>
      </c>
    </row>
    <row r="137" spans="1:8" ht="13.5">
      <c r="A137" s="217">
        <v>47</v>
      </c>
      <c r="B137" s="800">
        <v>44317</v>
      </c>
      <c r="C137" s="800">
        <v>44347</v>
      </c>
      <c r="D137" s="1157">
        <f t="shared" si="7"/>
        <v>31</v>
      </c>
      <c r="E137" s="1121">
        <f t="shared" si="8"/>
        <v>39319447.688387245</v>
      </c>
      <c r="F137" s="1120">
        <v>0.25829999999999997</v>
      </c>
      <c r="G137" s="909">
        <f t="shared" si="9"/>
        <v>6.2968201205726437E-4</v>
      </c>
      <c r="H137" s="1121">
        <f t="shared" si="11"/>
        <v>767521.21693552507</v>
      </c>
    </row>
    <row r="138" spans="1:8" ht="13.5">
      <c r="A138" s="217">
        <v>48</v>
      </c>
      <c r="B138" s="800">
        <v>44348</v>
      </c>
      <c r="C138" s="800">
        <v>44377</v>
      </c>
      <c r="D138" s="1157">
        <f t="shared" si="7"/>
        <v>30</v>
      </c>
      <c r="E138" s="1121">
        <f t="shared" si="8"/>
        <v>39319447.688387245</v>
      </c>
      <c r="F138" s="1120">
        <v>0.25814999999999999</v>
      </c>
      <c r="G138" s="909">
        <f t="shared" si="9"/>
        <v>6.2935518846773952E-4</v>
      </c>
      <c r="H138" s="1121">
        <f t="shared" si="11"/>
        <v>742376.95231117134</v>
      </c>
    </row>
    <row r="139" spans="1:8" ht="13.5">
      <c r="A139" s="217">
        <v>49</v>
      </c>
      <c r="B139" s="800">
        <v>44378</v>
      </c>
      <c r="C139" s="800">
        <v>44408</v>
      </c>
      <c r="D139" s="1157">
        <f t="shared" si="7"/>
        <v>31</v>
      </c>
      <c r="E139" s="1121">
        <f t="shared" si="8"/>
        <v>39319447.688387245</v>
      </c>
      <c r="F139" s="1120">
        <f>17.18%*1.5</f>
        <v>0.25770000000000004</v>
      </c>
      <c r="G139" s="909">
        <f>((1+F139)^(1/365)-1)</f>
        <v>6.2837448450037137E-4</v>
      </c>
      <c r="H139" s="1121">
        <f>+E139*D139*G139</f>
        <v>765927.46783291933</v>
      </c>
    </row>
    <row r="140" spans="1:8" ht="13.5">
      <c r="A140" s="217">
        <v>50</v>
      </c>
      <c r="B140" s="800">
        <v>44409</v>
      </c>
      <c r="C140" s="800">
        <v>44439</v>
      </c>
      <c r="D140" s="1157">
        <f t="shared" si="7"/>
        <v>31</v>
      </c>
      <c r="E140" s="1121">
        <f t="shared" si="8"/>
        <v>39319447.688387245</v>
      </c>
      <c r="F140" s="1120">
        <f>17.24%*1.5</f>
        <v>0.2586</v>
      </c>
      <c r="G140" s="909">
        <f t="shared" si="9"/>
        <v>6.3033554269220637E-4</v>
      </c>
      <c r="H140" s="1121">
        <f t="shared" si="11"/>
        <v>768317.80730753927</v>
      </c>
    </row>
    <row r="141" spans="1:8" ht="13.5">
      <c r="A141" s="217">
        <v>51</v>
      </c>
      <c r="B141" s="800">
        <v>44440</v>
      </c>
      <c r="C141" s="800">
        <v>44469</v>
      </c>
      <c r="D141" s="1157">
        <f t="shared" si="7"/>
        <v>30</v>
      </c>
      <c r="E141" s="1121">
        <f t="shared" si="8"/>
        <v>39319447.688387245</v>
      </c>
      <c r="F141" s="1120">
        <f>17.19%*1.5</f>
        <v>0.25785000000000002</v>
      </c>
      <c r="G141" s="909">
        <f>((1+F141)^(1/365)-1)</f>
        <v>6.2870142469861889E-4</v>
      </c>
      <c r="H141" s="1121">
        <f>+E141*D141*G141</f>
        <v>741605.78340155631</v>
      </c>
    </row>
    <row r="142" spans="1:8" ht="13.5">
      <c r="A142" s="217">
        <v>52</v>
      </c>
      <c r="B142" s="800">
        <v>44470</v>
      </c>
      <c r="C142" s="800">
        <v>44500</v>
      </c>
      <c r="D142" s="1157">
        <f t="shared" si="7"/>
        <v>31</v>
      </c>
      <c r="E142" s="1121">
        <f t="shared" si="8"/>
        <v>39319447.688387245</v>
      </c>
      <c r="F142" s="1120">
        <f>17.08%*1.5</f>
        <v>0.25619999999999998</v>
      </c>
      <c r="G142" s="909">
        <f>((1+F142)^(1/365)-1)</f>
        <v>6.2510294214179751E-4</v>
      </c>
      <c r="H142" s="1121">
        <f>+E142*D142*G142</f>
        <v>761939.77543544245</v>
      </c>
    </row>
    <row r="143" spans="1:8" ht="13.5">
      <c r="A143" s="217">
        <v>53</v>
      </c>
      <c r="B143" s="800">
        <v>44501</v>
      </c>
      <c r="C143" s="800">
        <v>44530</v>
      </c>
      <c r="D143" s="1157">
        <f t="shared" si="7"/>
        <v>30</v>
      </c>
      <c r="E143" s="1121">
        <f t="shared" si="8"/>
        <v>39319447.688387245</v>
      </c>
      <c r="F143" s="1120">
        <f>17.27%*1.5</f>
        <v>0.25905</v>
      </c>
      <c r="G143" s="909">
        <f>((1+F143)^(1/365)-1)</f>
        <v>6.3131554742335005E-4</v>
      </c>
      <c r="H143" s="1121">
        <f>+E143*D143*G143</f>
        <v>744689.359253339</v>
      </c>
    </row>
    <row r="144" spans="1:8" ht="13.5">
      <c r="A144" s="217">
        <v>54</v>
      </c>
      <c r="B144" s="800">
        <v>44531</v>
      </c>
      <c r="C144" s="800">
        <v>44546</v>
      </c>
      <c r="D144" s="1157">
        <f t="shared" si="7"/>
        <v>16</v>
      </c>
      <c r="E144" s="1121">
        <f t="shared" si="8"/>
        <v>39319447.688387245</v>
      </c>
      <c r="F144" s="1120">
        <f>17.46%*1.5</f>
        <v>0.26190000000000002</v>
      </c>
      <c r="G144" s="909">
        <f>((1+F144)^(1/365)-1)</f>
        <v>6.3751414410861962E-4</v>
      </c>
      <c r="H144" s="1121">
        <f>+E144*D144*G144</f>
        <v>401067.26463817339</v>
      </c>
    </row>
    <row r="145" spans="2:8" ht="14.25" thickBot="1">
      <c r="B145" s="814"/>
      <c r="C145" s="814"/>
      <c r="D145" s="814"/>
      <c r="E145" s="814"/>
      <c r="F145" s="1158" t="s">
        <v>338</v>
      </c>
      <c r="G145" s="1158"/>
      <c r="H145" s="1159">
        <f>SUM(H91:H144)</f>
        <v>28757823.795212403</v>
      </c>
    </row>
    <row r="146" spans="2:8" ht="14.25" thickBot="1">
      <c r="B146" s="2592" t="s">
        <v>346</v>
      </c>
      <c r="C146" s="2593"/>
      <c r="D146" s="2594"/>
      <c r="E146" s="741"/>
      <c r="F146" s="900"/>
      <c r="G146" s="814"/>
      <c r="H146" s="1121"/>
    </row>
    <row r="147" spans="2:8" ht="13.5">
      <c r="B147" s="2595" t="s">
        <v>198</v>
      </c>
      <c r="C147" s="2596"/>
      <c r="D147" s="2597"/>
      <c r="E147" s="1160">
        <f>+C88</f>
        <v>39319447.688387245</v>
      </c>
      <c r="F147" s="814"/>
      <c r="G147" s="814"/>
      <c r="H147" s="814"/>
    </row>
    <row r="148" spans="2:8" ht="13.5">
      <c r="B148" s="2598" t="s">
        <v>506</v>
      </c>
      <c r="C148" s="2599"/>
      <c r="D148" s="2584"/>
      <c r="E148" s="1161">
        <f>+H145</f>
        <v>28757823.795212403</v>
      </c>
      <c r="F148" s="814"/>
      <c r="G148" s="814"/>
      <c r="H148" s="814"/>
    </row>
    <row r="149" spans="2:8" ht="14.25" thickBot="1">
      <c r="B149" s="1162" t="s">
        <v>61</v>
      </c>
      <c r="C149" s="1163"/>
      <c r="D149" s="1164"/>
      <c r="E149" s="1165">
        <f>SUM(E147:E148)</f>
        <v>68077271.483599648</v>
      </c>
      <c r="F149" s="814"/>
      <c r="G149" s="814"/>
      <c r="H149" s="814"/>
    </row>
    <row r="150" spans="2:8" ht="13.5">
      <c r="B150" s="900" t="s">
        <v>62</v>
      </c>
      <c r="C150" s="814"/>
      <c r="D150" s="814"/>
      <c r="E150" s="814"/>
      <c r="F150" s="814"/>
      <c r="G150" s="814"/>
      <c r="H150" s="814"/>
    </row>
    <row r="151" spans="2:8" ht="13.5">
      <c r="B151" s="814"/>
      <c r="C151" s="814"/>
      <c r="D151" s="814"/>
      <c r="E151" s="814"/>
      <c r="F151" s="814"/>
      <c r="G151" s="814"/>
      <c r="H151" s="814"/>
    </row>
    <row r="152" spans="2:8" ht="13.5">
      <c r="B152" s="814"/>
      <c r="C152" s="814"/>
      <c r="D152" s="814"/>
      <c r="E152" s="814"/>
      <c r="F152" s="814"/>
      <c r="G152" s="814"/>
      <c r="H152" s="814"/>
    </row>
    <row r="153" spans="2:8" ht="13.5">
      <c r="B153" s="818" t="s">
        <v>63</v>
      </c>
      <c r="C153" s="814"/>
      <c r="D153" s="814"/>
      <c r="E153" s="814"/>
      <c r="F153" s="814"/>
      <c r="G153" s="814"/>
      <c r="H153" s="814"/>
    </row>
    <row r="154" spans="2:8" ht="13.5">
      <c r="B154" s="818" t="s">
        <v>64</v>
      </c>
      <c r="C154" s="814"/>
      <c r="D154" s="814"/>
      <c r="E154" s="814"/>
      <c r="F154" s="814"/>
      <c r="G154" s="814"/>
      <c r="H154" s="814"/>
    </row>
    <row r="155" spans="2:8" ht="13.5">
      <c r="B155" s="900" t="s">
        <v>65</v>
      </c>
      <c r="C155" s="814"/>
      <c r="D155" s="814"/>
      <c r="E155" s="814"/>
      <c r="F155" s="814"/>
      <c r="G155" s="814"/>
      <c r="H155" s="814"/>
    </row>
    <row r="156" spans="2:8" ht="13.5">
      <c r="B156" s="814"/>
      <c r="C156" s="814"/>
      <c r="D156" s="814"/>
      <c r="E156" s="814"/>
      <c r="F156" s="814"/>
      <c r="G156" s="814"/>
      <c r="H156" s="814"/>
    </row>
    <row r="157" spans="2:8" ht="13.5">
      <c r="B157" s="690"/>
      <c r="C157" s="690"/>
      <c r="D157" s="690"/>
      <c r="E157" s="690"/>
      <c r="F157" s="690"/>
      <c r="G157" s="690"/>
      <c r="H157" s="690"/>
    </row>
    <row r="158" spans="2:8" ht="13.5">
      <c r="B158" s="690"/>
      <c r="C158" s="690"/>
      <c r="D158" s="690"/>
      <c r="E158" s="690"/>
      <c r="F158" s="690"/>
      <c r="G158" s="690"/>
      <c r="H158" s="690"/>
    </row>
    <row r="159" spans="2:8" ht="13.5">
      <c r="B159" s="690"/>
      <c r="C159" s="690"/>
      <c r="D159" s="690"/>
      <c r="E159" s="690"/>
      <c r="F159" s="690"/>
      <c r="G159" s="690"/>
      <c r="H159" s="690"/>
    </row>
  </sheetData>
  <mergeCells count="4">
    <mergeCell ref="B89:H89"/>
    <mergeCell ref="B146:D146"/>
    <mergeCell ref="B147:D147"/>
    <mergeCell ref="B148:D148"/>
  </mergeCells>
  <pageMargins left="0.7" right="0.7" top="0.75" bottom="0.75" header="0.3" footer="0.3"/>
  <pageSetup paperSize="9" scale="82" orientation="portrait"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87F4D-6490-4B3E-BC7B-C54D09BFB2FD}">
  <sheetPr codeName="Hoja15"/>
  <dimension ref="A1:U202"/>
  <sheetViews>
    <sheetView zoomScaleNormal="100" workbookViewId="0">
      <selection activeCell="F140" sqref="F140"/>
    </sheetView>
  </sheetViews>
  <sheetFormatPr defaultColWidth="11.42578125" defaultRowHeight="12.75"/>
  <cols>
    <col min="1" max="1" width="2.28515625" style="1265" customWidth="1"/>
    <col min="2" max="2" width="17.28515625" style="1265" customWidth="1"/>
    <col min="3" max="3" width="15.42578125" style="1265" customWidth="1"/>
    <col min="4" max="4" width="11.42578125" style="1265"/>
    <col min="5" max="5" width="12.42578125" style="1265" customWidth="1"/>
    <col min="6" max="6" width="14.85546875" style="1265" customWidth="1"/>
    <col min="7" max="7" width="10.28515625" style="1265" bestFit="1" customWidth="1"/>
    <col min="8" max="8" width="11.7109375" style="1265" bestFit="1" customWidth="1"/>
    <col min="9" max="9" width="11" style="1265" customWidth="1"/>
    <col min="10" max="10" width="12" style="1265" hidden="1" customWidth="1"/>
    <col min="11" max="11" width="14.5703125" style="1265" hidden="1" customWidth="1"/>
    <col min="12" max="12" width="12" style="1265" hidden="1" customWidth="1"/>
    <col min="13" max="13" width="13.42578125" style="1265" hidden="1" customWidth="1"/>
    <col min="14" max="15" width="11.42578125" style="1265"/>
    <col min="16" max="21" width="0" style="1265" hidden="1" customWidth="1"/>
    <col min="22" max="260" width="11.42578125" style="1265"/>
    <col min="261" max="261" width="20.140625" style="1265" customWidth="1"/>
    <col min="262" max="262" width="14.85546875" style="1265" customWidth="1"/>
    <col min="263" max="264" width="11.42578125" style="1265"/>
    <col min="265" max="265" width="9.7109375" style="1265" customWidth="1"/>
    <col min="266" max="266" width="10.42578125" style="1265" customWidth="1"/>
    <col min="267" max="267" width="11" style="1265" customWidth="1"/>
    <col min="268" max="268" width="12" style="1265" customWidth="1"/>
    <col min="269" max="269" width="13.42578125" style="1265" customWidth="1"/>
    <col min="270" max="516" width="11.42578125" style="1265"/>
    <col min="517" max="517" width="20.140625" style="1265" customWidth="1"/>
    <col min="518" max="518" width="14.85546875" style="1265" customWidth="1"/>
    <col min="519" max="520" width="11.42578125" style="1265"/>
    <col min="521" max="521" width="9.7109375" style="1265" customWidth="1"/>
    <col min="522" max="522" width="10.42578125" style="1265" customWidth="1"/>
    <col min="523" max="523" width="11" style="1265" customWidth="1"/>
    <col min="524" max="524" width="12" style="1265" customWidth="1"/>
    <col min="525" max="525" width="13.42578125" style="1265" customWidth="1"/>
    <col min="526" max="772" width="11.42578125" style="1265"/>
    <col min="773" max="773" width="20.140625" style="1265" customWidth="1"/>
    <col min="774" max="774" width="14.85546875" style="1265" customWidth="1"/>
    <col min="775" max="776" width="11.42578125" style="1265"/>
    <col min="777" max="777" width="9.7109375" style="1265" customWidth="1"/>
    <col min="778" max="778" width="10.42578125" style="1265" customWidth="1"/>
    <col min="779" max="779" width="11" style="1265" customWidth="1"/>
    <col min="780" max="780" width="12" style="1265" customWidth="1"/>
    <col min="781" max="781" width="13.42578125" style="1265" customWidth="1"/>
    <col min="782" max="1028" width="11.42578125" style="1265"/>
    <col min="1029" max="1029" width="20.140625" style="1265" customWidth="1"/>
    <col min="1030" max="1030" width="14.85546875" style="1265" customWidth="1"/>
    <col min="1031" max="1032" width="11.42578125" style="1265"/>
    <col min="1033" max="1033" width="9.7109375" style="1265" customWidth="1"/>
    <col min="1034" max="1034" width="10.42578125" style="1265" customWidth="1"/>
    <col min="1035" max="1035" width="11" style="1265" customWidth="1"/>
    <col min="1036" max="1036" width="12" style="1265" customWidth="1"/>
    <col min="1037" max="1037" width="13.42578125" style="1265" customWidth="1"/>
    <col min="1038" max="1284" width="11.42578125" style="1265"/>
    <col min="1285" max="1285" width="20.140625" style="1265" customWidth="1"/>
    <col min="1286" max="1286" width="14.85546875" style="1265" customWidth="1"/>
    <col min="1287" max="1288" width="11.42578125" style="1265"/>
    <col min="1289" max="1289" width="9.7109375" style="1265" customWidth="1"/>
    <col min="1290" max="1290" width="10.42578125" style="1265" customWidth="1"/>
    <col min="1291" max="1291" width="11" style="1265" customWidth="1"/>
    <col min="1292" max="1292" width="12" style="1265" customWidth="1"/>
    <col min="1293" max="1293" width="13.42578125" style="1265" customWidth="1"/>
    <col min="1294" max="1540" width="11.42578125" style="1265"/>
    <col min="1541" max="1541" width="20.140625" style="1265" customWidth="1"/>
    <col min="1542" max="1542" width="14.85546875" style="1265" customWidth="1"/>
    <col min="1543" max="1544" width="11.42578125" style="1265"/>
    <col min="1545" max="1545" width="9.7109375" style="1265" customWidth="1"/>
    <col min="1546" max="1546" width="10.42578125" style="1265" customWidth="1"/>
    <col min="1547" max="1547" width="11" style="1265" customWidth="1"/>
    <col min="1548" max="1548" width="12" style="1265" customWidth="1"/>
    <col min="1549" max="1549" width="13.42578125" style="1265" customWidth="1"/>
    <col min="1550" max="1796" width="11.42578125" style="1265"/>
    <col min="1797" max="1797" width="20.140625" style="1265" customWidth="1"/>
    <col min="1798" max="1798" width="14.85546875" style="1265" customWidth="1"/>
    <col min="1799" max="1800" width="11.42578125" style="1265"/>
    <col min="1801" max="1801" width="9.7109375" style="1265" customWidth="1"/>
    <col min="1802" max="1802" width="10.42578125" style="1265" customWidth="1"/>
    <col min="1803" max="1803" width="11" style="1265" customWidth="1"/>
    <col min="1804" max="1804" width="12" style="1265" customWidth="1"/>
    <col min="1805" max="1805" width="13.42578125" style="1265" customWidth="1"/>
    <col min="1806" max="2052" width="11.42578125" style="1265"/>
    <col min="2053" max="2053" width="20.140625" style="1265" customWidth="1"/>
    <col min="2054" max="2054" width="14.85546875" style="1265" customWidth="1"/>
    <col min="2055" max="2056" width="11.42578125" style="1265"/>
    <col min="2057" max="2057" width="9.7109375" style="1265" customWidth="1"/>
    <col min="2058" max="2058" width="10.42578125" style="1265" customWidth="1"/>
    <col min="2059" max="2059" width="11" style="1265" customWidth="1"/>
    <col min="2060" max="2060" width="12" style="1265" customWidth="1"/>
    <col min="2061" max="2061" width="13.42578125" style="1265" customWidth="1"/>
    <col min="2062" max="2308" width="11.42578125" style="1265"/>
    <col min="2309" max="2309" width="20.140625" style="1265" customWidth="1"/>
    <col min="2310" max="2310" width="14.85546875" style="1265" customWidth="1"/>
    <col min="2311" max="2312" width="11.42578125" style="1265"/>
    <col min="2313" max="2313" width="9.7109375" style="1265" customWidth="1"/>
    <col min="2314" max="2314" width="10.42578125" style="1265" customWidth="1"/>
    <col min="2315" max="2315" width="11" style="1265" customWidth="1"/>
    <col min="2316" max="2316" width="12" style="1265" customWidth="1"/>
    <col min="2317" max="2317" width="13.42578125" style="1265" customWidth="1"/>
    <col min="2318" max="2564" width="11.42578125" style="1265"/>
    <col min="2565" max="2565" width="20.140625" style="1265" customWidth="1"/>
    <col min="2566" max="2566" width="14.85546875" style="1265" customWidth="1"/>
    <col min="2567" max="2568" width="11.42578125" style="1265"/>
    <col min="2569" max="2569" width="9.7109375" style="1265" customWidth="1"/>
    <col min="2570" max="2570" width="10.42578125" style="1265" customWidth="1"/>
    <col min="2571" max="2571" width="11" style="1265" customWidth="1"/>
    <col min="2572" max="2572" width="12" style="1265" customWidth="1"/>
    <col min="2573" max="2573" width="13.42578125" style="1265" customWidth="1"/>
    <col min="2574" max="2820" width="11.42578125" style="1265"/>
    <col min="2821" max="2821" width="20.140625" style="1265" customWidth="1"/>
    <col min="2822" max="2822" width="14.85546875" style="1265" customWidth="1"/>
    <col min="2823" max="2824" width="11.42578125" style="1265"/>
    <col min="2825" max="2825" width="9.7109375" style="1265" customWidth="1"/>
    <col min="2826" max="2826" width="10.42578125" style="1265" customWidth="1"/>
    <col min="2827" max="2827" width="11" style="1265" customWidth="1"/>
    <col min="2828" max="2828" width="12" style="1265" customWidth="1"/>
    <col min="2829" max="2829" width="13.42578125" style="1265" customWidth="1"/>
    <col min="2830" max="3076" width="11.42578125" style="1265"/>
    <col min="3077" max="3077" width="20.140625" style="1265" customWidth="1"/>
    <col min="3078" max="3078" width="14.85546875" style="1265" customWidth="1"/>
    <col min="3079" max="3080" width="11.42578125" style="1265"/>
    <col min="3081" max="3081" width="9.7109375" style="1265" customWidth="1"/>
    <col min="3082" max="3082" width="10.42578125" style="1265" customWidth="1"/>
    <col min="3083" max="3083" width="11" style="1265" customWidth="1"/>
    <col min="3084" max="3084" width="12" style="1265" customWidth="1"/>
    <col min="3085" max="3085" width="13.42578125" style="1265" customWidth="1"/>
    <col min="3086" max="3332" width="11.42578125" style="1265"/>
    <col min="3333" max="3333" width="20.140625" style="1265" customWidth="1"/>
    <col min="3334" max="3334" width="14.85546875" style="1265" customWidth="1"/>
    <col min="3335" max="3336" width="11.42578125" style="1265"/>
    <col min="3337" max="3337" width="9.7109375" style="1265" customWidth="1"/>
    <col min="3338" max="3338" width="10.42578125" style="1265" customWidth="1"/>
    <col min="3339" max="3339" width="11" style="1265" customWidth="1"/>
    <col min="3340" max="3340" width="12" style="1265" customWidth="1"/>
    <col min="3341" max="3341" width="13.42578125" style="1265" customWidth="1"/>
    <col min="3342" max="3588" width="11.42578125" style="1265"/>
    <col min="3589" max="3589" width="20.140625" style="1265" customWidth="1"/>
    <col min="3590" max="3590" width="14.85546875" style="1265" customWidth="1"/>
    <col min="3591" max="3592" width="11.42578125" style="1265"/>
    <col min="3593" max="3593" width="9.7109375" style="1265" customWidth="1"/>
    <col min="3594" max="3594" width="10.42578125" style="1265" customWidth="1"/>
    <col min="3595" max="3595" width="11" style="1265" customWidth="1"/>
    <col min="3596" max="3596" width="12" style="1265" customWidth="1"/>
    <col min="3597" max="3597" width="13.42578125" style="1265" customWidth="1"/>
    <col min="3598" max="3844" width="11.42578125" style="1265"/>
    <col min="3845" max="3845" width="20.140625" style="1265" customWidth="1"/>
    <col min="3846" max="3846" width="14.85546875" style="1265" customWidth="1"/>
    <col min="3847" max="3848" width="11.42578125" style="1265"/>
    <col min="3849" max="3849" width="9.7109375" style="1265" customWidth="1"/>
    <col min="3850" max="3850" width="10.42578125" style="1265" customWidth="1"/>
    <col min="3851" max="3851" width="11" style="1265" customWidth="1"/>
    <col min="3852" max="3852" width="12" style="1265" customWidth="1"/>
    <col min="3853" max="3853" width="13.42578125" style="1265" customWidth="1"/>
    <col min="3854" max="4100" width="11.42578125" style="1265"/>
    <col min="4101" max="4101" width="20.140625" style="1265" customWidth="1"/>
    <col min="4102" max="4102" width="14.85546875" style="1265" customWidth="1"/>
    <col min="4103" max="4104" width="11.42578125" style="1265"/>
    <col min="4105" max="4105" width="9.7109375" style="1265" customWidth="1"/>
    <col min="4106" max="4106" width="10.42578125" style="1265" customWidth="1"/>
    <col min="4107" max="4107" width="11" style="1265" customWidth="1"/>
    <col min="4108" max="4108" width="12" style="1265" customWidth="1"/>
    <col min="4109" max="4109" width="13.42578125" style="1265" customWidth="1"/>
    <col min="4110" max="4356" width="11.42578125" style="1265"/>
    <col min="4357" max="4357" width="20.140625" style="1265" customWidth="1"/>
    <col min="4358" max="4358" width="14.85546875" style="1265" customWidth="1"/>
    <col min="4359" max="4360" width="11.42578125" style="1265"/>
    <col min="4361" max="4361" width="9.7109375" style="1265" customWidth="1"/>
    <col min="4362" max="4362" width="10.42578125" style="1265" customWidth="1"/>
    <col min="4363" max="4363" width="11" style="1265" customWidth="1"/>
    <col min="4364" max="4364" width="12" style="1265" customWidth="1"/>
    <col min="4365" max="4365" width="13.42578125" style="1265" customWidth="1"/>
    <col min="4366" max="4612" width="11.42578125" style="1265"/>
    <col min="4613" max="4613" width="20.140625" style="1265" customWidth="1"/>
    <col min="4614" max="4614" width="14.85546875" style="1265" customWidth="1"/>
    <col min="4615" max="4616" width="11.42578125" style="1265"/>
    <col min="4617" max="4617" width="9.7109375" style="1265" customWidth="1"/>
    <col min="4618" max="4618" width="10.42578125" style="1265" customWidth="1"/>
    <col min="4619" max="4619" width="11" style="1265" customWidth="1"/>
    <col min="4620" max="4620" width="12" style="1265" customWidth="1"/>
    <col min="4621" max="4621" width="13.42578125" style="1265" customWidth="1"/>
    <col min="4622" max="4868" width="11.42578125" style="1265"/>
    <col min="4869" max="4869" width="20.140625" style="1265" customWidth="1"/>
    <col min="4870" max="4870" width="14.85546875" style="1265" customWidth="1"/>
    <col min="4871" max="4872" width="11.42578125" style="1265"/>
    <col min="4873" max="4873" width="9.7109375" style="1265" customWidth="1"/>
    <col min="4874" max="4874" width="10.42578125" style="1265" customWidth="1"/>
    <col min="4875" max="4875" width="11" style="1265" customWidth="1"/>
    <col min="4876" max="4876" width="12" style="1265" customWidth="1"/>
    <col min="4877" max="4877" width="13.42578125" style="1265" customWidth="1"/>
    <col min="4878" max="5124" width="11.42578125" style="1265"/>
    <col min="5125" max="5125" width="20.140625" style="1265" customWidth="1"/>
    <col min="5126" max="5126" width="14.85546875" style="1265" customWidth="1"/>
    <col min="5127" max="5128" width="11.42578125" style="1265"/>
    <col min="5129" max="5129" width="9.7109375" style="1265" customWidth="1"/>
    <col min="5130" max="5130" width="10.42578125" style="1265" customWidth="1"/>
    <col min="5131" max="5131" width="11" style="1265" customWidth="1"/>
    <col min="5132" max="5132" width="12" style="1265" customWidth="1"/>
    <col min="5133" max="5133" width="13.42578125" style="1265" customWidth="1"/>
    <col min="5134" max="5380" width="11.42578125" style="1265"/>
    <col min="5381" max="5381" width="20.140625" style="1265" customWidth="1"/>
    <col min="5382" max="5382" width="14.85546875" style="1265" customWidth="1"/>
    <col min="5383" max="5384" width="11.42578125" style="1265"/>
    <col min="5385" max="5385" width="9.7109375" style="1265" customWidth="1"/>
    <col min="5386" max="5386" width="10.42578125" style="1265" customWidth="1"/>
    <col min="5387" max="5387" width="11" style="1265" customWidth="1"/>
    <col min="5388" max="5388" width="12" style="1265" customWidth="1"/>
    <col min="5389" max="5389" width="13.42578125" style="1265" customWidth="1"/>
    <col min="5390" max="5636" width="11.42578125" style="1265"/>
    <col min="5637" max="5637" width="20.140625" style="1265" customWidth="1"/>
    <col min="5638" max="5638" width="14.85546875" style="1265" customWidth="1"/>
    <col min="5639" max="5640" width="11.42578125" style="1265"/>
    <col min="5641" max="5641" width="9.7109375" style="1265" customWidth="1"/>
    <col min="5642" max="5642" width="10.42578125" style="1265" customWidth="1"/>
    <col min="5643" max="5643" width="11" style="1265" customWidth="1"/>
    <col min="5644" max="5644" width="12" style="1265" customWidth="1"/>
    <col min="5645" max="5645" width="13.42578125" style="1265" customWidth="1"/>
    <col min="5646" max="5892" width="11.42578125" style="1265"/>
    <col min="5893" max="5893" width="20.140625" style="1265" customWidth="1"/>
    <col min="5894" max="5894" width="14.85546875" style="1265" customWidth="1"/>
    <col min="5895" max="5896" width="11.42578125" style="1265"/>
    <col min="5897" max="5897" width="9.7109375" style="1265" customWidth="1"/>
    <col min="5898" max="5898" width="10.42578125" style="1265" customWidth="1"/>
    <col min="5899" max="5899" width="11" style="1265" customWidth="1"/>
    <col min="5900" max="5900" width="12" style="1265" customWidth="1"/>
    <col min="5901" max="5901" width="13.42578125" style="1265" customWidth="1"/>
    <col min="5902" max="6148" width="11.42578125" style="1265"/>
    <col min="6149" max="6149" width="20.140625" style="1265" customWidth="1"/>
    <col min="6150" max="6150" width="14.85546875" style="1265" customWidth="1"/>
    <col min="6151" max="6152" width="11.42578125" style="1265"/>
    <col min="6153" max="6153" width="9.7109375" style="1265" customWidth="1"/>
    <col min="6154" max="6154" width="10.42578125" style="1265" customWidth="1"/>
    <col min="6155" max="6155" width="11" style="1265" customWidth="1"/>
    <col min="6156" max="6156" width="12" style="1265" customWidth="1"/>
    <col min="6157" max="6157" width="13.42578125" style="1265" customWidth="1"/>
    <col min="6158" max="6404" width="11.42578125" style="1265"/>
    <col min="6405" max="6405" width="20.140625" style="1265" customWidth="1"/>
    <col min="6406" max="6406" width="14.85546875" style="1265" customWidth="1"/>
    <col min="6407" max="6408" width="11.42578125" style="1265"/>
    <col min="6409" max="6409" width="9.7109375" style="1265" customWidth="1"/>
    <col min="6410" max="6410" width="10.42578125" style="1265" customWidth="1"/>
    <col min="6411" max="6411" width="11" style="1265" customWidth="1"/>
    <col min="6412" max="6412" width="12" style="1265" customWidth="1"/>
    <col min="6413" max="6413" width="13.42578125" style="1265" customWidth="1"/>
    <col min="6414" max="6660" width="11.42578125" style="1265"/>
    <col min="6661" max="6661" width="20.140625" style="1265" customWidth="1"/>
    <col min="6662" max="6662" width="14.85546875" style="1265" customWidth="1"/>
    <col min="6663" max="6664" width="11.42578125" style="1265"/>
    <col min="6665" max="6665" width="9.7109375" style="1265" customWidth="1"/>
    <col min="6666" max="6666" width="10.42578125" style="1265" customWidth="1"/>
    <col min="6667" max="6667" width="11" style="1265" customWidth="1"/>
    <col min="6668" max="6668" width="12" style="1265" customWidth="1"/>
    <col min="6669" max="6669" width="13.42578125" style="1265" customWidth="1"/>
    <col min="6670" max="6916" width="11.42578125" style="1265"/>
    <col min="6917" max="6917" width="20.140625" style="1265" customWidth="1"/>
    <col min="6918" max="6918" width="14.85546875" style="1265" customWidth="1"/>
    <col min="6919" max="6920" width="11.42578125" style="1265"/>
    <col min="6921" max="6921" width="9.7109375" style="1265" customWidth="1"/>
    <col min="6922" max="6922" width="10.42578125" style="1265" customWidth="1"/>
    <col min="6923" max="6923" width="11" style="1265" customWidth="1"/>
    <col min="6924" max="6924" width="12" style="1265" customWidth="1"/>
    <col min="6925" max="6925" width="13.42578125" style="1265" customWidth="1"/>
    <col min="6926" max="7172" width="11.42578125" style="1265"/>
    <col min="7173" max="7173" width="20.140625" style="1265" customWidth="1"/>
    <col min="7174" max="7174" width="14.85546875" style="1265" customWidth="1"/>
    <col min="7175" max="7176" width="11.42578125" style="1265"/>
    <col min="7177" max="7177" width="9.7109375" style="1265" customWidth="1"/>
    <col min="7178" max="7178" width="10.42578125" style="1265" customWidth="1"/>
    <col min="7179" max="7179" width="11" style="1265" customWidth="1"/>
    <col min="7180" max="7180" width="12" style="1265" customWidth="1"/>
    <col min="7181" max="7181" width="13.42578125" style="1265" customWidth="1"/>
    <col min="7182" max="7428" width="11.42578125" style="1265"/>
    <col min="7429" max="7429" width="20.140625" style="1265" customWidth="1"/>
    <col min="7430" max="7430" width="14.85546875" style="1265" customWidth="1"/>
    <col min="7431" max="7432" width="11.42578125" style="1265"/>
    <col min="7433" max="7433" width="9.7109375" style="1265" customWidth="1"/>
    <col min="7434" max="7434" width="10.42578125" style="1265" customWidth="1"/>
    <col min="7435" max="7435" width="11" style="1265" customWidth="1"/>
    <col min="7436" max="7436" width="12" style="1265" customWidth="1"/>
    <col min="7437" max="7437" width="13.42578125" style="1265" customWidth="1"/>
    <col min="7438" max="7684" width="11.42578125" style="1265"/>
    <col min="7685" max="7685" width="20.140625" style="1265" customWidth="1"/>
    <col min="7686" max="7686" width="14.85546875" style="1265" customWidth="1"/>
    <col min="7687" max="7688" width="11.42578125" style="1265"/>
    <col min="7689" max="7689" width="9.7109375" style="1265" customWidth="1"/>
    <col min="7690" max="7690" width="10.42578125" style="1265" customWidth="1"/>
    <col min="7691" max="7691" width="11" style="1265" customWidth="1"/>
    <col min="7692" max="7692" width="12" style="1265" customWidth="1"/>
    <col min="7693" max="7693" width="13.42578125" style="1265" customWidth="1"/>
    <col min="7694" max="7940" width="11.42578125" style="1265"/>
    <col min="7941" max="7941" width="20.140625" style="1265" customWidth="1"/>
    <col min="7942" max="7942" width="14.85546875" style="1265" customWidth="1"/>
    <col min="7943" max="7944" width="11.42578125" style="1265"/>
    <col min="7945" max="7945" width="9.7109375" style="1265" customWidth="1"/>
    <col min="7946" max="7946" width="10.42578125" style="1265" customWidth="1"/>
    <col min="7947" max="7947" width="11" style="1265" customWidth="1"/>
    <col min="7948" max="7948" width="12" style="1265" customWidth="1"/>
    <col min="7949" max="7949" width="13.42578125" style="1265" customWidth="1"/>
    <col min="7950" max="8196" width="11.42578125" style="1265"/>
    <col min="8197" max="8197" width="20.140625" style="1265" customWidth="1"/>
    <col min="8198" max="8198" width="14.85546875" style="1265" customWidth="1"/>
    <col min="8199" max="8200" width="11.42578125" style="1265"/>
    <col min="8201" max="8201" width="9.7109375" style="1265" customWidth="1"/>
    <col min="8202" max="8202" width="10.42578125" style="1265" customWidth="1"/>
    <col min="8203" max="8203" width="11" style="1265" customWidth="1"/>
    <col min="8204" max="8204" width="12" style="1265" customWidth="1"/>
    <col min="8205" max="8205" width="13.42578125" style="1265" customWidth="1"/>
    <col min="8206" max="8452" width="11.42578125" style="1265"/>
    <col min="8453" max="8453" width="20.140625" style="1265" customWidth="1"/>
    <col min="8454" max="8454" width="14.85546875" style="1265" customWidth="1"/>
    <col min="8455" max="8456" width="11.42578125" style="1265"/>
    <col min="8457" max="8457" width="9.7109375" style="1265" customWidth="1"/>
    <col min="8458" max="8458" width="10.42578125" style="1265" customWidth="1"/>
    <col min="8459" max="8459" width="11" style="1265" customWidth="1"/>
    <col min="8460" max="8460" width="12" style="1265" customWidth="1"/>
    <col min="8461" max="8461" width="13.42578125" style="1265" customWidth="1"/>
    <col min="8462" max="8708" width="11.42578125" style="1265"/>
    <col min="8709" max="8709" width="20.140625" style="1265" customWidth="1"/>
    <col min="8710" max="8710" width="14.85546875" style="1265" customWidth="1"/>
    <col min="8711" max="8712" width="11.42578125" style="1265"/>
    <col min="8713" max="8713" width="9.7109375" style="1265" customWidth="1"/>
    <col min="8714" max="8714" width="10.42578125" style="1265" customWidth="1"/>
    <col min="8715" max="8715" width="11" style="1265" customWidth="1"/>
    <col min="8716" max="8716" width="12" style="1265" customWidth="1"/>
    <col min="8717" max="8717" width="13.42578125" style="1265" customWidth="1"/>
    <col min="8718" max="8964" width="11.42578125" style="1265"/>
    <col min="8965" max="8965" width="20.140625" style="1265" customWidth="1"/>
    <col min="8966" max="8966" width="14.85546875" style="1265" customWidth="1"/>
    <col min="8967" max="8968" width="11.42578125" style="1265"/>
    <col min="8969" max="8969" width="9.7109375" style="1265" customWidth="1"/>
    <col min="8970" max="8970" width="10.42578125" style="1265" customWidth="1"/>
    <col min="8971" max="8971" width="11" style="1265" customWidth="1"/>
    <col min="8972" max="8972" width="12" style="1265" customWidth="1"/>
    <col min="8973" max="8973" width="13.42578125" style="1265" customWidth="1"/>
    <col min="8974" max="9220" width="11.42578125" style="1265"/>
    <col min="9221" max="9221" width="20.140625" style="1265" customWidth="1"/>
    <col min="9222" max="9222" width="14.85546875" style="1265" customWidth="1"/>
    <col min="9223" max="9224" width="11.42578125" style="1265"/>
    <col min="9225" max="9225" width="9.7109375" style="1265" customWidth="1"/>
    <col min="9226" max="9226" width="10.42578125" style="1265" customWidth="1"/>
    <col min="9227" max="9227" width="11" style="1265" customWidth="1"/>
    <col min="9228" max="9228" width="12" style="1265" customWidth="1"/>
    <col min="9229" max="9229" width="13.42578125" style="1265" customWidth="1"/>
    <col min="9230" max="9476" width="11.42578125" style="1265"/>
    <col min="9477" max="9477" width="20.140625" style="1265" customWidth="1"/>
    <col min="9478" max="9478" width="14.85546875" style="1265" customWidth="1"/>
    <col min="9479" max="9480" width="11.42578125" style="1265"/>
    <col min="9481" max="9481" width="9.7109375" style="1265" customWidth="1"/>
    <col min="9482" max="9482" width="10.42578125" style="1265" customWidth="1"/>
    <col min="9483" max="9483" width="11" style="1265" customWidth="1"/>
    <col min="9484" max="9484" width="12" style="1265" customWidth="1"/>
    <col min="9485" max="9485" width="13.42578125" style="1265" customWidth="1"/>
    <col min="9486" max="9732" width="11.42578125" style="1265"/>
    <col min="9733" max="9733" width="20.140625" style="1265" customWidth="1"/>
    <col min="9734" max="9734" width="14.85546875" style="1265" customWidth="1"/>
    <col min="9735" max="9736" width="11.42578125" style="1265"/>
    <col min="9737" max="9737" width="9.7109375" style="1265" customWidth="1"/>
    <col min="9738" max="9738" width="10.42578125" style="1265" customWidth="1"/>
    <col min="9739" max="9739" width="11" style="1265" customWidth="1"/>
    <col min="9740" max="9740" width="12" style="1265" customWidth="1"/>
    <col min="9741" max="9741" width="13.42578125" style="1265" customWidth="1"/>
    <col min="9742" max="9988" width="11.42578125" style="1265"/>
    <col min="9989" max="9989" width="20.140625" style="1265" customWidth="1"/>
    <col min="9990" max="9990" width="14.85546875" style="1265" customWidth="1"/>
    <col min="9991" max="9992" width="11.42578125" style="1265"/>
    <col min="9993" max="9993" width="9.7109375" style="1265" customWidth="1"/>
    <col min="9994" max="9994" width="10.42578125" style="1265" customWidth="1"/>
    <col min="9995" max="9995" width="11" style="1265" customWidth="1"/>
    <col min="9996" max="9996" width="12" style="1265" customWidth="1"/>
    <col min="9997" max="9997" width="13.42578125" style="1265" customWidth="1"/>
    <col min="9998" max="10244" width="11.42578125" style="1265"/>
    <col min="10245" max="10245" width="20.140625" style="1265" customWidth="1"/>
    <col min="10246" max="10246" width="14.85546875" style="1265" customWidth="1"/>
    <col min="10247" max="10248" width="11.42578125" style="1265"/>
    <col min="10249" max="10249" width="9.7109375" style="1265" customWidth="1"/>
    <col min="10250" max="10250" width="10.42578125" style="1265" customWidth="1"/>
    <col min="10251" max="10251" width="11" style="1265" customWidth="1"/>
    <col min="10252" max="10252" width="12" style="1265" customWidth="1"/>
    <col min="10253" max="10253" width="13.42578125" style="1265" customWidth="1"/>
    <col min="10254" max="10500" width="11.42578125" style="1265"/>
    <col min="10501" max="10501" width="20.140625" style="1265" customWidth="1"/>
    <col min="10502" max="10502" width="14.85546875" style="1265" customWidth="1"/>
    <col min="10503" max="10504" width="11.42578125" style="1265"/>
    <col min="10505" max="10505" width="9.7109375" style="1265" customWidth="1"/>
    <col min="10506" max="10506" width="10.42578125" style="1265" customWidth="1"/>
    <col min="10507" max="10507" width="11" style="1265" customWidth="1"/>
    <col min="10508" max="10508" width="12" style="1265" customWidth="1"/>
    <col min="10509" max="10509" width="13.42578125" style="1265" customWidth="1"/>
    <col min="10510" max="10756" width="11.42578125" style="1265"/>
    <col min="10757" max="10757" width="20.140625" style="1265" customWidth="1"/>
    <col min="10758" max="10758" width="14.85546875" style="1265" customWidth="1"/>
    <col min="10759" max="10760" width="11.42578125" style="1265"/>
    <col min="10761" max="10761" width="9.7109375" style="1265" customWidth="1"/>
    <col min="10762" max="10762" width="10.42578125" style="1265" customWidth="1"/>
    <col min="10763" max="10763" width="11" style="1265" customWidth="1"/>
    <col min="10764" max="10764" width="12" style="1265" customWidth="1"/>
    <col min="10765" max="10765" width="13.42578125" style="1265" customWidth="1"/>
    <col min="10766" max="11012" width="11.42578125" style="1265"/>
    <col min="11013" max="11013" width="20.140625" style="1265" customWidth="1"/>
    <col min="11014" max="11014" width="14.85546875" style="1265" customWidth="1"/>
    <col min="11015" max="11016" width="11.42578125" style="1265"/>
    <col min="11017" max="11017" width="9.7109375" style="1265" customWidth="1"/>
    <col min="11018" max="11018" width="10.42578125" style="1265" customWidth="1"/>
    <col min="11019" max="11019" width="11" style="1265" customWidth="1"/>
    <col min="11020" max="11020" width="12" style="1265" customWidth="1"/>
    <col min="11021" max="11021" width="13.42578125" style="1265" customWidth="1"/>
    <col min="11022" max="11268" width="11.42578125" style="1265"/>
    <col min="11269" max="11269" width="20.140625" style="1265" customWidth="1"/>
    <col min="11270" max="11270" width="14.85546875" style="1265" customWidth="1"/>
    <col min="11271" max="11272" width="11.42578125" style="1265"/>
    <col min="11273" max="11273" width="9.7109375" style="1265" customWidth="1"/>
    <col min="11274" max="11274" width="10.42578125" style="1265" customWidth="1"/>
    <col min="11275" max="11275" width="11" style="1265" customWidth="1"/>
    <col min="11276" max="11276" width="12" style="1265" customWidth="1"/>
    <col min="11277" max="11277" width="13.42578125" style="1265" customWidth="1"/>
    <col min="11278" max="11524" width="11.42578125" style="1265"/>
    <col min="11525" max="11525" width="20.140625" style="1265" customWidth="1"/>
    <col min="11526" max="11526" width="14.85546875" style="1265" customWidth="1"/>
    <col min="11527" max="11528" width="11.42578125" style="1265"/>
    <col min="11529" max="11529" width="9.7109375" style="1265" customWidth="1"/>
    <col min="11530" max="11530" width="10.42578125" style="1265" customWidth="1"/>
    <col min="11531" max="11531" width="11" style="1265" customWidth="1"/>
    <col min="11532" max="11532" width="12" style="1265" customWidth="1"/>
    <col min="11533" max="11533" width="13.42578125" style="1265" customWidth="1"/>
    <col min="11534" max="11780" width="11.42578125" style="1265"/>
    <col min="11781" max="11781" width="20.140625" style="1265" customWidth="1"/>
    <col min="11782" max="11782" width="14.85546875" style="1265" customWidth="1"/>
    <col min="11783" max="11784" width="11.42578125" style="1265"/>
    <col min="11785" max="11785" width="9.7109375" style="1265" customWidth="1"/>
    <col min="11786" max="11786" width="10.42578125" style="1265" customWidth="1"/>
    <col min="11787" max="11787" width="11" style="1265" customWidth="1"/>
    <col min="11788" max="11788" width="12" style="1265" customWidth="1"/>
    <col min="11789" max="11789" width="13.42578125" style="1265" customWidth="1"/>
    <col min="11790" max="12036" width="11.42578125" style="1265"/>
    <col min="12037" max="12037" width="20.140625" style="1265" customWidth="1"/>
    <col min="12038" max="12038" width="14.85546875" style="1265" customWidth="1"/>
    <col min="12039" max="12040" width="11.42578125" style="1265"/>
    <col min="12041" max="12041" width="9.7109375" style="1265" customWidth="1"/>
    <col min="12042" max="12042" width="10.42578125" style="1265" customWidth="1"/>
    <col min="12043" max="12043" width="11" style="1265" customWidth="1"/>
    <col min="12044" max="12044" width="12" style="1265" customWidth="1"/>
    <col min="12045" max="12045" width="13.42578125" style="1265" customWidth="1"/>
    <col min="12046" max="12292" width="11.42578125" style="1265"/>
    <col min="12293" max="12293" width="20.140625" style="1265" customWidth="1"/>
    <col min="12294" max="12294" width="14.85546875" style="1265" customWidth="1"/>
    <col min="12295" max="12296" width="11.42578125" style="1265"/>
    <col min="12297" max="12297" width="9.7109375" style="1265" customWidth="1"/>
    <col min="12298" max="12298" width="10.42578125" style="1265" customWidth="1"/>
    <col min="12299" max="12299" width="11" style="1265" customWidth="1"/>
    <col min="12300" max="12300" width="12" style="1265" customWidth="1"/>
    <col min="12301" max="12301" width="13.42578125" style="1265" customWidth="1"/>
    <col min="12302" max="12548" width="11.42578125" style="1265"/>
    <col min="12549" max="12549" width="20.140625" style="1265" customWidth="1"/>
    <col min="12550" max="12550" width="14.85546875" style="1265" customWidth="1"/>
    <col min="12551" max="12552" width="11.42578125" style="1265"/>
    <col min="12553" max="12553" width="9.7109375" style="1265" customWidth="1"/>
    <col min="12554" max="12554" width="10.42578125" style="1265" customWidth="1"/>
    <col min="12555" max="12555" width="11" style="1265" customWidth="1"/>
    <col min="12556" max="12556" width="12" style="1265" customWidth="1"/>
    <col min="12557" max="12557" width="13.42578125" style="1265" customWidth="1"/>
    <col min="12558" max="12804" width="11.42578125" style="1265"/>
    <col min="12805" max="12805" width="20.140625" style="1265" customWidth="1"/>
    <col min="12806" max="12806" width="14.85546875" style="1265" customWidth="1"/>
    <col min="12807" max="12808" width="11.42578125" style="1265"/>
    <col min="12809" max="12809" width="9.7109375" style="1265" customWidth="1"/>
    <col min="12810" max="12810" width="10.42578125" style="1265" customWidth="1"/>
    <col min="12811" max="12811" width="11" style="1265" customWidth="1"/>
    <col min="12812" max="12812" width="12" style="1265" customWidth="1"/>
    <col min="12813" max="12813" width="13.42578125" style="1265" customWidth="1"/>
    <col min="12814" max="13060" width="11.42578125" style="1265"/>
    <col min="13061" max="13061" width="20.140625" style="1265" customWidth="1"/>
    <col min="13062" max="13062" width="14.85546875" style="1265" customWidth="1"/>
    <col min="13063" max="13064" width="11.42578125" style="1265"/>
    <col min="13065" max="13065" width="9.7109375" style="1265" customWidth="1"/>
    <col min="13066" max="13066" width="10.42578125" style="1265" customWidth="1"/>
    <col min="13067" max="13067" width="11" style="1265" customWidth="1"/>
    <col min="13068" max="13068" width="12" style="1265" customWidth="1"/>
    <col min="13069" max="13069" width="13.42578125" style="1265" customWidth="1"/>
    <col min="13070" max="13316" width="11.42578125" style="1265"/>
    <col min="13317" max="13317" width="20.140625" style="1265" customWidth="1"/>
    <col min="13318" max="13318" width="14.85546875" style="1265" customWidth="1"/>
    <col min="13319" max="13320" width="11.42578125" style="1265"/>
    <col min="13321" max="13321" width="9.7109375" style="1265" customWidth="1"/>
    <col min="13322" max="13322" width="10.42578125" style="1265" customWidth="1"/>
    <col min="13323" max="13323" width="11" style="1265" customWidth="1"/>
    <col min="13324" max="13324" width="12" style="1265" customWidth="1"/>
    <col min="13325" max="13325" width="13.42578125" style="1265" customWidth="1"/>
    <col min="13326" max="13572" width="11.42578125" style="1265"/>
    <col min="13573" max="13573" width="20.140625" style="1265" customWidth="1"/>
    <col min="13574" max="13574" width="14.85546875" style="1265" customWidth="1"/>
    <col min="13575" max="13576" width="11.42578125" style="1265"/>
    <col min="13577" max="13577" width="9.7109375" style="1265" customWidth="1"/>
    <col min="13578" max="13578" width="10.42578125" style="1265" customWidth="1"/>
    <col min="13579" max="13579" width="11" style="1265" customWidth="1"/>
    <col min="13580" max="13580" width="12" style="1265" customWidth="1"/>
    <col min="13581" max="13581" width="13.42578125" style="1265" customWidth="1"/>
    <col min="13582" max="13828" width="11.42578125" style="1265"/>
    <col min="13829" max="13829" width="20.140625" style="1265" customWidth="1"/>
    <col min="13830" max="13830" width="14.85546875" style="1265" customWidth="1"/>
    <col min="13831" max="13832" width="11.42578125" style="1265"/>
    <col min="13833" max="13833" width="9.7109375" style="1265" customWidth="1"/>
    <col min="13834" max="13834" width="10.42578125" style="1265" customWidth="1"/>
    <col min="13835" max="13835" width="11" style="1265" customWidth="1"/>
    <col min="13836" max="13836" width="12" style="1265" customWidth="1"/>
    <col min="13837" max="13837" width="13.42578125" style="1265" customWidth="1"/>
    <col min="13838" max="14084" width="11.42578125" style="1265"/>
    <col min="14085" max="14085" width="20.140625" style="1265" customWidth="1"/>
    <col min="14086" max="14086" width="14.85546875" style="1265" customWidth="1"/>
    <col min="14087" max="14088" width="11.42578125" style="1265"/>
    <col min="14089" max="14089" width="9.7109375" style="1265" customWidth="1"/>
    <col min="14090" max="14090" width="10.42578125" style="1265" customWidth="1"/>
    <col min="14091" max="14091" width="11" style="1265" customWidth="1"/>
    <col min="14092" max="14092" width="12" style="1265" customWidth="1"/>
    <col min="14093" max="14093" width="13.42578125" style="1265" customWidth="1"/>
    <col min="14094" max="14340" width="11.42578125" style="1265"/>
    <col min="14341" max="14341" width="20.140625" style="1265" customWidth="1"/>
    <col min="14342" max="14342" width="14.85546875" style="1265" customWidth="1"/>
    <col min="14343" max="14344" width="11.42578125" style="1265"/>
    <col min="14345" max="14345" width="9.7109375" style="1265" customWidth="1"/>
    <col min="14346" max="14346" width="10.42578125" style="1265" customWidth="1"/>
    <col min="14347" max="14347" width="11" style="1265" customWidth="1"/>
    <col min="14348" max="14348" width="12" style="1265" customWidth="1"/>
    <col min="14349" max="14349" width="13.42578125" style="1265" customWidth="1"/>
    <col min="14350" max="14596" width="11.42578125" style="1265"/>
    <col min="14597" max="14597" width="20.140625" style="1265" customWidth="1"/>
    <col min="14598" max="14598" width="14.85546875" style="1265" customWidth="1"/>
    <col min="14599" max="14600" width="11.42578125" style="1265"/>
    <col min="14601" max="14601" width="9.7109375" style="1265" customWidth="1"/>
    <col min="14602" max="14602" width="10.42578125" style="1265" customWidth="1"/>
    <col min="14603" max="14603" width="11" style="1265" customWidth="1"/>
    <col min="14604" max="14604" width="12" style="1265" customWidth="1"/>
    <col min="14605" max="14605" width="13.42578125" style="1265" customWidth="1"/>
    <col min="14606" max="14852" width="11.42578125" style="1265"/>
    <col min="14853" max="14853" width="20.140625" style="1265" customWidth="1"/>
    <col min="14854" max="14854" width="14.85546875" style="1265" customWidth="1"/>
    <col min="14855" max="14856" width="11.42578125" style="1265"/>
    <col min="14857" max="14857" width="9.7109375" style="1265" customWidth="1"/>
    <col min="14858" max="14858" width="10.42578125" style="1265" customWidth="1"/>
    <col min="14859" max="14859" width="11" style="1265" customWidth="1"/>
    <col min="14860" max="14860" width="12" style="1265" customWidth="1"/>
    <col min="14861" max="14861" width="13.42578125" style="1265" customWidth="1"/>
    <col min="14862" max="15108" width="11.42578125" style="1265"/>
    <col min="15109" max="15109" width="20.140625" style="1265" customWidth="1"/>
    <col min="15110" max="15110" width="14.85546875" style="1265" customWidth="1"/>
    <col min="15111" max="15112" width="11.42578125" style="1265"/>
    <col min="15113" max="15113" width="9.7109375" style="1265" customWidth="1"/>
    <col min="15114" max="15114" width="10.42578125" style="1265" customWidth="1"/>
    <col min="15115" max="15115" width="11" style="1265" customWidth="1"/>
    <col min="15116" max="15116" width="12" style="1265" customWidth="1"/>
    <col min="15117" max="15117" width="13.42578125" style="1265" customWidth="1"/>
    <col min="15118" max="15364" width="11.42578125" style="1265"/>
    <col min="15365" max="15365" width="20.140625" style="1265" customWidth="1"/>
    <col min="15366" max="15366" width="14.85546875" style="1265" customWidth="1"/>
    <col min="15367" max="15368" width="11.42578125" style="1265"/>
    <col min="15369" max="15369" width="9.7109375" style="1265" customWidth="1"/>
    <col min="15370" max="15370" width="10.42578125" style="1265" customWidth="1"/>
    <col min="15371" max="15371" width="11" style="1265" customWidth="1"/>
    <col min="15372" max="15372" width="12" style="1265" customWidth="1"/>
    <col min="15373" max="15373" width="13.42578125" style="1265" customWidth="1"/>
    <col min="15374" max="15620" width="11.42578125" style="1265"/>
    <col min="15621" max="15621" width="20.140625" style="1265" customWidth="1"/>
    <col min="15622" max="15622" width="14.85546875" style="1265" customWidth="1"/>
    <col min="15623" max="15624" width="11.42578125" style="1265"/>
    <col min="15625" max="15625" width="9.7109375" style="1265" customWidth="1"/>
    <col min="15626" max="15626" width="10.42578125" style="1265" customWidth="1"/>
    <col min="15627" max="15627" width="11" style="1265" customWidth="1"/>
    <col min="15628" max="15628" width="12" style="1265" customWidth="1"/>
    <col min="15629" max="15629" width="13.42578125" style="1265" customWidth="1"/>
    <col min="15630" max="15876" width="11.42578125" style="1265"/>
    <col min="15877" max="15877" width="20.140625" style="1265" customWidth="1"/>
    <col min="15878" max="15878" width="14.85546875" style="1265" customWidth="1"/>
    <col min="15879" max="15880" width="11.42578125" style="1265"/>
    <col min="15881" max="15881" width="9.7109375" style="1265" customWidth="1"/>
    <col min="15882" max="15882" width="10.42578125" style="1265" customWidth="1"/>
    <col min="15883" max="15883" width="11" style="1265" customWidth="1"/>
    <col min="15884" max="15884" width="12" style="1265" customWidth="1"/>
    <col min="15885" max="15885" width="13.42578125" style="1265" customWidth="1"/>
    <col min="15886" max="16132" width="11.42578125" style="1265"/>
    <col min="16133" max="16133" width="20.140625" style="1265" customWidth="1"/>
    <col min="16134" max="16134" width="14.85546875" style="1265" customWidth="1"/>
    <col min="16135" max="16136" width="11.42578125" style="1265"/>
    <col min="16137" max="16137" width="9.7109375" style="1265" customWidth="1"/>
    <col min="16138" max="16138" width="10.42578125" style="1265" customWidth="1"/>
    <col min="16139" max="16139" width="11" style="1265" customWidth="1"/>
    <col min="16140" max="16140" width="12" style="1265" customWidth="1"/>
    <col min="16141" max="16141" width="13.42578125" style="1265" customWidth="1"/>
    <col min="16142" max="16384" width="11.42578125" style="1265"/>
  </cols>
  <sheetData>
    <row r="1" spans="2:21">
      <c r="B1" s="2600" t="s">
        <v>507</v>
      </c>
      <c r="C1" s="2600"/>
      <c r="D1" s="2600"/>
      <c r="E1" s="2600"/>
      <c r="F1" s="2600"/>
      <c r="G1" s="2600"/>
      <c r="H1" s="2600"/>
      <c r="I1" s="2600"/>
      <c r="J1" s="2600"/>
      <c r="K1" s="2600"/>
      <c r="L1" s="2600"/>
      <c r="M1" s="2600"/>
    </row>
    <row r="2" spans="2:21">
      <c r="B2" s="2600"/>
      <c r="C2" s="2600"/>
      <c r="D2" s="2600"/>
      <c r="E2" s="2600"/>
      <c r="F2" s="2600"/>
      <c r="G2" s="2600"/>
      <c r="H2" s="2600"/>
      <c r="I2" s="2600"/>
      <c r="J2" s="2600"/>
      <c r="K2" s="2600"/>
      <c r="L2" s="2600"/>
      <c r="M2" s="2600"/>
    </row>
    <row r="4" spans="2:21" ht="25.5">
      <c r="B4" s="1201" t="s">
        <v>508</v>
      </c>
      <c r="C4" s="1302" t="s">
        <v>509</v>
      </c>
    </row>
    <row r="5" spans="2:21">
      <c r="B5" s="726" t="s">
        <v>238</v>
      </c>
      <c r="C5" s="1303">
        <v>73108912</v>
      </c>
    </row>
    <row r="6" spans="2:21" ht="25.5">
      <c r="B6" s="726" t="s">
        <v>124</v>
      </c>
      <c r="C6" s="1787" t="s">
        <v>510</v>
      </c>
    </row>
    <row r="7" spans="2:21">
      <c r="B7" s="726" t="s">
        <v>4</v>
      </c>
      <c r="C7" s="724">
        <v>42989</v>
      </c>
    </row>
    <row r="8" spans="2:21">
      <c r="B8" s="1146" t="s">
        <v>511</v>
      </c>
      <c r="C8" s="908">
        <v>37999</v>
      </c>
    </row>
    <row r="9" spans="2:21">
      <c r="B9" s="916" t="s">
        <v>512</v>
      </c>
      <c r="C9" s="724">
        <v>43439</v>
      </c>
    </row>
    <row r="11" spans="2:21">
      <c r="B11" s="1299" t="s">
        <v>513</v>
      </c>
    </row>
    <row r="12" spans="2:21">
      <c r="B12" s="733" t="s">
        <v>11</v>
      </c>
      <c r="C12" s="1286" t="s">
        <v>105</v>
      </c>
      <c r="D12" s="733" t="s">
        <v>76</v>
      </c>
      <c r="E12" s="733" t="s">
        <v>77</v>
      </c>
      <c r="F12" s="733" t="s">
        <v>57</v>
      </c>
      <c r="G12" s="1291"/>
      <c r="P12" s="2601" t="s">
        <v>514</v>
      </c>
      <c r="Q12" s="2602"/>
      <c r="R12" s="2602"/>
      <c r="S12" s="2602"/>
      <c r="T12" s="2602"/>
      <c r="U12" s="2603"/>
    </row>
    <row r="13" spans="2:21">
      <c r="B13" s="1304"/>
      <c r="C13" s="1300" t="s">
        <v>515</v>
      </c>
      <c r="D13" s="1292">
        <v>96.36</v>
      </c>
      <c r="E13" s="738"/>
      <c r="F13" s="738"/>
      <c r="P13" s="733" t="s">
        <v>78</v>
      </c>
      <c r="Q13" s="733" t="s">
        <v>79</v>
      </c>
      <c r="R13" s="733" t="s">
        <v>186</v>
      </c>
      <c r="S13" s="733" t="s">
        <v>187</v>
      </c>
      <c r="T13" s="733" t="s">
        <v>82</v>
      </c>
      <c r="U13" s="733" t="s">
        <v>83</v>
      </c>
    </row>
    <row r="14" spans="2:21">
      <c r="B14" s="738" t="s">
        <v>16</v>
      </c>
      <c r="C14" s="812">
        <v>414306</v>
      </c>
      <c r="D14" s="1292">
        <v>50.42</v>
      </c>
      <c r="E14" s="1293">
        <f>$D$13/D14</f>
        <v>1.9111463704879015</v>
      </c>
      <c r="F14" s="812">
        <f xml:space="preserve"> INT(C14*E14)</f>
        <v>791799</v>
      </c>
      <c r="P14" s="929">
        <f>+C14*4%</f>
        <v>16572.240000000002</v>
      </c>
      <c r="Q14" s="929">
        <f>+C14*3.38%</f>
        <v>14003.542799999999</v>
      </c>
      <c r="R14" s="847">
        <f>+C14*0.08</f>
        <v>33144.480000000003</v>
      </c>
      <c r="S14" s="847">
        <f>+C14*0.1013</f>
        <v>41969.197800000002</v>
      </c>
      <c r="T14" s="847">
        <f>SUM(P14+R14)</f>
        <v>49716.72</v>
      </c>
      <c r="U14" s="1294">
        <f>+Q14+S14</f>
        <v>55972.740600000005</v>
      </c>
    </row>
    <row r="15" spans="2:21">
      <c r="B15" s="738" t="s">
        <v>17</v>
      </c>
      <c r="C15" s="812">
        <v>956091</v>
      </c>
      <c r="D15" s="1292">
        <v>50.98</v>
      </c>
      <c r="E15" s="1293">
        <f t="shared" ref="E15:E29" si="0">$D$13/D15</f>
        <v>1.8901530011769323</v>
      </c>
      <c r="F15" s="812">
        <f t="shared" ref="F15:F29" si="1" xml:space="preserve"> INT(C15*E15)</f>
        <v>1807158</v>
      </c>
      <c r="P15" s="929">
        <f t="shared" ref="P15:P25" si="2">+C15*4%</f>
        <v>38243.64</v>
      </c>
      <c r="Q15" s="929">
        <f t="shared" ref="Q15:Q25" si="3">+C15*3.38%</f>
        <v>32315.875799999998</v>
      </c>
      <c r="R15" s="847">
        <f t="shared" ref="R15:R25" si="4">+C15*0.08</f>
        <v>76487.28</v>
      </c>
      <c r="S15" s="847">
        <f t="shared" ref="S15:S25" si="5">+C15*0.1013</f>
        <v>96852.018299999996</v>
      </c>
      <c r="T15" s="847">
        <f t="shared" ref="T15:T25" si="6">SUM(P15+R15)</f>
        <v>114730.92</v>
      </c>
      <c r="U15" s="1294">
        <f t="shared" ref="U15:U25" si="7">+Q15+S15</f>
        <v>129167.89409999999</v>
      </c>
    </row>
    <row r="16" spans="2:21">
      <c r="B16" s="738" t="s">
        <v>19</v>
      </c>
      <c r="C16" s="812">
        <v>956091</v>
      </c>
      <c r="D16" s="1292">
        <v>51.51</v>
      </c>
      <c r="E16" s="1293">
        <f t="shared" si="0"/>
        <v>1.8707047175305767</v>
      </c>
      <c r="F16" s="812">
        <f t="shared" si="1"/>
        <v>1788563</v>
      </c>
      <c r="P16" s="929">
        <f t="shared" si="2"/>
        <v>38243.64</v>
      </c>
      <c r="Q16" s="929">
        <f t="shared" si="3"/>
        <v>32315.875799999998</v>
      </c>
      <c r="R16" s="847">
        <f t="shared" si="4"/>
        <v>76487.28</v>
      </c>
      <c r="S16" s="847">
        <f t="shared" si="5"/>
        <v>96852.018299999996</v>
      </c>
      <c r="T16" s="847">
        <f t="shared" si="6"/>
        <v>114730.92</v>
      </c>
      <c r="U16" s="1294">
        <f t="shared" si="7"/>
        <v>129167.89409999999</v>
      </c>
    </row>
    <row r="17" spans="2:21">
      <c r="B17" s="738" t="s">
        <v>21</v>
      </c>
      <c r="C17" s="812">
        <v>956091</v>
      </c>
      <c r="D17" s="1292">
        <v>52.1</v>
      </c>
      <c r="E17" s="1293">
        <f t="shared" si="0"/>
        <v>1.8495201535508636</v>
      </c>
      <c r="F17" s="812">
        <f t="shared" si="1"/>
        <v>1768309</v>
      </c>
      <c r="P17" s="929">
        <f t="shared" si="2"/>
        <v>38243.64</v>
      </c>
      <c r="Q17" s="929">
        <f t="shared" si="3"/>
        <v>32315.875799999998</v>
      </c>
      <c r="R17" s="847">
        <f t="shared" si="4"/>
        <v>76487.28</v>
      </c>
      <c r="S17" s="847">
        <f t="shared" si="5"/>
        <v>96852.018299999996</v>
      </c>
      <c r="T17" s="847">
        <f t="shared" si="6"/>
        <v>114730.92</v>
      </c>
      <c r="U17" s="1294">
        <f t="shared" si="7"/>
        <v>129167.89409999999</v>
      </c>
    </row>
    <row r="18" spans="2:21">
      <c r="B18" s="738" t="s">
        <v>23</v>
      </c>
      <c r="C18" s="812">
        <v>956091</v>
      </c>
      <c r="D18" s="1292">
        <v>52.36</v>
      </c>
      <c r="E18" s="1293">
        <f t="shared" si="0"/>
        <v>1.8403361344537814</v>
      </c>
      <c r="F18" s="812">
        <f t="shared" si="1"/>
        <v>1759528</v>
      </c>
      <c r="P18" s="929">
        <f t="shared" si="2"/>
        <v>38243.64</v>
      </c>
      <c r="Q18" s="929">
        <f t="shared" si="3"/>
        <v>32315.875799999998</v>
      </c>
      <c r="R18" s="847">
        <f t="shared" si="4"/>
        <v>76487.28</v>
      </c>
      <c r="S18" s="847">
        <f t="shared" si="5"/>
        <v>96852.018299999996</v>
      </c>
      <c r="T18" s="847">
        <f t="shared" si="6"/>
        <v>114730.92</v>
      </c>
      <c r="U18" s="1294">
        <f t="shared" si="7"/>
        <v>129167.89409999999</v>
      </c>
    </row>
    <row r="19" spans="2:21">
      <c r="B19" s="738" t="s">
        <v>25</v>
      </c>
      <c r="C19" s="812">
        <v>956091</v>
      </c>
      <c r="D19" s="1292">
        <v>52.33</v>
      </c>
      <c r="E19" s="1293">
        <f t="shared" si="0"/>
        <v>1.841391171412192</v>
      </c>
      <c r="F19" s="812">
        <f t="shared" si="1"/>
        <v>1760537</v>
      </c>
      <c r="P19" s="929">
        <f t="shared" si="2"/>
        <v>38243.64</v>
      </c>
      <c r="Q19" s="929">
        <f t="shared" si="3"/>
        <v>32315.875799999998</v>
      </c>
      <c r="R19" s="847">
        <f t="shared" si="4"/>
        <v>76487.28</v>
      </c>
      <c r="S19" s="847">
        <f t="shared" si="5"/>
        <v>96852.018299999996</v>
      </c>
      <c r="T19" s="847">
        <f t="shared" si="6"/>
        <v>114730.92</v>
      </c>
      <c r="U19" s="1294">
        <f t="shared" si="7"/>
        <v>129167.89409999999</v>
      </c>
    </row>
    <row r="20" spans="2:21">
      <c r="B20" s="738" t="s">
        <v>27</v>
      </c>
      <c r="C20" s="812">
        <v>956091</v>
      </c>
      <c r="D20" s="1292">
        <v>52.26</v>
      </c>
      <c r="E20" s="1293">
        <f t="shared" si="0"/>
        <v>1.8438576349024112</v>
      </c>
      <c r="F20" s="812">
        <f t="shared" si="1"/>
        <v>1762895</v>
      </c>
      <c r="P20" s="929">
        <f t="shared" si="2"/>
        <v>38243.64</v>
      </c>
      <c r="Q20" s="929">
        <f t="shared" si="3"/>
        <v>32315.875799999998</v>
      </c>
      <c r="R20" s="847">
        <f t="shared" si="4"/>
        <v>76487.28</v>
      </c>
      <c r="S20" s="847">
        <f t="shared" si="5"/>
        <v>96852.018299999996</v>
      </c>
      <c r="T20" s="847">
        <f t="shared" si="6"/>
        <v>114730.92</v>
      </c>
      <c r="U20" s="1294">
        <f t="shared" si="7"/>
        <v>129167.89409999999</v>
      </c>
    </row>
    <row r="21" spans="2:21">
      <c r="B21" s="738" t="s">
        <v>29</v>
      </c>
      <c r="C21" s="812">
        <v>956091</v>
      </c>
      <c r="D21" s="1292">
        <v>52.42</v>
      </c>
      <c r="E21" s="1293">
        <f t="shared" si="0"/>
        <v>1.8382296833269745</v>
      </c>
      <c r="F21" s="812">
        <f t="shared" si="1"/>
        <v>1757514</v>
      </c>
      <c r="P21" s="929">
        <f t="shared" si="2"/>
        <v>38243.64</v>
      </c>
      <c r="Q21" s="929">
        <f t="shared" si="3"/>
        <v>32315.875799999998</v>
      </c>
      <c r="R21" s="847">
        <f t="shared" si="4"/>
        <v>76487.28</v>
      </c>
      <c r="S21" s="847">
        <f t="shared" si="5"/>
        <v>96852.018299999996</v>
      </c>
      <c r="T21" s="847">
        <f t="shared" si="6"/>
        <v>114730.92</v>
      </c>
      <c r="U21" s="1294">
        <f t="shared" si="7"/>
        <v>129167.89409999999</v>
      </c>
    </row>
    <row r="22" spans="2:21">
      <c r="B22" s="738" t="s">
        <v>31</v>
      </c>
      <c r="C22" s="812">
        <v>956091</v>
      </c>
      <c r="D22" s="1292">
        <v>52.53</v>
      </c>
      <c r="E22" s="1293">
        <f t="shared" si="0"/>
        <v>1.834380354083381</v>
      </c>
      <c r="F22" s="812">
        <f t="shared" si="1"/>
        <v>1753834</v>
      </c>
      <c r="P22" s="929">
        <f t="shared" si="2"/>
        <v>38243.64</v>
      </c>
      <c r="Q22" s="929">
        <f t="shared" si="3"/>
        <v>32315.875799999998</v>
      </c>
      <c r="R22" s="847">
        <f t="shared" si="4"/>
        <v>76487.28</v>
      </c>
      <c r="S22" s="847">
        <f t="shared" si="5"/>
        <v>96852.018299999996</v>
      </c>
      <c r="T22" s="847">
        <f t="shared" si="6"/>
        <v>114730.92</v>
      </c>
      <c r="U22" s="1294">
        <f t="shared" si="7"/>
        <v>129167.89409999999</v>
      </c>
    </row>
    <row r="23" spans="2:21">
      <c r="B23" s="738" t="s">
        <v>94</v>
      </c>
      <c r="C23" s="812">
        <v>956091</v>
      </c>
      <c r="D23" s="1292">
        <v>52.56</v>
      </c>
      <c r="E23" s="1293">
        <f t="shared" si="0"/>
        <v>1.8333333333333333</v>
      </c>
      <c r="F23" s="812">
        <f t="shared" si="1"/>
        <v>1752833</v>
      </c>
      <c r="P23" s="929">
        <f t="shared" si="2"/>
        <v>38243.64</v>
      </c>
      <c r="Q23" s="929">
        <f t="shared" si="3"/>
        <v>32315.875799999998</v>
      </c>
      <c r="R23" s="847">
        <f t="shared" si="4"/>
        <v>76487.28</v>
      </c>
      <c r="S23" s="847">
        <f t="shared" si="5"/>
        <v>96852.018299999996</v>
      </c>
      <c r="T23" s="847">
        <f t="shared" si="6"/>
        <v>114730.92</v>
      </c>
      <c r="U23" s="1294">
        <f t="shared" si="7"/>
        <v>129167.89409999999</v>
      </c>
    </row>
    <row r="24" spans="2:21">
      <c r="B24" s="738" t="s">
        <v>34</v>
      </c>
      <c r="C24" s="812">
        <v>956091</v>
      </c>
      <c r="D24" s="1292">
        <v>52.75</v>
      </c>
      <c r="E24" s="1293">
        <f t="shared" si="0"/>
        <v>1.8267298578199052</v>
      </c>
      <c r="F24" s="812">
        <f t="shared" si="1"/>
        <v>1746519</v>
      </c>
      <c r="P24" s="929">
        <f t="shared" si="2"/>
        <v>38243.64</v>
      </c>
      <c r="Q24" s="929">
        <f t="shared" si="3"/>
        <v>32315.875799999998</v>
      </c>
      <c r="R24" s="847">
        <f t="shared" si="4"/>
        <v>76487.28</v>
      </c>
      <c r="S24" s="847">
        <f t="shared" si="5"/>
        <v>96852.018299999996</v>
      </c>
      <c r="T24" s="847">
        <f t="shared" si="6"/>
        <v>114730.92</v>
      </c>
      <c r="U24" s="1294">
        <f t="shared" si="7"/>
        <v>129167.89409999999</v>
      </c>
    </row>
    <row r="25" spans="2:21">
      <c r="B25" s="738" t="s">
        <v>35</v>
      </c>
      <c r="C25" s="812">
        <v>956091</v>
      </c>
      <c r="D25" s="1292">
        <v>53.07</v>
      </c>
      <c r="E25" s="1293">
        <f>D13/D25</f>
        <v>1.8157150932730355</v>
      </c>
      <c r="F25" s="812">
        <f t="shared" si="1"/>
        <v>1735988</v>
      </c>
      <c r="P25" s="929">
        <f t="shared" si="2"/>
        <v>38243.64</v>
      </c>
      <c r="Q25" s="929">
        <f t="shared" si="3"/>
        <v>32315.875799999998</v>
      </c>
      <c r="R25" s="847">
        <f t="shared" si="4"/>
        <v>76487.28</v>
      </c>
      <c r="S25" s="847">
        <f t="shared" si="5"/>
        <v>96852.018299999996</v>
      </c>
      <c r="T25" s="847">
        <f t="shared" si="6"/>
        <v>114730.92</v>
      </c>
      <c r="U25" s="1294">
        <f t="shared" si="7"/>
        <v>129167.89409999999</v>
      </c>
    </row>
    <row r="26" spans="2:21">
      <c r="B26" s="738" t="s">
        <v>516</v>
      </c>
      <c r="C26" s="812">
        <v>478045</v>
      </c>
      <c r="D26" s="1292">
        <f>+D20</f>
        <v>52.26</v>
      </c>
      <c r="E26" s="1293">
        <f>D13/D26</f>
        <v>1.8438576349024112</v>
      </c>
      <c r="F26" s="812">
        <f t="shared" si="1"/>
        <v>881446</v>
      </c>
      <c r="P26" s="738"/>
      <c r="Q26" s="738"/>
      <c r="R26" s="738"/>
      <c r="S26" s="738"/>
      <c r="T26" s="738"/>
      <c r="U26" s="738"/>
    </row>
    <row r="27" spans="2:21">
      <c r="B27" s="738" t="s">
        <v>517</v>
      </c>
      <c r="C27" s="812">
        <v>980000</v>
      </c>
      <c r="D27" s="1292">
        <f>+D14</f>
        <v>50.42</v>
      </c>
      <c r="E27" s="1293">
        <f t="shared" si="0"/>
        <v>1.9111463704879015</v>
      </c>
      <c r="F27" s="812">
        <f t="shared" si="1"/>
        <v>1872923</v>
      </c>
      <c r="P27" s="738"/>
      <c r="Q27" s="738"/>
      <c r="R27" s="738"/>
      <c r="S27" s="738"/>
      <c r="T27" s="738"/>
      <c r="U27" s="738"/>
    </row>
    <row r="28" spans="2:21">
      <c r="B28" s="738" t="s">
        <v>104</v>
      </c>
      <c r="C28" s="812">
        <v>669263</v>
      </c>
      <c r="D28" s="1292">
        <f>+D24</f>
        <v>52.75</v>
      </c>
      <c r="E28" s="1293">
        <f t="shared" si="0"/>
        <v>1.8267298578199052</v>
      </c>
      <c r="F28" s="812">
        <f t="shared" si="1"/>
        <v>1222562</v>
      </c>
      <c r="P28" s="929">
        <f t="shared" ref="P28:U28" si="8">SUM(P14:P25)</f>
        <v>437252.28000000009</v>
      </c>
      <c r="Q28" s="929">
        <f t="shared" si="8"/>
        <v>369478.17659999995</v>
      </c>
      <c r="R28" s="929">
        <f t="shared" si="8"/>
        <v>874504.56000000017</v>
      </c>
      <c r="S28" s="929">
        <f t="shared" si="8"/>
        <v>1107341.3991</v>
      </c>
      <c r="T28" s="929">
        <f t="shared" si="8"/>
        <v>1311756.8399999999</v>
      </c>
      <c r="U28" s="929">
        <f t="shared" si="8"/>
        <v>1476819.5756999997</v>
      </c>
    </row>
    <row r="29" spans="2:21">
      <c r="B29" s="738" t="s">
        <v>518</v>
      </c>
      <c r="C29" s="812">
        <v>478045</v>
      </c>
      <c r="D29" s="1292">
        <f>+D24</f>
        <v>52.75</v>
      </c>
      <c r="E29" s="1293">
        <f t="shared" si="0"/>
        <v>1.8267298578199052</v>
      </c>
      <c r="F29" s="812">
        <f t="shared" si="1"/>
        <v>873259</v>
      </c>
    </row>
    <row r="30" spans="2:21">
      <c r="B30" s="738" t="s">
        <v>96</v>
      </c>
      <c r="C30" s="738"/>
      <c r="D30" s="738"/>
      <c r="E30" s="738"/>
      <c r="F30" s="812">
        <f>SUM(F14:F29)</f>
        <v>25035667</v>
      </c>
    </row>
    <row r="31" spans="2:21">
      <c r="B31" s="738" t="s">
        <v>519</v>
      </c>
      <c r="C31" s="738"/>
      <c r="D31" s="738"/>
      <c r="E31" s="738"/>
      <c r="F31" s="812">
        <f>SUM(B52+C52)</f>
        <v>806100</v>
      </c>
    </row>
    <row r="32" spans="2:21">
      <c r="B32" s="738" t="s">
        <v>99</v>
      </c>
      <c r="C32" s="738"/>
      <c r="D32" s="738"/>
      <c r="E32" s="738"/>
      <c r="F32" s="812">
        <f>(F30-F31)</f>
        <v>24229567</v>
      </c>
    </row>
    <row r="33" spans="1:16">
      <c r="P33" s="1265" t="s">
        <v>520</v>
      </c>
    </row>
    <row r="34" spans="1:16">
      <c r="A34" s="1265" t="s">
        <v>521</v>
      </c>
    </row>
    <row r="35" spans="1:16">
      <c r="A35" s="1265" t="s">
        <v>522</v>
      </c>
    </row>
    <row r="36" spans="1:16">
      <c r="A36" s="2563" t="s">
        <v>184</v>
      </c>
      <c r="B36" s="2563"/>
      <c r="C36" s="2563"/>
      <c r="D36" s="2563"/>
      <c r="E36" s="2563"/>
      <c r="F36" s="2563"/>
      <c r="G36" s="2563"/>
    </row>
    <row r="37" spans="1:16">
      <c r="A37" s="1300" t="s">
        <v>523</v>
      </c>
      <c r="B37" s="733" t="s">
        <v>78</v>
      </c>
      <c r="C37" s="733" t="s">
        <v>79</v>
      </c>
      <c r="D37" s="733" t="s">
        <v>186</v>
      </c>
      <c r="E37" s="733" t="s">
        <v>187</v>
      </c>
      <c r="F37" s="733" t="s">
        <v>82</v>
      </c>
      <c r="G37" s="733" t="s">
        <v>83</v>
      </c>
    </row>
    <row r="38" spans="1:16">
      <c r="A38" s="738" t="s">
        <v>16</v>
      </c>
      <c r="B38" s="738">
        <v>16600</v>
      </c>
      <c r="C38" s="738">
        <v>14000</v>
      </c>
      <c r="D38" s="738">
        <v>33100</v>
      </c>
      <c r="E38" s="738">
        <v>41900</v>
      </c>
      <c r="F38" s="738">
        <f>SUM(B38+D38)</f>
        <v>49700</v>
      </c>
      <c r="G38" s="738">
        <f>SUM(C38+E38)</f>
        <v>55900</v>
      </c>
    </row>
    <row r="39" spans="1:16">
      <c r="A39" s="738" t="s">
        <v>17</v>
      </c>
      <c r="B39" s="738">
        <v>38200</v>
      </c>
      <c r="C39" s="738">
        <v>32300</v>
      </c>
      <c r="D39" s="738">
        <v>76500</v>
      </c>
      <c r="E39" s="738">
        <v>96800</v>
      </c>
      <c r="F39" s="738">
        <f t="shared" ref="F39:G49" si="9">SUM(B39+D39)</f>
        <v>114700</v>
      </c>
      <c r="G39" s="738">
        <f t="shared" si="9"/>
        <v>129100</v>
      </c>
    </row>
    <row r="40" spans="1:16">
      <c r="A40" s="738" t="s">
        <v>19</v>
      </c>
      <c r="B40" s="738">
        <v>38200</v>
      </c>
      <c r="C40" s="738">
        <v>32300</v>
      </c>
      <c r="D40" s="738">
        <v>76500</v>
      </c>
      <c r="E40" s="738">
        <v>96900</v>
      </c>
      <c r="F40" s="738">
        <f t="shared" si="9"/>
        <v>114700</v>
      </c>
      <c r="G40" s="738">
        <f t="shared" si="9"/>
        <v>129200</v>
      </c>
    </row>
    <row r="41" spans="1:16">
      <c r="A41" s="738" t="s">
        <v>21</v>
      </c>
      <c r="B41" s="738">
        <v>38200</v>
      </c>
      <c r="C41" s="738">
        <v>32300</v>
      </c>
      <c r="D41" s="738">
        <v>76500</v>
      </c>
      <c r="E41" s="738">
        <v>96900</v>
      </c>
      <c r="F41" s="738">
        <f t="shared" si="9"/>
        <v>114700</v>
      </c>
      <c r="G41" s="738">
        <f t="shared" si="9"/>
        <v>129200</v>
      </c>
    </row>
    <row r="42" spans="1:16">
      <c r="A42" s="738" t="s">
        <v>23</v>
      </c>
      <c r="B42" s="738">
        <v>38200</v>
      </c>
      <c r="C42" s="738">
        <v>32300</v>
      </c>
      <c r="D42" s="738">
        <v>76500</v>
      </c>
      <c r="E42" s="738">
        <v>96900</v>
      </c>
      <c r="F42" s="738">
        <f t="shared" si="9"/>
        <v>114700</v>
      </c>
      <c r="G42" s="738">
        <f t="shared" si="9"/>
        <v>129200</v>
      </c>
    </row>
    <row r="43" spans="1:16">
      <c r="A43" s="738" t="s">
        <v>25</v>
      </c>
      <c r="B43" s="738">
        <v>38200</v>
      </c>
      <c r="C43" s="738">
        <v>32300</v>
      </c>
      <c r="D43" s="738">
        <v>76500</v>
      </c>
      <c r="E43" s="738">
        <v>96900</v>
      </c>
      <c r="F43" s="738">
        <f t="shared" si="9"/>
        <v>114700</v>
      </c>
      <c r="G43" s="738">
        <f t="shared" si="9"/>
        <v>129200</v>
      </c>
    </row>
    <row r="44" spans="1:16">
      <c r="A44" s="738" t="s">
        <v>27</v>
      </c>
      <c r="B44" s="738">
        <v>38200</v>
      </c>
      <c r="C44" s="738">
        <v>32300</v>
      </c>
      <c r="D44" s="738">
        <v>76500</v>
      </c>
      <c r="E44" s="738">
        <v>96900</v>
      </c>
      <c r="F44" s="738">
        <f t="shared" si="9"/>
        <v>114700</v>
      </c>
      <c r="G44" s="738">
        <f t="shared" si="9"/>
        <v>129200</v>
      </c>
    </row>
    <row r="45" spans="1:16">
      <c r="A45" s="738" t="s">
        <v>29</v>
      </c>
      <c r="B45" s="738">
        <v>38200</v>
      </c>
      <c r="C45" s="738">
        <v>32300</v>
      </c>
      <c r="D45" s="738">
        <v>76500</v>
      </c>
      <c r="E45" s="738">
        <v>96900</v>
      </c>
      <c r="F45" s="738">
        <f t="shared" si="9"/>
        <v>114700</v>
      </c>
      <c r="G45" s="738">
        <f t="shared" si="9"/>
        <v>129200</v>
      </c>
    </row>
    <row r="46" spans="1:16">
      <c r="A46" s="738" t="s">
        <v>31</v>
      </c>
      <c r="B46" s="738">
        <v>38200</v>
      </c>
      <c r="C46" s="738">
        <v>32300</v>
      </c>
      <c r="D46" s="738">
        <v>76500</v>
      </c>
      <c r="E46" s="738">
        <v>96900</v>
      </c>
      <c r="F46" s="738">
        <f t="shared" si="9"/>
        <v>114700</v>
      </c>
      <c r="G46" s="738">
        <f t="shared" si="9"/>
        <v>129200</v>
      </c>
    </row>
    <row r="47" spans="1:16">
      <c r="A47" s="738" t="s">
        <v>94</v>
      </c>
      <c r="B47" s="738">
        <v>38200</v>
      </c>
      <c r="C47" s="738">
        <v>32300</v>
      </c>
      <c r="D47" s="738">
        <v>76500</v>
      </c>
      <c r="E47" s="738">
        <v>96900</v>
      </c>
      <c r="F47" s="738">
        <f t="shared" si="9"/>
        <v>114700</v>
      </c>
      <c r="G47" s="738">
        <f t="shared" si="9"/>
        <v>129200</v>
      </c>
    </row>
    <row r="48" spans="1:16">
      <c r="A48" s="738" t="s">
        <v>34</v>
      </c>
      <c r="B48" s="738">
        <v>38200</v>
      </c>
      <c r="C48" s="738">
        <v>32300</v>
      </c>
      <c r="D48" s="738">
        <v>76500</v>
      </c>
      <c r="E48" s="738">
        <v>96900</v>
      </c>
      <c r="F48" s="738">
        <f t="shared" si="9"/>
        <v>114700</v>
      </c>
      <c r="G48" s="738">
        <f t="shared" si="9"/>
        <v>129200</v>
      </c>
    </row>
    <row r="49" spans="1:21">
      <c r="A49" s="738" t="s">
        <v>35</v>
      </c>
      <c r="B49" s="738">
        <v>38200</v>
      </c>
      <c r="C49" s="738">
        <v>32300</v>
      </c>
      <c r="D49" s="738">
        <v>76500</v>
      </c>
      <c r="E49" s="738">
        <v>96900</v>
      </c>
      <c r="F49" s="738">
        <f t="shared" si="9"/>
        <v>114700</v>
      </c>
      <c r="G49" s="738">
        <f t="shared" si="9"/>
        <v>129200</v>
      </c>
    </row>
    <row r="50" spans="1:21">
      <c r="B50" s="738"/>
      <c r="C50" s="738"/>
      <c r="D50" s="738"/>
      <c r="E50" s="738"/>
      <c r="F50" s="738"/>
      <c r="G50" s="738"/>
    </row>
    <row r="51" spans="1:21">
      <c r="B51" s="738"/>
      <c r="C51" s="738"/>
      <c r="D51" s="738"/>
      <c r="E51" s="738"/>
      <c r="F51" s="738"/>
      <c r="G51" s="738"/>
    </row>
    <row r="52" spans="1:21">
      <c r="A52" s="738" t="s">
        <v>190</v>
      </c>
      <c r="B52" s="929">
        <f t="shared" ref="B52:G52" si="10">SUM(B38:B49)</f>
        <v>436800</v>
      </c>
      <c r="C52" s="929">
        <f t="shared" si="10"/>
        <v>369300</v>
      </c>
      <c r="D52" s="929">
        <f t="shared" si="10"/>
        <v>874600</v>
      </c>
      <c r="E52" s="929">
        <f t="shared" si="10"/>
        <v>1107700</v>
      </c>
      <c r="F52" s="929">
        <f t="shared" si="10"/>
        <v>1311400</v>
      </c>
      <c r="G52" s="929">
        <f t="shared" si="10"/>
        <v>1477000</v>
      </c>
    </row>
    <row r="57" spans="1:21">
      <c r="B57" s="733" t="s">
        <v>11</v>
      </c>
      <c r="C57" s="733" t="s">
        <v>106</v>
      </c>
      <c r="D57" s="733" t="s">
        <v>76</v>
      </c>
      <c r="E57" s="733" t="s">
        <v>77</v>
      </c>
      <c r="F57" s="733" t="s">
        <v>57</v>
      </c>
      <c r="G57" s="1291"/>
      <c r="P57" s="2601" t="s">
        <v>514</v>
      </c>
      <c r="Q57" s="2602"/>
      <c r="R57" s="2602"/>
      <c r="S57" s="2602"/>
      <c r="T57" s="2602"/>
      <c r="U57" s="2603"/>
    </row>
    <row r="58" spans="1:21">
      <c r="B58" s="738"/>
      <c r="C58" s="738"/>
      <c r="D58" s="738"/>
      <c r="E58" s="738"/>
      <c r="F58" s="738"/>
      <c r="P58" s="733" t="s">
        <v>78</v>
      </c>
      <c r="Q58" s="733" t="s">
        <v>79</v>
      </c>
      <c r="R58" s="733" t="s">
        <v>186</v>
      </c>
      <c r="S58" s="733" t="s">
        <v>187</v>
      </c>
      <c r="T58" s="733" t="s">
        <v>82</v>
      </c>
      <c r="U58" s="733" t="s">
        <v>83</v>
      </c>
    </row>
    <row r="59" spans="1:21">
      <c r="B59" s="738" t="s">
        <v>16</v>
      </c>
      <c r="C59" s="812">
        <v>1003896</v>
      </c>
      <c r="D59" s="1292">
        <v>53.54</v>
      </c>
      <c r="E59" s="738">
        <f>$D13/D59</f>
        <v>1.7997758685095255</v>
      </c>
      <c r="F59" s="812">
        <f>INT(C59*E59)</f>
        <v>1806787</v>
      </c>
      <c r="P59" s="738"/>
      <c r="Q59" s="738"/>
      <c r="R59" s="738"/>
      <c r="S59" s="738"/>
      <c r="T59" s="738"/>
      <c r="U59" s="738"/>
    </row>
    <row r="60" spans="1:21">
      <c r="B60" s="738" t="s">
        <v>17</v>
      </c>
      <c r="C60" s="812">
        <v>1003896</v>
      </c>
      <c r="D60" s="1292">
        <v>54.18</v>
      </c>
      <c r="E60" s="738">
        <f>$D13/D60</f>
        <v>1.778516057585825</v>
      </c>
      <c r="F60" s="812">
        <f t="shared" ref="F60:F75" si="11">INT(C60*E60)</f>
        <v>1785445</v>
      </c>
      <c r="P60" s="929">
        <f>+C59*4%</f>
        <v>40155.840000000004</v>
      </c>
      <c r="Q60" s="929">
        <f>+C60*3.63%</f>
        <v>36441.424800000001</v>
      </c>
      <c r="R60" s="847">
        <f>+C60*0.08</f>
        <v>80311.680000000008</v>
      </c>
      <c r="S60" s="847">
        <f>+C60*0.1088</f>
        <v>109223.8848</v>
      </c>
      <c r="T60" s="847">
        <f>SUM(P60+R60)</f>
        <v>120467.52000000002</v>
      </c>
      <c r="U60" s="1294">
        <f>+Q60+S60</f>
        <v>145665.30960000001</v>
      </c>
    </row>
    <row r="61" spans="1:21">
      <c r="B61" s="738" t="s">
        <v>19</v>
      </c>
      <c r="C61" s="812">
        <v>1003896</v>
      </c>
      <c r="D61" s="1292">
        <v>54.71</v>
      </c>
      <c r="E61" s="738">
        <f>$D13/D61</f>
        <v>1.7612867848656553</v>
      </c>
      <c r="F61" s="812">
        <f t="shared" si="11"/>
        <v>1768148</v>
      </c>
      <c r="P61" s="929">
        <f t="shared" ref="P61:P71" si="12">+C60*4%</f>
        <v>40155.840000000004</v>
      </c>
      <c r="Q61" s="929">
        <f t="shared" ref="Q61:Q71" si="13">+C61*3.63%</f>
        <v>36441.424800000001</v>
      </c>
      <c r="R61" s="847">
        <f t="shared" ref="R61:R71" si="14">+C61*0.08</f>
        <v>80311.680000000008</v>
      </c>
      <c r="S61" s="847">
        <f t="shared" ref="S61:S71" si="15">+C61*0.1088</f>
        <v>109223.8848</v>
      </c>
      <c r="T61" s="847">
        <f t="shared" ref="T61:T71" si="16">SUM(P61+R61)</f>
        <v>120467.52000000002</v>
      </c>
      <c r="U61" s="1294">
        <f t="shared" ref="U61:U71" si="17">+Q61+S61</f>
        <v>145665.30960000001</v>
      </c>
    </row>
    <row r="62" spans="1:21">
      <c r="B62" s="738" t="s">
        <v>21</v>
      </c>
      <c r="C62" s="812">
        <v>1003896</v>
      </c>
      <c r="D62" s="1292">
        <v>54.96</v>
      </c>
      <c r="E62" s="738">
        <f>$D13/D62</f>
        <v>1.7532751091703056</v>
      </c>
      <c r="F62" s="812">
        <f t="shared" si="11"/>
        <v>1760105</v>
      </c>
      <c r="P62" s="929">
        <f t="shared" si="12"/>
        <v>40155.840000000004</v>
      </c>
      <c r="Q62" s="929">
        <f t="shared" si="13"/>
        <v>36441.424800000001</v>
      </c>
      <c r="R62" s="847">
        <f t="shared" si="14"/>
        <v>80311.680000000008</v>
      </c>
      <c r="S62" s="847">
        <f t="shared" si="15"/>
        <v>109223.8848</v>
      </c>
      <c r="T62" s="847">
        <f t="shared" si="16"/>
        <v>120467.52000000002</v>
      </c>
      <c r="U62" s="1294">
        <f t="shared" si="17"/>
        <v>145665.30960000001</v>
      </c>
    </row>
    <row r="63" spans="1:21">
      <c r="B63" s="738" t="s">
        <v>23</v>
      </c>
      <c r="C63" s="812">
        <v>1003896</v>
      </c>
      <c r="D63" s="1292">
        <v>55.17</v>
      </c>
      <c r="E63" s="738">
        <f>$D13/D63</f>
        <v>1.7466014138118542</v>
      </c>
      <c r="F63" s="812">
        <f t="shared" si="11"/>
        <v>1753406</v>
      </c>
      <c r="P63" s="929">
        <f t="shared" si="12"/>
        <v>40155.840000000004</v>
      </c>
      <c r="Q63" s="929">
        <f t="shared" si="13"/>
        <v>36441.424800000001</v>
      </c>
      <c r="R63" s="847">
        <f t="shared" si="14"/>
        <v>80311.680000000008</v>
      </c>
      <c r="S63" s="847">
        <f t="shared" si="15"/>
        <v>109223.8848</v>
      </c>
      <c r="T63" s="847">
        <f t="shared" si="16"/>
        <v>120467.52000000002</v>
      </c>
      <c r="U63" s="1294">
        <f t="shared" si="17"/>
        <v>145665.30960000001</v>
      </c>
    </row>
    <row r="64" spans="1:21">
      <c r="B64" s="738" t="s">
        <v>25</v>
      </c>
      <c r="C64" s="812">
        <v>1003896</v>
      </c>
      <c r="D64" s="1292">
        <v>55.51</v>
      </c>
      <c r="E64" s="738">
        <f>$D13/D64</f>
        <v>1.7359034408214737</v>
      </c>
      <c r="F64" s="812">
        <f t="shared" si="11"/>
        <v>1742666</v>
      </c>
      <c r="P64" s="929">
        <f t="shared" si="12"/>
        <v>40155.840000000004</v>
      </c>
      <c r="Q64" s="929">
        <f t="shared" si="13"/>
        <v>36441.424800000001</v>
      </c>
      <c r="R64" s="847">
        <f t="shared" si="14"/>
        <v>80311.680000000008</v>
      </c>
      <c r="S64" s="847">
        <f t="shared" si="15"/>
        <v>109223.8848</v>
      </c>
      <c r="T64" s="847">
        <f t="shared" si="16"/>
        <v>120467.52000000002</v>
      </c>
      <c r="U64" s="1294">
        <f t="shared" si="17"/>
        <v>145665.30960000001</v>
      </c>
    </row>
    <row r="65" spans="1:21">
      <c r="B65" s="738" t="s">
        <v>27</v>
      </c>
      <c r="C65" s="812">
        <v>1003896</v>
      </c>
      <c r="D65" s="1292">
        <v>55.49</v>
      </c>
      <c r="E65" s="738">
        <f>$D13/D65</f>
        <v>1.7365291043431248</v>
      </c>
      <c r="F65" s="812">
        <f t="shared" si="11"/>
        <v>1743294</v>
      </c>
      <c r="P65" s="929">
        <f t="shared" si="12"/>
        <v>40155.840000000004</v>
      </c>
      <c r="Q65" s="929">
        <f t="shared" si="13"/>
        <v>36441.424800000001</v>
      </c>
      <c r="R65" s="847">
        <f t="shared" si="14"/>
        <v>80311.680000000008</v>
      </c>
      <c r="S65" s="847">
        <f t="shared" si="15"/>
        <v>109223.8848</v>
      </c>
      <c r="T65" s="847">
        <f t="shared" si="16"/>
        <v>120467.52000000002</v>
      </c>
      <c r="U65" s="1294">
        <f t="shared" si="17"/>
        <v>145665.30960000001</v>
      </c>
    </row>
    <row r="66" spans="1:21">
      <c r="B66" s="738" t="s">
        <v>29</v>
      </c>
      <c r="C66" s="812">
        <v>1003896</v>
      </c>
      <c r="D66" s="1292">
        <v>55.51</v>
      </c>
      <c r="E66" s="738">
        <f>$D13/D66</f>
        <v>1.7359034408214737</v>
      </c>
      <c r="F66" s="812">
        <f t="shared" si="11"/>
        <v>1742666</v>
      </c>
      <c r="P66" s="929">
        <f t="shared" si="12"/>
        <v>40155.840000000004</v>
      </c>
      <c r="Q66" s="929">
        <f t="shared" si="13"/>
        <v>36441.424800000001</v>
      </c>
      <c r="R66" s="847">
        <f t="shared" si="14"/>
        <v>80311.680000000008</v>
      </c>
      <c r="S66" s="847">
        <f t="shared" si="15"/>
        <v>109223.8848</v>
      </c>
      <c r="T66" s="847">
        <f t="shared" si="16"/>
        <v>120467.52000000002</v>
      </c>
      <c r="U66" s="1294">
        <f t="shared" si="17"/>
        <v>145665.30960000001</v>
      </c>
    </row>
    <row r="67" spans="1:21">
      <c r="B67" s="738" t="s">
        <v>31</v>
      </c>
      <c r="C67" s="812">
        <v>1003896</v>
      </c>
      <c r="D67" s="1292">
        <v>55.67</v>
      </c>
      <c r="E67" s="738">
        <f>$D13/D67</f>
        <v>1.7309143165079934</v>
      </c>
      <c r="F67" s="812">
        <f t="shared" si="11"/>
        <v>1737657</v>
      </c>
      <c r="P67" s="929">
        <f t="shared" si="12"/>
        <v>40155.840000000004</v>
      </c>
      <c r="Q67" s="929">
        <f t="shared" si="13"/>
        <v>36441.424800000001</v>
      </c>
      <c r="R67" s="847">
        <f t="shared" si="14"/>
        <v>80311.680000000008</v>
      </c>
      <c r="S67" s="847">
        <f t="shared" si="15"/>
        <v>109223.8848</v>
      </c>
      <c r="T67" s="847">
        <f t="shared" si="16"/>
        <v>120467.52000000002</v>
      </c>
      <c r="U67" s="1294">
        <f t="shared" si="17"/>
        <v>145665.30960000001</v>
      </c>
    </row>
    <row r="68" spans="1:21">
      <c r="B68" s="738" t="s">
        <v>94</v>
      </c>
      <c r="C68" s="812">
        <v>1003896</v>
      </c>
      <c r="D68" s="1292">
        <v>55.66</v>
      </c>
      <c r="E68" s="738">
        <f>$D13/D68</f>
        <v>1.7312252964426877</v>
      </c>
      <c r="F68" s="812">
        <f t="shared" si="11"/>
        <v>1737970</v>
      </c>
      <c r="P68" s="929">
        <f t="shared" si="12"/>
        <v>40155.840000000004</v>
      </c>
      <c r="Q68" s="929">
        <f t="shared" si="13"/>
        <v>36441.424800000001</v>
      </c>
      <c r="R68" s="847">
        <f t="shared" si="14"/>
        <v>80311.680000000008</v>
      </c>
      <c r="S68" s="847">
        <f t="shared" si="15"/>
        <v>109223.8848</v>
      </c>
      <c r="T68" s="847">
        <f t="shared" si="16"/>
        <v>120467.52000000002</v>
      </c>
      <c r="U68" s="1294">
        <f t="shared" si="17"/>
        <v>145665.30960000001</v>
      </c>
    </row>
    <row r="69" spans="1:21">
      <c r="B69" s="738" t="s">
        <v>34</v>
      </c>
      <c r="C69" s="812">
        <v>1003896</v>
      </c>
      <c r="D69" s="1292">
        <v>55.82</v>
      </c>
      <c r="E69" s="738">
        <f>$D13/D69</f>
        <v>1.726262988176281</v>
      </c>
      <c r="F69" s="812">
        <f t="shared" si="11"/>
        <v>1732988</v>
      </c>
      <c r="P69" s="929">
        <f t="shared" si="12"/>
        <v>40155.840000000004</v>
      </c>
      <c r="Q69" s="929">
        <f t="shared" si="13"/>
        <v>36441.424800000001</v>
      </c>
      <c r="R69" s="847">
        <f t="shared" si="14"/>
        <v>80311.680000000008</v>
      </c>
      <c r="S69" s="847">
        <f t="shared" si="15"/>
        <v>109223.8848</v>
      </c>
      <c r="T69" s="847">
        <f t="shared" si="16"/>
        <v>120467.52000000002</v>
      </c>
      <c r="U69" s="1294">
        <f t="shared" si="17"/>
        <v>145665.30960000001</v>
      </c>
    </row>
    <row r="70" spans="1:21">
      <c r="B70" s="738" t="s">
        <v>35</v>
      </c>
      <c r="C70" s="812">
        <v>1003896</v>
      </c>
      <c r="D70" s="1292">
        <v>55.99</v>
      </c>
      <c r="E70" s="738">
        <f>$D13/D70</f>
        <v>1.7210216110019645</v>
      </c>
      <c r="F70" s="812">
        <f t="shared" si="11"/>
        <v>1727726</v>
      </c>
      <c r="P70" s="929">
        <f t="shared" si="12"/>
        <v>40155.840000000004</v>
      </c>
      <c r="Q70" s="929">
        <f t="shared" si="13"/>
        <v>36441.424800000001</v>
      </c>
      <c r="R70" s="847">
        <f t="shared" si="14"/>
        <v>80311.680000000008</v>
      </c>
      <c r="S70" s="847">
        <f t="shared" si="15"/>
        <v>109223.8848</v>
      </c>
      <c r="T70" s="847">
        <f t="shared" si="16"/>
        <v>120467.52000000002</v>
      </c>
      <c r="U70" s="1294">
        <f t="shared" si="17"/>
        <v>145665.30960000001</v>
      </c>
    </row>
    <row r="71" spans="1:21">
      <c r="B71" s="738" t="s">
        <v>101</v>
      </c>
      <c r="C71" s="812">
        <v>501948</v>
      </c>
      <c r="D71" s="1292">
        <f>+D65</f>
        <v>55.49</v>
      </c>
      <c r="E71" s="738">
        <f>$D13/D71</f>
        <v>1.7365291043431248</v>
      </c>
      <c r="F71" s="812">
        <f t="shared" si="11"/>
        <v>871647</v>
      </c>
      <c r="P71" s="929">
        <f t="shared" si="12"/>
        <v>40155.840000000004</v>
      </c>
      <c r="Q71" s="929">
        <f t="shared" si="13"/>
        <v>18220.7124</v>
      </c>
      <c r="R71" s="847">
        <f t="shared" si="14"/>
        <v>40155.840000000004</v>
      </c>
      <c r="S71" s="847">
        <f t="shared" si="15"/>
        <v>54611.9424</v>
      </c>
      <c r="T71" s="847">
        <f t="shared" si="16"/>
        <v>80311.680000000008</v>
      </c>
      <c r="U71" s="1294">
        <f t="shared" si="17"/>
        <v>72832.654800000004</v>
      </c>
    </row>
    <row r="72" spans="1:21">
      <c r="B72" s="738" t="s">
        <v>102</v>
      </c>
      <c r="C72" s="812">
        <v>522862</v>
      </c>
      <c r="D72" s="1292">
        <f>+D69</f>
        <v>55.82</v>
      </c>
      <c r="E72" s="738">
        <f>$D13/D72</f>
        <v>1.726262988176281</v>
      </c>
      <c r="F72" s="812">
        <f t="shared" si="11"/>
        <v>902597</v>
      </c>
      <c r="P72" s="929"/>
      <c r="Q72" s="738"/>
      <c r="R72" s="738"/>
      <c r="S72" s="738"/>
      <c r="T72" s="738"/>
      <c r="U72" s="738"/>
    </row>
    <row r="73" spans="1:21">
      <c r="B73" s="738" t="s">
        <v>524</v>
      </c>
      <c r="C73" s="812">
        <v>66926</v>
      </c>
      <c r="D73" s="1292">
        <f>+D69</f>
        <v>55.82</v>
      </c>
      <c r="E73" s="738">
        <f>$D13/D73</f>
        <v>1.726262988176281</v>
      </c>
      <c r="F73" s="812">
        <f t="shared" si="11"/>
        <v>115531</v>
      </c>
      <c r="P73" s="738"/>
      <c r="Q73" s="738"/>
      <c r="R73" s="738"/>
      <c r="S73" s="738"/>
      <c r="T73" s="738"/>
      <c r="U73" s="738"/>
    </row>
    <row r="74" spans="1:21">
      <c r="B74" s="738" t="s">
        <v>104</v>
      </c>
      <c r="C74" s="812">
        <v>732007</v>
      </c>
      <c r="D74" s="1292">
        <f>+D69</f>
        <v>55.82</v>
      </c>
      <c r="E74" s="738">
        <f>$D13/D74</f>
        <v>1.726262988176281</v>
      </c>
      <c r="F74" s="812">
        <f t="shared" si="11"/>
        <v>1263636</v>
      </c>
      <c r="P74" s="929">
        <f t="shared" ref="P74:U74" si="18">SUM(P60:P71)</f>
        <v>481870.08000000013</v>
      </c>
      <c r="Q74" s="929">
        <f t="shared" si="18"/>
        <v>419076.38519999996</v>
      </c>
      <c r="R74" s="929">
        <f t="shared" si="18"/>
        <v>923584.32000000018</v>
      </c>
      <c r="S74" s="929">
        <f t="shared" si="18"/>
        <v>1256074.6751999999</v>
      </c>
      <c r="T74" s="929">
        <f t="shared" si="18"/>
        <v>1405454.4000000001</v>
      </c>
      <c r="U74" s="929">
        <f t="shared" si="18"/>
        <v>1675151.0604000001</v>
      </c>
    </row>
    <row r="75" spans="1:21">
      <c r="B75" s="738" t="s">
        <v>95</v>
      </c>
      <c r="C75" s="812">
        <v>1089296</v>
      </c>
      <c r="D75" s="1292">
        <f>+D70</f>
        <v>55.99</v>
      </c>
      <c r="E75" s="738">
        <f>$D13/D75</f>
        <v>1.7210216110019645</v>
      </c>
      <c r="F75" s="812">
        <f t="shared" si="11"/>
        <v>1874701</v>
      </c>
    </row>
    <row r="76" spans="1:21">
      <c r="B76" s="738"/>
      <c r="C76" s="738"/>
      <c r="D76" s="738"/>
      <c r="E76" s="738"/>
      <c r="F76" s="738"/>
    </row>
    <row r="77" spans="1:21">
      <c r="B77" s="738" t="s">
        <v>96</v>
      </c>
      <c r="C77" s="738"/>
      <c r="D77" s="738"/>
      <c r="E77" s="738"/>
      <c r="F77" s="812">
        <f>SUM(F59:F75)</f>
        <v>26066970</v>
      </c>
    </row>
    <row r="78" spans="1:21">
      <c r="B78" s="738" t="s">
        <v>525</v>
      </c>
      <c r="C78" s="738"/>
      <c r="D78" s="738"/>
      <c r="E78" s="738"/>
      <c r="F78" s="812">
        <f>SUM(B95+C95)</f>
        <v>919200</v>
      </c>
    </row>
    <row r="79" spans="1:21">
      <c r="B79" s="738" t="s">
        <v>99</v>
      </c>
      <c r="C79" s="738"/>
      <c r="D79" s="738"/>
      <c r="E79" s="738"/>
      <c r="F79" s="812">
        <f>(F77-F78)</f>
        <v>25147770</v>
      </c>
    </row>
    <row r="80" spans="1:21">
      <c r="A80" s="2563" t="s">
        <v>184</v>
      </c>
      <c r="B80" s="2563"/>
      <c r="C80" s="2563"/>
      <c r="D80" s="2563"/>
      <c r="E80" s="2563"/>
      <c r="F80" s="2563"/>
      <c r="G80" s="2563"/>
    </row>
    <row r="81" spans="1:7">
      <c r="A81" s="738" t="s">
        <v>526</v>
      </c>
      <c r="B81" s="738" t="s">
        <v>78</v>
      </c>
      <c r="C81" s="738" t="s">
        <v>79</v>
      </c>
      <c r="D81" s="738" t="s">
        <v>186</v>
      </c>
      <c r="E81" s="738" t="s">
        <v>187</v>
      </c>
      <c r="F81" s="738" t="s">
        <v>82</v>
      </c>
      <c r="G81" s="738" t="s">
        <v>83</v>
      </c>
    </row>
    <row r="82" spans="1:7">
      <c r="A82" s="738" t="s">
        <v>16</v>
      </c>
      <c r="B82" s="1295">
        <v>40200</v>
      </c>
      <c r="C82" s="1295">
        <v>36400</v>
      </c>
      <c r="D82" s="1295">
        <v>80300</v>
      </c>
      <c r="E82" s="1295">
        <v>109200</v>
      </c>
      <c r="F82" s="1295">
        <f>SUM(B82+D82)</f>
        <v>120500</v>
      </c>
      <c r="G82" s="1295">
        <f>SUM(C82+E82)</f>
        <v>145600</v>
      </c>
    </row>
    <row r="83" spans="1:7">
      <c r="A83" s="738" t="s">
        <v>17</v>
      </c>
      <c r="B83" s="1295">
        <v>40200</v>
      </c>
      <c r="C83" s="1295">
        <v>36400</v>
      </c>
      <c r="D83" s="1295">
        <v>80300</v>
      </c>
      <c r="E83" s="1295">
        <v>109200</v>
      </c>
      <c r="F83" s="1295">
        <f t="shared" ref="F83:G93" si="19">SUM(B83+D83)</f>
        <v>120500</v>
      </c>
      <c r="G83" s="1295">
        <f t="shared" si="19"/>
        <v>145600</v>
      </c>
    </row>
    <row r="84" spans="1:7">
      <c r="A84" s="738" t="s">
        <v>19</v>
      </c>
      <c r="B84" s="1295">
        <v>40200</v>
      </c>
      <c r="C84" s="1295">
        <v>36400</v>
      </c>
      <c r="D84" s="1295">
        <v>80300</v>
      </c>
      <c r="E84" s="1295">
        <v>109200</v>
      </c>
      <c r="F84" s="1295">
        <f t="shared" si="19"/>
        <v>120500</v>
      </c>
      <c r="G84" s="1295">
        <f t="shared" si="19"/>
        <v>145600</v>
      </c>
    </row>
    <row r="85" spans="1:7">
      <c r="A85" s="738" t="s">
        <v>21</v>
      </c>
      <c r="B85" s="1295">
        <v>40200</v>
      </c>
      <c r="C85" s="1295">
        <v>36400</v>
      </c>
      <c r="D85" s="1295">
        <v>80300</v>
      </c>
      <c r="E85" s="1295">
        <v>109200</v>
      </c>
      <c r="F85" s="1295">
        <f t="shared" si="19"/>
        <v>120500</v>
      </c>
      <c r="G85" s="1295">
        <f t="shared" si="19"/>
        <v>145600</v>
      </c>
    </row>
    <row r="86" spans="1:7">
      <c r="A86" s="738" t="s">
        <v>23</v>
      </c>
      <c r="B86" s="1295">
        <v>40200</v>
      </c>
      <c r="C86" s="1295">
        <v>36400</v>
      </c>
      <c r="D86" s="1295">
        <v>80300</v>
      </c>
      <c r="E86" s="1295">
        <v>109200</v>
      </c>
      <c r="F86" s="1295">
        <f t="shared" si="19"/>
        <v>120500</v>
      </c>
      <c r="G86" s="1295">
        <f t="shared" si="19"/>
        <v>145600</v>
      </c>
    </row>
    <row r="87" spans="1:7">
      <c r="A87" s="738" t="s">
        <v>25</v>
      </c>
      <c r="B87" s="1295">
        <v>40200</v>
      </c>
      <c r="C87" s="1295">
        <v>36400</v>
      </c>
      <c r="D87" s="1295">
        <v>80300</v>
      </c>
      <c r="E87" s="1295">
        <v>109200</v>
      </c>
      <c r="F87" s="1295">
        <f t="shared" si="19"/>
        <v>120500</v>
      </c>
      <c r="G87" s="1295">
        <f t="shared" si="19"/>
        <v>145600</v>
      </c>
    </row>
    <row r="88" spans="1:7">
      <c r="A88" s="738" t="s">
        <v>27</v>
      </c>
      <c r="B88" s="1295">
        <v>40200</v>
      </c>
      <c r="C88" s="1295">
        <v>36400</v>
      </c>
      <c r="D88" s="1295">
        <v>80300</v>
      </c>
      <c r="E88" s="1295">
        <v>109200</v>
      </c>
      <c r="F88" s="1295">
        <f t="shared" si="19"/>
        <v>120500</v>
      </c>
      <c r="G88" s="1295">
        <f t="shared" si="19"/>
        <v>145600</v>
      </c>
    </row>
    <row r="89" spans="1:7">
      <c r="A89" s="738" t="s">
        <v>29</v>
      </c>
      <c r="B89" s="1295">
        <v>40200</v>
      </c>
      <c r="C89" s="1295">
        <v>36400</v>
      </c>
      <c r="D89" s="1295">
        <v>80300</v>
      </c>
      <c r="E89" s="1295">
        <v>109200</v>
      </c>
      <c r="F89" s="1295">
        <f t="shared" si="19"/>
        <v>120500</v>
      </c>
      <c r="G89" s="1295">
        <f t="shared" si="19"/>
        <v>145600</v>
      </c>
    </row>
    <row r="90" spans="1:7">
      <c r="A90" s="738" t="s">
        <v>31</v>
      </c>
      <c r="B90" s="1295">
        <v>40200</v>
      </c>
      <c r="C90" s="1295">
        <v>36400</v>
      </c>
      <c r="D90" s="1295">
        <v>80300</v>
      </c>
      <c r="E90" s="1295">
        <v>109200</v>
      </c>
      <c r="F90" s="1295">
        <f t="shared" si="19"/>
        <v>120500</v>
      </c>
      <c r="G90" s="1295">
        <f t="shared" si="19"/>
        <v>145600</v>
      </c>
    </row>
    <row r="91" spans="1:7">
      <c r="A91" s="738" t="s">
        <v>94</v>
      </c>
      <c r="B91" s="1295">
        <v>40200</v>
      </c>
      <c r="C91" s="1295">
        <v>36400</v>
      </c>
      <c r="D91" s="1295">
        <v>80300</v>
      </c>
      <c r="E91" s="1295">
        <v>109200</v>
      </c>
      <c r="F91" s="1295">
        <f t="shared" si="19"/>
        <v>120500</v>
      </c>
      <c r="G91" s="1295">
        <f t="shared" si="19"/>
        <v>145600</v>
      </c>
    </row>
    <row r="92" spans="1:7">
      <c r="A92" s="738" t="s">
        <v>34</v>
      </c>
      <c r="B92" s="1295">
        <v>40200</v>
      </c>
      <c r="C92" s="1295">
        <v>36400</v>
      </c>
      <c r="D92" s="1295">
        <v>80300</v>
      </c>
      <c r="E92" s="1295">
        <v>109200</v>
      </c>
      <c r="F92" s="1295">
        <f t="shared" si="19"/>
        <v>120500</v>
      </c>
      <c r="G92" s="1295">
        <f t="shared" si="19"/>
        <v>145600</v>
      </c>
    </row>
    <row r="93" spans="1:7">
      <c r="A93" s="738" t="s">
        <v>35</v>
      </c>
      <c r="B93" s="1295">
        <v>40200</v>
      </c>
      <c r="C93" s="1295">
        <v>36400</v>
      </c>
      <c r="D93" s="1295">
        <v>80300</v>
      </c>
      <c r="E93" s="1295">
        <v>109200</v>
      </c>
      <c r="F93" s="1295">
        <f t="shared" si="19"/>
        <v>120500</v>
      </c>
      <c r="G93" s="1295">
        <f t="shared" si="19"/>
        <v>145600</v>
      </c>
    </row>
    <row r="94" spans="1:7">
      <c r="B94" s="738"/>
      <c r="C94" s="738"/>
      <c r="D94" s="738"/>
      <c r="E94" s="738"/>
      <c r="F94" s="738"/>
      <c r="G94" s="738"/>
    </row>
    <row r="95" spans="1:7">
      <c r="A95" s="738" t="s">
        <v>190</v>
      </c>
      <c r="B95" s="738">
        <f t="shared" ref="B95:G95" si="20">SUM(B82:B93)</f>
        <v>482400</v>
      </c>
      <c r="C95" s="738">
        <f t="shared" si="20"/>
        <v>436800</v>
      </c>
      <c r="D95" s="738">
        <f t="shared" si="20"/>
        <v>963600</v>
      </c>
      <c r="E95" s="738">
        <f t="shared" si="20"/>
        <v>1310400</v>
      </c>
      <c r="F95" s="738">
        <f t="shared" si="20"/>
        <v>1446000</v>
      </c>
      <c r="G95" s="738">
        <f t="shared" si="20"/>
        <v>1747200</v>
      </c>
    </row>
    <row r="99" spans="2:21">
      <c r="B99" s="733" t="s">
        <v>11</v>
      </c>
      <c r="C99" s="733" t="s">
        <v>107</v>
      </c>
      <c r="D99" s="733" t="s">
        <v>76</v>
      </c>
      <c r="E99" s="733" t="s">
        <v>77</v>
      </c>
      <c r="F99" s="733" t="s">
        <v>57</v>
      </c>
      <c r="G99" s="1291"/>
    </row>
    <row r="100" spans="2:21">
      <c r="B100" s="738"/>
      <c r="C100" s="738"/>
      <c r="D100" s="738"/>
      <c r="E100" s="738"/>
      <c r="F100" s="738"/>
      <c r="P100" s="733" t="s">
        <v>78</v>
      </c>
      <c r="Q100" s="733" t="s">
        <v>79</v>
      </c>
      <c r="R100" s="733" t="s">
        <v>186</v>
      </c>
      <c r="S100" s="733" t="s">
        <v>187</v>
      </c>
      <c r="T100" s="733" t="s">
        <v>82</v>
      </c>
      <c r="U100" s="733" t="s">
        <v>83</v>
      </c>
    </row>
    <row r="101" spans="2:21">
      <c r="B101" s="738" t="s">
        <v>16</v>
      </c>
      <c r="C101" s="812">
        <v>1054091</v>
      </c>
      <c r="D101" s="1292">
        <v>56.45</v>
      </c>
      <c r="E101" s="738">
        <f>$D13/D101</f>
        <v>1.7069973427812222</v>
      </c>
      <c r="F101" s="812">
        <f>INT(C101*E101)</f>
        <v>1799330</v>
      </c>
      <c r="P101" s="1296">
        <f>+C101*4%</f>
        <v>42163.64</v>
      </c>
      <c r="Q101" s="1296">
        <f>+C101*3.75%</f>
        <v>39528.412499999999</v>
      </c>
      <c r="R101" s="1296">
        <f>+C101*8%</f>
        <v>84327.28</v>
      </c>
      <c r="S101" s="1296">
        <f>+C101*11.25%</f>
        <v>118585.2375</v>
      </c>
      <c r="T101" s="1296">
        <f>SUM(P101+R101)</f>
        <v>126490.92</v>
      </c>
      <c r="U101" s="1297">
        <f>SUM(Q101+S101)</f>
        <v>158113.65</v>
      </c>
    </row>
    <row r="102" spans="2:21">
      <c r="B102" s="738" t="s">
        <v>96</v>
      </c>
      <c r="C102" s="812"/>
      <c r="D102" s="738"/>
      <c r="E102" s="738"/>
      <c r="F102" s="812">
        <f>+F101</f>
        <v>1799330</v>
      </c>
    </row>
    <row r="103" spans="2:21">
      <c r="B103" s="738" t="s">
        <v>525</v>
      </c>
      <c r="C103" s="812"/>
      <c r="D103" s="738"/>
      <c r="E103" s="738"/>
      <c r="F103" s="812">
        <f>SUM(C107+D107)</f>
        <v>81700</v>
      </c>
    </row>
    <row r="104" spans="2:21">
      <c r="B104" s="738" t="s">
        <v>99</v>
      </c>
      <c r="C104" s="738"/>
      <c r="D104" s="738"/>
      <c r="E104" s="738"/>
      <c r="F104" s="812">
        <f>(F102-F103)</f>
        <v>1717630</v>
      </c>
    </row>
    <row r="105" spans="2:21">
      <c r="B105" s="2563" t="s">
        <v>184</v>
      </c>
      <c r="C105" s="2563"/>
      <c r="D105" s="2563"/>
      <c r="E105" s="2563"/>
      <c r="F105" s="2563"/>
      <c r="G105" s="2563"/>
      <c r="H105" s="2563"/>
    </row>
    <row r="106" spans="2:21">
      <c r="B106" s="1300" t="s">
        <v>527</v>
      </c>
      <c r="C106" s="733" t="s">
        <v>78</v>
      </c>
      <c r="D106" s="733" t="s">
        <v>79</v>
      </c>
      <c r="E106" s="733" t="s">
        <v>186</v>
      </c>
      <c r="F106" s="733" t="s">
        <v>187</v>
      </c>
      <c r="G106" s="733" t="s">
        <v>82</v>
      </c>
      <c r="H106" s="733" t="s">
        <v>83</v>
      </c>
      <c r="J106" s="1265" t="s">
        <v>528</v>
      </c>
      <c r="K106" s="1298">
        <v>37634</v>
      </c>
      <c r="L106" s="1298">
        <v>37987</v>
      </c>
      <c r="M106" s="1298">
        <v>38687</v>
      </c>
    </row>
    <row r="107" spans="2:21">
      <c r="B107" s="738" t="s">
        <v>16</v>
      </c>
      <c r="C107" s="1295">
        <v>42200</v>
      </c>
      <c r="D107" s="1295">
        <v>39500</v>
      </c>
      <c r="E107" s="1295">
        <v>84300</v>
      </c>
      <c r="F107" s="1295">
        <v>118600</v>
      </c>
      <c r="G107" s="1295">
        <f>SUM(C107+E107)</f>
        <v>126500</v>
      </c>
      <c r="H107" s="1295">
        <f>SUM(D107+F107)</f>
        <v>158100</v>
      </c>
      <c r="J107" s="1265" t="s">
        <v>40</v>
      </c>
      <c r="K107" s="1298">
        <v>37986</v>
      </c>
      <c r="L107" s="1298">
        <v>38352</v>
      </c>
      <c r="M107" s="1298">
        <v>38717</v>
      </c>
    </row>
    <row r="108" spans="2:21">
      <c r="J108" s="1265" t="s">
        <v>529</v>
      </c>
      <c r="K108" s="982">
        <f>_xlfn.DAYS(K107,K106)+1</f>
        <v>353</v>
      </c>
      <c r="L108" s="982">
        <f>_xlfn.DAYS(L107,L106)+1</f>
        <v>366</v>
      </c>
      <c r="M108" s="982">
        <f>_xlfn.DAYS(M107,M106)+1</f>
        <v>31</v>
      </c>
    </row>
    <row r="109" spans="2:21">
      <c r="B109" s="1133"/>
      <c r="C109" s="726" t="s">
        <v>208</v>
      </c>
      <c r="D109" s="741"/>
      <c r="E109" s="741"/>
      <c r="F109" s="1036"/>
    </row>
    <row r="110" spans="2:21">
      <c r="B110" s="741" t="s">
        <v>209</v>
      </c>
      <c r="C110" s="741"/>
      <c r="D110" s="735" t="s">
        <v>76</v>
      </c>
      <c r="E110" s="735" t="s">
        <v>77</v>
      </c>
      <c r="F110" s="1036" t="s">
        <v>57</v>
      </c>
    </row>
    <row r="111" spans="2:21">
      <c r="B111" s="2604" t="s">
        <v>530</v>
      </c>
      <c r="C111" s="2605"/>
      <c r="D111" s="1134">
        <f>+D13</f>
        <v>96.36</v>
      </c>
      <c r="E111" s="735"/>
      <c r="F111" s="1036"/>
    </row>
    <row r="112" spans="2:21">
      <c r="B112" s="735">
        <v>2003</v>
      </c>
      <c r="C112" s="1036">
        <f>(C15*K108)/360</f>
        <v>937500.34166666667</v>
      </c>
      <c r="D112" s="1134">
        <v>53.07</v>
      </c>
      <c r="E112" s="1135">
        <f>+$D$111/D112</f>
        <v>1.8157150932730355</v>
      </c>
      <c r="F112" s="1036">
        <f>+C112*E112</f>
        <v>1702233.5203127943</v>
      </c>
    </row>
    <row r="113" spans="1:9">
      <c r="B113" s="735">
        <v>2004</v>
      </c>
      <c r="C113" s="1036">
        <f>(L108*C59)/360</f>
        <v>1020627.6</v>
      </c>
      <c r="D113" s="1134">
        <f>+D70</f>
        <v>55.99</v>
      </c>
      <c r="E113" s="1135">
        <f>+$D$111/D113</f>
        <v>1.7210216110019645</v>
      </c>
      <c r="F113" s="1036">
        <f>+C113*E113</f>
        <v>1756522.1563850685</v>
      </c>
    </row>
    <row r="114" spans="1:9">
      <c r="B114" s="735">
        <v>2005</v>
      </c>
      <c r="C114" s="1036">
        <f>(M108*C101)/360</f>
        <v>90768.947222222225</v>
      </c>
      <c r="D114" s="1134">
        <f>+D101</f>
        <v>56.45</v>
      </c>
      <c r="E114" s="1135">
        <f>+$D$111/D114</f>
        <v>1.7069973427812222</v>
      </c>
      <c r="F114" s="1036">
        <f>+C114*E114</f>
        <v>154942.35171538233</v>
      </c>
    </row>
    <row r="115" spans="1:9">
      <c r="B115" s="814"/>
      <c r="C115" s="1051"/>
      <c r="D115" s="726" t="s">
        <v>211</v>
      </c>
      <c r="E115" s="1136"/>
      <c r="F115" s="1136">
        <f>SUM(F112:F114)</f>
        <v>3613698.028413245</v>
      </c>
    </row>
    <row r="116" spans="1:9">
      <c r="A116" s="741"/>
      <c r="B116" s="1036" t="s">
        <v>212</v>
      </c>
      <c r="C116" s="735"/>
      <c r="D116" s="734"/>
      <c r="E116" s="1036"/>
      <c r="F116" s="1072"/>
    </row>
    <row r="117" spans="1:9">
      <c r="A117" s="741" t="s">
        <v>209</v>
      </c>
      <c r="B117" s="1036"/>
      <c r="C117" s="735" t="s">
        <v>76</v>
      </c>
      <c r="D117" s="734" t="s">
        <v>77</v>
      </c>
      <c r="E117" s="1036" t="s">
        <v>57</v>
      </c>
      <c r="F117" s="1072"/>
    </row>
    <row r="118" spans="1:9">
      <c r="A118" s="741"/>
      <c r="B118" s="1036"/>
      <c r="C118" s="735">
        <f>+D111</f>
        <v>96.36</v>
      </c>
      <c r="D118" s="734"/>
      <c r="E118" s="1036"/>
      <c r="F118" s="1072"/>
    </row>
    <row r="119" spans="1:9" ht="21" customHeight="1">
      <c r="A119" s="735">
        <v>2003</v>
      </c>
      <c r="B119" s="858">
        <f>(C112*K108*0.12)/360</f>
        <v>110312.54020277777</v>
      </c>
      <c r="C119" s="1134">
        <v>53.07</v>
      </c>
      <c r="D119" s="1135">
        <f>+$C$118/C119</f>
        <v>1.8157150932730355</v>
      </c>
      <c r="E119" s="1036">
        <f>+B119*D119</f>
        <v>200296.14422347213</v>
      </c>
    </row>
    <row r="120" spans="1:9">
      <c r="A120" s="735">
        <v>2004</v>
      </c>
      <c r="B120" s="858">
        <f>(C113*L108*0.12)/360</f>
        <v>124516.56719999999</v>
      </c>
      <c r="C120" s="1134">
        <v>55.99</v>
      </c>
      <c r="D120" s="1135">
        <f>+$C$118/C120</f>
        <v>1.7210216110019645</v>
      </c>
      <c r="E120" s="1036">
        <f>+B120*D120</f>
        <v>214295.70307897835</v>
      </c>
    </row>
    <row r="121" spans="1:9">
      <c r="A121" s="735">
        <v>2005</v>
      </c>
      <c r="B121" s="858">
        <f>(C114*M108*0.12)/360</f>
        <v>937.94578796296298</v>
      </c>
      <c r="C121" s="1134">
        <v>56.45</v>
      </c>
      <c r="D121" s="1135">
        <f>+$C$118/C121</f>
        <v>1.7069973427812222</v>
      </c>
      <c r="E121" s="1036">
        <f>+B121*D121</f>
        <v>1601.0709677256175</v>
      </c>
    </row>
    <row r="122" spans="1:9">
      <c r="A122" s="735"/>
      <c r="B122" s="1036"/>
      <c r="C122" s="735"/>
      <c r="D122" s="726" t="s">
        <v>211</v>
      </c>
      <c r="E122" s="1036">
        <f>SUM(E119:E121)</f>
        <v>416192.91827017604</v>
      </c>
      <c r="H122" s="814"/>
      <c r="I122" s="1051"/>
    </row>
    <row r="123" spans="1:9">
      <c r="A123" s="1300" t="s">
        <v>192</v>
      </c>
      <c r="B123" s="1300"/>
      <c r="C123" s="1300"/>
      <c r="D123" s="1300"/>
      <c r="E123" s="822">
        <f>+F30+F77+F102</f>
        <v>52901967</v>
      </c>
      <c r="G123" s="1301"/>
    </row>
    <row r="124" spans="1:9">
      <c r="A124" s="1300" t="s">
        <v>193</v>
      </c>
      <c r="B124" s="1300"/>
      <c r="C124" s="1300"/>
      <c r="D124" s="1300"/>
      <c r="E124" s="822">
        <f>+F31+F78+F103</f>
        <v>1807000</v>
      </c>
      <c r="G124" s="1301"/>
    </row>
    <row r="125" spans="1:9">
      <c r="A125" s="1300" t="s">
        <v>194</v>
      </c>
      <c r="B125" s="1300"/>
      <c r="C125" s="1300"/>
      <c r="D125" s="1300"/>
      <c r="E125" s="822">
        <f>(E123-E124)</f>
        <v>51094967</v>
      </c>
      <c r="G125" s="1301"/>
    </row>
    <row r="126" spans="1:9">
      <c r="A126" s="1300" t="s">
        <v>531</v>
      </c>
      <c r="E126" s="822">
        <f>+F115+E122</f>
        <v>4029890.9466834208</v>
      </c>
      <c r="G126" s="1301"/>
    </row>
    <row r="127" spans="1:9">
      <c r="A127" s="1300" t="s">
        <v>532</v>
      </c>
      <c r="B127" s="1300"/>
      <c r="C127" s="1300"/>
      <c r="D127" s="1300"/>
      <c r="E127" s="822">
        <v>0</v>
      </c>
      <c r="G127" s="1301"/>
    </row>
    <row r="128" spans="1:9">
      <c r="A128" s="1300" t="s">
        <v>533</v>
      </c>
      <c r="B128" s="1300"/>
      <c r="C128" s="1300"/>
      <c r="D128" s="1300"/>
      <c r="E128" s="822">
        <f>(E125-E127)+E126</f>
        <v>55124857.946683422</v>
      </c>
      <c r="G128" s="1301"/>
    </row>
    <row r="129" spans="1:11">
      <c r="B129" s="1287" t="s">
        <v>534</v>
      </c>
      <c r="C129" s="953">
        <v>42989</v>
      </c>
      <c r="G129" s="1266"/>
      <c r="H129" s="1267"/>
      <c r="J129" s="1283"/>
      <c r="K129" s="1305"/>
    </row>
    <row r="130" spans="1:11">
      <c r="B130" s="1288" t="s">
        <v>535</v>
      </c>
      <c r="C130" s="1289">
        <f>+E128</f>
        <v>55124857.946683422</v>
      </c>
      <c r="D130" s="1264"/>
      <c r="G130" s="1266"/>
      <c r="H130" s="1267"/>
      <c r="J130" s="1283"/>
      <c r="K130" s="1305"/>
    </row>
    <row r="131" spans="1:11">
      <c r="B131" s="2608" t="s">
        <v>84</v>
      </c>
      <c r="C131" s="2608"/>
      <c r="D131" s="2608"/>
      <c r="E131" s="2608"/>
      <c r="F131" s="2608"/>
      <c r="G131" s="2608"/>
      <c r="H131" s="2608"/>
      <c r="I131" s="2608"/>
    </row>
    <row r="132" spans="1:11" ht="51.75" customHeight="1">
      <c r="B132" s="974" t="s">
        <v>199</v>
      </c>
      <c r="C132" s="974" t="s">
        <v>200</v>
      </c>
      <c r="D132" s="2607" t="s">
        <v>536</v>
      </c>
      <c r="E132" s="2607"/>
      <c r="F132" s="974" t="s">
        <v>204</v>
      </c>
      <c r="G132" s="974" t="s">
        <v>202</v>
      </c>
      <c r="H132" s="1290" t="s">
        <v>537</v>
      </c>
      <c r="I132" s="974" t="s">
        <v>205</v>
      </c>
    </row>
    <row r="133" spans="1:11">
      <c r="A133" s="1265">
        <v>1</v>
      </c>
      <c r="B133" s="724">
        <v>42990</v>
      </c>
      <c r="C133" s="953">
        <v>43008</v>
      </c>
      <c r="D133" s="842">
        <v>0.21479999999999999</v>
      </c>
      <c r="E133" s="838">
        <f>+D133*1.5</f>
        <v>0.32219999999999999</v>
      </c>
      <c r="F133" s="838">
        <f>((1+E133)^(1/365))-1</f>
        <v>7.6549014202820231E-4</v>
      </c>
      <c r="G133" s="847">
        <f t="shared" ref="G133:G139" si="21">+$C$130</f>
        <v>55124857.946683422</v>
      </c>
      <c r="H133" s="841">
        <f t="shared" ref="H133:H139" si="22">_xlfn.DAYS(C133,B133)+1</f>
        <v>19</v>
      </c>
      <c r="I133" s="839">
        <f>+G133*H133*F133</f>
        <v>801753.17143893219</v>
      </c>
    </row>
    <row r="134" spans="1:11">
      <c r="A134" s="1265">
        <v>2</v>
      </c>
      <c r="B134" s="724">
        <v>43009</v>
      </c>
      <c r="C134" s="953">
        <v>43039</v>
      </c>
      <c r="D134" s="796">
        <v>0.21149999999999999</v>
      </c>
      <c r="E134" s="838">
        <f t="shared" ref="E134:E160" si="23">+D134*1.5</f>
        <v>0.31724999999999998</v>
      </c>
      <c r="F134" s="838">
        <f t="shared" ref="F134:F139" si="24">((1+E134)^(1/365))-1</f>
        <v>7.5520620308799913E-4</v>
      </c>
      <c r="G134" s="847">
        <f t="shared" si="21"/>
        <v>55124857.946683422</v>
      </c>
      <c r="H134" s="841">
        <f t="shared" si="22"/>
        <v>31</v>
      </c>
      <c r="I134" s="839">
        <f t="shared" ref="I134:I160" si="25">+G134*H134*F134</f>
        <v>1290549.6746360832</v>
      </c>
    </row>
    <row r="135" spans="1:11">
      <c r="A135" s="1265">
        <v>3</v>
      </c>
      <c r="B135" s="724">
        <v>43040</v>
      </c>
      <c r="C135" s="953">
        <v>43069</v>
      </c>
      <c r="D135" s="796">
        <v>0.20960000000000001</v>
      </c>
      <c r="E135" s="838">
        <f t="shared" si="23"/>
        <v>0.31440000000000001</v>
      </c>
      <c r="F135" s="838">
        <f t="shared" si="24"/>
        <v>7.4926765057248268E-4</v>
      </c>
      <c r="G135" s="847">
        <f t="shared" si="21"/>
        <v>55124857.946683422</v>
      </c>
      <c r="H135" s="841">
        <f t="shared" si="22"/>
        <v>30</v>
      </c>
      <c r="I135" s="839">
        <f t="shared" si="25"/>
        <v>1239098.1840556001</v>
      </c>
    </row>
    <row r="136" spans="1:11">
      <c r="A136" s="1265">
        <v>4</v>
      </c>
      <c r="B136" s="724">
        <v>43070</v>
      </c>
      <c r="C136" s="953">
        <v>43100</v>
      </c>
      <c r="D136" s="796">
        <v>0.2077</v>
      </c>
      <c r="E136" s="838">
        <f t="shared" si="23"/>
        <v>0.31154999999999999</v>
      </c>
      <c r="F136" s="838">
        <f t="shared" si="24"/>
        <v>7.4331624292400811E-4</v>
      </c>
      <c r="G136" s="847">
        <f t="shared" si="21"/>
        <v>55124857.946683422</v>
      </c>
      <c r="H136" s="841">
        <f t="shared" si="22"/>
        <v>31</v>
      </c>
      <c r="I136" s="839">
        <f t="shared" si="25"/>
        <v>1270231.2713200995</v>
      </c>
    </row>
    <row r="137" spans="1:11">
      <c r="A137" s="1265">
        <v>5</v>
      </c>
      <c r="B137" s="724">
        <v>43101</v>
      </c>
      <c r="C137" s="953">
        <v>43131</v>
      </c>
      <c r="D137" s="796">
        <v>0.2069</v>
      </c>
      <c r="E137" s="838">
        <f t="shared" si="23"/>
        <v>0.31035000000000001</v>
      </c>
      <c r="F137" s="838">
        <f t="shared" si="24"/>
        <v>7.4080652774299871E-4</v>
      </c>
      <c r="G137" s="847">
        <f t="shared" si="21"/>
        <v>55124857.946683422</v>
      </c>
      <c r="H137" s="841">
        <f t="shared" si="22"/>
        <v>31</v>
      </c>
      <c r="I137" s="839">
        <f t="shared" si="25"/>
        <v>1265942.4928420666</v>
      </c>
    </row>
    <row r="138" spans="1:11">
      <c r="A138" s="1265">
        <v>6</v>
      </c>
      <c r="B138" s="724">
        <v>43132</v>
      </c>
      <c r="C138" s="953">
        <v>43159</v>
      </c>
      <c r="D138" s="796">
        <v>0.21010000000000001</v>
      </c>
      <c r="E138" s="838">
        <f t="shared" si="23"/>
        <v>0.31515000000000004</v>
      </c>
      <c r="F138" s="838">
        <f t="shared" si="24"/>
        <v>7.5083167162115494E-4</v>
      </c>
      <c r="G138" s="847">
        <f t="shared" si="21"/>
        <v>55124857.946683422</v>
      </c>
      <c r="H138" s="841">
        <f t="shared" si="22"/>
        <v>28</v>
      </c>
      <c r="I138" s="839">
        <f t="shared" si="25"/>
        <v>1158905.6987196365</v>
      </c>
    </row>
    <row r="139" spans="1:11">
      <c r="A139" s="1265">
        <v>7</v>
      </c>
      <c r="B139" s="724">
        <v>43160</v>
      </c>
      <c r="C139" s="953">
        <v>43171</v>
      </c>
      <c r="D139" s="796">
        <v>0.21010000000000001</v>
      </c>
      <c r="E139" s="838">
        <f t="shared" si="23"/>
        <v>0.31515000000000004</v>
      </c>
      <c r="F139" s="838">
        <f t="shared" si="24"/>
        <v>7.5083167162115494E-4</v>
      </c>
      <c r="G139" s="847">
        <f t="shared" si="21"/>
        <v>55124857.946683422</v>
      </c>
      <c r="H139" s="841">
        <f t="shared" si="22"/>
        <v>12</v>
      </c>
      <c r="I139" s="839">
        <f t="shared" si="25"/>
        <v>496673.8708798443</v>
      </c>
    </row>
    <row r="140" spans="1:11" ht="13.5" thickBot="1">
      <c r="B140" s="2609" t="s">
        <v>346</v>
      </c>
      <c r="C140" s="2610"/>
      <c r="D140" s="2611"/>
      <c r="G140" s="2606" t="s">
        <v>97</v>
      </c>
      <c r="H140" s="2606"/>
      <c r="I140" s="839">
        <f>SUM(I133:I139)</f>
        <v>7523154.3638922628</v>
      </c>
    </row>
    <row r="141" spans="1:11">
      <c r="B141" s="1270" t="s">
        <v>356</v>
      </c>
      <c r="C141" s="1271"/>
      <c r="D141" s="1272"/>
      <c r="E141" s="1273">
        <f>+C130</f>
        <v>55124857.946683422</v>
      </c>
    </row>
    <row r="142" spans="1:11">
      <c r="B142" s="1275" t="s">
        <v>205</v>
      </c>
      <c r="C142" s="1276"/>
      <c r="D142" s="1277"/>
      <c r="E142" s="1278">
        <f>+I140</f>
        <v>7523154.3638922628</v>
      </c>
    </row>
    <row r="143" spans="1:11" ht="13.5" thickBot="1">
      <c r="B143" s="1279" t="s">
        <v>61</v>
      </c>
      <c r="C143" s="1280"/>
      <c r="D143" s="1281"/>
      <c r="E143" s="1282">
        <f>SUM(E141:E142)</f>
        <v>62648012.310575686</v>
      </c>
    </row>
    <row r="145" spans="2:9">
      <c r="B145" s="900" t="s">
        <v>62</v>
      </c>
    </row>
    <row r="146" spans="2:9">
      <c r="B146" s="814"/>
    </row>
    <row r="147" spans="2:9">
      <c r="B147" s="814"/>
    </row>
    <row r="148" spans="2:9">
      <c r="B148" s="818" t="s">
        <v>63</v>
      </c>
    </row>
    <row r="149" spans="2:9">
      <c r="B149" s="818" t="s">
        <v>64</v>
      </c>
    </row>
    <row r="150" spans="2:9">
      <c r="B150" s="900" t="s">
        <v>65</v>
      </c>
    </row>
    <row r="152" spans="2:9" ht="15" hidden="1" customHeight="1">
      <c r="B152" s="724">
        <v>43172</v>
      </c>
      <c r="C152" s="953">
        <v>43190</v>
      </c>
      <c r="D152" s="796">
        <v>0</v>
      </c>
      <c r="E152" s="838">
        <f t="shared" si="23"/>
        <v>0</v>
      </c>
      <c r="F152" s="838">
        <f>((1+D152)^(1/365))-1</f>
        <v>0</v>
      </c>
      <c r="G152" s="847">
        <f t="shared" ref="G152:G160" si="26">+$C$130</f>
        <v>55124857.946683422</v>
      </c>
      <c r="H152" s="841">
        <f>_xlfn.DAYS(C152,B152)+1</f>
        <v>19</v>
      </c>
      <c r="I152" s="839">
        <f t="shared" si="25"/>
        <v>0</v>
      </c>
    </row>
    <row r="153" spans="2:9" hidden="1">
      <c r="B153" s="724">
        <v>43191</v>
      </c>
      <c r="C153" s="724">
        <v>43220</v>
      </c>
      <c r="D153" s="796">
        <v>0</v>
      </c>
      <c r="E153" s="838">
        <f t="shared" si="23"/>
        <v>0</v>
      </c>
      <c r="F153" s="796">
        <v>0</v>
      </c>
      <c r="G153" s="847">
        <f t="shared" si="26"/>
        <v>55124857.946683422</v>
      </c>
      <c r="H153" s="841"/>
      <c r="I153" s="839">
        <f t="shared" si="25"/>
        <v>0</v>
      </c>
    </row>
    <row r="154" spans="2:9" hidden="1">
      <c r="B154" s="724">
        <v>43221</v>
      </c>
      <c r="C154" s="724">
        <v>43250</v>
      </c>
      <c r="D154" s="796">
        <v>0</v>
      </c>
      <c r="E154" s="838">
        <f t="shared" si="23"/>
        <v>0</v>
      </c>
      <c r="F154" s="796">
        <v>0</v>
      </c>
      <c r="G154" s="847">
        <f t="shared" si="26"/>
        <v>55124857.946683422</v>
      </c>
      <c r="H154" s="841"/>
      <c r="I154" s="839">
        <f t="shared" si="25"/>
        <v>0</v>
      </c>
    </row>
    <row r="155" spans="2:9" hidden="1">
      <c r="B155" s="724">
        <v>43252</v>
      </c>
      <c r="C155" s="724">
        <v>43281</v>
      </c>
      <c r="D155" s="796">
        <v>0</v>
      </c>
      <c r="E155" s="838">
        <f t="shared" si="23"/>
        <v>0</v>
      </c>
      <c r="F155" s="796">
        <v>0</v>
      </c>
      <c r="G155" s="847">
        <f t="shared" si="26"/>
        <v>55124857.946683422</v>
      </c>
      <c r="H155" s="841"/>
      <c r="I155" s="839">
        <f t="shared" si="25"/>
        <v>0</v>
      </c>
    </row>
    <row r="156" spans="2:9" hidden="1">
      <c r="B156" s="724">
        <v>43282</v>
      </c>
      <c r="C156" s="724">
        <v>43311</v>
      </c>
      <c r="D156" s="796">
        <v>0</v>
      </c>
      <c r="E156" s="838">
        <f t="shared" si="23"/>
        <v>0</v>
      </c>
      <c r="F156" s="796">
        <v>0</v>
      </c>
      <c r="G156" s="847">
        <f t="shared" si="26"/>
        <v>55124857.946683422</v>
      </c>
      <c r="H156" s="841"/>
      <c r="I156" s="839">
        <f t="shared" si="25"/>
        <v>0</v>
      </c>
    </row>
    <row r="157" spans="2:9" hidden="1">
      <c r="B157" s="724">
        <v>43313</v>
      </c>
      <c r="C157" s="724">
        <v>43342</v>
      </c>
      <c r="D157" s="796">
        <v>0</v>
      </c>
      <c r="E157" s="838">
        <f t="shared" si="23"/>
        <v>0</v>
      </c>
      <c r="F157" s="796">
        <v>0</v>
      </c>
      <c r="G157" s="847">
        <f t="shared" si="26"/>
        <v>55124857.946683422</v>
      </c>
      <c r="H157" s="841"/>
      <c r="I157" s="839">
        <f t="shared" si="25"/>
        <v>0</v>
      </c>
    </row>
    <row r="158" spans="2:9" hidden="1">
      <c r="B158" s="724">
        <v>43344</v>
      </c>
      <c r="C158" s="724">
        <v>43373</v>
      </c>
      <c r="D158" s="796">
        <v>0</v>
      </c>
      <c r="E158" s="838">
        <f t="shared" si="23"/>
        <v>0</v>
      </c>
      <c r="F158" s="796">
        <v>0</v>
      </c>
      <c r="G158" s="847">
        <f t="shared" si="26"/>
        <v>55124857.946683422</v>
      </c>
      <c r="H158" s="841"/>
      <c r="I158" s="839">
        <f t="shared" si="25"/>
        <v>0</v>
      </c>
    </row>
    <row r="159" spans="2:9" hidden="1">
      <c r="B159" s="724">
        <v>43374</v>
      </c>
      <c r="C159" s="724">
        <v>43403</v>
      </c>
      <c r="D159" s="796">
        <v>0</v>
      </c>
      <c r="E159" s="838">
        <f t="shared" si="23"/>
        <v>0</v>
      </c>
      <c r="F159" s="796">
        <v>0</v>
      </c>
      <c r="G159" s="847">
        <f t="shared" si="26"/>
        <v>55124857.946683422</v>
      </c>
      <c r="H159" s="841"/>
      <c r="I159" s="839">
        <f t="shared" si="25"/>
        <v>0</v>
      </c>
    </row>
    <row r="160" spans="2:9" hidden="1">
      <c r="B160" s="724">
        <v>43405</v>
      </c>
      <c r="C160" s="724">
        <v>43434</v>
      </c>
      <c r="D160" s="796">
        <v>0</v>
      </c>
      <c r="E160" s="838">
        <f t="shared" si="23"/>
        <v>0</v>
      </c>
      <c r="F160" s="796">
        <v>0</v>
      </c>
      <c r="G160" s="847">
        <f t="shared" si="26"/>
        <v>55124857.946683422</v>
      </c>
      <c r="H160" s="841"/>
      <c r="I160" s="839">
        <f t="shared" si="25"/>
        <v>0</v>
      </c>
    </row>
    <row r="161" spans="1:9" hidden="1">
      <c r="A161" s="1265">
        <v>2</v>
      </c>
      <c r="B161" s="724">
        <v>43435</v>
      </c>
      <c r="C161" s="724">
        <v>43465</v>
      </c>
      <c r="D161" s="796">
        <v>0.19400000000000001</v>
      </c>
      <c r="E161" s="838">
        <f t="shared" ref="E161:E197" si="27">+D161*1.5</f>
        <v>0.29100000000000004</v>
      </c>
      <c r="F161" s="838">
        <f>((1+E161)^(1/365))-1</f>
        <v>7.0001780740103214E-4</v>
      </c>
      <c r="G161" s="847">
        <f t="shared" ref="G161:G197" si="28">+$C$130</f>
        <v>55124857.946683422</v>
      </c>
      <c r="H161" s="841"/>
      <c r="I161" s="839">
        <f t="shared" ref="I161:I195" si="29">+G161*H161*F161</f>
        <v>0</v>
      </c>
    </row>
    <row r="162" spans="1:9" hidden="1">
      <c r="A162" s="1265">
        <v>3</v>
      </c>
      <c r="B162" s="724">
        <v>43466</v>
      </c>
      <c r="C162" s="953">
        <v>43496</v>
      </c>
      <c r="D162" s="796">
        <v>0.19159999999999999</v>
      </c>
      <c r="E162" s="838">
        <f t="shared" si="27"/>
        <v>0.28739999999999999</v>
      </c>
      <c r="F162" s="838">
        <f t="shared" ref="F162:F197" si="30">((1+E162)^(1/365))-1</f>
        <v>6.9236198468725085E-4</v>
      </c>
      <c r="G162" s="847">
        <f t="shared" si="28"/>
        <v>55124857.946683422</v>
      </c>
      <c r="H162" s="841"/>
      <c r="I162" s="839">
        <f t="shared" si="29"/>
        <v>0</v>
      </c>
    </row>
    <row r="163" spans="1:9" hidden="1">
      <c r="A163" s="1265">
        <v>4</v>
      </c>
      <c r="B163" s="724">
        <v>43497</v>
      </c>
      <c r="C163" s="724">
        <v>43524</v>
      </c>
      <c r="D163" s="796">
        <v>0.19699999999999998</v>
      </c>
      <c r="E163" s="838">
        <f t="shared" si="27"/>
        <v>0.29549999999999998</v>
      </c>
      <c r="F163" s="838">
        <f t="shared" si="30"/>
        <v>7.0955770203506852E-4</v>
      </c>
      <c r="G163" s="847">
        <f t="shared" si="28"/>
        <v>55124857.946683422</v>
      </c>
      <c r="H163" s="841"/>
      <c r="I163" s="839">
        <f t="shared" si="29"/>
        <v>0</v>
      </c>
    </row>
    <row r="164" spans="1:9" hidden="1">
      <c r="A164" s="1265">
        <v>5</v>
      </c>
      <c r="B164" s="724">
        <v>43525</v>
      </c>
      <c r="C164" s="953">
        <v>43555</v>
      </c>
      <c r="D164" s="796">
        <v>0.19370000000000001</v>
      </c>
      <c r="E164" s="838">
        <f t="shared" si="27"/>
        <v>0.29055000000000003</v>
      </c>
      <c r="F164" s="838">
        <f t="shared" si="30"/>
        <v>6.9906199467517638E-4</v>
      </c>
      <c r="G164" s="847">
        <f t="shared" si="28"/>
        <v>55124857.946683422</v>
      </c>
      <c r="H164" s="841"/>
      <c r="I164" s="839">
        <f t="shared" si="29"/>
        <v>0</v>
      </c>
    </row>
    <row r="165" spans="1:9" hidden="1">
      <c r="A165" s="1265">
        <v>6</v>
      </c>
      <c r="B165" s="724">
        <v>43556</v>
      </c>
      <c r="C165" s="724">
        <v>43585</v>
      </c>
      <c r="D165" s="796">
        <v>0.19320000000000001</v>
      </c>
      <c r="E165" s="838">
        <f t="shared" si="27"/>
        <v>0.2898</v>
      </c>
      <c r="F165" s="838">
        <f t="shared" si="30"/>
        <v>6.9746823462724095E-4</v>
      </c>
      <c r="G165" s="847">
        <f t="shared" si="28"/>
        <v>55124857.946683422</v>
      </c>
      <c r="H165" s="841"/>
      <c r="I165" s="839">
        <f t="shared" si="29"/>
        <v>0</v>
      </c>
    </row>
    <row r="166" spans="1:9" hidden="1">
      <c r="A166" s="1265">
        <v>7</v>
      </c>
      <c r="B166" s="724">
        <v>43586</v>
      </c>
      <c r="C166" s="953">
        <v>43616</v>
      </c>
      <c r="D166" s="796">
        <v>0.19339999999999999</v>
      </c>
      <c r="E166" s="838">
        <f t="shared" si="27"/>
        <v>0.29009999999999997</v>
      </c>
      <c r="F166" s="838">
        <f t="shared" si="30"/>
        <v>6.9810584952367805E-4</v>
      </c>
      <c r="G166" s="847">
        <f t="shared" si="28"/>
        <v>55124857.946683422</v>
      </c>
      <c r="H166" s="841"/>
      <c r="I166" s="839">
        <f t="shared" si="29"/>
        <v>0</v>
      </c>
    </row>
    <row r="167" spans="1:9" hidden="1">
      <c r="A167" s="1265">
        <v>8</v>
      </c>
      <c r="B167" s="724">
        <v>43617</v>
      </c>
      <c r="C167" s="724">
        <v>43646</v>
      </c>
      <c r="D167" s="796">
        <v>0.193</v>
      </c>
      <c r="E167" s="838">
        <f t="shared" si="27"/>
        <v>0.28949999999999998</v>
      </c>
      <c r="F167" s="838">
        <f t="shared" si="30"/>
        <v>6.9683047181468005E-4</v>
      </c>
      <c r="G167" s="847">
        <f t="shared" si="28"/>
        <v>55124857.946683422</v>
      </c>
      <c r="H167" s="841"/>
      <c r="I167" s="839">
        <f t="shared" si="29"/>
        <v>0</v>
      </c>
    </row>
    <row r="168" spans="1:9" hidden="1">
      <c r="A168" s="1265">
        <v>9</v>
      </c>
      <c r="B168" s="724">
        <v>43647</v>
      </c>
      <c r="C168" s="953">
        <v>43677</v>
      </c>
      <c r="D168" s="796">
        <v>0.1928</v>
      </c>
      <c r="E168" s="838">
        <f t="shared" si="27"/>
        <v>0.28920000000000001</v>
      </c>
      <c r="F168" s="838">
        <f t="shared" si="30"/>
        <v>6.9619256101671745E-4</v>
      </c>
      <c r="G168" s="847">
        <f t="shared" si="28"/>
        <v>55124857.946683422</v>
      </c>
      <c r="H168" s="841"/>
      <c r="I168" s="839">
        <f t="shared" si="29"/>
        <v>0</v>
      </c>
    </row>
    <row r="169" spans="1:9" hidden="1">
      <c r="A169" s="1265">
        <v>10</v>
      </c>
      <c r="B169" s="724">
        <v>43678</v>
      </c>
      <c r="C169" s="724">
        <v>43708</v>
      </c>
      <c r="D169" s="796">
        <v>0.19320000000000001</v>
      </c>
      <c r="E169" s="838">
        <f t="shared" si="27"/>
        <v>0.2898</v>
      </c>
      <c r="F169" s="838">
        <f t="shared" si="30"/>
        <v>6.9746823462724095E-4</v>
      </c>
      <c r="G169" s="847">
        <f t="shared" si="28"/>
        <v>55124857.946683422</v>
      </c>
      <c r="H169" s="841"/>
      <c r="I169" s="839">
        <f t="shared" si="29"/>
        <v>0</v>
      </c>
    </row>
    <row r="170" spans="1:9" hidden="1">
      <c r="A170" s="1265">
        <v>11</v>
      </c>
      <c r="B170" s="724">
        <v>43709</v>
      </c>
      <c r="C170" s="953">
        <v>43738</v>
      </c>
      <c r="D170" s="796">
        <v>0.19320000000000001</v>
      </c>
      <c r="E170" s="838">
        <f t="shared" si="27"/>
        <v>0.2898</v>
      </c>
      <c r="F170" s="838">
        <f t="shared" si="30"/>
        <v>6.9746823462724095E-4</v>
      </c>
      <c r="G170" s="847">
        <f t="shared" si="28"/>
        <v>55124857.946683422</v>
      </c>
      <c r="H170" s="841"/>
      <c r="I170" s="839">
        <f t="shared" si="29"/>
        <v>0</v>
      </c>
    </row>
    <row r="171" spans="1:9" hidden="1">
      <c r="A171" s="1265">
        <v>12</v>
      </c>
      <c r="B171" s="724">
        <v>43739</v>
      </c>
      <c r="C171" s="724">
        <v>43769</v>
      </c>
      <c r="D171" s="796">
        <v>0.191</v>
      </c>
      <c r="E171" s="838">
        <f t="shared" si="27"/>
        <v>0.28649999999999998</v>
      </c>
      <c r="F171" s="838">
        <f t="shared" si="30"/>
        <v>6.9044469314105683E-4</v>
      </c>
      <c r="G171" s="847">
        <f t="shared" si="28"/>
        <v>55124857.946683422</v>
      </c>
      <c r="H171" s="841"/>
      <c r="I171" s="839">
        <f t="shared" si="29"/>
        <v>0</v>
      </c>
    </row>
    <row r="172" spans="1:9" hidden="1">
      <c r="A172" s="1265">
        <v>13</v>
      </c>
      <c r="B172" s="724">
        <v>43770</v>
      </c>
      <c r="C172" s="953">
        <v>43799</v>
      </c>
      <c r="D172" s="796">
        <v>0.1903</v>
      </c>
      <c r="E172" s="838">
        <f t="shared" si="27"/>
        <v>0.28544999999999998</v>
      </c>
      <c r="F172" s="838">
        <f t="shared" si="30"/>
        <v>6.8820616169262827E-4</v>
      </c>
      <c r="G172" s="847">
        <f t="shared" si="28"/>
        <v>55124857.946683422</v>
      </c>
      <c r="H172" s="841"/>
      <c r="I172" s="839">
        <f t="shared" si="29"/>
        <v>0</v>
      </c>
    </row>
    <row r="173" spans="1:9" hidden="1">
      <c r="A173" s="1265">
        <v>14</v>
      </c>
      <c r="B173" s="724">
        <v>43800</v>
      </c>
      <c r="C173" s="724">
        <v>43830</v>
      </c>
      <c r="D173" s="796">
        <v>0.18909999999999999</v>
      </c>
      <c r="E173" s="838">
        <f t="shared" si="27"/>
        <v>0.28364999999999996</v>
      </c>
      <c r="F173" s="838">
        <f t="shared" si="30"/>
        <v>6.8436443340047504E-4</v>
      </c>
      <c r="G173" s="847">
        <f t="shared" si="28"/>
        <v>55124857.946683422</v>
      </c>
      <c r="H173" s="841"/>
      <c r="I173" s="839">
        <f t="shared" si="29"/>
        <v>0</v>
      </c>
    </row>
    <row r="174" spans="1:9" hidden="1">
      <c r="A174" s="1265">
        <v>15</v>
      </c>
      <c r="B174" s="724">
        <v>43831</v>
      </c>
      <c r="C174" s="953">
        <v>43861</v>
      </c>
      <c r="D174" s="796">
        <v>0.18770000000000001</v>
      </c>
      <c r="E174" s="838">
        <f t="shared" si="27"/>
        <v>0.28155000000000002</v>
      </c>
      <c r="F174" s="838">
        <f t="shared" si="30"/>
        <v>6.7987562124560696E-4</v>
      </c>
      <c r="G174" s="847">
        <f t="shared" si="28"/>
        <v>55124857.946683422</v>
      </c>
      <c r="H174" s="841"/>
      <c r="I174" s="839">
        <f t="shared" si="29"/>
        <v>0</v>
      </c>
    </row>
    <row r="175" spans="1:9" hidden="1">
      <c r="A175" s="1265">
        <v>16</v>
      </c>
      <c r="B175" s="724">
        <v>43862</v>
      </c>
      <c r="C175" s="724">
        <v>43889</v>
      </c>
      <c r="D175" s="796">
        <v>0.19059999999999999</v>
      </c>
      <c r="E175" s="838">
        <f t="shared" si="27"/>
        <v>0.28589999999999999</v>
      </c>
      <c r="F175" s="838">
        <f t="shared" si="30"/>
        <v>6.8916575551658532E-4</v>
      </c>
      <c r="G175" s="847">
        <f t="shared" si="28"/>
        <v>55124857.946683422</v>
      </c>
      <c r="H175" s="841"/>
      <c r="I175" s="839">
        <f t="shared" si="29"/>
        <v>0</v>
      </c>
    </row>
    <row r="176" spans="1:9" hidden="1">
      <c r="A176" s="1265">
        <v>17</v>
      </c>
      <c r="B176" s="724">
        <v>43891</v>
      </c>
      <c r="C176" s="953">
        <v>43921</v>
      </c>
      <c r="D176" s="796">
        <v>0.1895</v>
      </c>
      <c r="E176" s="838">
        <f t="shared" si="27"/>
        <v>0.28425</v>
      </c>
      <c r="F176" s="838">
        <f t="shared" si="30"/>
        <v>6.8564560609574166E-4</v>
      </c>
      <c r="G176" s="847">
        <f t="shared" si="28"/>
        <v>55124857.946683422</v>
      </c>
      <c r="H176" s="841"/>
      <c r="I176" s="839">
        <f t="shared" si="29"/>
        <v>0</v>
      </c>
    </row>
    <row r="177" spans="1:9" hidden="1">
      <c r="A177" s="1265">
        <v>18</v>
      </c>
      <c r="B177" s="724">
        <v>43922</v>
      </c>
      <c r="C177" s="724">
        <v>43951</v>
      </c>
      <c r="D177" s="796">
        <v>0.18690000000000001</v>
      </c>
      <c r="E177" s="838">
        <f t="shared" si="27"/>
        <v>0.28034999999999999</v>
      </c>
      <c r="F177" s="838">
        <f t="shared" si="30"/>
        <v>6.7730729113191224E-4</v>
      </c>
      <c r="G177" s="847">
        <f t="shared" si="28"/>
        <v>55124857.946683422</v>
      </c>
      <c r="H177" s="841"/>
      <c r="I177" s="839">
        <f t="shared" si="29"/>
        <v>0</v>
      </c>
    </row>
    <row r="178" spans="1:9" hidden="1">
      <c r="A178" s="1265">
        <v>19</v>
      </c>
      <c r="B178" s="724">
        <v>43952</v>
      </c>
      <c r="C178" s="953">
        <v>43981</v>
      </c>
      <c r="D178" s="796">
        <v>0.18190000000000001</v>
      </c>
      <c r="E178" s="838">
        <f t="shared" si="27"/>
        <v>0.27285000000000004</v>
      </c>
      <c r="F178" s="838">
        <f t="shared" si="30"/>
        <v>6.6120063584418354E-4</v>
      </c>
      <c r="G178" s="847">
        <f t="shared" si="28"/>
        <v>55124857.946683422</v>
      </c>
      <c r="H178" s="841"/>
      <c r="I178" s="839">
        <f t="shared" si="29"/>
        <v>0</v>
      </c>
    </row>
    <row r="179" spans="1:9" hidden="1">
      <c r="A179" s="1265">
        <v>20</v>
      </c>
      <c r="B179" s="724">
        <v>43983</v>
      </c>
      <c r="C179" s="724">
        <v>44012</v>
      </c>
      <c r="D179" s="796">
        <v>0.1812</v>
      </c>
      <c r="E179" s="838">
        <f t="shared" si="27"/>
        <v>0.27179999999999999</v>
      </c>
      <c r="F179" s="838">
        <f t="shared" si="30"/>
        <v>6.5893815469997286E-4</v>
      </c>
      <c r="G179" s="847">
        <f t="shared" si="28"/>
        <v>55124857.946683422</v>
      </c>
      <c r="H179" s="841"/>
      <c r="I179" s="839">
        <f t="shared" si="29"/>
        <v>0</v>
      </c>
    </row>
    <row r="180" spans="1:9" hidden="1">
      <c r="A180" s="1265">
        <v>21</v>
      </c>
      <c r="B180" s="724">
        <v>44013</v>
      </c>
      <c r="C180" s="953">
        <v>44043</v>
      </c>
      <c r="D180" s="796">
        <v>0.1812</v>
      </c>
      <c r="E180" s="838">
        <f t="shared" si="27"/>
        <v>0.27179999999999999</v>
      </c>
      <c r="F180" s="838">
        <f t="shared" si="30"/>
        <v>6.5893815469997286E-4</v>
      </c>
      <c r="G180" s="847">
        <f t="shared" si="28"/>
        <v>55124857.946683422</v>
      </c>
      <c r="H180" s="841"/>
      <c r="I180" s="839">
        <f t="shared" si="29"/>
        <v>0</v>
      </c>
    </row>
    <row r="181" spans="1:9" hidden="1">
      <c r="A181" s="1265">
        <v>22</v>
      </c>
      <c r="B181" s="724">
        <v>44044</v>
      </c>
      <c r="C181" s="724">
        <v>44074</v>
      </c>
      <c r="D181" s="796">
        <v>0.18290000000000001</v>
      </c>
      <c r="E181" s="838">
        <f t="shared" si="27"/>
        <v>0.27434999999999998</v>
      </c>
      <c r="F181" s="838">
        <f t="shared" si="30"/>
        <v>6.6442952514544906E-4</v>
      </c>
      <c r="G181" s="847">
        <f t="shared" si="28"/>
        <v>55124857.946683422</v>
      </c>
      <c r="H181" s="841"/>
      <c r="I181" s="839">
        <f t="shared" si="29"/>
        <v>0</v>
      </c>
    </row>
    <row r="182" spans="1:9" hidden="1">
      <c r="A182" s="1265">
        <v>23</v>
      </c>
      <c r="B182" s="724">
        <v>44075</v>
      </c>
      <c r="C182" s="953">
        <v>44104</v>
      </c>
      <c r="D182" s="796">
        <v>0.1835</v>
      </c>
      <c r="E182" s="838">
        <f t="shared" si="27"/>
        <v>0.27524999999999999</v>
      </c>
      <c r="F182" s="838">
        <f t="shared" si="30"/>
        <v>6.6636503991857055E-4</v>
      </c>
      <c r="G182" s="847">
        <f t="shared" si="28"/>
        <v>55124857.946683422</v>
      </c>
      <c r="H182" s="841"/>
      <c r="I182" s="839">
        <f t="shared" si="29"/>
        <v>0</v>
      </c>
    </row>
    <row r="183" spans="1:9" hidden="1">
      <c r="A183" s="1265">
        <v>24</v>
      </c>
      <c r="B183" s="724">
        <v>44105</v>
      </c>
      <c r="C183" s="724">
        <v>44135</v>
      </c>
      <c r="D183" s="796">
        <v>0.18090000000000001</v>
      </c>
      <c r="E183" s="838">
        <f t="shared" si="27"/>
        <v>0.27134999999999998</v>
      </c>
      <c r="F183" s="838">
        <f t="shared" si="30"/>
        <v>6.5796794962613703E-4</v>
      </c>
      <c r="G183" s="847">
        <f t="shared" si="28"/>
        <v>55124857.946683422</v>
      </c>
      <c r="H183" s="841"/>
      <c r="I183" s="839">
        <f t="shared" si="29"/>
        <v>0</v>
      </c>
    </row>
    <row r="184" spans="1:9" hidden="1">
      <c r="A184" s="1265">
        <v>25</v>
      </c>
      <c r="B184" s="724">
        <v>44136</v>
      </c>
      <c r="C184" s="953">
        <v>44165</v>
      </c>
      <c r="D184" s="796">
        <v>0.1784</v>
      </c>
      <c r="E184" s="838">
        <f t="shared" si="27"/>
        <v>0.2676</v>
      </c>
      <c r="F184" s="838">
        <f t="shared" si="30"/>
        <v>6.4986956374091243E-4</v>
      </c>
      <c r="G184" s="847">
        <f t="shared" si="28"/>
        <v>55124857.946683422</v>
      </c>
      <c r="H184" s="841"/>
      <c r="I184" s="839">
        <f t="shared" si="29"/>
        <v>0</v>
      </c>
    </row>
    <row r="185" spans="1:9" hidden="1">
      <c r="A185" s="1265">
        <v>26</v>
      </c>
      <c r="B185" s="724">
        <v>44166</v>
      </c>
      <c r="C185" s="724">
        <v>44196</v>
      </c>
      <c r="D185" s="796">
        <v>0.17460000000000001</v>
      </c>
      <c r="E185" s="838">
        <f t="shared" si="27"/>
        <v>0.26190000000000002</v>
      </c>
      <c r="F185" s="838">
        <f t="shared" si="30"/>
        <v>6.3751414410861962E-4</v>
      </c>
      <c r="G185" s="847">
        <f t="shared" si="28"/>
        <v>55124857.946683422</v>
      </c>
      <c r="H185" s="841"/>
      <c r="I185" s="839">
        <f t="shared" si="29"/>
        <v>0</v>
      </c>
    </row>
    <row r="186" spans="1:9" hidden="1">
      <c r="A186" s="1265">
        <v>27</v>
      </c>
      <c r="B186" s="724">
        <v>44197</v>
      </c>
      <c r="C186" s="953">
        <v>44227</v>
      </c>
      <c r="D186" s="796">
        <v>0.17319999999999999</v>
      </c>
      <c r="E186" s="838">
        <f t="shared" si="27"/>
        <v>0.25979999999999998</v>
      </c>
      <c r="F186" s="838">
        <f t="shared" si="30"/>
        <v>6.3294811266723094E-4</v>
      </c>
      <c r="G186" s="847">
        <f t="shared" si="28"/>
        <v>55124857.946683422</v>
      </c>
      <c r="H186" s="841"/>
      <c r="I186" s="839">
        <f t="shared" si="29"/>
        <v>0</v>
      </c>
    </row>
    <row r="187" spans="1:9" hidden="1">
      <c r="A187" s="1265">
        <v>28</v>
      </c>
      <c r="B187" s="724">
        <v>44228</v>
      </c>
      <c r="C187" s="724">
        <v>44255</v>
      </c>
      <c r="D187" s="796">
        <v>0.1754</v>
      </c>
      <c r="E187" s="838">
        <f t="shared" si="27"/>
        <v>0.2631</v>
      </c>
      <c r="F187" s="838">
        <f t="shared" si="30"/>
        <v>6.4011990387169426E-4</v>
      </c>
      <c r="G187" s="847">
        <f t="shared" si="28"/>
        <v>55124857.946683422</v>
      </c>
      <c r="H187" s="841"/>
      <c r="I187" s="839">
        <f t="shared" si="29"/>
        <v>0</v>
      </c>
    </row>
    <row r="188" spans="1:9" hidden="1">
      <c r="A188" s="1265">
        <v>29</v>
      </c>
      <c r="B188" s="724">
        <v>44256</v>
      </c>
      <c r="C188" s="953">
        <v>44286</v>
      </c>
      <c r="D188" s="796">
        <v>0.1741</v>
      </c>
      <c r="E188" s="838">
        <f t="shared" si="27"/>
        <v>0.26114999999999999</v>
      </c>
      <c r="F188" s="838">
        <f t="shared" si="30"/>
        <v>6.3588428907812578E-4</v>
      </c>
      <c r="G188" s="847">
        <f t="shared" si="28"/>
        <v>55124857.946683422</v>
      </c>
      <c r="H188" s="841"/>
      <c r="I188" s="839">
        <f t="shared" si="29"/>
        <v>0</v>
      </c>
    </row>
    <row r="189" spans="1:9" hidden="1">
      <c r="A189" s="1265">
        <v>30</v>
      </c>
      <c r="B189" s="724">
        <v>44287</v>
      </c>
      <c r="C189" s="724">
        <v>44316</v>
      </c>
      <c r="D189" s="796">
        <v>0.1731</v>
      </c>
      <c r="E189" s="838">
        <f t="shared" si="27"/>
        <v>0.25964999999999999</v>
      </c>
      <c r="F189" s="838">
        <f t="shared" si="30"/>
        <v>6.326216771728177E-4</v>
      </c>
      <c r="G189" s="847">
        <f t="shared" si="28"/>
        <v>55124857.946683422</v>
      </c>
      <c r="H189" s="841"/>
      <c r="I189" s="839">
        <f t="shared" si="29"/>
        <v>0</v>
      </c>
    </row>
    <row r="190" spans="1:9" hidden="1">
      <c r="A190" s="1265">
        <v>31</v>
      </c>
      <c r="B190" s="724">
        <v>44317</v>
      </c>
      <c r="C190" s="724">
        <v>44347</v>
      </c>
      <c r="D190" s="796">
        <v>0.17219999999999999</v>
      </c>
      <c r="E190" s="838">
        <f t="shared" si="27"/>
        <v>0.25829999999999997</v>
      </c>
      <c r="F190" s="838">
        <f t="shared" si="30"/>
        <v>6.2968201205726437E-4</v>
      </c>
      <c r="G190" s="847">
        <f t="shared" si="28"/>
        <v>55124857.946683422</v>
      </c>
      <c r="H190" s="841"/>
      <c r="I190" s="839">
        <f t="shared" si="29"/>
        <v>0</v>
      </c>
    </row>
    <row r="191" spans="1:9" hidden="1">
      <c r="A191" s="1265">
        <v>32</v>
      </c>
      <c r="B191" s="724">
        <v>44348</v>
      </c>
      <c r="C191" s="724">
        <v>44377</v>
      </c>
      <c r="D191" s="796">
        <v>0.1721</v>
      </c>
      <c r="E191" s="838">
        <f t="shared" si="27"/>
        <v>0.25814999999999999</v>
      </c>
      <c r="F191" s="838">
        <f t="shared" si="30"/>
        <v>6.2935518846773952E-4</v>
      </c>
      <c r="G191" s="847">
        <f t="shared" si="28"/>
        <v>55124857.946683422</v>
      </c>
      <c r="H191" s="841"/>
      <c r="I191" s="839">
        <f t="shared" si="29"/>
        <v>0</v>
      </c>
    </row>
    <row r="192" spans="1:9" hidden="1">
      <c r="A192" s="1265">
        <v>33</v>
      </c>
      <c r="B192" s="724">
        <v>44378</v>
      </c>
      <c r="C192" s="724">
        <v>44408</v>
      </c>
      <c r="D192" s="796">
        <v>0.17180000000000001</v>
      </c>
      <c r="E192" s="838">
        <f t="shared" si="27"/>
        <v>0.25770000000000004</v>
      </c>
      <c r="F192" s="838">
        <f t="shared" si="30"/>
        <v>6.2837448450037137E-4</v>
      </c>
      <c r="G192" s="847">
        <f t="shared" si="28"/>
        <v>55124857.946683422</v>
      </c>
      <c r="H192" s="841"/>
      <c r="I192" s="839">
        <f t="shared" si="29"/>
        <v>0</v>
      </c>
    </row>
    <row r="193" spans="1:9" hidden="1">
      <c r="A193" s="1265">
        <v>34</v>
      </c>
      <c r="B193" s="724">
        <v>44409</v>
      </c>
      <c r="C193" s="724">
        <v>44439</v>
      </c>
      <c r="D193" s="796">
        <v>0.1724</v>
      </c>
      <c r="E193" s="838">
        <f t="shared" si="27"/>
        <v>0.2586</v>
      </c>
      <c r="F193" s="838">
        <f t="shared" si="30"/>
        <v>6.3033554269220637E-4</v>
      </c>
      <c r="G193" s="847">
        <f t="shared" si="28"/>
        <v>55124857.946683422</v>
      </c>
      <c r="H193" s="841"/>
      <c r="I193" s="839">
        <f t="shared" si="29"/>
        <v>0</v>
      </c>
    </row>
    <row r="194" spans="1:9" hidden="1">
      <c r="A194" s="1265">
        <v>35</v>
      </c>
      <c r="B194" s="724">
        <v>44440</v>
      </c>
      <c r="C194" s="724">
        <v>44469</v>
      </c>
      <c r="D194" s="796">
        <v>0.1719</v>
      </c>
      <c r="E194" s="838">
        <f t="shared" si="27"/>
        <v>0.25785000000000002</v>
      </c>
      <c r="F194" s="838">
        <f t="shared" si="30"/>
        <v>6.2870142469861889E-4</v>
      </c>
      <c r="G194" s="847">
        <f t="shared" si="28"/>
        <v>55124857.946683422</v>
      </c>
      <c r="H194" s="841"/>
      <c r="I194" s="839">
        <f t="shared" si="29"/>
        <v>0</v>
      </c>
    </row>
    <row r="195" spans="1:9" hidden="1">
      <c r="A195" s="1265">
        <v>36</v>
      </c>
      <c r="B195" s="724">
        <v>44470</v>
      </c>
      <c r="C195" s="724">
        <v>44500</v>
      </c>
      <c r="D195" s="796">
        <v>0.17080000000000001</v>
      </c>
      <c r="E195" s="838">
        <f t="shared" si="27"/>
        <v>0.25619999999999998</v>
      </c>
      <c r="F195" s="838">
        <f t="shared" si="30"/>
        <v>6.2510294214179751E-4</v>
      </c>
      <c r="G195" s="847">
        <f t="shared" si="28"/>
        <v>55124857.946683422</v>
      </c>
      <c r="H195" s="841"/>
      <c r="I195" s="839">
        <f t="shared" si="29"/>
        <v>0</v>
      </c>
    </row>
    <row r="196" spans="1:9" hidden="1">
      <c r="A196" s="1265">
        <v>37</v>
      </c>
      <c r="B196" s="724">
        <v>44501</v>
      </c>
      <c r="C196" s="724">
        <v>44530</v>
      </c>
      <c r="D196" s="796">
        <v>0.17269999999999999</v>
      </c>
      <c r="E196" s="838">
        <f t="shared" si="27"/>
        <v>0.25905</v>
      </c>
      <c r="F196" s="838">
        <f t="shared" si="30"/>
        <v>6.3131554742335005E-4</v>
      </c>
      <c r="G196" s="847">
        <f t="shared" si="28"/>
        <v>55124857.946683422</v>
      </c>
      <c r="H196" s="841"/>
      <c r="I196" s="839">
        <f>+G196*H196*F196</f>
        <v>0</v>
      </c>
    </row>
    <row r="197" spans="1:9" hidden="1">
      <c r="A197" s="1265">
        <v>38</v>
      </c>
      <c r="B197" s="724">
        <v>44531</v>
      </c>
      <c r="C197" s="724">
        <v>44545</v>
      </c>
      <c r="D197" s="796">
        <v>0.17460000000000001</v>
      </c>
      <c r="E197" s="838">
        <f t="shared" si="27"/>
        <v>0.26190000000000002</v>
      </c>
      <c r="F197" s="838">
        <f t="shared" si="30"/>
        <v>6.3751414410861962E-4</v>
      </c>
      <c r="G197" s="847">
        <f t="shared" si="28"/>
        <v>55124857.946683422</v>
      </c>
      <c r="H197" s="841"/>
      <c r="I197" s="839">
        <f>+G197*H197*F197</f>
        <v>0</v>
      </c>
    </row>
    <row r="198" spans="1:9" ht="13.5" hidden="1" thickBot="1">
      <c r="B198" s="738"/>
      <c r="C198" s="738"/>
      <c r="D198" s="738"/>
      <c r="E198" s="738"/>
      <c r="F198" s="738"/>
      <c r="G198" s="1269" t="s">
        <v>97</v>
      </c>
      <c r="H198" s="839">
        <f>SUM(I133:I197)</f>
        <v>15046308.727784526</v>
      </c>
    </row>
    <row r="199" spans="1:9" hidden="1">
      <c r="B199" s="1270" t="s">
        <v>356</v>
      </c>
      <c r="C199" s="1271"/>
      <c r="D199" s="1272"/>
      <c r="E199" s="1273">
        <f>+C130</f>
        <v>55124857.946683422</v>
      </c>
      <c r="F199" s="1274"/>
      <c r="H199" s="1268"/>
    </row>
    <row r="200" spans="1:9" hidden="1">
      <c r="B200" s="1275" t="s">
        <v>205</v>
      </c>
      <c r="C200" s="1276"/>
      <c r="D200" s="1277"/>
      <c r="E200" s="1278">
        <f>+H198</f>
        <v>15046308.727784526</v>
      </c>
    </row>
    <row r="201" spans="1:9" ht="13.5" hidden="1" thickBot="1">
      <c r="B201" s="1279" t="s">
        <v>61</v>
      </c>
      <c r="C201" s="1280"/>
      <c r="D201" s="1281"/>
      <c r="E201" s="1282">
        <f>SUM(E199:E200)</f>
        <v>70171166.674467951</v>
      </c>
    </row>
    <row r="202" spans="1:9" hidden="1"/>
  </sheetData>
  <mergeCells count="11">
    <mergeCell ref="G140:H140"/>
    <mergeCell ref="D132:E132"/>
    <mergeCell ref="B131:I131"/>
    <mergeCell ref="B105:H105"/>
    <mergeCell ref="B140:D140"/>
    <mergeCell ref="B1:M2"/>
    <mergeCell ref="P12:U12"/>
    <mergeCell ref="P57:U57"/>
    <mergeCell ref="B111:C111"/>
    <mergeCell ref="A36:G36"/>
    <mergeCell ref="A80:G80"/>
  </mergeCells>
  <pageMargins left="0.7" right="0.7" top="0.75" bottom="0.75" header="0.3" footer="0.3"/>
  <pageSetup scale="86" orientation="portrait" r:id="rId1"/>
  <rowBreaks count="1" manualBreakCount="1">
    <brk id="55" max="16383" man="1"/>
  </rowBreaks>
  <colBreaks count="1" manualBreakCount="1">
    <brk id="9" max="1048575" man="1"/>
  </col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983EC-F8F1-47D3-BFDB-7E29A99573B3}">
  <sheetPr codeName="Hoja36"/>
  <dimension ref="A1:X216"/>
  <sheetViews>
    <sheetView topLeftCell="A171" zoomScale="87" zoomScaleNormal="87" workbookViewId="0">
      <selection activeCell="J24" sqref="J24"/>
    </sheetView>
  </sheetViews>
  <sheetFormatPr defaultColWidth="9.140625" defaultRowHeight="12.75"/>
  <cols>
    <col min="1" max="1" width="3.5703125" style="217" customWidth="1"/>
    <col min="2" max="2" width="19.85546875" style="217" customWidth="1"/>
    <col min="3" max="3" width="16.5703125" style="217" customWidth="1"/>
    <col min="4" max="4" width="15.85546875" style="217" customWidth="1"/>
    <col min="5" max="5" width="15.42578125" style="1836" bestFit="1" customWidth="1"/>
    <col min="6" max="6" width="14.85546875" style="217" customWidth="1"/>
    <col min="7" max="7" width="10.5703125" style="1840" customWidth="1"/>
    <col min="8" max="8" width="13.5703125" style="1840" bestFit="1" customWidth="1"/>
    <col min="9" max="9" width="16.85546875" style="217" customWidth="1"/>
    <col min="10" max="10" width="14.7109375" style="217" bestFit="1" customWidth="1"/>
    <col min="11" max="11" width="15.7109375" style="1836" customWidth="1"/>
    <col min="12" max="12" width="12.42578125" style="1836" customWidth="1"/>
    <col min="13" max="13" width="23.5703125" style="217" customWidth="1"/>
    <col min="14" max="15" width="12" style="217" bestFit="1" customWidth="1"/>
    <col min="16" max="16" width="15.42578125" style="217" customWidth="1"/>
    <col min="17" max="257" width="11.42578125" style="217" customWidth="1"/>
    <col min="258" max="16384" width="9.140625" style="217"/>
  </cols>
  <sheetData>
    <row r="1" spans="2:13" ht="13.5">
      <c r="B1" s="1797" t="s">
        <v>538</v>
      </c>
      <c r="C1" s="1145" t="s">
        <v>539</v>
      </c>
      <c r="D1" s="1145"/>
      <c r="E1" s="1798"/>
      <c r="F1" s="911"/>
      <c r="G1" s="1799"/>
      <c r="H1" s="1799"/>
      <c r="I1" s="911"/>
      <c r="J1" s="911"/>
      <c r="K1" s="1798"/>
      <c r="L1" s="1798"/>
      <c r="M1" s="911"/>
    </row>
    <row r="2" spans="2:13" ht="13.5">
      <c r="B2" s="1797" t="s">
        <v>540</v>
      </c>
      <c r="C2" s="1800">
        <v>45694413</v>
      </c>
      <c r="D2" s="911"/>
      <c r="E2" s="1798"/>
      <c r="F2" s="911"/>
      <c r="G2" s="1799"/>
      <c r="H2" s="1799"/>
      <c r="I2" s="911"/>
      <c r="J2" s="911"/>
      <c r="K2" s="1798"/>
      <c r="L2" s="1798"/>
      <c r="M2" s="911"/>
    </row>
    <row r="3" spans="2:13" ht="13.5">
      <c r="B3" s="1334" t="s">
        <v>541</v>
      </c>
      <c r="C3" s="807">
        <v>41501</v>
      </c>
      <c r="D3" s="911"/>
      <c r="E3" s="1798"/>
      <c r="F3" s="911"/>
      <c r="G3" s="1799"/>
      <c r="H3" s="1799"/>
      <c r="I3" s="911"/>
      <c r="J3" s="911"/>
      <c r="K3" s="1798"/>
      <c r="L3" s="1798"/>
      <c r="M3" s="911"/>
    </row>
    <row r="4" spans="2:13" ht="13.5">
      <c r="B4" s="1334" t="s">
        <v>287</v>
      </c>
      <c r="C4" s="807">
        <v>43070</v>
      </c>
      <c r="D4" s="911"/>
      <c r="E4" s="1798"/>
      <c r="F4" s="911"/>
      <c r="G4" s="1799"/>
      <c r="H4" s="1799"/>
      <c r="I4" s="911"/>
      <c r="J4" s="911"/>
      <c r="K4" s="1798"/>
      <c r="L4" s="1798"/>
      <c r="M4" s="911"/>
    </row>
    <row r="5" spans="2:13" ht="13.5">
      <c r="B5" s="1797" t="s">
        <v>290</v>
      </c>
      <c r="C5" s="1801">
        <v>43236</v>
      </c>
      <c r="D5" s="1802"/>
      <c r="E5" s="1798"/>
      <c r="F5" s="911"/>
      <c r="G5" s="1799"/>
      <c r="H5" s="1799"/>
      <c r="I5" s="911"/>
      <c r="J5" s="911"/>
      <c r="K5" s="1798"/>
      <c r="L5" s="1798"/>
      <c r="M5" s="911"/>
    </row>
    <row r="6" spans="2:13" ht="13.5">
      <c r="B6" s="1334" t="s">
        <v>351</v>
      </c>
      <c r="C6" s="1145" t="s">
        <v>542</v>
      </c>
      <c r="D6" s="911"/>
      <c r="E6" s="1798"/>
      <c r="F6" s="911"/>
      <c r="G6" s="1799"/>
      <c r="H6" s="1799"/>
      <c r="I6" s="911"/>
      <c r="J6" s="911"/>
      <c r="K6" s="1798"/>
      <c r="L6" s="1798"/>
      <c r="M6" s="911"/>
    </row>
    <row r="7" spans="2:13" ht="13.5">
      <c r="B7" s="1334" t="s">
        <v>124</v>
      </c>
      <c r="C7" s="1145" t="s">
        <v>543</v>
      </c>
      <c r="D7" s="1145"/>
      <c r="E7" s="1798"/>
      <c r="F7" s="911"/>
      <c r="G7" s="1799"/>
      <c r="H7" s="1799"/>
      <c r="I7" s="911"/>
      <c r="J7" s="911"/>
      <c r="K7" s="1798"/>
      <c r="L7" s="1798"/>
      <c r="M7" s="911"/>
    </row>
    <row r="8" spans="2:13" ht="13.5">
      <c r="B8" s="1334" t="s">
        <v>2</v>
      </c>
      <c r="C8" s="1145" t="s">
        <v>544</v>
      </c>
      <c r="D8" s="911"/>
      <c r="E8" s="1798"/>
      <c r="F8" s="911"/>
      <c r="G8" s="1799"/>
      <c r="H8" s="1799"/>
      <c r="I8" s="911"/>
      <c r="J8" s="911"/>
      <c r="K8" s="1798"/>
      <c r="L8" s="1798"/>
      <c r="M8" s="911"/>
    </row>
    <row r="9" spans="2:13" ht="13.5">
      <c r="B9" s="1803" t="s">
        <v>545</v>
      </c>
      <c r="C9" s="807">
        <v>41501</v>
      </c>
      <c r="D9" s="911"/>
      <c r="E9" s="1798"/>
      <c r="F9" s="911"/>
      <c r="G9" s="1799"/>
      <c r="H9" s="1799"/>
      <c r="I9" s="911"/>
      <c r="J9" s="911"/>
      <c r="K9" s="1798"/>
      <c r="L9" s="1798"/>
      <c r="M9" s="911"/>
    </row>
    <row r="10" spans="2:13" ht="13.5">
      <c r="B10" s="1334"/>
      <c r="C10" s="807"/>
      <c r="D10" s="1145"/>
      <c r="E10" s="1804"/>
      <c r="F10" s="1800"/>
      <c r="G10" s="1799"/>
      <c r="H10" s="1799"/>
      <c r="I10" s="911"/>
      <c r="J10" s="911"/>
      <c r="K10" s="1798"/>
      <c r="L10" s="1798"/>
      <c r="M10" s="911"/>
    </row>
    <row r="11" spans="2:13" ht="13.5">
      <c r="B11" s="1334" t="s">
        <v>546</v>
      </c>
      <c r="C11" s="1805">
        <v>96.92</v>
      </c>
      <c r="D11" s="1334"/>
      <c r="E11" s="1804"/>
      <c r="F11" s="1800"/>
      <c r="G11" s="1799"/>
      <c r="H11" s="2624" t="s">
        <v>547</v>
      </c>
      <c r="I11" s="2625"/>
      <c r="J11" s="2625"/>
      <c r="K11" s="2625"/>
      <c r="L11" s="2625"/>
      <c r="M11" s="2626"/>
    </row>
    <row r="12" spans="2:13" ht="13.5">
      <c r="B12" s="1235" t="s">
        <v>11</v>
      </c>
      <c r="C12" s="1235" t="s">
        <v>115</v>
      </c>
      <c r="D12" s="1235" t="s">
        <v>76</v>
      </c>
      <c r="E12" s="1235" t="s">
        <v>77</v>
      </c>
      <c r="F12" s="1235" t="s">
        <v>57</v>
      </c>
      <c r="G12" s="1799"/>
      <c r="H12" s="1235" t="s">
        <v>78</v>
      </c>
      <c r="I12" s="1235" t="s">
        <v>79</v>
      </c>
      <c r="J12" s="1235" t="s">
        <v>186</v>
      </c>
      <c r="K12" s="1235" t="s">
        <v>187</v>
      </c>
      <c r="L12" s="1235" t="s">
        <v>82</v>
      </c>
      <c r="M12" s="1235" t="s">
        <v>83</v>
      </c>
    </row>
    <row r="13" spans="2:13" ht="13.5">
      <c r="B13" s="1145" t="s">
        <v>548</v>
      </c>
      <c r="C13" s="1800">
        <v>788143</v>
      </c>
      <c r="D13" s="1806">
        <v>79.5</v>
      </c>
      <c r="E13" s="1806">
        <f t="shared" ref="E13:E18" si="0">$C$11/D13</f>
        <v>1.219119496855346</v>
      </c>
      <c r="F13" s="1800">
        <f t="shared" ref="F13:F18" si="1">+C13*E13</f>
        <v>960840.49761006294</v>
      </c>
      <c r="G13" s="1799"/>
      <c r="H13" s="1800">
        <f>+C13*0.04</f>
        <v>31525.72</v>
      </c>
      <c r="I13" s="1800">
        <f>+C13*0.04</f>
        <v>31525.72</v>
      </c>
      <c r="J13" s="1800">
        <f>+C13*0.085</f>
        <v>66992.154999999999</v>
      </c>
      <c r="K13" s="1800">
        <f>+C13*0.12</f>
        <v>94577.16</v>
      </c>
      <c r="L13" s="1800">
        <f>SUM(H13+J13)+82</f>
        <v>98599.875</v>
      </c>
      <c r="M13" s="1800">
        <f>SUM(I13+K13)+97</f>
        <v>126199.88</v>
      </c>
    </row>
    <row r="14" spans="2:13" ht="13.5">
      <c r="B14" s="1145" t="s">
        <v>549</v>
      </c>
      <c r="C14" s="1800">
        <v>1477768</v>
      </c>
      <c r="D14" s="1806">
        <v>79.73</v>
      </c>
      <c r="E14" s="1806">
        <f t="shared" si="0"/>
        <v>1.2156026589740374</v>
      </c>
      <c r="F14" s="1800">
        <f t="shared" si="1"/>
        <v>1796378.7101467452</v>
      </c>
      <c r="G14" s="1799"/>
      <c r="H14" s="1800">
        <f>+C14*0.04</f>
        <v>59110.720000000001</v>
      </c>
      <c r="I14" s="1800">
        <f>+C14*0.04</f>
        <v>59110.720000000001</v>
      </c>
      <c r="J14" s="1800">
        <f>+C14*0.085</f>
        <v>125610.28000000001</v>
      </c>
      <c r="K14" s="1800">
        <f>+C14*0.12</f>
        <v>177332.16</v>
      </c>
      <c r="L14" s="1800">
        <f>SUM(H14+J14)+79</f>
        <v>184800</v>
      </c>
      <c r="M14" s="1800">
        <f>SUM(I14+K14)+57</f>
        <v>236499.88</v>
      </c>
    </row>
    <row r="15" spans="2:13" ht="13.5">
      <c r="B15" s="1145" t="s">
        <v>550</v>
      </c>
      <c r="C15" s="1800">
        <v>1477768</v>
      </c>
      <c r="D15" s="1806">
        <v>79.52</v>
      </c>
      <c r="E15" s="1806">
        <f t="shared" si="0"/>
        <v>1.2188128772635816</v>
      </c>
      <c r="F15" s="1800">
        <f t="shared" si="1"/>
        <v>1801122.6680080483</v>
      </c>
      <c r="G15" s="1799"/>
      <c r="H15" s="1800">
        <f>+C15*0.04</f>
        <v>59110.720000000001</v>
      </c>
      <c r="I15" s="1800">
        <f>+C15*0.04</f>
        <v>59110.720000000001</v>
      </c>
      <c r="J15" s="1800">
        <f>+C15*0.085</f>
        <v>125610.28000000001</v>
      </c>
      <c r="K15" s="1800">
        <f>+C15*0.12</f>
        <v>177332.16</v>
      </c>
      <c r="L15" s="1800">
        <f>SUM(H15+J15)+79</f>
        <v>184800</v>
      </c>
      <c r="M15" s="1800">
        <f>SUM(I15+K15)+57</f>
        <v>236499.88</v>
      </c>
    </row>
    <row r="16" spans="2:13" ht="13.5">
      <c r="B16" s="1145" t="s">
        <v>551</v>
      </c>
      <c r="C16" s="1800">
        <v>1477768</v>
      </c>
      <c r="D16" s="1806">
        <v>79.349999999999994</v>
      </c>
      <c r="E16" s="1806">
        <f t="shared" si="0"/>
        <v>1.221424070573409</v>
      </c>
      <c r="F16" s="1800">
        <f t="shared" si="1"/>
        <v>1804981.4059231253</v>
      </c>
      <c r="G16" s="1799"/>
      <c r="H16" s="1800">
        <f>+C16*0.04</f>
        <v>59110.720000000001</v>
      </c>
      <c r="I16" s="1800">
        <f>+C16*0.04</f>
        <v>59110.720000000001</v>
      </c>
      <c r="J16" s="1800">
        <f>+C16*0.085</f>
        <v>125610.28000000001</v>
      </c>
      <c r="K16" s="1800">
        <f>+C16*0.12</f>
        <v>177332.16</v>
      </c>
      <c r="L16" s="1800">
        <f>SUM(H16+J16)+79</f>
        <v>184800</v>
      </c>
      <c r="M16" s="1800">
        <f>SUM(I16+K16)+57</f>
        <v>236499.88</v>
      </c>
    </row>
    <row r="17" spans="2:13" ht="13.5">
      <c r="B17" s="1145" t="s">
        <v>552</v>
      </c>
      <c r="C17" s="1800">
        <v>1477768</v>
      </c>
      <c r="D17" s="1806">
        <v>79.56</v>
      </c>
      <c r="E17" s="1806">
        <f t="shared" si="0"/>
        <v>1.2182001005530416</v>
      </c>
      <c r="F17" s="1800">
        <f t="shared" si="1"/>
        <v>1800217.1261940673</v>
      </c>
      <c r="G17" s="1799"/>
      <c r="H17" s="1800">
        <f>+C17*0.04</f>
        <v>59110.720000000001</v>
      </c>
      <c r="I17" s="1800">
        <f>+C17*0.04</f>
        <v>59110.720000000001</v>
      </c>
      <c r="J17" s="1800">
        <f>+C17*0.085</f>
        <v>125610.28000000001</v>
      </c>
      <c r="K17" s="1800">
        <f>+C17*0.12</f>
        <v>177332.16</v>
      </c>
      <c r="L17" s="1800">
        <f>SUM(H17+J17)+79</f>
        <v>184800</v>
      </c>
      <c r="M17" s="1800">
        <f>SUM(I17+K17)+57</f>
        <v>236499.88</v>
      </c>
    </row>
    <row r="18" spans="2:13" ht="13.5">
      <c r="B18" s="1145" t="s">
        <v>553</v>
      </c>
      <c r="C18" s="1800">
        <v>1539342</v>
      </c>
      <c r="D18" s="1806">
        <v>79.56</v>
      </c>
      <c r="E18" s="1806">
        <f t="shared" si="0"/>
        <v>1.2182001005530416</v>
      </c>
      <c r="F18" s="1800">
        <f t="shared" si="1"/>
        <v>1875226.5791855203</v>
      </c>
      <c r="G18" s="1799"/>
      <c r="H18" s="1800"/>
      <c r="I18" s="1800"/>
      <c r="J18" s="1800"/>
      <c r="K18" s="1800"/>
      <c r="L18" s="1800"/>
      <c r="M18" s="1800"/>
    </row>
    <row r="19" spans="2:13" ht="13.5">
      <c r="B19" s="1145" t="s">
        <v>554</v>
      </c>
      <c r="C19" s="1800"/>
      <c r="D19" s="1145"/>
      <c r="E19" s="1804"/>
      <c r="F19" s="1800">
        <f>SUM(F13:F18)</f>
        <v>10038766.987067569</v>
      </c>
      <c r="G19" s="1799"/>
      <c r="H19" s="1800"/>
      <c r="I19" s="1800"/>
      <c r="J19" s="1800"/>
      <c r="K19" s="1800"/>
      <c r="L19" s="1800"/>
      <c r="M19" s="1800"/>
    </row>
    <row r="20" spans="2:13" ht="13.5">
      <c r="B20" s="1145" t="s">
        <v>555</v>
      </c>
      <c r="C20" s="1800"/>
      <c r="D20" s="1145"/>
      <c r="E20" s="1804"/>
      <c r="F20" s="1800">
        <f>+H20+I20</f>
        <v>535937.19999999995</v>
      </c>
      <c r="G20" s="1799"/>
      <c r="H20" s="1800">
        <f>SUM(H13:H19)</f>
        <v>267968.59999999998</v>
      </c>
      <c r="I20" s="1800">
        <f>SUM(I13:I19)</f>
        <v>267968.59999999998</v>
      </c>
      <c r="J20" s="1800">
        <f>SUM(J13:J19)</f>
        <v>569433.27500000002</v>
      </c>
      <c r="K20" s="1800">
        <f>SUM(K13:K19)</f>
        <v>803905.8</v>
      </c>
      <c r="L20" s="1800">
        <f>SUM(L13:L19)</f>
        <v>837799.875</v>
      </c>
      <c r="M20" s="1800">
        <f>SUM(M13:M19)+1</f>
        <v>1072200.3999999999</v>
      </c>
    </row>
    <row r="21" spans="2:13" ht="13.5">
      <c r="B21" s="1145" t="s">
        <v>556</v>
      </c>
      <c r="C21" s="1800"/>
      <c r="D21" s="1145"/>
      <c r="E21" s="1804"/>
      <c r="F21" s="1800">
        <f>+F19-F20</f>
        <v>9502829.7870675698</v>
      </c>
      <c r="G21" s="1799"/>
      <c r="H21" s="1799"/>
      <c r="I21" s="1799"/>
      <c r="J21" s="1799"/>
      <c r="K21" s="1799"/>
      <c r="L21" s="1799"/>
      <c r="M21" s="1799"/>
    </row>
    <row r="22" spans="2:13" ht="13.5">
      <c r="B22" s="911"/>
      <c r="C22" s="911"/>
      <c r="D22" s="911"/>
      <c r="E22" s="1798"/>
      <c r="F22" s="911"/>
      <c r="G22" s="1799"/>
      <c r="H22" s="2624" t="s">
        <v>557</v>
      </c>
      <c r="I22" s="2625"/>
      <c r="J22" s="2625"/>
      <c r="K22" s="2625"/>
      <c r="L22" s="2625"/>
      <c r="M22" s="2626"/>
    </row>
    <row r="23" spans="2:13" ht="13.5">
      <c r="B23" s="1235" t="s">
        <v>11</v>
      </c>
      <c r="C23" s="1235">
        <v>2014</v>
      </c>
      <c r="D23" s="1235" t="s">
        <v>76</v>
      </c>
      <c r="E23" s="1235" t="s">
        <v>77</v>
      </c>
      <c r="F23" s="1235" t="s">
        <v>57</v>
      </c>
      <c r="G23" s="1799"/>
      <c r="H23" s="1235" t="s">
        <v>78</v>
      </c>
      <c r="I23" s="1235" t="s">
        <v>79</v>
      </c>
      <c r="J23" s="1235" t="s">
        <v>186</v>
      </c>
      <c r="K23" s="1235" t="s">
        <v>187</v>
      </c>
      <c r="L23" s="1235" t="s">
        <v>82</v>
      </c>
      <c r="M23" s="1235" t="s">
        <v>83</v>
      </c>
    </row>
    <row r="24" spans="2:13" ht="13.5">
      <c r="B24" s="1145" t="s">
        <v>558</v>
      </c>
      <c r="C24" s="1800">
        <v>1559045</v>
      </c>
      <c r="D24" s="1806">
        <v>79.95</v>
      </c>
      <c r="E24" s="1806">
        <f>$C$11/D24</f>
        <v>1.2122576610381488</v>
      </c>
      <c r="F24" s="1800">
        <f>+C24*E24</f>
        <v>1889964.2451532206</v>
      </c>
      <c r="G24" s="1799"/>
      <c r="H24" s="1800">
        <f>+C24*0.04</f>
        <v>62361.8</v>
      </c>
      <c r="I24" s="1800">
        <f>+C24*0.04</f>
        <v>62361.8</v>
      </c>
      <c r="J24" s="1800">
        <f>+C24*0.085</f>
        <v>132518.82500000001</v>
      </c>
      <c r="K24" s="1800">
        <f>+C24*0.12</f>
        <v>187085.4</v>
      </c>
      <c r="L24" s="1800">
        <f>SUM(H24+J24)+19</f>
        <v>194899.625</v>
      </c>
      <c r="M24" s="1800">
        <f>SUM(I24+K24)+53</f>
        <v>249500.2</v>
      </c>
    </row>
    <row r="25" spans="2:13" ht="13.5">
      <c r="B25" s="1145" t="s">
        <v>559</v>
      </c>
      <c r="C25" s="1800">
        <v>1559045</v>
      </c>
      <c r="D25" s="1806">
        <v>80.45</v>
      </c>
      <c r="E25" s="1806">
        <f t="shared" ref="E25:E41" si="2">$C$11/D25</f>
        <v>1.2047234307022996</v>
      </c>
      <c r="F25" s="1800">
        <f t="shared" ref="F25:F41" si="3">+C25*E25</f>
        <v>1878218.0410192667</v>
      </c>
      <c r="G25" s="1799"/>
      <c r="H25" s="1800">
        <f t="shared" ref="H25:H34" si="4">+C25*0.04</f>
        <v>62361.8</v>
      </c>
      <c r="I25" s="1800">
        <f t="shared" ref="I25:I35" si="5">+C25*0.04</f>
        <v>62361.8</v>
      </c>
      <c r="J25" s="1800">
        <f t="shared" ref="J25:J35" si="6">+C25*0.085</f>
        <v>132518.82500000001</v>
      </c>
      <c r="K25" s="1800">
        <f t="shared" ref="K25:K35" si="7">+C25*0.12</f>
        <v>187085.4</v>
      </c>
      <c r="L25" s="1800">
        <f t="shared" ref="L25:L35" si="8">SUM(H25+J25)+19</f>
        <v>194899.625</v>
      </c>
      <c r="M25" s="1800">
        <f t="shared" ref="M25:M35" si="9">SUM(I25+K25)+53</f>
        <v>249500.2</v>
      </c>
    </row>
    <row r="26" spans="2:13" ht="13.5">
      <c r="B26" s="1145" t="s">
        <v>560</v>
      </c>
      <c r="C26" s="1800">
        <v>1559045</v>
      </c>
      <c r="D26" s="1806">
        <v>80.77</v>
      </c>
      <c r="E26" s="1806">
        <f t="shared" si="2"/>
        <v>1.1999504766621272</v>
      </c>
      <c r="F26" s="1800">
        <f t="shared" si="3"/>
        <v>1870776.790887706</v>
      </c>
      <c r="G26" s="1799"/>
      <c r="H26" s="1800">
        <f t="shared" si="4"/>
        <v>62361.8</v>
      </c>
      <c r="I26" s="1800">
        <f t="shared" si="5"/>
        <v>62361.8</v>
      </c>
      <c r="J26" s="1800">
        <f t="shared" si="6"/>
        <v>132518.82500000001</v>
      </c>
      <c r="K26" s="1800">
        <f t="shared" si="7"/>
        <v>187085.4</v>
      </c>
      <c r="L26" s="1800">
        <f t="shared" si="8"/>
        <v>194899.625</v>
      </c>
      <c r="M26" s="1800">
        <f t="shared" si="9"/>
        <v>249500.2</v>
      </c>
    </row>
    <row r="27" spans="2:13" ht="13.5">
      <c r="B27" s="1145" t="s">
        <v>561</v>
      </c>
      <c r="C27" s="1800">
        <v>1559045</v>
      </c>
      <c r="D27" s="1806">
        <v>81.14</v>
      </c>
      <c r="E27" s="1806">
        <f t="shared" si="2"/>
        <v>1.1944786788267192</v>
      </c>
      <c r="F27" s="1800">
        <f t="shared" si="3"/>
        <v>1862246.0118314025</v>
      </c>
      <c r="G27" s="1799"/>
      <c r="H27" s="1800">
        <f t="shared" si="4"/>
        <v>62361.8</v>
      </c>
      <c r="I27" s="1800">
        <f t="shared" si="5"/>
        <v>62361.8</v>
      </c>
      <c r="J27" s="1800">
        <f t="shared" si="6"/>
        <v>132518.82500000001</v>
      </c>
      <c r="K27" s="1800">
        <f t="shared" si="7"/>
        <v>187085.4</v>
      </c>
      <c r="L27" s="1800">
        <f t="shared" si="8"/>
        <v>194899.625</v>
      </c>
      <c r="M27" s="1800">
        <f t="shared" si="9"/>
        <v>249500.2</v>
      </c>
    </row>
    <row r="28" spans="2:13" ht="13.5">
      <c r="B28" s="1145" t="s">
        <v>562</v>
      </c>
      <c r="C28" s="1800">
        <v>1559045</v>
      </c>
      <c r="D28" s="1806">
        <v>81.53</v>
      </c>
      <c r="E28" s="1806">
        <f t="shared" si="2"/>
        <v>1.1887648718263215</v>
      </c>
      <c r="F28" s="1800">
        <f t="shared" si="3"/>
        <v>1853337.9295964674</v>
      </c>
      <c r="G28" s="1799"/>
      <c r="H28" s="1800">
        <f t="shared" si="4"/>
        <v>62361.8</v>
      </c>
      <c r="I28" s="1800">
        <f t="shared" si="5"/>
        <v>62361.8</v>
      </c>
      <c r="J28" s="1800">
        <f t="shared" si="6"/>
        <v>132518.82500000001</v>
      </c>
      <c r="K28" s="1800">
        <f t="shared" si="7"/>
        <v>187085.4</v>
      </c>
      <c r="L28" s="1800">
        <f t="shared" si="8"/>
        <v>194899.625</v>
      </c>
      <c r="M28" s="1800">
        <f t="shared" si="9"/>
        <v>249500.2</v>
      </c>
    </row>
    <row r="29" spans="2:13" ht="13.5">
      <c r="B29" s="1145" t="s">
        <v>563</v>
      </c>
      <c r="C29" s="1800">
        <v>1559045</v>
      </c>
      <c r="D29" s="1806">
        <v>81.61</v>
      </c>
      <c r="E29" s="1806">
        <f t="shared" si="2"/>
        <v>1.1875995588775885</v>
      </c>
      <c r="F29" s="1800">
        <f t="shared" si="3"/>
        <v>1851521.15427031</v>
      </c>
      <c r="G29" s="1799"/>
      <c r="H29" s="1800">
        <f t="shared" si="4"/>
        <v>62361.8</v>
      </c>
      <c r="I29" s="1800">
        <f t="shared" si="5"/>
        <v>62361.8</v>
      </c>
      <c r="J29" s="1800">
        <f t="shared" si="6"/>
        <v>132518.82500000001</v>
      </c>
      <c r="K29" s="1800">
        <f t="shared" si="7"/>
        <v>187085.4</v>
      </c>
      <c r="L29" s="1800">
        <f t="shared" si="8"/>
        <v>194899.625</v>
      </c>
      <c r="M29" s="1800">
        <f t="shared" si="9"/>
        <v>249500.2</v>
      </c>
    </row>
    <row r="30" spans="2:13" ht="13.5">
      <c r="B30" s="1145" t="s">
        <v>564</v>
      </c>
      <c r="C30" s="1800">
        <v>1559045</v>
      </c>
      <c r="D30" s="1806">
        <v>81.73</v>
      </c>
      <c r="E30" s="1806">
        <f t="shared" si="2"/>
        <v>1.1858558668787471</v>
      </c>
      <c r="F30" s="1800">
        <f t="shared" si="3"/>
        <v>1848802.6599779762</v>
      </c>
      <c r="G30" s="1799"/>
      <c r="H30" s="1800">
        <f t="shared" si="4"/>
        <v>62361.8</v>
      </c>
      <c r="I30" s="1800">
        <f t="shared" si="5"/>
        <v>62361.8</v>
      </c>
      <c r="J30" s="1800">
        <f t="shared" si="6"/>
        <v>132518.82500000001</v>
      </c>
      <c r="K30" s="1800">
        <f t="shared" si="7"/>
        <v>187085.4</v>
      </c>
      <c r="L30" s="1800">
        <f t="shared" si="8"/>
        <v>194899.625</v>
      </c>
      <c r="M30" s="1800">
        <f t="shared" si="9"/>
        <v>249500.2</v>
      </c>
    </row>
    <row r="31" spans="2:13" ht="13.5">
      <c r="B31" s="1145" t="s">
        <v>548</v>
      </c>
      <c r="C31" s="1800">
        <v>1559045</v>
      </c>
      <c r="D31" s="1806">
        <v>81.900000000000006</v>
      </c>
      <c r="E31" s="1806">
        <f t="shared" si="2"/>
        <v>1.1833943833943834</v>
      </c>
      <c r="F31" s="1800">
        <f>+C31*E31</f>
        <v>1844965.0964590965</v>
      </c>
      <c r="G31" s="1799"/>
      <c r="H31" s="1800">
        <f t="shared" si="4"/>
        <v>62361.8</v>
      </c>
      <c r="I31" s="1800">
        <f t="shared" si="5"/>
        <v>62361.8</v>
      </c>
      <c r="J31" s="1800">
        <f t="shared" si="6"/>
        <v>132518.82500000001</v>
      </c>
      <c r="K31" s="1800">
        <f t="shared" si="7"/>
        <v>187085.4</v>
      </c>
      <c r="L31" s="1800">
        <f t="shared" si="8"/>
        <v>194899.625</v>
      </c>
      <c r="M31" s="1800">
        <f t="shared" si="9"/>
        <v>249500.2</v>
      </c>
    </row>
    <row r="32" spans="2:13" ht="13.5">
      <c r="B32" s="1145" t="s">
        <v>549</v>
      </c>
      <c r="C32" s="1800">
        <v>1559045</v>
      </c>
      <c r="D32" s="1806">
        <v>82.01</v>
      </c>
      <c r="E32" s="1806">
        <f t="shared" si="2"/>
        <v>1.181807096695525</v>
      </c>
      <c r="F32" s="1800">
        <f t="shared" si="3"/>
        <v>1842490.4450676746</v>
      </c>
      <c r="G32" s="1799"/>
      <c r="H32" s="1800">
        <f t="shared" si="4"/>
        <v>62361.8</v>
      </c>
      <c r="I32" s="1800">
        <f t="shared" si="5"/>
        <v>62361.8</v>
      </c>
      <c r="J32" s="1800">
        <f t="shared" si="6"/>
        <v>132518.82500000001</v>
      </c>
      <c r="K32" s="1800">
        <f t="shared" si="7"/>
        <v>187085.4</v>
      </c>
      <c r="L32" s="1800">
        <f t="shared" si="8"/>
        <v>194899.625</v>
      </c>
      <c r="M32" s="1800">
        <f t="shared" si="9"/>
        <v>249500.2</v>
      </c>
    </row>
    <row r="33" spans="2:13" ht="13.5">
      <c r="B33" s="1145" t="s">
        <v>550</v>
      </c>
      <c r="C33" s="1800">
        <v>1559045</v>
      </c>
      <c r="D33" s="1806">
        <v>82.14</v>
      </c>
      <c r="E33" s="1806">
        <f t="shared" si="2"/>
        <v>1.1799366934502069</v>
      </c>
      <c r="F33" s="1800">
        <f t="shared" si="3"/>
        <v>1839574.4022400777</v>
      </c>
      <c r="G33" s="1799"/>
      <c r="H33" s="1800">
        <f t="shared" si="4"/>
        <v>62361.8</v>
      </c>
      <c r="I33" s="1800">
        <f t="shared" si="5"/>
        <v>62361.8</v>
      </c>
      <c r="J33" s="1800">
        <f t="shared" si="6"/>
        <v>132518.82500000001</v>
      </c>
      <c r="K33" s="1800">
        <f t="shared" si="7"/>
        <v>187085.4</v>
      </c>
      <c r="L33" s="1800">
        <f t="shared" si="8"/>
        <v>194899.625</v>
      </c>
      <c r="M33" s="1800">
        <f t="shared" si="9"/>
        <v>249500.2</v>
      </c>
    </row>
    <row r="34" spans="2:13" ht="13.5">
      <c r="B34" s="1145" t="s">
        <v>551</v>
      </c>
      <c r="C34" s="1800">
        <v>1559045</v>
      </c>
      <c r="D34" s="1806">
        <v>82.25</v>
      </c>
      <c r="E34" s="1806">
        <f t="shared" si="2"/>
        <v>1.1783586626139817</v>
      </c>
      <c r="F34" s="1800">
        <f t="shared" si="3"/>
        <v>1837114.181155015</v>
      </c>
      <c r="G34" s="1799"/>
      <c r="H34" s="1800">
        <f t="shared" si="4"/>
        <v>62361.8</v>
      </c>
      <c r="I34" s="1800">
        <f t="shared" si="5"/>
        <v>62361.8</v>
      </c>
      <c r="J34" s="1800">
        <f t="shared" si="6"/>
        <v>132518.82500000001</v>
      </c>
      <c r="K34" s="1800">
        <f t="shared" si="7"/>
        <v>187085.4</v>
      </c>
      <c r="L34" s="1800">
        <f t="shared" si="8"/>
        <v>194899.625</v>
      </c>
      <c r="M34" s="1800">
        <f t="shared" si="9"/>
        <v>249500.2</v>
      </c>
    </row>
    <row r="35" spans="2:13" ht="13.5">
      <c r="B35" s="1145" t="s">
        <v>552</v>
      </c>
      <c r="C35" s="1800">
        <v>1559045</v>
      </c>
      <c r="D35" s="1806">
        <v>82.47</v>
      </c>
      <c r="E35" s="1806">
        <f t="shared" si="2"/>
        <v>1.1752152297805263</v>
      </c>
      <c r="F35" s="1800">
        <f t="shared" si="3"/>
        <v>1832213.4279131806</v>
      </c>
      <c r="G35" s="1799"/>
      <c r="H35" s="1800">
        <f>+C35*0.04</f>
        <v>62361.8</v>
      </c>
      <c r="I35" s="1800">
        <f t="shared" si="5"/>
        <v>62361.8</v>
      </c>
      <c r="J35" s="1800">
        <f t="shared" si="6"/>
        <v>132518.82500000001</v>
      </c>
      <c r="K35" s="1800">
        <f t="shared" si="7"/>
        <v>187085.4</v>
      </c>
      <c r="L35" s="1800">
        <f t="shared" si="8"/>
        <v>194899.625</v>
      </c>
      <c r="M35" s="1800">
        <f t="shared" si="9"/>
        <v>249500.2</v>
      </c>
    </row>
    <row r="36" spans="2:13" ht="13.5">
      <c r="B36" s="1145" t="s">
        <v>565</v>
      </c>
      <c r="C36" s="1800">
        <v>779523</v>
      </c>
      <c r="D36" s="1806">
        <f>+D29</f>
        <v>81.61</v>
      </c>
      <c r="E36" s="1806">
        <f t="shared" si="2"/>
        <v>1.1875995588775885</v>
      </c>
      <c r="F36" s="1800">
        <f t="shared" si="3"/>
        <v>925761.1709349344</v>
      </c>
      <c r="G36" s="1799"/>
      <c r="H36" s="1799"/>
      <c r="I36" s="911"/>
      <c r="J36" s="911"/>
      <c r="K36" s="1798"/>
      <c r="L36" s="1798"/>
      <c r="M36" s="911"/>
    </row>
    <row r="37" spans="2:13" ht="13.5">
      <c r="B37" s="1145" t="s">
        <v>566</v>
      </c>
      <c r="C37" s="1800">
        <v>812005</v>
      </c>
      <c r="D37" s="1806">
        <f>+D29</f>
        <v>81.61</v>
      </c>
      <c r="E37" s="1806">
        <f t="shared" si="2"/>
        <v>1.1875995588775885</v>
      </c>
      <c r="F37" s="1800">
        <f t="shared" si="3"/>
        <v>964336.77980639623</v>
      </c>
      <c r="G37" s="1799"/>
      <c r="H37" s="1800">
        <f t="shared" ref="H37:M37" si="10">SUM(H24:H36)</f>
        <v>748341.60000000009</v>
      </c>
      <c r="I37" s="1800">
        <f t="shared" si="10"/>
        <v>748341.60000000009</v>
      </c>
      <c r="J37" s="1800">
        <f t="shared" si="10"/>
        <v>1590225.8999999997</v>
      </c>
      <c r="K37" s="1800">
        <f t="shared" si="10"/>
        <v>2245024.7999999993</v>
      </c>
      <c r="L37" s="1800">
        <f t="shared" si="10"/>
        <v>2338795.5</v>
      </c>
      <c r="M37" s="1800">
        <f t="shared" si="10"/>
        <v>2994002.4000000004</v>
      </c>
    </row>
    <row r="38" spans="2:13" ht="13.5">
      <c r="B38" s="1145" t="s">
        <v>567</v>
      </c>
      <c r="C38" s="1800">
        <v>103936</v>
      </c>
      <c r="D38" s="1806">
        <f>+D31</f>
        <v>81.900000000000006</v>
      </c>
      <c r="E38" s="1806">
        <f t="shared" si="2"/>
        <v>1.1833943833943834</v>
      </c>
      <c r="F38" s="1800">
        <f t="shared" si="3"/>
        <v>122997.27863247863</v>
      </c>
      <c r="G38" s="1799"/>
      <c r="H38" s="1799"/>
      <c r="I38" s="911"/>
      <c r="J38" s="911"/>
      <c r="K38" s="1798"/>
      <c r="L38" s="1798"/>
      <c r="M38" s="911"/>
    </row>
    <row r="39" spans="2:13" ht="13.5">
      <c r="B39" s="1145" t="s">
        <v>568</v>
      </c>
      <c r="C39" s="1800">
        <v>103936</v>
      </c>
      <c r="D39" s="1806">
        <f>+D38</f>
        <v>81.900000000000006</v>
      </c>
      <c r="E39" s="1806">
        <f t="shared" si="2"/>
        <v>1.1833943833943834</v>
      </c>
      <c r="F39" s="1800">
        <f t="shared" si="3"/>
        <v>122997.27863247863</v>
      </c>
      <c r="G39" s="1799"/>
      <c r="H39" s="1799"/>
      <c r="I39" s="911"/>
      <c r="J39" s="911"/>
      <c r="K39" s="1798"/>
      <c r="L39" s="1798"/>
      <c r="M39" s="911"/>
    </row>
    <row r="40" spans="2:13" ht="13.5">
      <c r="B40" s="1145" t="s">
        <v>22</v>
      </c>
      <c r="C40" s="1800">
        <v>1136803</v>
      </c>
      <c r="D40" s="1806">
        <f>+D31</f>
        <v>81.900000000000006</v>
      </c>
      <c r="E40" s="1806">
        <f t="shared" si="2"/>
        <v>1.1833943833943834</v>
      </c>
      <c r="F40" s="1800">
        <f t="shared" si="3"/>
        <v>1345286.2852258852</v>
      </c>
      <c r="G40" s="1799"/>
      <c r="H40" s="1799"/>
      <c r="I40" s="911"/>
      <c r="J40" s="911"/>
      <c r="K40" s="1798"/>
      <c r="L40" s="1798"/>
      <c r="M40" s="911"/>
    </row>
    <row r="41" spans="2:13" ht="13.5">
      <c r="B41" s="1145" t="s">
        <v>553</v>
      </c>
      <c r="C41" s="1800">
        <v>1691672</v>
      </c>
      <c r="D41" s="1806">
        <f>+D35</f>
        <v>82.47</v>
      </c>
      <c r="E41" s="1806">
        <f t="shared" si="2"/>
        <v>1.1752152297805263</v>
      </c>
      <c r="F41" s="1800">
        <f t="shared" si="3"/>
        <v>1988078.6981932824</v>
      </c>
      <c r="G41" s="1799"/>
      <c r="H41" s="1799"/>
      <c r="I41" s="911"/>
      <c r="J41" s="911"/>
      <c r="K41" s="1798"/>
      <c r="L41" s="1798"/>
      <c r="M41" s="911"/>
    </row>
    <row r="42" spans="2:13" ht="13.5">
      <c r="B42" s="1145" t="s">
        <v>554</v>
      </c>
      <c r="C42" s="1800"/>
      <c r="D42" s="1806"/>
      <c r="E42" s="1804"/>
      <c r="F42" s="1800">
        <f>SUM(F24:F41)</f>
        <v>27720681.876996849</v>
      </c>
      <c r="G42" s="1799"/>
      <c r="H42" s="1799"/>
      <c r="I42" s="911"/>
      <c r="J42" s="911"/>
      <c r="K42" s="1798"/>
      <c r="L42" s="1798"/>
      <c r="M42" s="911"/>
    </row>
    <row r="43" spans="2:13" ht="13.5">
      <c r="B43" s="1145" t="s">
        <v>555</v>
      </c>
      <c r="C43" s="1800"/>
      <c r="D43" s="1145"/>
      <c r="E43" s="1804"/>
      <c r="F43" s="1800">
        <f>+H37+I37</f>
        <v>1496683.2000000002</v>
      </c>
      <c r="G43" s="1799"/>
      <c r="H43" s="1799"/>
      <c r="I43" s="911"/>
      <c r="J43" s="911"/>
      <c r="K43" s="1798"/>
      <c r="L43" s="1798"/>
      <c r="M43" s="911"/>
    </row>
    <row r="44" spans="2:13" ht="13.5">
      <c r="B44" s="1145" t="s">
        <v>556</v>
      </c>
      <c r="C44" s="1800"/>
      <c r="D44" s="1145"/>
      <c r="E44" s="1804"/>
      <c r="F44" s="1800">
        <f>+F42-F43</f>
        <v>26223998.676996849</v>
      </c>
      <c r="G44" s="1799"/>
      <c r="H44" s="1799"/>
      <c r="I44" s="911"/>
      <c r="J44" s="911"/>
      <c r="K44" s="1798"/>
      <c r="L44" s="1798"/>
      <c r="M44" s="911"/>
    </row>
    <row r="45" spans="2:13" ht="13.5">
      <c r="B45" s="1799"/>
      <c r="C45" s="1799"/>
      <c r="D45" s="1799"/>
      <c r="E45" s="1799"/>
      <c r="F45" s="1799"/>
      <c r="G45" s="1799"/>
      <c r="H45" s="2624" t="s">
        <v>569</v>
      </c>
      <c r="I45" s="2625"/>
      <c r="J45" s="2625"/>
      <c r="K45" s="2625"/>
      <c r="L45" s="2625"/>
      <c r="M45" s="2626"/>
    </row>
    <row r="46" spans="2:13" ht="13.5">
      <c r="B46" s="1235" t="s">
        <v>11</v>
      </c>
      <c r="C46" s="1235">
        <v>2015</v>
      </c>
      <c r="D46" s="1235" t="s">
        <v>76</v>
      </c>
      <c r="E46" s="1235" t="s">
        <v>77</v>
      </c>
      <c r="F46" s="1235" t="s">
        <v>57</v>
      </c>
      <c r="G46" s="1799"/>
      <c r="H46" s="1235" t="s">
        <v>78</v>
      </c>
      <c r="I46" s="1235" t="s">
        <v>79</v>
      </c>
      <c r="J46" s="1235" t="s">
        <v>186</v>
      </c>
      <c r="K46" s="1235" t="s">
        <v>187</v>
      </c>
      <c r="L46" s="1235" t="s">
        <v>82</v>
      </c>
      <c r="M46" s="1235" t="s">
        <v>83</v>
      </c>
    </row>
    <row r="47" spans="2:13" ht="13.5">
      <c r="B47" s="1145" t="s">
        <v>558</v>
      </c>
      <c r="C47" s="1800">
        <v>1652587</v>
      </c>
      <c r="D47" s="1806">
        <v>83</v>
      </c>
      <c r="E47" s="1806">
        <f>$C$11/D47</f>
        <v>1.167710843373494</v>
      </c>
      <c r="F47" s="1800">
        <f>+C47*E47</f>
        <v>1929743.7595180722</v>
      </c>
      <c r="G47" s="1799"/>
      <c r="H47" s="1800">
        <f>+C47*0.04</f>
        <v>66103.48</v>
      </c>
      <c r="I47" s="1800">
        <f>+C47*0.04</f>
        <v>66103.48</v>
      </c>
      <c r="J47" s="1800">
        <f>+C47*0.085</f>
        <v>140469.89500000002</v>
      </c>
      <c r="K47" s="1800">
        <f>+C47*0.12</f>
        <v>198310.44</v>
      </c>
      <c r="L47" s="1800">
        <f>SUM(H47+J47)+27</f>
        <v>206600.375</v>
      </c>
      <c r="M47" s="1800">
        <f>SUM(I47+K47)+86</f>
        <v>264499.92</v>
      </c>
    </row>
    <row r="48" spans="2:13" ht="13.5">
      <c r="B48" s="1145" t="s">
        <v>559</v>
      </c>
      <c r="C48" s="1800">
        <v>1652587</v>
      </c>
      <c r="D48" s="1806">
        <v>83.96</v>
      </c>
      <c r="E48" s="1806">
        <f t="shared" ref="E48:E64" si="11">$C$11/D48</f>
        <v>1.1543592186755598</v>
      </c>
      <c r="F48" s="1800">
        <f t="shared" ref="F48:F53" si="12">+C48*E48</f>
        <v>1907679.0381133873</v>
      </c>
      <c r="G48" s="1799"/>
      <c r="H48" s="1800">
        <f t="shared" ref="H48:H58" si="13">+C48*0.04</f>
        <v>66103.48</v>
      </c>
      <c r="I48" s="1800">
        <f t="shared" ref="I48:I58" si="14">+C48*0.04</f>
        <v>66103.48</v>
      </c>
      <c r="J48" s="1800">
        <f t="shared" ref="J48:J58" si="15">+C48*0.085</f>
        <v>140469.89500000002</v>
      </c>
      <c r="K48" s="1800">
        <f t="shared" ref="K48:K58" si="16">+C48*0.12</f>
        <v>198310.44</v>
      </c>
      <c r="L48" s="1800">
        <f t="shared" ref="L48:M58" si="17">SUM(H48+J48)</f>
        <v>206573.375</v>
      </c>
      <c r="M48" s="1800">
        <f t="shared" ref="M48:M54" si="18">SUM(I48+K48)+86</f>
        <v>264499.92</v>
      </c>
    </row>
    <row r="49" spans="2:13" ht="13.5">
      <c r="B49" s="1145" t="s">
        <v>560</v>
      </c>
      <c r="C49" s="1800">
        <v>1652587</v>
      </c>
      <c r="D49" s="1806">
        <v>84.45</v>
      </c>
      <c r="E49" s="1806">
        <f t="shared" si="11"/>
        <v>1.1476613380698637</v>
      </c>
      <c r="F49" s="1800">
        <f t="shared" si="12"/>
        <v>1896610.2076968618</v>
      </c>
      <c r="G49" s="1799"/>
      <c r="H49" s="1800">
        <f t="shared" si="13"/>
        <v>66103.48</v>
      </c>
      <c r="I49" s="1800">
        <f t="shared" si="14"/>
        <v>66103.48</v>
      </c>
      <c r="J49" s="1800">
        <f t="shared" si="15"/>
        <v>140469.89500000002</v>
      </c>
      <c r="K49" s="1800">
        <f t="shared" si="16"/>
        <v>198310.44</v>
      </c>
      <c r="L49" s="1800">
        <f t="shared" si="17"/>
        <v>206573.375</v>
      </c>
      <c r="M49" s="1800">
        <f t="shared" si="18"/>
        <v>264499.92</v>
      </c>
    </row>
    <row r="50" spans="2:13" ht="13.5">
      <c r="B50" s="1145" t="s">
        <v>561</v>
      </c>
      <c r="C50" s="1800">
        <v>1652587</v>
      </c>
      <c r="D50" s="1806">
        <v>84.9</v>
      </c>
      <c r="E50" s="1806">
        <f t="shared" si="11"/>
        <v>1.1415783274440519</v>
      </c>
      <c r="F50" s="1800">
        <f t="shared" si="12"/>
        <v>1886557.5034157834</v>
      </c>
      <c r="G50" s="1799"/>
      <c r="H50" s="1800">
        <f t="shared" si="13"/>
        <v>66103.48</v>
      </c>
      <c r="I50" s="1800">
        <f t="shared" si="14"/>
        <v>66103.48</v>
      </c>
      <c r="J50" s="1800">
        <f t="shared" si="15"/>
        <v>140469.89500000002</v>
      </c>
      <c r="K50" s="1800">
        <f t="shared" si="16"/>
        <v>198310.44</v>
      </c>
      <c r="L50" s="1800">
        <f t="shared" si="17"/>
        <v>206573.375</v>
      </c>
      <c r="M50" s="1800">
        <f t="shared" si="18"/>
        <v>264499.92</v>
      </c>
    </row>
    <row r="51" spans="2:13" ht="13.5">
      <c r="B51" s="1145" t="s">
        <v>562</v>
      </c>
      <c r="C51" s="1800">
        <v>1652587</v>
      </c>
      <c r="D51" s="1806">
        <v>85.12</v>
      </c>
      <c r="E51" s="1806">
        <f t="shared" si="11"/>
        <v>1.1386278195488722</v>
      </c>
      <c r="F51" s="1800">
        <f t="shared" si="12"/>
        <v>1881681.532424812</v>
      </c>
      <c r="G51" s="1799"/>
      <c r="H51" s="1800">
        <f t="shared" si="13"/>
        <v>66103.48</v>
      </c>
      <c r="I51" s="1800">
        <f t="shared" si="14"/>
        <v>66103.48</v>
      </c>
      <c r="J51" s="1800">
        <f t="shared" si="15"/>
        <v>140469.89500000002</v>
      </c>
      <c r="K51" s="1800">
        <f t="shared" si="16"/>
        <v>198310.44</v>
      </c>
      <c r="L51" s="1800">
        <f t="shared" si="17"/>
        <v>206573.375</v>
      </c>
      <c r="M51" s="1800">
        <f t="shared" si="18"/>
        <v>264499.92</v>
      </c>
    </row>
    <row r="52" spans="2:13" ht="13.5">
      <c r="B52" s="1145" t="s">
        <v>563</v>
      </c>
      <c r="C52" s="1800">
        <v>1652587</v>
      </c>
      <c r="D52" s="1806">
        <v>85.21</v>
      </c>
      <c r="E52" s="1806">
        <f t="shared" si="11"/>
        <v>1.1374251848374606</v>
      </c>
      <c r="F52" s="1800">
        <f t="shared" si="12"/>
        <v>1879694.0739349844</v>
      </c>
      <c r="G52" s="1799"/>
      <c r="H52" s="1800">
        <f t="shared" si="13"/>
        <v>66103.48</v>
      </c>
      <c r="I52" s="1800">
        <f t="shared" si="14"/>
        <v>66103.48</v>
      </c>
      <c r="J52" s="1800">
        <f t="shared" si="15"/>
        <v>140469.89500000002</v>
      </c>
      <c r="K52" s="1800">
        <f t="shared" si="16"/>
        <v>198310.44</v>
      </c>
      <c r="L52" s="1800">
        <f t="shared" si="17"/>
        <v>206573.375</v>
      </c>
      <c r="M52" s="1800">
        <f t="shared" si="18"/>
        <v>264499.92</v>
      </c>
    </row>
    <row r="53" spans="2:13" ht="13.5">
      <c r="B53" s="1145" t="s">
        <v>564</v>
      </c>
      <c r="C53" s="1800">
        <v>1652587</v>
      </c>
      <c r="D53" s="1806">
        <v>85.37</v>
      </c>
      <c r="E53" s="1806">
        <f t="shared" si="11"/>
        <v>1.1352934286048963</v>
      </c>
      <c r="F53" s="1800">
        <f t="shared" si="12"/>
        <v>1876171.1612978799</v>
      </c>
      <c r="G53" s="1799"/>
      <c r="H53" s="1800">
        <f t="shared" si="13"/>
        <v>66103.48</v>
      </c>
      <c r="I53" s="1800">
        <f t="shared" si="14"/>
        <v>66103.48</v>
      </c>
      <c r="J53" s="1800">
        <f t="shared" si="15"/>
        <v>140469.89500000002</v>
      </c>
      <c r="K53" s="1800">
        <f t="shared" si="16"/>
        <v>198310.44</v>
      </c>
      <c r="L53" s="1800">
        <f t="shared" si="17"/>
        <v>206573.375</v>
      </c>
      <c r="M53" s="1800">
        <f t="shared" si="18"/>
        <v>264499.92</v>
      </c>
    </row>
    <row r="54" spans="2:13" ht="13.5">
      <c r="B54" s="1145" t="s">
        <v>548</v>
      </c>
      <c r="C54" s="1800">
        <v>1652587</v>
      </c>
      <c r="D54" s="1806">
        <v>85.78</v>
      </c>
      <c r="E54" s="1806">
        <f t="shared" si="11"/>
        <v>1.1298671018885522</v>
      </c>
      <c r="F54" s="1800">
        <f>+C54*E54</f>
        <v>1867203.6843086968</v>
      </c>
      <c r="G54" s="1799"/>
      <c r="H54" s="1800">
        <f t="shared" si="13"/>
        <v>66103.48</v>
      </c>
      <c r="I54" s="1800">
        <f t="shared" si="14"/>
        <v>66103.48</v>
      </c>
      <c r="J54" s="1800">
        <f t="shared" si="15"/>
        <v>140469.89500000002</v>
      </c>
      <c r="K54" s="1800">
        <f t="shared" si="16"/>
        <v>198310.44</v>
      </c>
      <c r="L54" s="1800">
        <f t="shared" si="17"/>
        <v>206573.375</v>
      </c>
      <c r="M54" s="1800">
        <f t="shared" si="18"/>
        <v>264499.92</v>
      </c>
    </row>
    <row r="55" spans="2:13" ht="13.5">
      <c r="B55" s="1145" t="s">
        <v>549</v>
      </c>
      <c r="C55" s="1800">
        <v>0</v>
      </c>
      <c r="D55" s="1806">
        <v>86.39</v>
      </c>
      <c r="E55" s="1806">
        <f t="shared" si="11"/>
        <v>1.1218891075355943</v>
      </c>
      <c r="F55" s="1800">
        <f>+C55*E55</f>
        <v>0</v>
      </c>
      <c r="G55" s="1799"/>
      <c r="H55" s="1800">
        <f t="shared" si="13"/>
        <v>0</v>
      </c>
      <c r="I55" s="1800">
        <f t="shared" si="14"/>
        <v>0</v>
      </c>
      <c r="J55" s="1800">
        <f t="shared" si="15"/>
        <v>0</v>
      </c>
      <c r="K55" s="1800">
        <f t="shared" si="16"/>
        <v>0</v>
      </c>
      <c r="L55" s="1800">
        <f t="shared" si="17"/>
        <v>0</v>
      </c>
      <c r="M55" s="1800">
        <f t="shared" si="17"/>
        <v>0</v>
      </c>
    </row>
    <row r="56" spans="2:13" ht="13.5">
      <c r="B56" s="1145" t="s">
        <v>550</v>
      </c>
      <c r="C56" s="1800">
        <v>0</v>
      </c>
      <c r="D56" s="1806">
        <v>86.98</v>
      </c>
      <c r="E56" s="1806">
        <f t="shared" si="11"/>
        <v>1.1142791446309497</v>
      </c>
      <c r="F56" s="1800">
        <f>+C56*E56</f>
        <v>0</v>
      </c>
      <c r="G56" s="1799"/>
      <c r="H56" s="1800">
        <f t="shared" si="13"/>
        <v>0</v>
      </c>
      <c r="I56" s="1800">
        <f t="shared" si="14"/>
        <v>0</v>
      </c>
      <c r="J56" s="1800">
        <f t="shared" si="15"/>
        <v>0</v>
      </c>
      <c r="K56" s="1800">
        <f t="shared" si="16"/>
        <v>0</v>
      </c>
      <c r="L56" s="1800">
        <f t="shared" si="17"/>
        <v>0</v>
      </c>
      <c r="M56" s="1800">
        <f t="shared" si="17"/>
        <v>0</v>
      </c>
    </row>
    <row r="57" spans="2:13" ht="13.5">
      <c r="B57" s="1145" t="s">
        <v>551</v>
      </c>
      <c r="C57" s="1800">
        <v>0</v>
      </c>
      <c r="D57" s="1806">
        <v>87.51</v>
      </c>
      <c r="E57" s="1806">
        <f t="shared" si="11"/>
        <v>1.1075305679350931</v>
      </c>
      <c r="F57" s="1800">
        <f>+C57*E57</f>
        <v>0</v>
      </c>
      <c r="G57" s="1799"/>
      <c r="H57" s="1800">
        <f t="shared" si="13"/>
        <v>0</v>
      </c>
      <c r="I57" s="1800">
        <f t="shared" si="14"/>
        <v>0</v>
      </c>
      <c r="J57" s="1800">
        <f t="shared" si="15"/>
        <v>0</v>
      </c>
      <c r="K57" s="1800">
        <f t="shared" si="16"/>
        <v>0</v>
      </c>
      <c r="L57" s="1800">
        <f t="shared" si="17"/>
        <v>0</v>
      </c>
      <c r="M57" s="1800">
        <f t="shared" si="17"/>
        <v>0</v>
      </c>
    </row>
    <row r="58" spans="2:13" ht="13.5">
      <c r="B58" s="1145" t="s">
        <v>552</v>
      </c>
      <c r="C58" s="1800">
        <v>0</v>
      </c>
      <c r="D58" s="1806">
        <v>88.05</v>
      </c>
      <c r="E58" s="1806">
        <f t="shared" si="11"/>
        <v>1.1007382169222033</v>
      </c>
      <c r="F58" s="1800">
        <f>+C58*E58</f>
        <v>0</v>
      </c>
      <c r="G58" s="1799"/>
      <c r="H58" s="1800">
        <f t="shared" si="13"/>
        <v>0</v>
      </c>
      <c r="I58" s="1800">
        <f t="shared" si="14"/>
        <v>0</v>
      </c>
      <c r="J58" s="1800">
        <f t="shared" si="15"/>
        <v>0</v>
      </c>
      <c r="K58" s="1800">
        <f t="shared" si="16"/>
        <v>0</v>
      </c>
      <c r="L58" s="1800">
        <f t="shared" si="17"/>
        <v>0</v>
      </c>
      <c r="M58" s="1800">
        <f t="shared" si="17"/>
        <v>0</v>
      </c>
    </row>
    <row r="59" spans="2:13" ht="13.5">
      <c r="B59" s="1807" t="s">
        <v>565</v>
      </c>
      <c r="C59" s="1800">
        <v>826294</v>
      </c>
      <c r="D59" s="1806">
        <v>85.21</v>
      </c>
      <c r="E59" s="1806">
        <f t="shared" si="11"/>
        <v>1.1374251848374606</v>
      </c>
      <c r="F59" s="1800">
        <f t="shared" ref="F59:F64" si="19">+C59*E59</f>
        <v>939847.60568008467</v>
      </c>
      <c r="G59" s="1799"/>
      <c r="H59" s="1799"/>
      <c r="I59" s="911"/>
      <c r="J59" s="911"/>
      <c r="K59" s="1798"/>
      <c r="L59" s="1798"/>
      <c r="M59" s="911"/>
    </row>
    <row r="60" spans="2:13" ht="13.5">
      <c r="B60" s="1807" t="s">
        <v>566</v>
      </c>
      <c r="C60" s="1800">
        <v>812005</v>
      </c>
      <c r="D60" s="1806">
        <v>85.78</v>
      </c>
      <c r="E60" s="1806">
        <f t="shared" si="11"/>
        <v>1.1298671018885522</v>
      </c>
      <c r="F60" s="1800">
        <f t="shared" si="19"/>
        <v>917457.73606901383</v>
      </c>
      <c r="G60" s="1799"/>
      <c r="H60" s="1800">
        <f>SUM(H47:H59)</f>
        <v>528827.84</v>
      </c>
      <c r="I60" s="1800">
        <f>SUM(I47:I59)</f>
        <v>528827.84</v>
      </c>
      <c r="J60" s="1800">
        <f>SUM(J47:J59)</f>
        <v>1123759.1600000001</v>
      </c>
      <c r="K60" s="1800">
        <f>SUM(K47:K59)</f>
        <v>1586483.5199999998</v>
      </c>
      <c r="L60" s="1800">
        <f>SUM(L47:L59)</f>
        <v>1652614</v>
      </c>
      <c r="M60" s="1800">
        <f>SUM(M47:M59)+1</f>
        <v>2116000.36</v>
      </c>
    </row>
    <row r="61" spans="2:13" ht="13.5">
      <c r="B61" s="1807" t="s">
        <v>567</v>
      </c>
      <c r="C61" s="1800">
        <v>860723</v>
      </c>
      <c r="D61" s="1806">
        <v>85.78</v>
      </c>
      <c r="E61" s="1806">
        <f t="shared" si="11"/>
        <v>1.1298671018885522</v>
      </c>
      <c r="F61" s="1800">
        <f t="shared" si="19"/>
        <v>972502.60153882031</v>
      </c>
      <c r="G61" s="1799"/>
      <c r="H61" s="1799"/>
      <c r="I61" s="911"/>
      <c r="J61" s="911"/>
      <c r="K61" s="1798"/>
      <c r="L61" s="1798"/>
      <c r="M61" s="911"/>
    </row>
    <row r="62" spans="2:13" ht="13.5">
      <c r="B62" s="1807" t="s">
        <v>568</v>
      </c>
      <c r="C62" s="1800">
        <v>110172</v>
      </c>
      <c r="D62" s="1806">
        <v>85.78</v>
      </c>
      <c r="E62" s="1806">
        <f t="shared" si="11"/>
        <v>1.1298671018885522</v>
      </c>
      <c r="F62" s="1800">
        <f t="shared" si="19"/>
        <v>124479.71834926557</v>
      </c>
      <c r="G62" s="1799"/>
      <c r="H62" s="1799"/>
      <c r="I62" s="911"/>
      <c r="J62" s="911"/>
      <c r="K62" s="1798"/>
      <c r="L62" s="1798"/>
      <c r="M62" s="911"/>
    </row>
    <row r="63" spans="2:13" ht="13.5">
      <c r="B63" s="1807" t="s">
        <v>22</v>
      </c>
      <c r="C63" s="1800">
        <v>1205012</v>
      </c>
      <c r="D63" s="1806">
        <v>85.78</v>
      </c>
      <c r="E63" s="1806">
        <f t="shared" si="11"/>
        <v>1.1298671018885522</v>
      </c>
      <c r="F63" s="1800">
        <f t="shared" si="19"/>
        <v>1361503.416180928</v>
      </c>
      <c r="G63" s="1799"/>
      <c r="H63" s="1799"/>
      <c r="I63" s="911"/>
      <c r="J63" s="911"/>
      <c r="K63" s="1798"/>
      <c r="L63" s="1798"/>
      <c r="M63" s="911"/>
    </row>
    <row r="64" spans="2:13" ht="13.5">
      <c r="B64" s="1807" t="s">
        <v>553</v>
      </c>
      <c r="C64" s="1800">
        <v>1793172</v>
      </c>
      <c r="D64" s="1806">
        <v>88.05</v>
      </c>
      <c r="E64" s="1806">
        <f t="shared" si="11"/>
        <v>1.1007382169222033</v>
      </c>
      <c r="F64" s="1800">
        <f t="shared" si="19"/>
        <v>1973812.9499148212</v>
      </c>
      <c r="G64" s="1799"/>
      <c r="H64" s="1799"/>
      <c r="I64" s="911"/>
      <c r="J64" s="911"/>
      <c r="K64" s="1798"/>
      <c r="L64" s="1798"/>
      <c r="M64" s="911"/>
    </row>
    <row r="65" spans="2:24" ht="13.5">
      <c r="B65" s="1807" t="s">
        <v>554</v>
      </c>
      <c r="C65" s="1800"/>
      <c r="D65" s="1145"/>
      <c r="E65" s="1804"/>
      <c r="F65" s="1800">
        <f>SUM(F47:F64)</f>
        <v>21414944.988443412</v>
      </c>
      <c r="G65" s="1799"/>
      <c r="H65" s="1799"/>
      <c r="I65" s="911"/>
      <c r="J65" s="911"/>
      <c r="K65" s="1798"/>
      <c r="L65" s="1798"/>
      <c r="M65" s="911"/>
    </row>
    <row r="66" spans="2:24" ht="13.5">
      <c r="B66" s="1807" t="s">
        <v>555</v>
      </c>
      <c r="C66" s="1800"/>
      <c r="D66" s="1145"/>
      <c r="E66" s="1804"/>
      <c r="F66" s="1800">
        <f>+H60+I60</f>
        <v>1057655.68</v>
      </c>
      <c r="G66" s="1799"/>
      <c r="H66" s="1799"/>
      <c r="I66" s="911"/>
      <c r="J66" s="911"/>
      <c r="K66" s="1798"/>
      <c r="L66" s="1798"/>
      <c r="M66" s="911"/>
    </row>
    <row r="67" spans="2:24" ht="13.5">
      <c r="B67" s="1807" t="s">
        <v>556</v>
      </c>
      <c r="C67" s="1800"/>
      <c r="D67" s="1145"/>
      <c r="E67" s="1804"/>
      <c r="F67" s="1800">
        <f>+F65-F66</f>
        <v>20357289.308443412</v>
      </c>
      <c r="G67" s="1799"/>
      <c r="H67" s="1799"/>
      <c r="I67" s="911"/>
      <c r="J67" s="911"/>
      <c r="K67" s="1798"/>
      <c r="L67" s="1798"/>
      <c r="M67" s="911"/>
    </row>
    <row r="68" spans="2:24" ht="13.5">
      <c r="B68" s="911"/>
      <c r="C68" s="911"/>
      <c r="D68" s="911"/>
      <c r="E68" s="1798"/>
      <c r="F68" s="911"/>
      <c r="G68" s="1799"/>
      <c r="H68" s="1799"/>
      <c r="I68" s="911"/>
      <c r="J68" s="911"/>
      <c r="K68" s="1798"/>
      <c r="L68" s="1798"/>
      <c r="M68" s="911"/>
    </row>
    <row r="69" spans="2:24" ht="13.5">
      <c r="B69" s="911"/>
      <c r="C69" s="911"/>
      <c r="D69" s="911"/>
      <c r="E69" s="1798"/>
      <c r="F69" s="911"/>
      <c r="G69" s="1799"/>
      <c r="H69" s="1799"/>
      <c r="I69" s="911"/>
      <c r="J69" s="911"/>
      <c r="K69" s="1798"/>
      <c r="L69" s="1798"/>
      <c r="M69" s="911"/>
    </row>
    <row r="70" spans="2:24" ht="26.25" customHeight="1">
      <c r="B70" s="1808" t="s">
        <v>192</v>
      </c>
      <c r="C70" s="1809">
        <f>+F19+F42+F65</f>
        <v>59174393.85250783</v>
      </c>
      <c r="D70" s="911"/>
      <c r="E70" s="1798"/>
      <c r="F70" s="911"/>
      <c r="G70" s="2618" t="s">
        <v>472</v>
      </c>
      <c r="H70" s="2618"/>
      <c r="I70" s="2618"/>
      <c r="J70" s="2618"/>
      <c r="K70" s="2618"/>
      <c r="L70" s="1798"/>
      <c r="S70" s="911"/>
    </row>
    <row r="71" spans="2:24" ht="13.5">
      <c r="B71" s="1807" t="s">
        <v>570</v>
      </c>
      <c r="C71" s="1809">
        <f>+F20+F43+F66</f>
        <v>3090276.08</v>
      </c>
      <c r="D71" s="911"/>
      <c r="E71" s="1798"/>
      <c r="F71" s="911"/>
      <c r="G71" s="1800"/>
      <c r="H71" s="1799"/>
      <c r="I71" s="1800" t="s">
        <v>76</v>
      </c>
      <c r="J71" s="1145" t="s">
        <v>77</v>
      </c>
      <c r="K71" s="1804" t="s">
        <v>57</v>
      </c>
      <c r="L71" s="1798"/>
      <c r="S71" s="911"/>
    </row>
    <row r="72" spans="2:24" ht="25.5" customHeight="1">
      <c r="B72" s="1810" t="s">
        <v>192</v>
      </c>
      <c r="C72" s="1809">
        <f>+C70-C71</f>
        <v>56084117.772507831</v>
      </c>
      <c r="E72" s="1798"/>
      <c r="F72" s="911"/>
      <c r="G72" s="1800"/>
      <c r="H72" s="1800"/>
      <c r="I72" s="1238">
        <v>96.92</v>
      </c>
      <c r="J72" s="1145"/>
      <c r="K72" s="1804"/>
      <c r="L72" s="1798"/>
      <c r="S72" s="2622" t="s">
        <v>571</v>
      </c>
      <c r="T72" s="2622"/>
      <c r="U72" s="2623" t="s">
        <v>572</v>
      </c>
    </row>
    <row r="73" spans="2:24" ht="13.5">
      <c r="B73" s="1807" t="s">
        <v>30</v>
      </c>
      <c r="C73" s="1800">
        <f>+K76</f>
        <v>3755166.5884391721</v>
      </c>
      <c r="D73" s="911"/>
      <c r="E73" s="1798"/>
      <c r="F73" s="911"/>
      <c r="G73" s="1800">
        <v>2013</v>
      </c>
      <c r="H73" s="1800">
        <f>+S74</f>
        <v>570582.64444444445</v>
      </c>
      <c r="I73" s="1238">
        <v>79.56</v>
      </c>
      <c r="J73" s="1145">
        <f>+$I$72/I73</f>
        <v>1.2182001005530416</v>
      </c>
      <c r="K73" s="1800">
        <f>+H73*J73</f>
        <v>695083.8348360426</v>
      </c>
      <c r="L73" s="1798"/>
      <c r="S73" s="1821" t="s">
        <v>573</v>
      </c>
      <c r="T73" s="1821" t="s">
        <v>86</v>
      </c>
      <c r="U73" s="2623"/>
      <c r="V73" s="2574" t="s">
        <v>574</v>
      </c>
      <c r="W73" s="2574"/>
      <c r="X73" s="2574"/>
    </row>
    <row r="74" spans="2:24" ht="14.25" thickBot="1">
      <c r="B74" s="1812" t="s">
        <v>575</v>
      </c>
      <c r="C74" s="1813">
        <f>+K84</f>
        <v>351528.5777445375</v>
      </c>
      <c r="D74" s="1799"/>
      <c r="E74" s="1798"/>
      <c r="F74" s="911"/>
      <c r="G74" s="1800">
        <v>2014</v>
      </c>
      <c r="H74" s="1800">
        <f>+S75</f>
        <v>1559045</v>
      </c>
      <c r="I74" s="1238">
        <v>82.47</v>
      </c>
      <c r="J74" s="1145">
        <f>+$I$72/I74</f>
        <v>1.1752152297805263</v>
      </c>
      <c r="K74" s="1800">
        <f>+H74*J74</f>
        <v>1832213.4279131806</v>
      </c>
      <c r="L74" s="1798"/>
      <c r="S74" s="1858">
        <f>(C14*T74)/360</f>
        <v>570582.64444444445</v>
      </c>
      <c r="T74" s="1857">
        <v>139</v>
      </c>
      <c r="U74" s="1856">
        <v>2013</v>
      </c>
      <c r="V74" s="223">
        <v>41501</v>
      </c>
      <c r="W74" s="223">
        <v>41639</v>
      </c>
      <c r="X74" s="1598">
        <f>+W74-V74+1</f>
        <v>139</v>
      </c>
    </row>
    <row r="75" spans="2:24" ht="25.5">
      <c r="B75" s="1814" t="s">
        <v>576</v>
      </c>
      <c r="C75" s="1815">
        <f>+C72+C73+C74</f>
        <v>60190812.938691542</v>
      </c>
      <c r="D75" s="1799"/>
      <c r="E75" s="1798"/>
      <c r="F75" s="911"/>
      <c r="G75" s="1800">
        <v>2015</v>
      </c>
      <c r="H75" s="1800">
        <f>+(C52*T76)/360</f>
        <v>1115496.2250000001</v>
      </c>
      <c r="I75" s="1238">
        <v>88.05</v>
      </c>
      <c r="J75" s="1145">
        <f>+$I$72/I75</f>
        <v>1.1007382169222033</v>
      </c>
      <c r="K75" s="1800">
        <f>+H75*J75</f>
        <v>1227869.3256899491</v>
      </c>
      <c r="L75" s="1798"/>
      <c r="S75" s="1858">
        <f>(C24*T75)/360</f>
        <v>1559045</v>
      </c>
      <c r="T75" s="1857">
        <v>360</v>
      </c>
      <c r="U75" s="1856">
        <v>2014</v>
      </c>
      <c r="X75" s="1598"/>
    </row>
    <row r="76" spans="2:24" ht="13.5">
      <c r="B76" s="1807"/>
      <c r="C76" s="1800"/>
      <c r="D76" s="1799"/>
      <c r="E76" s="1798"/>
      <c r="F76" s="911"/>
      <c r="G76" s="1800"/>
      <c r="H76" s="1800"/>
      <c r="I76" s="1238"/>
      <c r="J76" s="1145" t="s">
        <v>97</v>
      </c>
      <c r="K76" s="1816">
        <f>SUM(K73:K75)</f>
        <v>3755166.5884391721</v>
      </c>
      <c r="L76" s="1798"/>
      <c r="S76" s="1858">
        <f>(C47*T76/360)</f>
        <v>1115496.2250000001</v>
      </c>
      <c r="T76" s="1857">
        <v>243</v>
      </c>
      <c r="U76" s="1856">
        <v>2015</v>
      </c>
      <c r="V76" s="223">
        <v>42005</v>
      </c>
      <c r="W76" s="223">
        <v>42247</v>
      </c>
      <c r="X76" s="1598">
        <f>+W76-V76+1</f>
        <v>243</v>
      </c>
    </row>
    <row r="77" spans="2:24" ht="13.5">
      <c r="B77" s="1807"/>
      <c r="C77" s="1800"/>
      <c r="D77" s="1799"/>
      <c r="E77" s="1798"/>
      <c r="F77" s="911"/>
      <c r="G77" s="1799"/>
      <c r="H77" s="1799"/>
      <c r="I77" s="1799"/>
      <c r="J77" s="1799"/>
      <c r="K77" s="1799"/>
      <c r="L77" s="1798"/>
      <c r="S77" s="911"/>
    </row>
    <row r="78" spans="2:24" ht="13.5">
      <c r="B78" s="1817" t="s">
        <v>577</v>
      </c>
      <c r="C78" s="1800"/>
      <c r="D78" s="1799"/>
      <c r="E78" s="1798"/>
      <c r="F78" s="911"/>
      <c r="G78" s="1799"/>
      <c r="H78" s="1799"/>
      <c r="I78" s="1799"/>
      <c r="J78" s="1799"/>
      <c r="K78" s="1799"/>
      <c r="L78" s="1798"/>
      <c r="S78" s="911"/>
    </row>
    <row r="79" spans="2:24" ht="13.5">
      <c r="B79" s="1807" t="s">
        <v>578</v>
      </c>
      <c r="C79" s="1800">
        <v>8800000</v>
      </c>
      <c r="D79" s="1799"/>
      <c r="E79" s="1798"/>
      <c r="F79" s="911"/>
      <c r="G79" s="2618" t="s">
        <v>475</v>
      </c>
      <c r="H79" s="2618"/>
      <c r="I79" s="2618"/>
      <c r="J79" s="2618"/>
      <c r="K79" s="2618"/>
      <c r="L79" s="1798"/>
      <c r="S79" s="911"/>
    </row>
    <row r="80" spans="2:24" ht="54" customHeight="1">
      <c r="B80" s="1818" t="s">
        <v>579</v>
      </c>
      <c r="C80" s="1819">
        <v>4878003</v>
      </c>
      <c r="D80" s="1799"/>
      <c r="E80" s="1798"/>
      <c r="F80" s="911"/>
      <c r="G80" s="1800"/>
      <c r="H80" s="1800" t="s">
        <v>76</v>
      </c>
      <c r="I80" s="1238">
        <f>+I72</f>
        <v>96.92</v>
      </c>
      <c r="J80" s="1145"/>
      <c r="K80" s="1804"/>
      <c r="L80" s="1798"/>
      <c r="S80" s="2619" t="s">
        <v>580</v>
      </c>
      <c r="T80" s="2619"/>
      <c r="U80" s="2620" t="s">
        <v>572</v>
      </c>
    </row>
    <row r="81" spans="1:21" ht="38.25">
      <c r="B81" s="1808" t="s">
        <v>581</v>
      </c>
      <c r="C81" s="1820">
        <f>+C75-C79-C80</f>
        <v>46512809.938691542</v>
      </c>
      <c r="D81" s="1811"/>
      <c r="E81" s="1798"/>
      <c r="F81" s="911"/>
      <c r="G81" s="1800">
        <v>2013</v>
      </c>
      <c r="H81" s="1800">
        <f>+S82</f>
        <v>26436.995859259259</v>
      </c>
      <c r="I81" s="1238">
        <v>79.56</v>
      </c>
      <c r="J81" s="1145">
        <f>+$I$72/I81</f>
        <v>1.2182001005530416</v>
      </c>
      <c r="K81" s="1800">
        <f>+H81*J81</f>
        <v>32205.551014069973</v>
      </c>
      <c r="L81" s="1798"/>
      <c r="S81" s="1865" t="s">
        <v>573</v>
      </c>
      <c r="T81" s="1865" t="s">
        <v>86</v>
      </c>
      <c r="U81" s="2621"/>
    </row>
    <row r="82" spans="1:21" ht="13.5">
      <c r="B82" s="911"/>
      <c r="C82" s="911"/>
      <c r="D82" s="911"/>
      <c r="E82" s="911"/>
      <c r="F82" s="911"/>
      <c r="G82" s="1800">
        <v>2014</v>
      </c>
      <c r="H82" s="1800">
        <f>+S83</f>
        <v>187085.4</v>
      </c>
      <c r="I82" s="1238">
        <v>82.47</v>
      </c>
      <c r="J82" s="1145">
        <f>+$I$72/I82</f>
        <v>1.1752152297805263</v>
      </c>
      <c r="K82" s="1800">
        <f>+H82*J82</f>
        <v>219865.61134958165</v>
      </c>
      <c r="L82" s="1798"/>
      <c r="S82" s="1866">
        <f>(H73*0.12*T82)/360</f>
        <v>26436.995859259259</v>
      </c>
      <c r="T82" s="1857">
        <f>+T74</f>
        <v>139</v>
      </c>
      <c r="U82" s="1856">
        <v>2013</v>
      </c>
    </row>
    <row r="83" spans="1:21" ht="13.5">
      <c r="B83" s="911"/>
      <c r="C83" s="911"/>
      <c r="D83" s="911"/>
      <c r="E83" s="911"/>
      <c r="F83" s="911"/>
      <c r="G83" s="1800">
        <v>2015</v>
      </c>
      <c r="H83" s="1800">
        <f>+S84</f>
        <v>90355.194225000014</v>
      </c>
      <c r="I83" s="1238">
        <v>88.05</v>
      </c>
      <c r="J83" s="1145">
        <f>+$I$72/I83</f>
        <v>1.1007382169222033</v>
      </c>
      <c r="K83" s="1800">
        <f>+H83*J83</f>
        <v>99457.415380885883</v>
      </c>
      <c r="L83" s="1822"/>
      <c r="S83" s="1866">
        <f>(H74*0.12*T83)/360</f>
        <v>187085.4</v>
      </c>
      <c r="T83" s="1857">
        <v>360</v>
      </c>
      <c r="U83" s="1856">
        <v>2014</v>
      </c>
    </row>
    <row r="84" spans="1:21" ht="13.5">
      <c r="B84" s="911"/>
      <c r="C84" s="911"/>
      <c r="D84" s="911"/>
      <c r="E84" s="911"/>
      <c r="F84" s="911"/>
      <c r="G84" s="1800"/>
      <c r="H84" s="1800"/>
      <c r="I84" s="1238"/>
      <c r="J84" s="1145"/>
      <c r="K84" s="1816">
        <f>SUM(K81:K83)</f>
        <v>351528.5777445375</v>
      </c>
      <c r="L84" s="1823"/>
      <c r="S84" s="1866">
        <f>(H75*0.12*T84)/360</f>
        <v>90355.194225000014</v>
      </c>
      <c r="T84" s="1857">
        <f>+T76</f>
        <v>243</v>
      </c>
      <c r="U84" s="1856">
        <v>2015</v>
      </c>
    </row>
    <row r="85" spans="1:21" ht="13.5">
      <c r="B85" s="911"/>
      <c r="C85" s="911"/>
      <c r="D85" s="911"/>
      <c r="E85" s="911"/>
      <c r="F85" s="911"/>
      <c r="G85" s="1799"/>
      <c r="H85" s="1799"/>
      <c r="I85" s="911"/>
      <c r="J85" s="911"/>
      <c r="K85" s="1798"/>
      <c r="L85" s="1823"/>
      <c r="M85" s="911"/>
    </row>
    <row r="86" spans="1:21" ht="13.5">
      <c r="B86" s="911"/>
      <c r="C86" s="911"/>
      <c r="D86" s="911"/>
      <c r="E86" s="911"/>
      <c r="F86" s="911"/>
      <c r="G86" s="911"/>
      <c r="H86" s="911"/>
      <c r="I86" s="911"/>
      <c r="J86" s="911"/>
      <c r="K86" s="911"/>
      <c r="L86" s="1824"/>
      <c r="M86" s="911"/>
    </row>
    <row r="87" spans="1:21" ht="13.5">
      <c r="A87" s="221" t="s">
        <v>582</v>
      </c>
      <c r="B87" s="1799"/>
      <c r="C87" s="911"/>
      <c r="D87" s="1825">
        <f>+C81</f>
        <v>46512809.938691542</v>
      </c>
      <c r="E87" s="1799"/>
      <c r="F87" s="911"/>
      <c r="G87" s="911"/>
      <c r="H87" s="911"/>
      <c r="I87" s="911"/>
      <c r="J87" s="911"/>
      <c r="K87" s="911"/>
      <c r="L87" s="1824"/>
      <c r="M87" s="911"/>
    </row>
    <row r="88" spans="1:21" ht="25.5">
      <c r="A88" s="216"/>
      <c r="B88" s="1826" t="s">
        <v>337</v>
      </c>
      <c r="C88" s="1826" t="s">
        <v>40</v>
      </c>
      <c r="D88" s="2612" t="s">
        <v>583</v>
      </c>
      <c r="E88" s="2613"/>
      <c r="F88" s="1827" t="s">
        <v>129</v>
      </c>
      <c r="G88" s="1827" t="s">
        <v>47</v>
      </c>
      <c r="H88" s="1827" t="s">
        <v>48</v>
      </c>
      <c r="I88" s="911"/>
      <c r="J88" s="911"/>
      <c r="K88" s="1798"/>
      <c r="L88" s="1824"/>
      <c r="M88" s="911"/>
    </row>
    <row r="89" spans="1:21" ht="13.5">
      <c r="A89" s="216">
        <v>1</v>
      </c>
      <c r="B89" s="807">
        <v>43071</v>
      </c>
      <c r="C89" s="807">
        <v>43100</v>
      </c>
      <c r="D89" s="1053">
        <v>5.28E-2</v>
      </c>
      <c r="E89" s="1828">
        <f>((1+D89)^(1/365)-1)</f>
        <v>1.4097783120470275E-4</v>
      </c>
      <c r="F89" s="1800">
        <f>+$D$87</f>
        <v>46512809.938691542</v>
      </c>
      <c r="G89" s="1829">
        <f>_xlfn.DAYS(C89,B89)+1</f>
        <v>30</v>
      </c>
      <c r="H89" s="1800">
        <f>+F89*G89*E89</f>
        <v>196718.25205179831</v>
      </c>
      <c r="I89" s="911"/>
      <c r="J89" s="911"/>
      <c r="K89" s="1798"/>
      <c r="L89" s="1824"/>
      <c r="M89" s="911"/>
    </row>
    <row r="90" spans="1:21" ht="13.5">
      <c r="A90" s="216">
        <v>2</v>
      </c>
      <c r="B90" s="807">
        <v>43101</v>
      </c>
      <c r="C90" s="807">
        <v>43131</v>
      </c>
      <c r="D90" s="1053">
        <v>5.21E-2</v>
      </c>
      <c r="E90" s="1828">
        <f t="shared" ref="E90:E136" si="20">((1+D90)^(1/365)-1)</f>
        <v>1.3915534376041094E-4</v>
      </c>
      <c r="F90" s="1800">
        <f t="shared" ref="F90:F140" si="21">+$D$87</f>
        <v>46512809.938691542</v>
      </c>
      <c r="G90" s="1829">
        <f t="shared" ref="G90:G140" si="22">_xlfn.DAYS(C90,B90)+1</f>
        <v>31</v>
      </c>
      <c r="H90" s="1800">
        <f t="shared" ref="H90:H137" si="23">+F90*G90*E90</f>
        <v>200647.68774471967</v>
      </c>
      <c r="I90" s="911"/>
      <c r="J90" s="911"/>
      <c r="K90" s="1798"/>
      <c r="L90" s="1824"/>
      <c r="M90" s="911"/>
    </row>
    <row r="91" spans="1:21" ht="13.5">
      <c r="A91" s="216">
        <v>3</v>
      </c>
      <c r="B91" s="807">
        <v>43132</v>
      </c>
      <c r="C91" s="807">
        <v>43159</v>
      </c>
      <c r="D91" s="1053">
        <v>5.0700000000000002E-2</v>
      </c>
      <c r="E91" s="1828">
        <f t="shared" si="20"/>
        <v>1.3550673832551929E-4</v>
      </c>
      <c r="F91" s="1800">
        <f t="shared" si="21"/>
        <v>46512809.938691542</v>
      </c>
      <c r="G91" s="1829">
        <f t="shared" si="22"/>
        <v>28</v>
      </c>
      <c r="H91" s="1800">
        <f t="shared" si="23"/>
        <v>176478.37662411286</v>
      </c>
      <c r="I91" s="911"/>
      <c r="J91" s="911"/>
      <c r="K91" s="1798"/>
      <c r="L91" s="1824"/>
      <c r="M91" s="911"/>
    </row>
    <row r="92" spans="1:21" ht="13.5">
      <c r="A92" s="216">
        <v>4</v>
      </c>
      <c r="B92" s="807">
        <v>43160</v>
      </c>
      <c r="C92" s="807">
        <v>43161</v>
      </c>
      <c r="D92" s="1053">
        <v>5.0099999999999999E-2</v>
      </c>
      <c r="E92" s="1828">
        <f t="shared" si="20"/>
        <v>1.3394156589074946E-4</v>
      </c>
      <c r="F92" s="1800">
        <f t="shared" si="21"/>
        <v>46512809.938691542</v>
      </c>
      <c r="G92" s="1829">
        <f t="shared" si="22"/>
        <v>2</v>
      </c>
      <c r="H92" s="1800">
        <f t="shared" si="23"/>
        <v>12459.997194334319</v>
      </c>
      <c r="I92" s="911"/>
      <c r="J92" s="911"/>
      <c r="K92" s="1798"/>
      <c r="L92" s="1830"/>
      <c r="M92" s="911"/>
    </row>
    <row r="93" spans="1:21" ht="13.5">
      <c r="A93" s="216">
        <v>5</v>
      </c>
      <c r="B93" s="807">
        <v>43162</v>
      </c>
      <c r="C93" s="807">
        <v>43190</v>
      </c>
      <c r="D93" s="1053">
        <v>0</v>
      </c>
      <c r="E93" s="1828">
        <f t="shared" si="20"/>
        <v>0</v>
      </c>
      <c r="F93" s="1800">
        <f t="shared" si="21"/>
        <v>46512809.938691542</v>
      </c>
      <c r="G93" s="1829">
        <v>0</v>
      </c>
      <c r="H93" s="1800">
        <f t="shared" si="23"/>
        <v>0</v>
      </c>
      <c r="I93" s="911"/>
      <c r="J93" s="911"/>
      <c r="K93" s="1798"/>
      <c r="L93" s="1830"/>
      <c r="M93" s="911"/>
    </row>
    <row r="94" spans="1:21" ht="13.5">
      <c r="A94" s="216">
        <v>6</v>
      </c>
      <c r="B94" s="807">
        <v>43191</v>
      </c>
      <c r="C94" s="807">
        <v>43220</v>
      </c>
      <c r="D94" s="1053">
        <v>0</v>
      </c>
      <c r="E94" s="1828">
        <f t="shared" si="20"/>
        <v>0</v>
      </c>
      <c r="F94" s="1800">
        <f t="shared" si="21"/>
        <v>46512809.938691542</v>
      </c>
      <c r="G94" s="1829">
        <v>0</v>
      </c>
      <c r="H94" s="1800">
        <f t="shared" si="23"/>
        <v>0</v>
      </c>
      <c r="I94" s="911"/>
      <c r="J94" s="911"/>
      <c r="K94" s="1798"/>
      <c r="L94" s="1830"/>
      <c r="M94" s="911"/>
    </row>
    <row r="95" spans="1:21" ht="13.5">
      <c r="A95" s="216">
        <v>7</v>
      </c>
      <c r="B95" s="807">
        <v>43221</v>
      </c>
      <c r="C95" s="807">
        <v>43235</v>
      </c>
      <c r="D95" s="1053">
        <v>0</v>
      </c>
      <c r="E95" s="1828">
        <f t="shared" si="20"/>
        <v>0</v>
      </c>
      <c r="F95" s="1800">
        <f t="shared" si="21"/>
        <v>46512809.938691542</v>
      </c>
      <c r="G95" s="1829">
        <v>0</v>
      </c>
      <c r="H95" s="1800">
        <f t="shared" si="23"/>
        <v>0</v>
      </c>
      <c r="I95" s="911"/>
      <c r="J95" s="911"/>
      <c r="K95" s="1798"/>
      <c r="L95" s="1830"/>
      <c r="M95" s="911"/>
    </row>
    <row r="96" spans="1:21" ht="13.5">
      <c r="A96" s="216">
        <v>8</v>
      </c>
      <c r="B96" s="807">
        <v>43236</v>
      </c>
      <c r="C96" s="807">
        <v>43251</v>
      </c>
      <c r="D96" s="1053">
        <v>4.7E-2</v>
      </c>
      <c r="E96" s="1828">
        <f t="shared" si="20"/>
        <v>1.2584060737030889E-4</v>
      </c>
      <c r="F96" s="1800">
        <f t="shared" si="21"/>
        <v>46512809.938691542</v>
      </c>
      <c r="G96" s="1829">
        <f>_xlfn.DAYS(C96,B96)+1</f>
        <v>16</v>
      </c>
      <c r="H96" s="1800">
        <f>+F96*G96*E96</f>
        <v>93651.204050954926</v>
      </c>
      <c r="I96" s="911"/>
      <c r="J96" s="911"/>
      <c r="K96" s="1798"/>
      <c r="L96" s="1830"/>
      <c r="M96" s="911"/>
    </row>
    <row r="97" spans="1:13" ht="13.5">
      <c r="A97" s="216">
        <v>9</v>
      </c>
      <c r="B97" s="807">
        <v>43252</v>
      </c>
      <c r="C97" s="807">
        <v>43281</v>
      </c>
      <c r="D97" s="1053">
        <v>4.5999999999999999E-2</v>
      </c>
      <c r="E97" s="1828">
        <f t="shared" si="20"/>
        <v>1.2322229163408416E-4</v>
      </c>
      <c r="F97" s="1800">
        <f t="shared" si="21"/>
        <v>46512809.938691542</v>
      </c>
      <c r="G97" s="1829">
        <f t="shared" si="22"/>
        <v>30</v>
      </c>
      <c r="H97" s="1800">
        <f t="shared" si="23"/>
        <v>171942.45092958532</v>
      </c>
      <c r="I97" s="911"/>
      <c r="J97" s="911"/>
      <c r="K97" s="1798"/>
      <c r="L97" s="1830"/>
      <c r="M97" s="911"/>
    </row>
    <row r="98" spans="1:13" ht="13.5">
      <c r="A98" s="216">
        <v>10</v>
      </c>
      <c r="B98" s="807">
        <v>43282</v>
      </c>
      <c r="C98" s="807">
        <v>43312</v>
      </c>
      <c r="D98" s="1053">
        <v>4.5699999999999998E-2</v>
      </c>
      <c r="E98" s="1828">
        <f t="shared" si="20"/>
        <v>1.2243631011710221E-4</v>
      </c>
      <c r="F98" s="1800">
        <f t="shared" si="21"/>
        <v>46512809.938691542</v>
      </c>
      <c r="G98" s="1829">
        <f t="shared" si="22"/>
        <v>31</v>
      </c>
      <c r="H98" s="1800">
        <f t="shared" si="23"/>
        <v>176540.56148421561</v>
      </c>
      <c r="I98" s="911"/>
      <c r="J98" s="911"/>
      <c r="K98" s="1798"/>
      <c r="L98" s="1830"/>
      <c r="M98" s="911"/>
    </row>
    <row r="99" spans="1:13" ht="13.5">
      <c r="A99" s="216">
        <v>11</v>
      </c>
      <c r="B99" s="807">
        <v>43313</v>
      </c>
      <c r="C99" s="807">
        <v>43343</v>
      </c>
      <c r="D99" s="1053">
        <v>4.53E-2</v>
      </c>
      <c r="E99" s="1828">
        <f t="shared" si="20"/>
        <v>1.2138798488825486E-4</v>
      </c>
      <c r="F99" s="1800">
        <f t="shared" si="21"/>
        <v>46512809.938691542</v>
      </c>
      <c r="G99" s="1829">
        <f t="shared" si="22"/>
        <v>31</v>
      </c>
      <c r="H99" s="1800">
        <f t="shared" si="23"/>
        <v>175028.98436839294</v>
      </c>
      <c r="I99" s="911"/>
      <c r="J99" s="911"/>
      <c r="K99" s="1798"/>
      <c r="L99" s="1830"/>
      <c r="M99" s="911"/>
    </row>
    <row r="100" spans="1:13" ht="13.5">
      <c r="A100" s="216">
        <v>12</v>
      </c>
      <c r="B100" s="807">
        <v>43344</v>
      </c>
      <c r="C100" s="807">
        <v>43373</v>
      </c>
      <c r="D100" s="1053">
        <v>4.53E-2</v>
      </c>
      <c r="E100" s="1828">
        <f t="shared" si="20"/>
        <v>1.2138798488825486E-4</v>
      </c>
      <c r="F100" s="1800">
        <f t="shared" si="21"/>
        <v>46512809.938691542</v>
      </c>
      <c r="G100" s="1829">
        <f t="shared" si="22"/>
        <v>30</v>
      </c>
      <c r="H100" s="1800">
        <f t="shared" si="23"/>
        <v>169382.88809844479</v>
      </c>
      <c r="I100" s="911"/>
      <c r="J100" s="911"/>
      <c r="K100" s="1798"/>
      <c r="L100" s="1830"/>
      <c r="M100" s="911"/>
    </row>
    <row r="101" spans="1:13" ht="13.5">
      <c r="A101" s="216">
        <v>13</v>
      </c>
      <c r="B101" s="807">
        <v>43374</v>
      </c>
      <c r="C101" s="807">
        <v>43375</v>
      </c>
      <c r="D101" s="1053">
        <v>4.4299999999999999E-2</v>
      </c>
      <c r="E101" s="1828">
        <f t="shared" si="20"/>
        <v>1.187654205565547E-4</v>
      </c>
      <c r="F101" s="1800">
        <f t="shared" si="21"/>
        <v>46512809.938691542</v>
      </c>
      <c r="G101" s="1829">
        <f t="shared" si="22"/>
        <v>2</v>
      </c>
      <c r="H101" s="1800">
        <f t="shared" si="23"/>
        <v>11048.226867271596</v>
      </c>
      <c r="I101" s="911"/>
      <c r="J101" s="911"/>
      <c r="K101" s="1798"/>
      <c r="L101" s="1830"/>
      <c r="M101" s="911"/>
    </row>
    <row r="102" spans="1:13" ht="13.5">
      <c r="A102" s="216">
        <v>14</v>
      </c>
      <c r="B102" s="807">
        <v>43376</v>
      </c>
      <c r="C102" s="807">
        <v>43404</v>
      </c>
      <c r="D102" s="1053">
        <v>0.29444999999999999</v>
      </c>
      <c r="E102" s="1828">
        <f t="shared" si="20"/>
        <v>7.073346857742191E-4</v>
      </c>
      <c r="F102" s="1800">
        <f t="shared" si="21"/>
        <v>46512809.938691542</v>
      </c>
      <c r="G102" s="1829">
        <f t="shared" si="22"/>
        <v>29</v>
      </c>
      <c r="H102" s="1800">
        <f t="shared" si="23"/>
        <v>954103.59027135035</v>
      </c>
      <c r="I102" s="911"/>
      <c r="J102" s="911"/>
      <c r="K102" s="1798"/>
      <c r="L102" s="1830"/>
      <c r="M102" s="911"/>
    </row>
    <row r="103" spans="1:13" ht="13.5">
      <c r="A103" s="216">
        <v>15</v>
      </c>
      <c r="B103" s="807">
        <v>43405</v>
      </c>
      <c r="C103" s="807">
        <v>43434</v>
      </c>
      <c r="D103" s="1053">
        <v>0.29235</v>
      </c>
      <c r="E103" s="1828">
        <f t="shared" si="20"/>
        <v>7.0288325333756063E-4</v>
      </c>
      <c r="F103" s="1800">
        <f t="shared" si="21"/>
        <v>46512809.938691542</v>
      </c>
      <c r="G103" s="1829">
        <f t="shared" si="22"/>
        <v>30</v>
      </c>
      <c r="H103" s="1800">
        <f t="shared" si="23"/>
        <v>980792.25514737412</v>
      </c>
      <c r="I103" s="911"/>
      <c r="J103" s="911"/>
      <c r="K103" s="1798"/>
      <c r="L103" s="1830"/>
      <c r="M103" s="911"/>
    </row>
    <row r="104" spans="1:13" ht="13.5">
      <c r="A104" s="216">
        <v>16</v>
      </c>
      <c r="B104" s="807">
        <v>43435</v>
      </c>
      <c r="C104" s="807">
        <v>43465</v>
      </c>
      <c r="D104" s="1053">
        <v>0.29100000000000004</v>
      </c>
      <c r="E104" s="1828">
        <f t="shared" si="20"/>
        <v>7.0001780740103214E-4</v>
      </c>
      <c r="F104" s="1800">
        <f t="shared" si="21"/>
        <v>46512809.938691542</v>
      </c>
      <c r="G104" s="1829">
        <f t="shared" si="22"/>
        <v>31</v>
      </c>
      <c r="H104" s="1800">
        <f t="shared" si="23"/>
        <v>1009353.6521096574</v>
      </c>
      <c r="I104" s="911"/>
      <c r="J104" s="911"/>
      <c r="K104" s="1798"/>
      <c r="L104" s="1830"/>
      <c r="M104" s="911"/>
    </row>
    <row r="105" spans="1:13" ht="13.5">
      <c r="A105" s="216">
        <v>17</v>
      </c>
      <c r="B105" s="807">
        <v>43466</v>
      </c>
      <c r="C105" s="807">
        <v>43496</v>
      </c>
      <c r="D105" s="1053">
        <v>0.28739999999999999</v>
      </c>
      <c r="E105" s="1828">
        <f t="shared" si="20"/>
        <v>6.9236198468725085E-4</v>
      </c>
      <c r="F105" s="1800">
        <f t="shared" si="21"/>
        <v>46512809.938691542</v>
      </c>
      <c r="G105" s="1829">
        <f t="shared" si="22"/>
        <v>31</v>
      </c>
      <c r="H105" s="1800">
        <f t="shared" si="23"/>
        <v>998314.74347853416</v>
      </c>
      <c r="I105" s="911"/>
      <c r="J105" s="911"/>
      <c r="K105" s="1798"/>
      <c r="L105" s="1830"/>
      <c r="M105" s="911"/>
    </row>
    <row r="106" spans="1:13" ht="13.5">
      <c r="A106" s="216">
        <v>18</v>
      </c>
      <c r="B106" s="807">
        <v>43497</v>
      </c>
      <c r="C106" s="807">
        <v>43524</v>
      </c>
      <c r="D106" s="1053">
        <v>0.29549999999999998</v>
      </c>
      <c r="E106" s="1828">
        <f t="shared" si="20"/>
        <v>7.0955770203506852E-4</v>
      </c>
      <c r="F106" s="1800">
        <f t="shared" si="21"/>
        <v>46512809.938691542</v>
      </c>
      <c r="G106" s="1829">
        <f t="shared" si="22"/>
        <v>28</v>
      </c>
      <c r="H106" s="1800">
        <f t="shared" si="23"/>
        <v>924098.63098817226</v>
      </c>
      <c r="I106" s="911"/>
      <c r="J106" s="911"/>
      <c r="K106" s="1798"/>
      <c r="L106" s="1830"/>
      <c r="M106" s="911"/>
    </row>
    <row r="107" spans="1:13" ht="13.5">
      <c r="A107" s="216">
        <v>19</v>
      </c>
      <c r="B107" s="807">
        <v>43525</v>
      </c>
      <c r="C107" s="807">
        <v>43555</v>
      </c>
      <c r="D107" s="1053">
        <v>0.29055000000000003</v>
      </c>
      <c r="E107" s="1828">
        <f t="shared" si="20"/>
        <v>6.9906199467517638E-4</v>
      </c>
      <c r="F107" s="1800">
        <f t="shared" si="21"/>
        <v>46512809.938691542</v>
      </c>
      <c r="G107" s="1829">
        <f t="shared" si="22"/>
        <v>31</v>
      </c>
      <c r="H107" s="1800">
        <f t="shared" si="23"/>
        <v>1007975.4685043613</v>
      </c>
      <c r="I107" s="911"/>
      <c r="J107" s="911"/>
      <c r="K107" s="1798"/>
      <c r="L107" s="1830"/>
      <c r="M107" s="911"/>
    </row>
    <row r="108" spans="1:13" ht="13.5">
      <c r="A108" s="216">
        <v>20</v>
      </c>
      <c r="B108" s="807">
        <v>43556</v>
      </c>
      <c r="C108" s="807">
        <v>43585</v>
      </c>
      <c r="D108" s="1053">
        <v>0.2898</v>
      </c>
      <c r="E108" s="1828">
        <f t="shared" si="20"/>
        <v>6.9746823462724095E-4</v>
      </c>
      <c r="F108" s="1800">
        <f t="shared" si="21"/>
        <v>46512809.938691542</v>
      </c>
      <c r="G108" s="1829">
        <f t="shared" si="22"/>
        <v>30</v>
      </c>
      <c r="H108" s="1800">
        <f t="shared" si="23"/>
        <v>973236.22306474741</v>
      </c>
      <c r="I108" s="911"/>
      <c r="J108" s="911"/>
      <c r="K108" s="1798"/>
      <c r="L108" s="1798"/>
      <c r="M108" s="911"/>
    </row>
    <row r="109" spans="1:13" ht="13.5">
      <c r="A109" s="216">
        <v>21</v>
      </c>
      <c r="B109" s="807">
        <v>43586</v>
      </c>
      <c r="C109" s="807">
        <v>43616</v>
      </c>
      <c r="D109" s="1053">
        <v>0.29009999999999997</v>
      </c>
      <c r="E109" s="1828">
        <f t="shared" si="20"/>
        <v>6.9810584952367805E-4</v>
      </c>
      <c r="F109" s="1800">
        <f t="shared" si="21"/>
        <v>46512809.938691542</v>
      </c>
      <c r="G109" s="1829">
        <f t="shared" si="22"/>
        <v>31</v>
      </c>
      <c r="H109" s="1800">
        <f t="shared" si="23"/>
        <v>1006596.8055754926</v>
      </c>
      <c r="I109" s="911"/>
      <c r="J109" s="911"/>
      <c r="K109" s="1798"/>
      <c r="L109" s="1798"/>
      <c r="M109" s="911"/>
    </row>
    <row r="110" spans="1:13" ht="13.5">
      <c r="A110" s="216">
        <v>22</v>
      </c>
      <c r="B110" s="807">
        <v>43617</v>
      </c>
      <c r="C110" s="807">
        <v>43646</v>
      </c>
      <c r="D110" s="1053">
        <v>0.28949999999999998</v>
      </c>
      <c r="E110" s="1828">
        <f t="shared" si="20"/>
        <v>6.9683047181468005E-4</v>
      </c>
      <c r="F110" s="1800">
        <f t="shared" si="21"/>
        <v>46512809.938691542</v>
      </c>
      <c r="G110" s="1829">
        <f t="shared" si="22"/>
        <v>30</v>
      </c>
      <c r="H110" s="1800">
        <f t="shared" si="23"/>
        <v>972346.29885014903</v>
      </c>
      <c r="I110" s="911"/>
      <c r="J110" s="911"/>
      <c r="K110" s="1798"/>
      <c r="L110" s="1822"/>
      <c r="M110" s="911"/>
    </row>
    <row r="111" spans="1:13" ht="13.5">
      <c r="A111" s="216">
        <v>23</v>
      </c>
      <c r="B111" s="807">
        <v>43647</v>
      </c>
      <c r="C111" s="807">
        <v>43677</v>
      </c>
      <c r="D111" s="1053">
        <v>0.28920000000000001</v>
      </c>
      <c r="E111" s="1828">
        <f t="shared" si="20"/>
        <v>6.9619256101671745E-4</v>
      </c>
      <c r="F111" s="1800">
        <f t="shared" si="21"/>
        <v>46512809.938691542</v>
      </c>
      <c r="G111" s="1829">
        <f t="shared" si="22"/>
        <v>31</v>
      </c>
      <c r="H111" s="1800">
        <f t="shared" si="23"/>
        <v>1003838.0404103462</v>
      </c>
      <c r="I111" s="911"/>
      <c r="J111" s="911"/>
      <c r="K111" s="1798"/>
      <c r="L111" s="1823"/>
      <c r="M111" s="911"/>
    </row>
    <row r="112" spans="1:13" ht="13.5">
      <c r="A112" s="216">
        <v>24</v>
      </c>
      <c r="B112" s="807">
        <v>43678</v>
      </c>
      <c r="C112" s="807">
        <v>43708</v>
      </c>
      <c r="D112" s="1053">
        <v>0.2898</v>
      </c>
      <c r="E112" s="1828">
        <f t="shared" si="20"/>
        <v>6.9746823462724095E-4</v>
      </c>
      <c r="F112" s="1800">
        <f t="shared" si="21"/>
        <v>46512809.938691542</v>
      </c>
      <c r="G112" s="1829">
        <f t="shared" si="22"/>
        <v>31</v>
      </c>
      <c r="H112" s="1800">
        <f t="shared" si="23"/>
        <v>1005677.4305002388</v>
      </c>
      <c r="I112" s="911"/>
      <c r="J112" s="911"/>
      <c r="K112" s="1798"/>
      <c r="L112" s="1823"/>
      <c r="M112" s="911"/>
    </row>
    <row r="113" spans="1:13" ht="13.5">
      <c r="A113" s="216">
        <v>25</v>
      </c>
      <c r="B113" s="807">
        <v>43709</v>
      </c>
      <c r="C113" s="807">
        <v>43738</v>
      </c>
      <c r="D113" s="1053">
        <v>0.2898</v>
      </c>
      <c r="E113" s="1828">
        <f t="shared" si="20"/>
        <v>6.9746823462724095E-4</v>
      </c>
      <c r="F113" s="1800">
        <f t="shared" si="21"/>
        <v>46512809.938691542</v>
      </c>
      <c r="G113" s="1829">
        <f t="shared" si="22"/>
        <v>30</v>
      </c>
      <c r="H113" s="1800">
        <f t="shared" si="23"/>
        <v>973236.22306474741</v>
      </c>
      <c r="I113" s="911"/>
      <c r="J113" s="911"/>
      <c r="K113" s="1798"/>
      <c r="L113" s="1823"/>
      <c r="M113" s="911"/>
    </row>
    <row r="114" spans="1:13" ht="13.5">
      <c r="A114" s="216">
        <v>26</v>
      </c>
      <c r="B114" s="807">
        <v>43739</v>
      </c>
      <c r="C114" s="807">
        <v>43769</v>
      </c>
      <c r="D114" s="1053">
        <v>0.28649999999999998</v>
      </c>
      <c r="E114" s="1828">
        <f t="shared" si="20"/>
        <v>6.9044469314105683E-4</v>
      </c>
      <c r="F114" s="1800">
        <f t="shared" si="21"/>
        <v>46512809.938691542</v>
      </c>
      <c r="G114" s="1829">
        <f t="shared" si="22"/>
        <v>31</v>
      </c>
      <c r="H114" s="1800">
        <f t="shared" si="23"/>
        <v>995550.20634269353</v>
      </c>
      <c r="I114" s="911"/>
      <c r="J114" s="911"/>
      <c r="K114" s="1798"/>
      <c r="L114" s="1823"/>
      <c r="M114" s="911"/>
    </row>
    <row r="115" spans="1:13" ht="13.5">
      <c r="A115" s="216">
        <v>27</v>
      </c>
      <c r="B115" s="807">
        <v>43770</v>
      </c>
      <c r="C115" s="807">
        <v>43799</v>
      </c>
      <c r="D115" s="1053">
        <v>0.28544999999999998</v>
      </c>
      <c r="E115" s="1828">
        <f t="shared" si="20"/>
        <v>6.8820616169262827E-4</v>
      </c>
      <c r="F115" s="1800">
        <f t="shared" si="21"/>
        <v>46512809.938691542</v>
      </c>
      <c r="G115" s="1829">
        <f t="shared" si="22"/>
        <v>30</v>
      </c>
      <c r="H115" s="1800">
        <f t="shared" si="23"/>
        <v>960312.07192336919</v>
      </c>
      <c r="I115" s="911"/>
      <c r="J115" s="911"/>
      <c r="K115" s="1798"/>
      <c r="L115" s="1823"/>
      <c r="M115" s="911"/>
    </row>
    <row r="116" spans="1:13" ht="13.5">
      <c r="A116" s="216">
        <v>28</v>
      </c>
      <c r="B116" s="807">
        <v>43800</v>
      </c>
      <c r="C116" s="807">
        <v>43830</v>
      </c>
      <c r="D116" s="1053">
        <v>0.28364999999999996</v>
      </c>
      <c r="E116" s="1828">
        <f t="shared" si="20"/>
        <v>6.8436443340047504E-4</v>
      </c>
      <c r="F116" s="1800">
        <f t="shared" si="21"/>
        <v>46512809.938691542</v>
      </c>
      <c r="G116" s="1829">
        <f t="shared" si="22"/>
        <v>31</v>
      </c>
      <c r="H116" s="1800">
        <f t="shared" si="23"/>
        <v>986783.0974062552</v>
      </c>
      <c r="I116" s="911"/>
      <c r="J116" s="911"/>
      <c r="K116" s="1798"/>
      <c r="L116" s="1823"/>
      <c r="M116" s="911"/>
    </row>
    <row r="117" spans="1:13" ht="13.5">
      <c r="A117" s="216">
        <v>29</v>
      </c>
      <c r="B117" s="807">
        <v>43831</v>
      </c>
      <c r="C117" s="807">
        <v>43861</v>
      </c>
      <c r="D117" s="1053">
        <v>0.28155000000000002</v>
      </c>
      <c r="E117" s="1828">
        <f t="shared" si="20"/>
        <v>6.7987562124560696E-4</v>
      </c>
      <c r="F117" s="1800">
        <f t="shared" si="21"/>
        <v>46512809.938691542</v>
      </c>
      <c r="G117" s="1829">
        <f t="shared" si="22"/>
        <v>31</v>
      </c>
      <c r="H117" s="1800">
        <f t="shared" si="23"/>
        <v>980310.69214134931</v>
      </c>
      <c r="I117" s="911"/>
      <c r="J117" s="911"/>
      <c r="K117" s="1798"/>
      <c r="L117" s="1823"/>
      <c r="M117" s="911"/>
    </row>
    <row r="118" spans="1:13" ht="13.5">
      <c r="A118" s="216">
        <v>30</v>
      </c>
      <c r="B118" s="807">
        <v>43862</v>
      </c>
      <c r="C118" s="807">
        <v>43890</v>
      </c>
      <c r="D118" s="1053">
        <v>0.28589999999999999</v>
      </c>
      <c r="E118" s="1828">
        <f t="shared" si="20"/>
        <v>6.8916575551658532E-4</v>
      </c>
      <c r="F118" s="1800">
        <f t="shared" si="21"/>
        <v>46512809.938691542</v>
      </c>
      <c r="G118" s="1829">
        <f t="shared" si="22"/>
        <v>29</v>
      </c>
      <c r="H118" s="1800">
        <f t="shared" si="23"/>
        <v>929596.03827533312</v>
      </c>
      <c r="I118" s="911"/>
      <c r="J118" s="911"/>
      <c r="K118" s="1798"/>
      <c r="L118" s="1823"/>
      <c r="M118" s="911"/>
    </row>
    <row r="119" spans="1:13" ht="13.5">
      <c r="A119" s="216">
        <v>31</v>
      </c>
      <c r="B119" s="807">
        <v>43891</v>
      </c>
      <c r="C119" s="807">
        <v>43921</v>
      </c>
      <c r="D119" s="1053">
        <v>0.28425</v>
      </c>
      <c r="E119" s="1828">
        <f t="shared" si="20"/>
        <v>6.8564560609574166E-4</v>
      </c>
      <c r="F119" s="1800">
        <f t="shared" si="21"/>
        <v>46512809.938691542</v>
      </c>
      <c r="G119" s="1829">
        <f t="shared" si="22"/>
        <v>31</v>
      </c>
      <c r="H119" s="1800">
        <f t="shared" si="23"/>
        <v>988630.41661053605</v>
      </c>
      <c r="I119" s="911"/>
      <c r="J119" s="911"/>
      <c r="K119" s="1798"/>
      <c r="L119" s="1823"/>
      <c r="M119" s="911"/>
    </row>
    <row r="120" spans="1:13" ht="13.5">
      <c r="A120" s="216">
        <v>32</v>
      </c>
      <c r="B120" s="807">
        <v>43922</v>
      </c>
      <c r="C120" s="807">
        <v>43951</v>
      </c>
      <c r="D120" s="1053">
        <v>0.28034999999999999</v>
      </c>
      <c r="E120" s="1828">
        <f t="shared" si="20"/>
        <v>6.7730729113191224E-4</v>
      </c>
      <c r="F120" s="1800">
        <f t="shared" si="21"/>
        <v>46512809.938691542</v>
      </c>
      <c r="G120" s="1829">
        <f t="shared" si="22"/>
        <v>30</v>
      </c>
      <c r="H120" s="1800">
        <f t="shared" si="23"/>
        <v>945103.95907525963</v>
      </c>
      <c r="I120" s="911"/>
      <c r="J120" s="911"/>
      <c r="K120" s="1798"/>
      <c r="L120" s="1823"/>
      <c r="M120" s="911"/>
    </row>
    <row r="121" spans="1:13" ht="13.5">
      <c r="A121" s="216">
        <v>33</v>
      </c>
      <c r="B121" s="807">
        <v>43952</v>
      </c>
      <c r="C121" s="807">
        <v>43982</v>
      </c>
      <c r="D121" s="1053">
        <v>0.27285000000000004</v>
      </c>
      <c r="E121" s="1828">
        <f t="shared" si="20"/>
        <v>6.6120063584418354E-4</v>
      </c>
      <c r="F121" s="1800">
        <f t="shared" si="21"/>
        <v>46512809.938691542</v>
      </c>
      <c r="G121" s="1829">
        <f t="shared" si="22"/>
        <v>31</v>
      </c>
      <c r="H121" s="1800">
        <f t="shared" si="23"/>
        <v>953383.28469723766</v>
      </c>
      <c r="I121" s="911"/>
      <c r="J121" s="911"/>
      <c r="K121" s="1798"/>
      <c r="L121" s="1823"/>
      <c r="M121" s="911"/>
    </row>
    <row r="122" spans="1:13" ht="13.5">
      <c r="A122" s="216">
        <v>34</v>
      </c>
      <c r="B122" s="807">
        <v>43983</v>
      </c>
      <c r="C122" s="807">
        <v>44012</v>
      </c>
      <c r="D122" s="1053">
        <v>0.27179999999999999</v>
      </c>
      <c r="E122" s="1828">
        <f t="shared" si="20"/>
        <v>6.5893815469997286E-4</v>
      </c>
      <c r="F122" s="1800">
        <f t="shared" si="21"/>
        <v>46512809.938691542</v>
      </c>
      <c r="G122" s="1829">
        <f t="shared" si="22"/>
        <v>30</v>
      </c>
      <c r="H122" s="1800">
        <f t="shared" si="23"/>
        <v>919471.95452735887</v>
      </c>
      <c r="I122" s="911"/>
      <c r="J122" s="911"/>
      <c r="K122" s="1798"/>
      <c r="L122" s="1823"/>
      <c r="M122" s="911"/>
    </row>
    <row r="123" spans="1:13" ht="13.5">
      <c r="A123" s="216">
        <v>35</v>
      </c>
      <c r="B123" s="807">
        <v>44013</v>
      </c>
      <c r="C123" s="807">
        <v>44043</v>
      </c>
      <c r="D123" s="1053">
        <v>0.27179999999999999</v>
      </c>
      <c r="E123" s="1828">
        <f t="shared" si="20"/>
        <v>6.5893815469997286E-4</v>
      </c>
      <c r="F123" s="1800">
        <f t="shared" si="21"/>
        <v>46512809.938691542</v>
      </c>
      <c r="G123" s="1829">
        <f t="shared" si="22"/>
        <v>31</v>
      </c>
      <c r="H123" s="1800">
        <f t="shared" si="23"/>
        <v>950121.01967827079</v>
      </c>
      <c r="I123" s="911"/>
      <c r="J123" s="911"/>
      <c r="K123" s="1798"/>
      <c r="L123" s="1823"/>
      <c r="M123" s="911"/>
    </row>
    <row r="124" spans="1:13" ht="13.5">
      <c r="A124" s="216">
        <v>36</v>
      </c>
      <c r="B124" s="807">
        <v>44044</v>
      </c>
      <c r="C124" s="807">
        <v>44074</v>
      </c>
      <c r="D124" s="1053">
        <v>0.27434999999999998</v>
      </c>
      <c r="E124" s="1828">
        <f t="shared" si="20"/>
        <v>6.6442952514544906E-4</v>
      </c>
      <c r="F124" s="1800">
        <f t="shared" si="21"/>
        <v>46512809.938691542</v>
      </c>
      <c r="G124" s="1829">
        <f t="shared" si="22"/>
        <v>31</v>
      </c>
      <c r="H124" s="1800">
        <f t="shared" si="23"/>
        <v>958039.01084310561</v>
      </c>
      <c r="I124" s="911"/>
      <c r="J124" s="911"/>
      <c r="K124" s="1798"/>
      <c r="L124" s="1823"/>
      <c r="M124" s="911"/>
    </row>
    <row r="125" spans="1:13" ht="13.5">
      <c r="A125" s="216">
        <v>37</v>
      </c>
      <c r="B125" s="807">
        <v>44075</v>
      </c>
      <c r="C125" s="807">
        <v>44104</v>
      </c>
      <c r="D125" s="1053">
        <v>0.27524999999999999</v>
      </c>
      <c r="E125" s="1828">
        <f t="shared" si="20"/>
        <v>6.6636503991857055E-4</v>
      </c>
      <c r="F125" s="1800">
        <f t="shared" si="21"/>
        <v>46512809.938691542</v>
      </c>
      <c r="G125" s="1829">
        <f t="shared" si="22"/>
        <v>30</v>
      </c>
      <c r="H125" s="1800">
        <f t="shared" si="23"/>
        <v>929835.31354563229</v>
      </c>
      <c r="I125" s="911"/>
      <c r="J125" s="911"/>
      <c r="K125" s="1798"/>
      <c r="L125" s="1823"/>
      <c r="M125" s="911"/>
    </row>
    <row r="126" spans="1:13" ht="13.5">
      <c r="A126" s="216">
        <v>38</v>
      </c>
      <c r="B126" s="807">
        <v>44105</v>
      </c>
      <c r="C126" s="807">
        <v>44135</v>
      </c>
      <c r="D126" s="1053">
        <v>0.27134999999999998</v>
      </c>
      <c r="E126" s="1828">
        <f t="shared" si="20"/>
        <v>6.5796794962613703E-4</v>
      </c>
      <c r="F126" s="1800">
        <f t="shared" si="21"/>
        <v>46512809.938691542</v>
      </c>
      <c r="G126" s="1829">
        <f t="shared" si="22"/>
        <v>31</v>
      </c>
      <c r="H126" s="1800">
        <f t="shared" si="23"/>
        <v>948722.08378804347</v>
      </c>
      <c r="I126" s="911"/>
      <c r="J126" s="911"/>
      <c r="K126" s="1798"/>
      <c r="L126" s="1823"/>
      <c r="M126" s="911"/>
    </row>
    <row r="127" spans="1:13" ht="13.5">
      <c r="A127" s="216">
        <v>39</v>
      </c>
      <c r="B127" s="807">
        <v>44136</v>
      </c>
      <c r="C127" s="807">
        <v>44165</v>
      </c>
      <c r="D127" s="1053">
        <v>0.2676</v>
      </c>
      <c r="E127" s="1828">
        <f t="shared" si="20"/>
        <v>6.4986956374091243E-4</v>
      </c>
      <c r="F127" s="1800">
        <f t="shared" si="21"/>
        <v>46512809.938691542</v>
      </c>
      <c r="G127" s="1829">
        <f t="shared" si="22"/>
        <v>30</v>
      </c>
      <c r="H127" s="1800">
        <f t="shared" si="23"/>
        <v>906817.78509664349</v>
      </c>
      <c r="I127" s="911"/>
      <c r="J127" s="911"/>
      <c r="K127" s="1798"/>
      <c r="L127" s="1823"/>
      <c r="M127" s="911"/>
    </row>
    <row r="128" spans="1:13" ht="13.5">
      <c r="A128" s="216">
        <v>40</v>
      </c>
      <c r="B128" s="807">
        <v>44166</v>
      </c>
      <c r="C128" s="807">
        <v>44196</v>
      </c>
      <c r="D128" s="1053">
        <v>0.26190000000000002</v>
      </c>
      <c r="E128" s="1828">
        <f t="shared" si="20"/>
        <v>6.3751414410861962E-4</v>
      </c>
      <c r="F128" s="1800">
        <f t="shared" si="21"/>
        <v>46512809.938691542</v>
      </c>
      <c r="G128" s="1829">
        <f t="shared" si="22"/>
        <v>31</v>
      </c>
      <c r="H128" s="1800">
        <f t="shared" si="23"/>
        <v>919229.80076270679</v>
      </c>
      <c r="I128" s="911"/>
      <c r="J128" s="911"/>
      <c r="K128" s="1798"/>
      <c r="L128" s="1823"/>
      <c r="M128" s="911"/>
    </row>
    <row r="129" spans="1:13" ht="13.5">
      <c r="A129" s="216">
        <v>41</v>
      </c>
      <c r="B129" s="807">
        <v>44197</v>
      </c>
      <c r="C129" s="807">
        <v>44227</v>
      </c>
      <c r="D129" s="1053">
        <v>0.25979999999999998</v>
      </c>
      <c r="E129" s="1828">
        <f t="shared" si="20"/>
        <v>6.3294811266723094E-4</v>
      </c>
      <c r="F129" s="1800">
        <f t="shared" si="21"/>
        <v>46512809.938691542</v>
      </c>
      <c r="G129" s="1829">
        <f t="shared" si="22"/>
        <v>31</v>
      </c>
      <c r="H129" s="1800">
        <f t="shared" si="23"/>
        <v>912646.05323187739</v>
      </c>
      <c r="I129" s="911"/>
      <c r="J129" s="911"/>
      <c r="K129" s="1798"/>
      <c r="L129" s="1823"/>
      <c r="M129" s="911"/>
    </row>
    <row r="130" spans="1:13" ht="13.5">
      <c r="A130" s="216">
        <v>42</v>
      </c>
      <c r="B130" s="807">
        <v>44228</v>
      </c>
      <c r="C130" s="807">
        <v>44255</v>
      </c>
      <c r="D130" s="1053">
        <v>0.2631</v>
      </c>
      <c r="E130" s="1828">
        <f t="shared" si="20"/>
        <v>6.4011990387169426E-4</v>
      </c>
      <c r="F130" s="1800">
        <f t="shared" si="21"/>
        <v>46512809.938691542</v>
      </c>
      <c r="G130" s="1829">
        <f t="shared" si="22"/>
        <v>28</v>
      </c>
      <c r="H130" s="1800">
        <f t="shared" si="23"/>
        <v>833665.71194921318</v>
      </c>
      <c r="I130" s="911"/>
      <c r="J130" s="911"/>
      <c r="K130" s="1798"/>
      <c r="L130" s="1823"/>
      <c r="M130" s="911"/>
    </row>
    <row r="131" spans="1:13" ht="13.5">
      <c r="A131" s="216">
        <v>43</v>
      </c>
      <c r="B131" s="807">
        <v>44256</v>
      </c>
      <c r="C131" s="807">
        <v>44286</v>
      </c>
      <c r="D131" s="1053">
        <v>0.26114999999999999</v>
      </c>
      <c r="E131" s="1828">
        <f t="shared" si="20"/>
        <v>6.3588428907812578E-4</v>
      </c>
      <c r="F131" s="1800">
        <f t="shared" si="21"/>
        <v>46512809.938691542</v>
      </c>
      <c r="G131" s="1829">
        <f t="shared" si="22"/>
        <v>31</v>
      </c>
      <c r="H131" s="1800">
        <f t="shared" si="23"/>
        <v>916879.71750761638</v>
      </c>
      <c r="I131" s="911"/>
      <c r="J131" s="911"/>
      <c r="K131" s="1798"/>
      <c r="L131" s="1823"/>
      <c r="M131" s="911"/>
    </row>
    <row r="132" spans="1:13" ht="13.5">
      <c r="A132" s="216">
        <v>44</v>
      </c>
      <c r="B132" s="807">
        <v>44287</v>
      </c>
      <c r="C132" s="807">
        <v>44316</v>
      </c>
      <c r="D132" s="1053">
        <v>0.25964999999999999</v>
      </c>
      <c r="E132" s="1828">
        <f t="shared" si="20"/>
        <v>6.326216771728177E-4</v>
      </c>
      <c r="F132" s="1800">
        <f t="shared" si="21"/>
        <v>46512809.938691542</v>
      </c>
      <c r="G132" s="1829">
        <f t="shared" si="22"/>
        <v>30</v>
      </c>
      <c r="H132" s="1800">
        <f t="shared" si="23"/>
        <v>882750.35500306648</v>
      </c>
      <c r="I132" s="911"/>
      <c r="J132" s="911"/>
      <c r="K132" s="1798"/>
      <c r="L132" s="1823"/>
      <c r="M132" s="911"/>
    </row>
    <row r="133" spans="1:13" ht="13.5">
      <c r="A133" s="216">
        <v>45</v>
      </c>
      <c r="B133" s="807">
        <v>44317</v>
      </c>
      <c r="C133" s="807">
        <v>44347</v>
      </c>
      <c r="D133" s="1053">
        <v>0.25829999999999997</v>
      </c>
      <c r="E133" s="1828">
        <f t="shared" si="20"/>
        <v>6.2968201205726437E-4</v>
      </c>
      <c r="F133" s="1800">
        <f t="shared" si="21"/>
        <v>46512809.938691542</v>
      </c>
      <c r="G133" s="1829">
        <f t="shared" si="22"/>
        <v>31</v>
      </c>
      <c r="H133" s="1800">
        <f t="shared" si="23"/>
        <v>907936.67220760474</v>
      </c>
      <c r="I133" s="911"/>
      <c r="J133" s="911"/>
      <c r="K133" s="1798"/>
      <c r="L133" s="1823"/>
      <c r="M133" s="911"/>
    </row>
    <row r="134" spans="1:13" ht="13.5">
      <c r="A134" s="216">
        <v>46</v>
      </c>
      <c r="B134" s="807">
        <v>44348</v>
      </c>
      <c r="C134" s="807">
        <v>44377</v>
      </c>
      <c r="D134" s="1053">
        <v>0.25814999999999999</v>
      </c>
      <c r="E134" s="1828">
        <f t="shared" si="20"/>
        <v>6.2935518846773952E-4</v>
      </c>
      <c r="F134" s="1800">
        <f t="shared" si="21"/>
        <v>46512809.938691542</v>
      </c>
      <c r="G134" s="1829">
        <f t="shared" si="22"/>
        <v>30</v>
      </c>
      <c r="H134" s="1800">
        <f t="shared" si="23"/>
        <v>878192.3479538809</v>
      </c>
      <c r="I134" s="911"/>
      <c r="J134" s="911"/>
      <c r="K134" s="1798"/>
      <c r="L134" s="1823"/>
      <c r="M134" s="911"/>
    </row>
    <row r="135" spans="1:13" ht="13.5">
      <c r="A135" s="216">
        <v>47</v>
      </c>
      <c r="B135" s="807">
        <v>44378</v>
      </c>
      <c r="C135" s="807">
        <v>44408</v>
      </c>
      <c r="D135" s="1053">
        <f>17.18%*1.5</f>
        <v>0.25770000000000004</v>
      </c>
      <c r="E135" s="1828">
        <f t="shared" si="20"/>
        <v>6.2837448450037137E-4</v>
      </c>
      <c r="F135" s="1800">
        <f t="shared" si="21"/>
        <v>46512809.938691542</v>
      </c>
      <c r="G135" s="1829">
        <f t="shared" si="22"/>
        <v>31</v>
      </c>
      <c r="H135" s="1800">
        <f t="shared" si="23"/>
        <v>906051.35200456041</v>
      </c>
      <c r="I135" s="911"/>
      <c r="J135" s="911"/>
      <c r="K135" s="1798"/>
      <c r="L135" s="1823"/>
      <c r="M135" s="911"/>
    </row>
    <row r="136" spans="1:13" ht="13.5">
      <c r="A136" s="216">
        <v>48</v>
      </c>
      <c r="B136" s="807">
        <v>44409</v>
      </c>
      <c r="C136" s="807">
        <v>44439</v>
      </c>
      <c r="D136" s="1053">
        <f>17.24%*1.5</f>
        <v>0.2586</v>
      </c>
      <c r="E136" s="1828">
        <f t="shared" si="20"/>
        <v>6.3033554269220637E-4</v>
      </c>
      <c r="F136" s="1800">
        <f t="shared" si="21"/>
        <v>46512809.938691542</v>
      </c>
      <c r="G136" s="1829">
        <f t="shared" si="22"/>
        <v>31</v>
      </c>
      <c r="H136" s="1800">
        <f t="shared" si="23"/>
        <v>908878.99614018202</v>
      </c>
      <c r="I136" s="911"/>
      <c r="J136" s="911"/>
      <c r="K136" s="1798"/>
      <c r="L136" s="1823"/>
      <c r="M136" s="911"/>
    </row>
    <row r="137" spans="1:13" ht="13.5">
      <c r="A137" s="216">
        <v>49</v>
      </c>
      <c r="B137" s="807">
        <v>44440</v>
      </c>
      <c r="C137" s="807">
        <v>44469</v>
      </c>
      <c r="D137" s="1053">
        <f>17.19%*1.5</f>
        <v>0.25785000000000002</v>
      </c>
      <c r="E137" s="1828">
        <f>((1+D137)^(1/365)-1)</f>
        <v>6.2870142469861889E-4</v>
      </c>
      <c r="F137" s="1800">
        <f t="shared" si="21"/>
        <v>46512809.938691542</v>
      </c>
      <c r="G137" s="1829">
        <f t="shared" si="22"/>
        <v>30</v>
      </c>
      <c r="H137" s="1800">
        <f t="shared" si="23"/>
        <v>877280.09625574364</v>
      </c>
      <c r="I137" s="911"/>
      <c r="J137" s="911"/>
      <c r="K137" s="1798"/>
      <c r="L137" s="1823"/>
      <c r="M137" s="911"/>
    </row>
    <row r="138" spans="1:13" ht="13.5">
      <c r="A138" s="216">
        <v>50</v>
      </c>
      <c r="B138" s="807">
        <v>44470</v>
      </c>
      <c r="C138" s="807">
        <v>44500</v>
      </c>
      <c r="D138" s="1053">
        <f>17.08%*1.5</f>
        <v>0.25619999999999998</v>
      </c>
      <c r="E138" s="1828">
        <f>((1+D138)^(1/365)-1)</f>
        <v>6.2510294214179751E-4</v>
      </c>
      <c r="F138" s="1800">
        <f t="shared" si="21"/>
        <v>46512809.938691542</v>
      </c>
      <c r="G138" s="1829">
        <f t="shared" si="22"/>
        <v>31</v>
      </c>
      <c r="H138" s="1800">
        <f>+F138*G138*E138</f>
        <v>901334.12453870801</v>
      </c>
      <c r="I138" s="911"/>
      <c r="J138" s="911"/>
      <c r="K138" s="1798"/>
      <c r="L138" s="1823"/>
      <c r="M138" s="911"/>
    </row>
    <row r="139" spans="1:13" ht="13.5">
      <c r="A139" s="216">
        <v>51</v>
      </c>
      <c r="B139" s="807">
        <v>44501</v>
      </c>
      <c r="C139" s="807">
        <v>44530</v>
      </c>
      <c r="D139" s="1053">
        <f>17.27%*1.5</f>
        <v>0.25905</v>
      </c>
      <c r="E139" s="1828">
        <f>((1+D139)^(1/365)-1)</f>
        <v>6.3131554742335005E-4</v>
      </c>
      <c r="F139" s="1800">
        <f t="shared" si="21"/>
        <v>46512809.938691542</v>
      </c>
      <c r="G139" s="1829">
        <f t="shared" si="22"/>
        <v>30</v>
      </c>
      <c r="H139" s="1800">
        <f>+F139*G139*E139</f>
        <v>880927.80205929873</v>
      </c>
      <c r="I139" s="911"/>
      <c r="J139" s="911"/>
      <c r="K139" s="1798"/>
      <c r="L139" s="1823"/>
      <c r="M139" s="911"/>
    </row>
    <row r="140" spans="1:13" ht="13.5">
      <c r="A140" s="216">
        <v>52</v>
      </c>
      <c r="B140" s="807">
        <v>44531</v>
      </c>
      <c r="C140" s="807">
        <v>44543</v>
      </c>
      <c r="D140" s="1053">
        <f>17.46%*1.5</f>
        <v>0.26190000000000002</v>
      </c>
      <c r="E140" s="1828">
        <f>((1+D140)^(1/365)-1)</f>
        <v>6.3751414410861962E-4</v>
      </c>
      <c r="F140" s="1800">
        <f t="shared" si="21"/>
        <v>46512809.938691542</v>
      </c>
      <c r="G140" s="1829">
        <f t="shared" si="22"/>
        <v>13</v>
      </c>
      <c r="H140" s="1800">
        <f>+F140*G140*E140</f>
        <v>385483.46483597386</v>
      </c>
      <c r="I140" s="911"/>
      <c r="J140" s="911"/>
      <c r="K140" s="1798"/>
      <c r="L140" s="1823"/>
      <c r="M140" s="911"/>
    </row>
    <row r="141" spans="1:13" ht="13.5">
      <c r="B141" s="911"/>
      <c r="C141" s="911"/>
      <c r="D141" s="911"/>
      <c r="E141" s="1798"/>
      <c r="F141" s="2614" t="s">
        <v>584</v>
      </c>
      <c r="G141" s="2614"/>
      <c r="H141" s="1831">
        <f>SUM(H89:H140)</f>
        <v>37657401.419780523</v>
      </c>
      <c r="I141" s="911"/>
      <c r="J141" s="911"/>
      <c r="K141" s="1798"/>
      <c r="L141" s="1823"/>
      <c r="M141" s="911"/>
    </row>
    <row r="142" spans="1:13" ht="13.5">
      <c r="B142" s="911"/>
      <c r="C142" s="911"/>
      <c r="D142" s="911"/>
      <c r="E142" s="1798"/>
      <c r="F142" s="1832"/>
      <c r="G142" s="1832"/>
      <c r="H142" s="1833"/>
      <c r="I142" s="911"/>
      <c r="J142" s="911"/>
      <c r="K142" s="1798"/>
      <c r="L142" s="1823"/>
      <c r="M142" s="911"/>
    </row>
    <row r="143" spans="1:13" ht="13.5">
      <c r="B143" s="911"/>
      <c r="C143" s="911"/>
      <c r="D143" s="911"/>
      <c r="E143" s="1798"/>
      <c r="F143" s="1832"/>
      <c r="G143" s="1832"/>
      <c r="H143" s="1833"/>
      <c r="I143" s="911"/>
      <c r="J143" s="911"/>
      <c r="K143" s="1798"/>
      <c r="L143" s="1823"/>
      <c r="M143" s="911"/>
    </row>
    <row r="144" spans="1:13" ht="13.5">
      <c r="B144" s="911"/>
      <c r="C144" s="911"/>
      <c r="D144" s="911"/>
      <c r="E144" s="1798"/>
      <c r="F144" s="911"/>
      <c r="G144" s="1799"/>
      <c r="H144" s="1799"/>
      <c r="I144" s="911"/>
      <c r="J144" s="911"/>
      <c r="K144" s="1798"/>
      <c r="L144" s="1823"/>
      <c r="M144" s="911"/>
    </row>
    <row r="145" spans="2:17" ht="13.5">
      <c r="B145" s="2615" t="s">
        <v>55</v>
      </c>
      <c r="C145" s="2615"/>
      <c r="D145" s="2615"/>
      <c r="E145" s="1798"/>
      <c r="F145" s="911"/>
      <c r="G145" s="1799"/>
      <c r="H145" s="1799"/>
      <c r="I145" s="911"/>
      <c r="J145" s="911"/>
      <c r="K145" s="1798"/>
      <c r="L145" s="1823"/>
      <c r="M145" s="911"/>
    </row>
    <row r="146" spans="2:17" ht="25.5">
      <c r="B146" s="1808" t="s">
        <v>585</v>
      </c>
      <c r="C146" s="1145"/>
      <c r="D146" s="1339">
        <f>+C81</f>
        <v>46512809.938691542</v>
      </c>
      <c r="E146" s="217"/>
      <c r="G146" s="217"/>
      <c r="H146" s="217"/>
      <c r="I146" s="911"/>
      <c r="J146" s="911"/>
      <c r="K146" s="1798"/>
      <c r="L146" s="1823"/>
      <c r="M146" s="911"/>
    </row>
    <row r="147" spans="2:17" ht="13.5">
      <c r="B147" s="1145" t="s">
        <v>586</v>
      </c>
      <c r="C147" s="1145"/>
      <c r="D147" s="1339">
        <f>+H141</f>
        <v>37657401.419780523</v>
      </c>
      <c r="E147" s="217"/>
      <c r="G147" s="217"/>
      <c r="H147" s="217"/>
      <c r="K147" s="1798"/>
      <c r="L147" s="1823"/>
      <c r="M147" s="911"/>
    </row>
    <row r="148" spans="2:17" ht="13.5">
      <c r="B148" s="1145" t="s">
        <v>587</v>
      </c>
      <c r="C148" s="1834"/>
      <c r="D148" s="1835">
        <v>14700</v>
      </c>
      <c r="E148" s="217"/>
      <c r="G148" s="217"/>
      <c r="H148" s="217"/>
      <c r="K148" s="1798"/>
      <c r="L148" s="1823"/>
      <c r="M148" s="911"/>
    </row>
    <row r="149" spans="2:17" ht="13.5">
      <c r="B149" s="1834" t="s">
        <v>588</v>
      </c>
      <c r="C149" s="1834"/>
      <c r="D149" s="1835">
        <v>73889</v>
      </c>
      <c r="E149" s="217"/>
      <c r="G149" s="217"/>
      <c r="H149" s="217"/>
      <c r="K149" s="1798"/>
      <c r="L149" s="1823"/>
      <c r="M149" s="911"/>
    </row>
    <row r="150" spans="2:17" ht="13.5">
      <c r="B150" s="1834" t="s">
        <v>589</v>
      </c>
      <c r="C150" s="1834"/>
      <c r="D150" s="1835">
        <v>198000</v>
      </c>
      <c r="E150" s="217"/>
      <c r="G150" s="217"/>
      <c r="H150" s="217"/>
      <c r="J150" s="1840"/>
      <c r="K150" s="1798"/>
      <c r="L150" s="1823"/>
      <c r="M150" s="911"/>
    </row>
    <row r="151" spans="2:17" ht="14.25" thickBot="1">
      <c r="B151" s="1837" t="s">
        <v>120</v>
      </c>
      <c r="C151" s="1837"/>
      <c r="D151" s="1838">
        <f>SUM(D146:D150)</f>
        <v>84456800.358472064</v>
      </c>
      <c r="E151" s="217"/>
      <c r="F151" s="1836"/>
      <c r="G151" s="217"/>
      <c r="H151" s="217"/>
      <c r="I151" s="911"/>
      <c r="J151" s="911"/>
      <c r="N151" s="1823"/>
      <c r="O151" s="911"/>
    </row>
    <row r="152" spans="2:17" ht="13.5" thickTop="1">
      <c r="B152" s="1839" t="s">
        <v>62</v>
      </c>
      <c r="C152" s="234"/>
      <c r="D152" s="234"/>
      <c r="E152" s="217"/>
      <c r="F152" s="532"/>
      <c r="N152" s="1841"/>
      <c r="O152" s="224">
        <f>+D151-'Ibeth Jimenez'!D150</f>
        <v>-13839291.763167858</v>
      </c>
    </row>
    <row r="153" spans="2:17">
      <c r="B153" s="1842"/>
      <c r="C153" s="234"/>
      <c r="D153" s="1843"/>
      <c r="E153" s="217"/>
      <c r="F153" s="1836"/>
      <c r="M153" s="1836"/>
      <c r="N153" s="1841"/>
      <c r="O153" s="1836"/>
    </row>
    <row r="154" spans="2:17">
      <c r="B154" s="1842"/>
      <c r="C154" s="234"/>
      <c r="D154" s="234"/>
      <c r="E154" s="217"/>
      <c r="O154" s="1836"/>
      <c r="P154" s="1841"/>
    </row>
    <row r="155" spans="2:17">
      <c r="B155" s="1844" t="s">
        <v>63</v>
      </c>
      <c r="C155" s="234"/>
      <c r="D155" s="234"/>
      <c r="O155" s="1836">
        <v>54160460</v>
      </c>
      <c r="P155" s="1841"/>
    </row>
    <row r="156" spans="2:17">
      <c r="B156" s="1844" t="s">
        <v>64</v>
      </c>
      <c r="C156" s="234"/>
      <c r="D156" s="234"/>
      <c r="E156" s="217"/>
      <c r="O156" s="1836">
        <v>43849043</v>
      </c>
      <c r="P156" s="1840">
        <f>+D147+D146+D148</f>
        <v>84184911.358472064</v>
      </c>
      <c r="Q156" s="1840">
        <f>+P156*0.3</f>
        <v>25255473.407541618</v>
      </c>
    </row>
    <row r="157" spans="2:17">
      <c r="B157" s="1839" t="s">
        <v>65</v>
      </c>
      <c r="C157" s="234"/>
      <c r="D157" s="234"/>
      <c r="O157" s="1836">
        <f>+O155+O156</f>
        <v>98009503</v>
      </c>
      <c r="Q157" s="1840">
        <f>(P156*0.7)+D148+D149+D150</f>
        <v>59216026.950930439</v>
      </c>
    </row>
    <row r="158" spans="2:17">
      <c r="B158" s="1845"/>
      <c r="O158" s="1836"/>
      <c r="Q158" s="1840">
        <f>SUM(Q156:Q157)</f>
        <v>84471500.358472049</v>
      </c>
    </row>
    <row r="159" spans="2:17">
      <c r="B159" s="1845"/>
      <c r="E159" s="217"/>
      <c r="O159" s="1836"/>
      <c r="P159" s="1841"/>
    </row>
    <row r="160" spans="2:17">
      <c r="B160" s="217" t="s">
        <v>590</v>
      </c>
      <c r="L160" s="1841"/>
    </row>
    <row r="161" spans="2:12">
      <c r="B161" s="1548" t="s">
        <v>591</v>
      </c>
      <c r="C161" s="1548" t="s">
        <v>592</v>
      </c>
      <c r="L161" s="1841"/>
    </row>
    <row r="162" spans="2:12">
      <c r="G162" s="217"/>
      <c r="H162" s="217"/>
      <c r="L162" s="1841"/>
    </row>
    <row r="163" spans="2:12">
      <c r="G163" s="217"/>
      <c r="H163" s="217"/>
      <c r="L163" s="1841"/>
    </row>
    <row r="164" spans="2:12" ht="13.5">
      <c r="B164" s="2616" t="s">
        <v>593</v>
      </c>
      <c r="C164" s="2617"/>
      <c r="F164" s="1834" t="s">
        <v>594</v>
      </c>
      <c r="G164" s="1834"/>
      <c r="H164" s="1835">
        <v>33129400</v>
      </c>
      <c r="I164" s="224">
        <f>+D151+H164</f>
        <v>117586200.35847206</v>
      </c>
      <c r="L164" s="1841"/>
    </row>
    <row r="165" spans="2:12" ht="26.25">
      <c r="B165" s="1667" t="str">
        <f>+B146</f>
        <v>Valor a Pagar Salarios y prestaciones</v>
      </c>
      <c r="C165" s="1804">
        <f>+D146</f>
        <v>46512809.938691542</v>
      </c>
      <c r="L165" s="1841"/>
    </row>
    <row r="166" spans="2:12" ht="13.5">
      <c r="B166" s="702" t="str">
        <f>+B147</f>
        <v>Intereses de mora</v>
      </c>
      <c r="C166" s="1804">
        <f>+D147</f>
        <v>37657401.419780523</v>
      </c>
      <c r="L166" s="1841"/>
    </row>
    <row r="167" spans="2:12" ht="13.5">
      <c r="B167" s="702" t="s">
        <v>595</v>
      </c>
      <c r="C167" s="1804">
        <f>+C165+C166</f>
        <v>84170211.358472064</v>
      </c>
      <c r="L167" s="1841"/>
    </row>
    <row r="168" spans="2:12" ht="13.5">
      <c r="B168" s="702" t="s">
        <v>596</v>
      </c>
      <c r="C168" s="1804">
        <f>+C167*70%</f>
        <v>58919147.950930439</v>
      </c>
      <c r="L168" s="1841"/>
    </row>
    <row r="169" spans="2:12" ht="13.5">
      <c r="B169" s="1800" t="s">
        <v>597</v>
      </c>
      <c r="C169" s="1804">
        <f>+C167*30%</f>
        <v>25251063.407541618</v>
      </c>
      <c r="L169" s="1841"/>
    </row>
    <row r="170" spans="2:12">
      <c r="L170" s="1841"/>
    </row>
    <row r="171" spans="2:12">
      <c r="L171" s="1841"/>
    </row>
    <row r="172" spans="2:12">
      <c r="L172" s="1841"/>
    </row>
    <row r="173" spans="2:12">
      <c r="L173" s="1841"/>
    </row>
    <row r="174" spans="2:12">
      <c r="L174" s="1841"/>
    </row>
    <row r="175" spans="2:12">
      <c r="L175" s="1841"/>
    </row>
    <row r="176" spans="2:12">
      <c r="B176" s="221" t="s">
        <v>185</v>
      </c>
      <c r="C176" s="221" t="s">
        <v>598</v>
      </c>
      <c r="D176" s="221" t="s">
        <v>599</v>
      </c>
      <c r="L176" s="1841"/>
    </row>
    <row r="177" spans="2:12">
      <c r="B177" s="1846">
        <v>43070</v>
      </c>
      <c r="C177" s="216">
        <v>5.28</v>
      </c>
      <c r="D177" s="1720">
        <f t="shared" ref="D177:D186" si="24">+C177*$C$93/100</f>
        <v>2280.4320000000002</v>
      </c>
      <c r="L177" s="1847"/>
    </row>
    <row r="178" spans="2:12">
      <c r="B178" s="1846">
        <v>43101</v>
      </c>
      <c r="C178" s="216">
        <v>5.22</v>
      </c>
      <c r="D178" s="1720">
        <f t="shared" si="24"/>
        <v>2254.518</v>
      </c>
      <c r="L178" s="1847"/>
    </row>
    <row r="179" spans="2:12">
      <c r="B179" s="1846">
        <v>43132</v>
      </c>
      <c r="C179" s="216">
        <v>5.13</v>
      </c>
      <c r="D179" s="1720">
        <f t="shared" si="24"/>
        <v>2215.6469999999999</v>
      </c>
      <c r="L179" s="1847"/>
    </row>
    <row r="180" spans="2:12">
      <c r="B180" s="1846">
        <v>43160</v>
      </c>
      <c r="C180" s="216">
        <v>5.04</v>
      </c>
      <c r="D180" s="1720">
        <f t="shared" si="24"/>
        <v>2176.7759999999998</v>
      </c>
      <c r="L180" s="1847"/>
    </row>
    <row r="181" spans="2:12">
      <c r="B181" s="1846">
        <v>43191</v>
      </c>
      <c r="C181" s="216">
        <v>4.92</v>
      </c>
      <c r="D181" s="1720">
        <f t="shared" si="24"/>
        <v>2124.9479999999999</v>
      </c>
      <c r="L181" s="1847"/>
    </row>
    <row r="182" spans="2:12">
      <c r="B182" s="1846">
        <v>43221</v>
      </c>
      <c r="C182" s="216">
        <v>4.79</v>
      </c>
      <c r="D182" s="1720">
        <f t="shared" si="24"/>
        <v>2068.8009999999999</v>
      </c>
      <c r="L182" s="1847"/>
    </row>
    <row r="183" spans="2:12">
      <c r="B183" s="1846">
        <v>43252</v>
      </c>
      <c r="C183" s="216">
        <v>4.62</v>
      </c>
      <c r="D183" s="1720">
        <f t="shared" si="24"/>
        <v>1995.3780000000002</v>
      </c>
      <c r="L183" s="1848"/>
    </row>
    <row r="184" spans="2:12">
      <c r="B184" s="1846">
        <v>43282</v>
      </c>
      <c r="C184" s="216">
        <v>4.58</v>
      </c>
      <c r="D184" s="1720">
        <f t="shared" si="24"/>
        <v>1978.1020000000001</v>
      </c>
    </row>
    <row r="185" spans="2:12">
      <c r="B185" s="1846">
        <v>43313</v>
      </c>
      <c r="C185" s="216">
        <v>4.54</v>
      </c>
      <c r="D185" s="1720">
        <f t="shared" si="24"/>
        <v>1960.826</v>
      </c>
    </row>
    <row r="186" spans="2:12">
      <c r="B186" s="1846">
        <v>43344</v>
      </c>
      <c r="C186" s="216">
        <v>4.53</v>
      </c>
      <c r="D186" s="1720">
        <f t="shared" si="24"/>
        <v>1956.5070000000001</v>
      </c>
    </row>
    <row r="187" spans="2:12">
      <c r="B187" s="1849" t="s">
        <v>96</v>
      </c>
      <c r="C187" s="216"/>
      <c r="D187" s="1720">
        <f>SUM(D177:D186)</f>
        <v>21011.935000000001</v>
      </c>
    </row>
    <row r="188" spans="2:12">
      <c r="B188" s="1850" t="s">
        <v>185</v>
      </c>
      <c r="C188" s="221" t="s">
        <v>600</v>
      </c>
      <c r="E188" s="1851" t="s">
        <v>601</v>
      </c>
    </row>
    <row r="189" spans="2:12">
      <c r="B189" s="1846">
        <v>43374</v>
      </c>
      <c r="C189" s="1852">
        <v>0.29449999999999998</v>
      </c>
      <c r="D189" s="1853">
        <v>1496441</v>
      </c>
      <c r="E189" s="1854">
        <f>+D189/C189</f>
        <v>5081293.7181663839</v>
      </c>
    </row>
    <row r="190" spans="2:12">
      <c r="B190" s="1846">
        <v>43405</v>
      </c>
      <c r="C190" s="1852">
        <v>0.29235</v>
      </c>
      <c r="D190" s="1853">
        <f>+$E$189*C190</f>
        <v>1485516.2185059423</v>
      </c>
      <c r="E190" s="1853"/>
    </row>
    <row r="191" spans="2:12">
      <c r="B191" s="1846">
        <v>43435</v>
      </c>
      <c r="C191" s="1852">
        <v>0.29100000000000004</v>
      </c>
      <c r="D191" s="1853">
        <f t="shared" ref="D191:D215" si="25">+$E$189*C191</f>
        <v>1478656.4719864179</v>
      </c>
      <c r="E191" s="1853"/>
    </row>
    <row r="192" spans="2:12">
      <c r="B192" s="1846">
        <v>43466</v>
      </c>
      <c r="C192" s="1852">
        <v>0.28739999999999999</v>
      </c>
      <c r="D192" s="1853">
        <f t="shared" si="25"/>
        <v>1460363.8146010188</v>
      </c>
      <c r="E192" s="1853"/>
    </row>
    <row r="193" spans="2:5">
      <c r="B193" s="1846">
        <v>43497</v>
      </c>
      <c r="C193" s="1852">
        <v>0.29549999999999998</v>
      </c>
      <c r="D193" s="1853">
        <f t="shared" si="25"/>
        <v>1501522.2937181664</v>
      </c>
      <c r="E193" s="1853"/>
    </row>
    <row r="194" spans="2:5">
      <c r="B194" s="1846">
        <v>43525</v>
      </c>
      <c r="C194" s="1852">
        <v>0.29055000000000003</v>
      </c>
      <c r="D194" s="1853">
        <f t="shared" si="25"/>
        <v>1476369.8898132429</v>
      </c>
      <c r="E194" s="1853"/>
    </row>
    <row r="195" spans="2:5">
      <c r="B195" s="1846">
        <v>43556</v>
      </c>
      <c r="C195" s="1852">
        <v>0.2898</v>
      </c>
      <c r="D195" s="1853">
        <f t="shared" si="25"/>
        <v>1472558.919524618</v>
      </c>
      <c r="E195" s="1853"/>
    </row>
    <row r="196" spans="2:5">
      <c r="B196" s="1846">
        <v>43586</v>
      </c>
      <c r="C196" s="1852">
        <v>0.29009999999999997</v>
      </c>
      <c r="D196" s="1853">
        <f t="shared" si="25"/>
        <v>1474083.3076400678</v>
      </c>
      <c r="E196" s="1853"/>
    </row>
    <row r="197" spans="2:5">
      <c r="B197" s="1846">
        <v>43617</v>
      </c>
      <c r="C197" s="1852">
        <v>0.28949999999999998</v>
      </c>
      <c r="D197" s="1853">
        <f t="shared" si="25"/>
        <v>1471034.5314091682</v>
      </c>
      <c r="E197" s="1853"/>
    </row>
    <row r="198" spans="2:5">
      <c r="B198" s="1846">
        <v>43647</v>
      </c>
      <c r="C198" s="1852">
        <v>0.28920000000000001</v>
      </c>
      <c r="D198" s="1853">
        <f t="shared" si="25"/>
        <v>1469510.1432937183</v>
      </c>
      <c r="E198" s="1853"/>
    </row>
    <row r="199" spans="2:5">
      <c r="B199" s="1846">
        <v>43678</v>
      </c>
      <c r="C199" s="1852">
        <v>0.2898</v>
      </c>
      <c r="D199" s="1853">
        <f t="shared" si="25"/>
        <v>1472558.919524618</v>
      </c>
      <c r="E199" s="1853"/>
    </row>
    <row r="200" spans="2:5">
      <c r="B200" s="1846">
        <v>43709</v>
      </c>
      <c r="C200" s="1852">
        <v>0.2898</v>
      </c>
      <c r="D200" s="1853">
        <f t="shared" si="25"/>
        <v>1472558.919524618</v>
      </c>
      <c r="E200" s="1853"/>
    </row>
    <row r="201" spans="2:5">
      <c r="B201" s="1846">
        <v>43739</v>
      </c>
      <c r="C201" s="1852">
        <v>0.28649999999999998</v>
      </c>
      <c r="D201" s="1853">
        <f t="shared" si="25"/>
        <v>1455790.6502546689</v>
      </c>
      <c r="E201" s="1853"/>
    </row>
    <row r="202" spans="2:5">
      <c r="B202" s="1846">
        <v>43770</v>
      </c>
      <c r="C202" s="1852">
        <v>0.28544999999999998</v>
      </c>
      <c r="D202" s="1853">
        <f t="shared" si="25"/>
        <v>1450455.2918505941</v>
      </c>
      <c r="E202" s="1853"/>
    </row>
    <row r="203" spans="2:5">
      <c r="B203" s="1846">
        <v>43800</v>
      </c>
      <c r="C203" s="1852">
        <v>0.28364999999999996</v>
      </c>
      <c r="D203" s="1853">
        <f t="shared" si="25"/>
        <v>1441308.9631578946</v>
      </c>
      <c r="E203" s="1853"/>
    </row>
    <row r="204" spans="2:5">
      <c r="B204" s="1846">
        <v>43831</v>
      </c>
      <c r="C204" s="1852">
        <v>0.28155000000000002</v>
      </c>
      <c r="D204" s="1853">
        <f t="shared" si="25"/>
        <v>1430638.2463497454</v>
      </c>
      <c r="E204" s="1853"/>
    </row>
    <row r="205" spans="2:5">
      <c r="B205" s="1846">
        <v>43862</v>
      </c>
      <c r="C205" s="1852">
        <v>0.28589999999999999</v>
      </c>
      <c r="D205" s="1853">
        <f t="shared" si="25"/>
        <v>1452741.8740237691</v>
      </c>
      <c r="E205" s="1853"/>
    </row>
    <row r="206" spans="2:5">
      <c r="B206" s="1846">
        <v>43891</v>
      </c>
      <c r="C206" s="1852">
        <v>0.28425</v>
      </c>
      <c r="D206" s="1853">
        <f t="shared" si="25"/>
        <v>1444357.7393887946</v>
      </c>
      <c r="E206" s="1853"/>
    </row>
    <row r="207" spans="2:5">
      <c r="B207" s="1846">
        <v>43922</v>
      </c>
      <c r="C207" s="1852">
        <v>0.28034999999999999</v>
      </c>
      <c r="D207" s="1853">
        <f t="shared" si="25"/>
        <v>1424540.6938879457</v>
      </c>
      <c r="E207" s="1853"/>
    </row>
    <row r="208" spans="2:5">
      <c r="B208" s="1846">
        <v>43952</v>
      </c>
      <c r="C208" s="1852">
        <v>0.27285000000000004</v>
      </c>
      <c r="D208" s="1853">
        <f t="shared" si="25"/>
        <v>1386430.991001698</v>
      </c>
      <c r="E208" s="1853"/>
    </row>
    <row r="209" spans="2:5">
      <c r="B209" s="1846">
        <v>43983</v>
      </c>
      <c r="C209" s="1852">
        <v>0.27179999999999999</v>
      </c>
      <c r="D209" s="1853">
        <f t="shared" si="25"/>
        <v>1381095.6325976232</v>
      </c>
      <c r="E209" s="1853"/>
    </row>
    <row r="210" spans="2:5">
      <c r="B210" s="1846">
        <v>44013</v>
      </c>
      <c r="C210" s="1852">
        <v>0.27179999999999999</v>
      </c>
      <c r="D210" s="1853">
        <f t="shared" si="25"/>
        <v>1381095.6325976232</v>
      </c>
      <c r="E210" s="1853"/>
    </row>
    <row r="211" spans="2:5">
      <c r="B211" s="1846">
        <v>44044</v>
      </c>
      <c r="C211" s="1852">
        <v>0.27434999999999998</v>
      </c>
      <c r="D211" s="1853">
        <f t="shared" si="25"/>
        <v>1394052.9315789472</v>
      </c>
      <c r="E211" s="1853"/>
    </row>
    <row r="212" spans="2:5">
      <c r="B212" s="1846">
        <v>44075</v>
      </c>
      <c r="C212" s="1852">
        <v>0.27524999999999999</v>
      </c>
      <c r="D212" s="1853">
        <f t="shared" si="25"/>
        <v>1398626.0959252971</v>
      </c>
      <c r="E212" s="1853"/>
    </row>
    <row r="213" spans="2:5">
      <c r="B213" s="1846">
        <v>44105</v>
      </c>
      <c r="C213" s="1852">
        <v>0.18090000000000001</v>
      </c>
      <c r="D213" s="1853">
        <f t="shared" si="25"/>
        <v>919206.03361629893</v>
      </c>
      <c r="E213" s="1855">
        <f>+D213*1.5</f>
        <v>1378809.0504244484</v>
      </c>
    </row>
    <row r="214" spans="2:5">
      <c r="B214" s="1846">
        <v>44136</v>
      </c>
      <c r="C214" s="1852">
        <v>0.1784</v>
      </c>
      <c r="D214" s="1853">
        <f t="shared" si="25"/>
        <v>906502.79932088288</v>
      </c>
      <c r="E214" s="1855">
        <f>+D214*1.5</f>
        <v>1359754.1989813242</v>
      </c>
    </row>
    <row r="215" spans="2:5">
      <c r="B215" s="1846">
        <v>44166</v>
      </c>
      <c r="C215" s="1852">
        <v>0.17460000000000001</v>
      </c>
      <c r="D215" s="1853">
        <f t="shared" si="25"/>
        <v>887193.88319185062</v>
      </c>
      <c r="E215" s="1855">
        <f>+D215*1.5</f>
        <v>1330790.824787776</v>
      </c>
    </row>
    <row r="216" spans="2:5">
      <c r="B216" s="1849" t="str">
        <f>+B187</f>
        <v>Subtotal</v>
      </c>
      <c r="C216" s="216"/>
      <c r="D216" s="1597">
        <f>SUM(D189:D215)</f>
        <v>37485211.888285227</v>
      </c>
      <c r="E216" s="1853"/>
    </row>
  </sheetData>
  <mergeCells count="14">
    <mergeCell ref="S72:T72"/>
    <mergeCell ref="U72:U73"/>
    <mergeCell ref="H11:M11"/>
    <mergeCell ref="H22:M22"/>
    <mergeCell ref="H45:M45"/>
    <mergeCell ref="G70:K70"/>
    <mergeCell ref="D88:E88"/>
    <mergeCell ref="F141:G141"/>
    <mergeCell ref="B145:D145"/>
    <mergeCell ref="B164:C164"/>
    <mergeCell ref="V73:X73"/>
    <mergeCell ref="G79:K79"/>
    <mergeCell ref="S80:T80"/>
    <mergeCell ref="U80:U81"/>
  </mergeCells>
  <conditionalFormatting sqref="B88:C88">
    <cfRule type="duplicateValues" dxfId="58" priority="1"/>
  </conditionalFormatting>
  <pageMargins left="0.7" right="0.7" top="0.75" bottom="0.75" header="0.3" footer="0.3"/>
  <pageSetup paperSize="5" scale="5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84067-B5DF-468C-91C5-F6E8696686A9}">
  <sheetPr codeName="Hoja2"/>
  <dimension ref="A3:X322"/>
  <sheetViews>
    <sheetView topLeftCell="A10" workbookViewId="0">
      <selection activeCell="D18" sqref="D18"/>
    </sheetView>
  </sheetViews>
  <sheetFormatPr defaultColWidth="11.42578125" defaultRowHeight="12.75"/>
  <cols>
    <col min="1" max="1" width="26.28515625" style="217" customWidth="1"/>
    <col min="2" max="2" width="15.28515625" style="217" customWidth="1"/>
    <col min="3" max="17" width="11.42578125" style="217"/>
    <col min="18" max="18" width="18.140625" style="217" bestFit="1" customWidth="1"/>
    <col min="19" max="21" width="11.42578125" style="217"/>
    <col min="22" max="22" width="15.85546875" style="217" customWidth="1"/>
    <col min="23" max="23" width="16.5703125" style="217" bestFit="1" customWidth="1"/>
    <col min="24" max="24" width="12.85546875" style="217" bestFit="1" customWidth="1"/>
    <col min="25" max="16384" width="11.42578125" style="217"/>
  </cols>
  <sheetData>
    <row r="3" spans="1:23">
      <c r="A3" s="215" t="s">
        <v>0</v>
      </c>
      <c r="B3" s="346" t="s">
        <v>66</v>
      </c>
    </row>
    <row r="4" spans="1:23">
      <c r="A4" s="219" t="s">
        <v>67</v>
      </c>
      <c r="B4" s="19">
        <v>73089766</v>
      </c>
    </row>
    <row r="5" spans="1:23">
      <c r="A5" s="219" t="s">
        <v>68</v>
      </c>
      <c r="B5" s="89">
        <v>37165</v>
      </c>
      <c r="C5" s="223">
        <v>37256</v>
      </c>
      <c r="D5" s="217">
        <f>_xlfn.DAYS(C5,B5)</f>
        <v>91</v>
      </c>
    </row>
    <row r="6" spans="1:23">
      <c r="A6" s="219" t="s">
        <v>40</v>
      </c>
      <c r="B6" s="89">
        <v>42023</v>
      </c>
    </row>
    <row r="7" spans="1:23">
      <c r="A7" s="219" t="s">
        <v>69</v>
      </c>
      <c r="B7" s="440" t="s">
        <v>70</v>
      </c>
    </row>
    <row r="8" spans="1:23">
      <c r="A8" s="441" t="s">
        <v>71</v>
      </c>
    </row>
    <row r="9" spans="1:23">
      <c r="A9" s="219" t="s">
        <v>72</v>
      </c>
      <c r="B9" s="216" t="s">
        <v>73</v>
      </c>
      <c r="C9" s="216"/>
      <c r="D9" s="216"/>
    </row>
    <row r="13" spans="1:23">
      <c r="B13" s="221" t="s">
        <v>74</v>
      </c>
      <c r="C13" s="380">
        <v>83</v>
      </c>
    </row>
    <row r="14" spans="1:23">
      <c r="B14" s="221"/>
      <c r="C14" s="380"/>
    </row>
    <row r="15" spans="1:23">
      <c r="A15" s="226" t="s">
        <v>11</v>
      </c>
      <c r="B15" s="351" t="s">
        <v>75</v>
      </c>
      <c r="C15" s="228" t="s">
        <v>76</v>
      </c>
      <c r="D15" s="228" t="s">
        <v>77</v>
      </c>
      <c r="E15" s="229" t="s">
        <v>57</v>
      </c>
      <c r="G15" s="229" t="s">
        <v>78</v>
      </c>
      <c r="H15" s="229" t="s">
        <v>79</v>
      </c>
      <c r="I15" s="229" t="s">
        <v>80</v>
      </c>
      <c r="J15" s="229" t="s">
        <v>81</v>
      </c>
      <c r="K15" s="229" t="s">
        <v>82</v>
      </c>
      <c r="L15" s="229" t="s">
        <v>83</v>
      </c>
      <c r="N15" s="2543" t="s">
        <v>84</v>
      </c>
      <c r="O15" s="2544"/>
      <c r="P15" s="2544"/>
      <c r="Q15" s="2544"/>
      <c r="R15" s="2544"/>
      <c r="S15" s="2544"/>
      <c r="T15" s="2544"/>
      <c r="U15" s="2544"/>
      <c r="V15" s="2544"/>
      <c r="W15" s="2545"/>
    </row>
    <row r="16" spans="1:23" ht="36" customHeight="1">
      <c r="A16" s="226"/>
      <c r="B16" s="351"/>
      <c r="C16" s="228"/>
      <c r="D16" s="228"/>
      <c r="E16" s="229"/>
      <c r="G16" s="229"/>
      <c r="H16" s="229"/>
      <c r="I16" s="229"/>
      <c r="J16" s="229"/>
      <c r="K16" s="229"/>
      <c r="L16" s="229"/>
      <c r="N16" s="381" t="s">
        <v>85</v>
      </c>
      <c r="O16" s="381" t="s">
        <v>10</v>
      </c>
      <c r="P16" s="381" t="s">
        <v>86</v>
      </c>
      <c r="Q16" s="381" t="s">
        <v>87</v>
      </c>
      <c r="R16" s="381" t="s">
        <v>88</v>
      </c>
      <c r="S16" s="381" t="s">
        <v>89</v>
      </c>
      <c r="T16" s="381" t="s">
        <v>90</v>
      </c>
      <c r="U16" s="381" t="s">
        <v>91</v>
      </c>
      <c r="V16" s="381" t="s">
        <v>92</v>
      </c>
      <c r="W16" s="381" t="s">
        <v>93</v>
      </c>
    </row>
    <row r="17" spans="1:24">
      <c r="A17" s="233" t="s">
        <v>94</v>
      </c>
      <c r="B17" s="353">
        <v>573719</v>
      </c>
      <c r="C17" s="232">
        <v>66.430000000000007</v>
      </c>
      <c r="D17" s="233">
        <f>+$C$13/C17</f>
        <v>1.2494354960108383</v>
      </c>
      <c r="E17" s="231">
        <f>INT(B17*D17)</f>
        <v>716824</v>
      </c>
      <c r="G17" s="229">
        <f>+B17*0.04</f>
        <v>22948.760000000002</v>
      </c>
      <c r="H17" s="229">
        <f>+B17*0.0338</f>
        <v>19391.7022</v>
      </c>
      <c r="I17" s="229">
        <f>+B17*0.08</f>
        <v>45897.520000000004</v>
      </c>
      <c r="J17" s="229">
        <f>+B17*0.1013</f>
        <v>58117.734700000001</v>
      </c>
      <c r="K17" s="229">
        <f>+G17+I17</f>
        <v>68846.28</v>
      </c>
      <c r="L17" s="229">
        <f>+J17+H17</f>
        <v>77509.436900000001</v>
      </c>
      <c r="N17" s="367">
        <v>37196</v>
      </c>
      <c r="O17" s="367">
        <v>44469</v>
      </c>
      <c r="P17" s="216">
        <f>_xlfn.DAYS(O17,N17)</f>
        <v>7273</v>
      </c>
      <c r="Q17" s="442">
        <f>22.98%*1.5</f>
        <v>0.34470000000000001</v>
      </c>
      <c r="R17" s="245">
        <f>((1+Q17)^(1/365))-1</f>
        <v>8.1175652859677427E-4</v>
      </c>
      <c r="S17" s="229">
        <f>+K17</f>
        <v>68846.28</v>
      </c>
      <c r="T17" s="368">
        <f>+S17*R17*P17</f>
        <v>406461.91272908193</v>
      </c>
      <c r="U17" s="229">
        <f>+L17</f>
        <v>77509.436900000001</v>
      </c>
      <c r="V17" s="368">
        <f>+U17*R17*P17</f>
        <v>457608.37008082471</v>
      </c>
      <c r="W17" s="246">
        <f>+T17+V17</f>
        <v>864070.28280990664</v>
      </c>
    </row>
    <row r="18" spans="1:24">
      <c r="A18" s="233" t="s">
        <v>34</v>
      </c>
      <c r="B18" s="353">
        <v>573719</v>
      </c>
      <c r="C18" s="232">
        <v>66.5</v>
      </c>
      <c r="D18" s="233">
        <f>+$C$13/C18</f>
        <v>1.2481203007518797</v>
      </c>
      <c r="E18" s="231">
        <f>INT(B18*D18)</f>
        <v>716070</v>
      </c>
      <c r="G18" s="229">
        <f>+B18*0.04</f>
        <v>22948.760000000002</v>
      </c>
      <c r="H18" s="229">
        <f>+B18*0.0338</f>
        <v>19391.7022</v>
      </c>
      <c r="I18" s="229">
        <f>+B18*0.08</f>
        <v>45897.520000000004</v>
      </c>
      <c r="J18" s="229">
        <f>+B18*0.1013</f>
        <v>58117.734700000001</v>
      </c>
      <c r="K18" s="229">
        <f>+G18+I18</f>
        <v>68846.28</v>
      </c>
      <c r="L18" s="229">
        <f>+J18+H18</f>
        <v>77509.436900000001</v>
      </c>
      <c r="N18" s="367">
        <v>37226</v>
      </c>
      <c r="O18" s="367">
        <v>44469</v>
      </c>
      <c r="P18" s="216">
        <f>_xlfn.DAYS(O18,N18)</f>
        <v>7243</v>
      </c>
      <c r="Q18" s="442">
        <f>22.48%*1.5</f>
        <v>0.3372</v>
      </c>
      <c r="R18" s="245">
        <f>((1+Q18)^(1/365))-1</f>
        <v>7.9642074338259761E-4</v>
      </c>
      <c r="S18" s="229">
        <f>+K18</f>
        <v>68846.28</v>
      </c>
      <c r="T18" s="368">
        <f>+S18*R18*P18</f>
        <v>397138.07561278978</v>
      </c>
      <c r="U18" s="229">
        <f>+L18</f>
        <v>77509.436900000001</v>
      </c>
      <c r="V18" s="368">
        <f>+U18*R18*P18</f>
        <v>447111.28346073249</v>
      </c>
      <c r="W18" s="246">
        <f>+T18+V18</f>
        <v>844249.35907352227</v>
      </c>
    </row>
    <row r="19" spans="1:24">
      <c r="A19" s="233" t="s">
        <v>35</v>
      </c>
      <c r="B19" s="353">
        <v>573719</v>
      </c>
      <c r="C19" s="232">
        <v>66.73</v>
      </c>
      <c r="D19" s="233">
        <f>+$C$13/C19</f>
        <v>1.2438183725460812</v>
      </c>
      <c r="E19" s="231">
        <f>INT(B19*D19)</f>
        <v>713602</v>
      </c>
      <c r="G19" s="229">
        <f>+B19*0.04</f>
        <v>22948.760000000002</v>
      </c>
      <c r="H19" s="229">
        <f>+B19*0.0338</f>
        <v>19391.7022</v>
      </c>
      <c r="I19" s="229">
        <f>+B19*0.08</f>
        <v>45897.520000000004</v>
      </c>
      <c r="J19" s="229">
        <f>+B19*0.1013</f>
        <v>58117.734700000001</v>
      </c>
      <c r="K19" s="229">
        <f>+G19+I19</f>
        <v>68846.28</v>
      </c>
      <c r="L19" s="229">
        <f>+J19+H19</f>
        <v>77509.436900000001</v>
      </c>
      <c r="N19" s="367">
        <v>37257</v>
      </c>
      <c r="O19" s="367">
        <v>44469</v>
      </c>
      <c r="P19" s="216">
        <f>_xlfn.DAYS(O19,N19)</f>
        <v>7212</v>
      </c>
      <c r="Q19" s="442">
        <f>22.81%*1.5</f>
        <v>0.34215000000000001</v>
      </c>
      <c r="R19" s="245">
        <f>((1+Q19)^(1/365))-1</f>
        <v>8.0655195337708818E-4</v>
      </c>
      <c r="S19" s="229">
        <f>+K19</f>
        <v>68846.28</v>
      </c>
      <c r="T19" s="368">
        <f>+S19*R19*P19</f>
        <v>400468.66885997186</v>
      </c>
      <c r="U19" s="229">
        <f>+L19</f>
        <v>77509.436900000001</v>
      </c>
      <c r="V19" s="368">
        <f>+U19*R19*P19</f>
        <v>450860.97635818494</v>
      </c>
      <c r="W19" s="246">
        <f>+T19+V19</f>
        <v>851329.64521815674</v>
      </c>
    </row>
    <row r="20" spans="1:24">
      <c r="A20" s="233" t="s">
        <v>95</v>
      </c>
      <c r="B20" s="353">
        <v>143480</v>
      </c>
      <c r="C20" s="232">
        <v>66.73</v>
      </c>
      <c r="D20" s="233">
        <f>+$C$13/C20</f>
        <v>1.2438183725460812</v>
      </c>
      <c r="E20" s="231">
        <f>INT(B20*D20)</f>
        <v>178463</v>
      </c>
      <c r="G20" s="229"/>
      <c r="H20" s="229"/>
      <c r="I20" s="229"/>
      <c r="J20" s="229"/>
      <c r="K20" s="353"/>
      <c r="L20" s="353"/>
      <c r="N20" s="367"/>
      <c r="O20" s="367"/>
      <c r="P20" s="399"/>
      <c r="Q20" s="442"/>
      <c r="R20" s="245"/>
      <c r="S20" s="229"/>
      <c r="T20" s="368"/>
      <c r="U20" s="229"/>
      <c r="V20" s="368"/>
      <c r="W20" s="246"/>
    </row>
    <row r="21" spans="1:24">
      <c r="A21" s="233" t="s">
        <v>96</v>
      </c>
      <c r="B21" s="216"/>
      <c r="C21" s="231"/>
      <c r="D21" s="231"/>
      <c r="E21" s="231">
        <f>SUM(E17:E20)</f>
        <v>2324959</v>
      </c>
      <c r="G21" s="229">
        <f t="shared" ref="G21:L21" si="0">SUM(G17:G20)</f>
        <v>68846.28</v>
      </c>
      <c r="H21" s="229">
        <f t="shared" si="0"/>
        <v>58175.106599999999</v>
      </c>
      <c r="I21" s="229">
        <f t="shared" si="0"/>
        <v>137692.56</v>
      </c>
      <c r="J21" s="229">
        <f t="shared" si="0"/>
        <v>174353.2041</v>
      </c>
      <c r="K21" s="229">
        <f t="shared" si="0"/>
        <v>206538.84</v>
      </c>
      <c r="L21" s="229">
        <f t="shared" si="0"/>
        <v>232528.3107</v>
      </c>
      <c r="N21" s="2546" t="s">
        <v>97</v>
      </c>
      <c r="O21" s="2547"/>
      <c r="P21" s="2547"/>
      <c r="Q21" s="2547"/>
      <c r="R21" s="2548"/>
      <c r="S21" s="348">
        <f>SUM(S17:S20)</f>
        <v>206538.84</v>
      </c>
      <c r="U21" s="348">
        <f>SUM(U17:U20)</f>
        <v>232528.3107</v>
      </c>
      <c r="V21" s="154" t="s">
        <v>97</v>
      </c>
      <c r="W21" s="246">
        <f>SUM(W17:W20)</f>
        <v>2559649.2871015854</v>
      </c>
      <c r="X21" s="443">
        <f>+S21+U21+W21</f>
        <v>2998716.4378015855</v>
      </c>
    </row>
    <row r="22" spans="1:24">
      <c r="A22" s="233" t="s">
        <v>98</v>
      </c>
      <c r="B22" s="216"/>
      <c r="C22" s="231"/>
      <c r="D22" s="231"/>
      <c r="E22" s="231">
        <f>+G21+H21</f>
        <v>127021.3866</v>
      </c>
    </row>
    <row r="23" spans="1:24">
      <c r="A23" s="233" t="s">
        <v>99</v>
      </c>
      <c r="B23" s="216"/>
      <c r="C23" s="231"/>
      <c r="D23" s="231"/>
      <c r="E23" s="231">
        <f>+E21-E22</f>
        <v>2197937.6134000001</v>
      </c>
    </row>
    <row r="24" spans="1:24">
      <c r="N24" s="2543" t="s">
        <v>84</v>
      </c>
      <c r="O24" s="2544"/>
      <c r="P24" s="2544"/>
      <c r="Q24" s="2544"/>
      <c r="R24" s="2544"/>
      <c r="S24" s="2544"/>
      <c r="T24" s="2544"/>
      <c r="U24" s="2544"/>
      <c r="V24" s="2544"/>
      <c r="W24" s="2545"/>
    </row>
    <row r="25" spans="1:24" ht="33.75">
      <c r="A25" s="226" t="s">
        <v>11</v>
      </c>
      <c r="B25" s="351" t="s">
        <v>100</v>
      </c>
      <c r="C25" s="228" t="s">
        <v>76</v>
      </c>
      <c r="D25" s="228" t="s">
        <v>77</v>
      </c>
      <c r="E25" s="229" t="s">
        <v>57</v>
      </c>
      <c r="G25" s="229" t="s">
        <v>78</v>
      </c>
      <c r="H25" s="229" t="s">
        <v>79</v>
      </c>
      <c r="I25" s="229" t="s">
        <v>80</v>
      </c>
      <c r="J25" s="229" t="s">
        <v>81</v>
      </c>
      <c r="K25" s="229" t="s">
        <v>82</v>
      </c>
      <c r="L25" s="229" t="s">
        <v>83</v>
      </c>
      <c r="N25" s="381" t="s">
        <v>85</v>
      </c>
      <c r="O25" s="381" t="s">
        <v>10</v>
      </c>
      <c r="P25" s="381" t="s">
        <v>86</v>
      </c>
      <c r="Q25" s="381" t="s">
        <v>87</v>
      </c>
      <c r="R25" s="381" t="s">
        <v>88</v>
      </c>
      <c r="S25" s="381" t="s">
        <v>89</v>
      </c>
      <c r="T25" s="381" t="s">
        <v>90</v>
      </c>
      <c r="U25" s="381" t="s">
        <v>91</v>
      </c>
      <c r="V25" s="381" t="s">
        <v>92</v>
      </c>
      <c r="W25" s="381" t="s">
        <v>93</v>
      </c>
    </row>
    <row r="26" spans="1:24">
      <c r="A26" s="233" t="s">
        <v>16</v>
      </c>
      <c r="B26" s="353">
        <v>610342</v>
      </c>
      <c r="C26" s="232">
        <v>67.260000000000005</v>
      </c>
      <c r="D26" s="233">
        <f>+$C$13/C26</f>
        <v>1.2340172465060957</v>
      </c>
      <c r="E26" s="231">
        <f>INT(B26*D26)</f>
        <v>753172</v>
      </c>
      <c r="G26" s="229">
        <f>+B26*0.04</f>
        <v>24413.68</v>
      </c>
      <c r="H26" s="229">
        <f>+B26*0.0338</f>
        <v>20629.559599999997</v>
      </c>
      <c r="I26" s="229">
        <f>+B26*0.08</f>
        <v>48827.360000000001</v>
      </c>
      <c r="J26" s="229">
        <f>+B26*0.1013</f>
        <v>61827.6446</v>
      </c>
      <c r="K26" s="229">
        <f>+G26+I26</f>
        <v>73241.040000000008</v>
      </c>
      <c r="L26" s="229">
        <f>+J26+H26</f>
        <v>82457.204199999993</v>
      </c>
      <c r="N26" s="367">
        <v>37288</v>
      </c>
      <c r="O26" s="367">
        <v>44469</v>
      </c>
      <c r="P26" s="216">
        <f>_xlfn.DAYS(O26,N26)</f>
        <v>7181</v>
      </c>
      <c r="Q26" s="442">
        <f>22.35%*1.5</f>
        <v>0.33524999999999999</v>
      </c>
      <c r="R26" s="245">
        <f>((1+Q26)^(1/365))-1</f>
        <v>7.924193881734265E-4</v>
      </c>
      <c r="S26" s="229">
        <f>+K26</f>
        <v>73241.040000000008</v>
      </c>
      <c r="T26" s="368">
        <f>+S26*R26*P26</f>
        <v>416768.1499810816</v>
      </c>
      <c r="U26" s="229">
        <f>+L26</f>
        <v>82457.204199999993</v>
      </c>
      <c r="V26" s="368">
        <f>+U26*R26*P26</f>
        <v>469211.47552036756</v>
      </c>
      <c r="W26" s="246">
        <f>+T26+V26</f>
        <v>885979.62550144922</v>
      </c>
    </row>
    <row r="27" spans="1:24">
      <c r="A27" s="233" t="s">
        <v>17</v>
      </c>
      <c r="B27" s="353">
        <v>610342</v>
      </c>
      <c r="C27" s="232">
        <v>68.11</v>
      </c>
      <c r="D27" s="233">
        <f t="shared" ref="D27:D42" si="1">+$C$13/C27</f>
        <v>1.2186169431801497</v>
      </c>
      <c r="E27" s="231">
        <f t="shared" ref="E27:E42" si="2">INT(B27*D27)</f>
        <v>743773</v>
      </c>
      <c r="G27" s="229">
        <f t="shared" ref="G27:G37" si="3">+B27*0.04</f>
        <v>24413.68</v>
      </c>
      <c r="H27" s="229">
        <f t="shared" ref="H27:H37" si="4">+B27*0.0338</f>
        <v>20629.559599999997</v>
      </c>
      <c r="I27" s="229">
        <f t="shared" ref="I27:I37" si="5">+B27*0.08</f>
        <v>48827.360000000001</v>
      </c>
      <c r="J27" s="229">
        <f t="shared" ref="J27:J37" si="6">+B27*0.1013</f>
        <v>61827.6446</v>
      </c>
      <c r="K27" s="229">
        <f t="shared" ref="K27:K37" si="7">+G27+I27</f>
        <v>73241.040000000008</v>
      </c>
      <c r="L27" s="229">
        <f t="shared" ref="L27:L37" si="8">+J27+H27</f>
        <v>82457.204199999993</v>
      </c>
      <c r="N27" s="367">
        <v>37316</v>
      </c>
      <c r="O27" s="367">
        <v>44469</v>
      </c>
      <c r="P27" s="216">
        <f t="shared" ref="P27:P37" si="9">_xlfn.DAYS(O27,N27)</f>
        <v>7153</v>
      </c>
      <c r="Q27" s="442">
        <f>20.97%*1.5</f>
        <v>0.31455</v>
      </c>
      <c r="R27" s="245">
        <f t="shared" ref="R27:R37" si="10">((1+Q27)^(1/365))-1</f>
        <v>7.4958052596918456E-4</v>
      </c>
      <c r="S27" s="229">
        <f t="shared" ref="S27:S37" si="11">+K27</f>
        <v>73241.040000000008</v>
      </c>
      <c r="T27" s="368">
        <f>+S27*R27*P27</f>
        <v>392700.10976482736</v>
      </c>
      <c r="U27" s="229">
        <f t="shared" ref="U27:U37" si="12">+L27</f>
        <v>82457.204199999993</v>
      </c>
      <c r="V27" s="368">
        <f t="shared" ref="V27:V37" si="13">+U27*R27*P27</f>
        <v>442114.87357690139</v>
      </c>
      <c r="W27" s="246">
        <f t="shared" ref="W27:W36" si="14">+T27+V27</f>
        <v>834814.9833417288</v>
      </c>
    </row>
    <row r="28" spans="1:24">
      <c r="A28" s="233" t="s">
        <v>19</v>
      </c>
      <c r="B28" s="353">
        <v>610342</v>
      </c>
      <c r="C28" s="232">
        <v>68.59</v>
      </c>
      <c r="D28" s="233">
        <f t="shared" si="1"/>
        <v>1.2100889342469747</v>
      </c>
      <c r="E28" s="231">
        <f t="shared" si="2"/>
        <v>738568</v>
      </c>
      <c r="G28" s="229">
        <f t="shared" si="3"/>
        <v>24413.68</v>
      </c>
      <c r="H28" s="229">
        <f t="shared" si="4"/>
        <v>20629.559599999997</v>
      </c>
      <c r="I28" s="229">
        <f t="shared" si="5"/>
        <v>48827.360000000001</v>
      </c>
      <c r="J28" s="229">
        <f t="shared" si="6"/>
        <v>61827.6446</v>
      </c>
      <c r="K28" s="229">
        <f t="shared" si="7"/>
        <v>73241.040000000008</v>
      </c>
      <c r="L28" s="229">
        <f t="shared" si="8"/>
        <v>82457.204199999993</v>
      </c>
      <c r="N28" s="367">
        <v>37347</v>
      </c>
      <c r="O28" s="367">
        <v>44469</v>
      </c>
      <c r="P28" s="216">
        <f t="shared" si="9"/>
        <v>7122</v>
      </c>
      <c r="Q28" s="442">
        <f>21.03%*1.5</f>
        <v>0.31545000000000001</v>
      </c>
      <c r="R28" s="245">
        <f t="shared" si="10"/>
        <v>7.5145703099988026E-4</v>
      </c>
      <c r="S28" s="229">
        <f t="shared" si="11"/>
        <v>73241.040000000008</v>
      </c>
      <c r="T28" s="368">
        <f>+S28*R28*P28</f>
        <v>391977.03558502503</v>
      </c>
      <c r="U28" s="229">
        <f t="shared" si="12"/>
        <v>82457.204199999993</v>
      </c>
      <c r="V28" s="368">
        <f t="shared" si="13"/>
        <v>441300.81256280729</v>
      </c>
      <c r="W28" s="246">
        <f t="shared" si="14"/>
        <v>833277.84814783232</v>
      </c>
    </row>
    <row r="29" spans="1:24">
      <c r="A29" s="233" t="s">
        <v>21</v>
      </c>
      <c r="B29" s="353">
        <v>610342</v>
      </c>
      <c r="C29" s="232">
        <v>69.22</v>
      </c>
      <c r="D29" s="233">
        <f t="shared" si="1"/>
        <v>1.1990754117307136</v>
      </c>
      <c r="E29" s="231">
        <f t="shared" si="2"/>
        <v>731846</v>
      </c>
      <c r="G29" s="229">
        <f t="shared" si="3"/>
        <v>24413.68</v>
      </c>
      <c r="H29" s="229">
        <f t="shared" si="4"/>
        <v>20629.559599999997</v>
      </c>
      <c r="I29" s="229">
        <f t="shared" si="5"/>
        <v>48827.360000000001</v>
      </c>
      <c r="J29" s="229">
        <f t="shared" si="6"/>
        <v>61827.6446</v>
      </c>
      <c r="K29" s="229">
        <f t="shared" si="7"/>
        <v>73241.040000000008</v>
      </c>
      <c r="L29" s="229">
        <f t="shared" si="8"/>
        <v>82457.204199999993</v>
      </c>
      <c r="N29" s="367">
        <v>37377</v>
      </c>
      <c r="O29" s="367">
        <v>44469</v>
      </c>
      <c r="P29" s="216">
        <f t="shared" si="9"/>
        <v>7092</v>
      </c>
      <c r="Q29" s="442">
        <f>20%*1.5</f>
        <v>0.30000000000000004</v>
      </c>
      <c r="R29" s="245">
        <f t="shared" si="10"/>
        <v>7.1906460711024245E-4</v>
      </c>
      <c r="S29" s="229">
        <f t="shared" si="11"/>
        <v>73241.040000000008</v>
      </c>
      <c r="T29" s="368">
        <f t="shared" ref="T29:T37" si="15">+S29*R29*P29</f>
        <v>373500.4612115979</v>
      </c>
      <c r="U29" s="229">
        <f t="shared" si="12"/>
        <v>82457.204199999993</v>
      </c>
      <c r="V29" s="368">
        <f t="shared" si="13"/>
        <v>420499.2692473905</v>
      </c>
      <c r="W29" s="246">
        <f t="shared" si="14"/>
        <v>793999.73045898834</v>
      </c>
    </row>
    <row r="30" spans="1:24">
      <c r="A30" s="233" t="s">
        <v>23</v>
      </c>
      <c r="B30" s="353">
        <v>610342</v>
      </c>
      <c r="C30" s="232">
        <v>69.63</v>
      </c>
      <c r="D30" s="233">
        <f t="shared" si="1"/>
        <v>1.1920149360907655</v>
      </c>
      <c r="E30" s="231">
        <f t="shared" si="2"/>
        <v>727536</v>
      </c>
      <c r="G30" s="229">
        <f t="shared" si="3"/>
        <v>24413.68</v>
      </c>
      <c r="H30" s="229">
        <f t="shared" si="4"/>
        <v>20629.559599999997</v>
      </c>
      <c r="I30" s="229">
        <f t="shared" si="5"/>
        <v>48827.360000000001</v>
      </c>
      <c r="J30" s="229">
        <f t="shared" si="6"/>
        <v>61827.6446</v>
      </c>
      <c r="K30" s="229">
        <f t="shared" si="7"/>
        <v>73241.040000000008</v>
      </c>
      <c r="L30" s="229">
        <f t="shared" si="8"/>
        <v>82457.204199999993</v>
      </c>
      <c r="N30" s="367">
        <v>37408</v>
      </c>
      <c r="O30" s="367">
        <v>44469</v>
      </c>
      <c r="P30" s="216">
        <f t="shared" si="9"/>
        <v>7061</v>
      </c>
      <c r="Q30" s="442">
        <f>19.96%*1.5</f>
        <v>0.2994</v>
      </c>
      <c r="R30" s="245">
        <f t="shared" si="10"/>
        <v>7.1779891762080439E-4</v>
      </c>
      <c r="S30" s="229">
        <f t="shared" si="11"/>
        <v>73241.040000000008</v>
      </c>
      <c r="T30" s="368">
        <f t="shared" si="15"/>
        <v>371213.28735543706</v>
      </c>
      <c r="U30" s="229">
        <f t="shared" si="12"/>
        <v>82457.204199999993</v>
      </c>
      <c r="V30" s="368">
        <f t="shared" si="13"/>
        <v>417924.29268099612</v>
      </c>
      <c r="W30" s="246">
        <f t="shared" si="14"/>
        <v>789137.58003643318</v>
      </c>
    </row>
    <row r="31" spans="1:24">
      <c r="A31" s="233" t="s">
        <v>25</v>
      </c>
      <c r="B31" s="353">
        <v>610342</v>
      </c>
      <c r="C31" s="232">
        <v>69.930000000000007</v>
      </c>
      <c r="D31" s="233">
        <f t="shared" si="1"/>
        <v>1.1869011869011867</v>
      </c>
      <c r="E31" s="231">
        <f t="shared" si="2"/>
        <v>724415</v>
      </c>
      <c r="G31" s="229">
        <f t="shared" si="3"/>
        <v>24413.68</v>
      </c>
      <c r="H31" s="229">
        <f t="shared" si="4"/>
        <v>20629.559599999997</v>
      </c>
      <c r="I31" s="229">
        <f t="shared" si="5"/>
        <v>48827.360000000001</v>
      </c>
      <c r="J31" s="229">
        <f t="shared" si="6"/>
        <v>61827.6446</v>
      </c>
      <c r="K31" s="229">
        <f t="shared" si="7"/>
        <v>73241.040000000008</v>
      </c>
      <c r="L31" s="229">
        <f t="shared" si="8"/>
        <v>82457.204199999993</v>
      </c>
      <c r="N31" s="367">
        <v>37438</v>
      </c>
      <c r="O31" s="367">
        <v>44469</v>
      </c>
      <c r="P31" s="216">
        <f t="shared" si="9"/>
        <v>7031</v>
      </c>
      <c r="Q31" s="442">
        <f>19.77%*1.5</f>
        <v>0.29654999999999998</v>
      </c>
      <c r="R31" s="245">
        <f t="shared" si="10"/>
        <v>7.117789222079729E-4</v>
      </c>
      <c r="S31" s="229">
        <f t="shared" si="11"/>
        <v>73241.040000000008</v>
      </c>
      <c r="T31" s="368">
        <f t="shared" si="15"/>
        <v>366536.07387202757</v>
      </c>
      <c r="U31" s="229">
        <f t="shared" si="12"/>
        <v>82457.204199999993</v>
      </c>
      <c r="V31" s="368">
        <f t="shared" si="13"/>
        <v>412658.52983425761</v>
      </c>
      <c r="W31" s="246">
        <f t="shared" si="14"/>
        <v>779194.60370628512</v>
      </c>
    </row>
    <row r="32" spans="1:24">
      <c r="A32" s="233" t="s">
        <v>27</v>
      </c>
      <c r="B32" s="353">
        <v>610342</v>
      </c>
      <c r="C32" s="232">
        <v>69.94</v>
      </c>
      <c r="D32" s="233">
        <f t="shared" si="1"/>
        <v>1.1867314841292538</v>
      </c>
      <c r="E32" s="231">
        <f t="shared" si="2"/>
        <v>724312</v>
      </c>
      <c r="G32" s="229">
        <f t="shared" si="3"/>
        <v>24413.68</v>
      </c>
      <c r="H32" s="229">
        <f t="shared" si="4"/>
        <v>20629.559599999997</v>
      </c>
      <c r="I32" s="229">
        <f t="shared" si="5"/>
        <v>48827.360000000001</v>
      </c>
      <c r="J32" s="229">
        <f t="shared" si="6"/>
        <v>61827.6446</v>
      </c>
      <c r="K32" s="229">
        <f t="shared" si="7"/>
        <v>73241.040000000008</v>
      </c>
      <c r="L32" s="229">
        <f t="shared" si="8"/>
        <v>82457.204199999993</v>
      </c>
      <c r="N32" s="367">
        <v>37469</v>
      </c>
      <c r="O32" s="367">
        <v>44469</v>
      </c>
      <c r="P32" s="216">
        <f>_xlfn.DAYS(O32,N32)</f>
        <v>7000</v>
      </c>
      <c r="Q32" s="442">
        <f>20.01*1.5%</f>
        <v>0.30015000000000003</v>
      </c>
      <c r="R32" s="245">
        <f t="shared" si="10"/>
        <v>7.1938093845691498E-4</v>
      </c>
      <c r="S32" s="229">
        <f t="shared" si="11"/>
        <v>73241.040000000008</v>
      </c>
      <c r="T32" s="368">
        <f t="shared" si="15"/>
        <v>368817.45662132319</v>
      </c>
      <c r="U32" s="229">
        <f t="shared" si="12"/>
        <v>82457.204199999993</v>
      </c>
      <c r="V32" s="368">
        <f t="shared" si="13"/>
        <v>415226.98657950625</v>
      </c>
      <c r="W32" s="246">
        <f t="shared" si="14"/>
        <v>784044.44320082944</v>
      </c>
    </row>
    <row r="33" spans="1:24">
      <c r="A33" s="233" t="s">
        <v>29</v>
      </c>
      <c r="B33" s="353">
        <v>610342</v>
      </c>
      <c r="C33" s="232">
        <v>70.010000000000005</v>
      </c>
      <c r="D33" s="233">
        <f t="shared" si="1"/>
        <v>1.185544922153978</v>
      </c>
      <c r="E33" s="231">
        <f t="shared" si="2"/>
        <v>723587</v>
      </c>
      <c r="G33" s="229">
        <f t="shared" si="3"/>
        <v>24413.68</v>
      </c>
      <c r="H33" s="229">
        <f t="shared" si="4"/>
        <v>20629.559599999997</v>
      </c>
      <c r="I33" s="229">
        <f t="shared" si="5"/>
        <v>48827.360000000001</v>
      </c>
      <c r="J33" s="229">
        <f t="shared" si="6"/>
        <v>61827.6446</v>
      </c>
      <c r="K33" s="229">
        <f t="shared" si="7"/>
        <v>73241.040000000008</v>
      </c>
      <c r="L33" s="229">
        <f t="shared" si="8"/>
        <v>82457.204199999993</v>
      </c>
      <c r="N33" s="367">
        <v>37500</v>
      </c>
      <c r="O33" s="367">
        <v>44469</v>
      </c>
      <c r="P33" s="216">
        <f t="shared" si="9"/>
        <v>6969</v>
      </c>
      <c r="Q33" s="442">
        <f>20.18*1.5%</f>
        <v>0.30269999999999997</v>
      </c>
      <c r="R33" s="245">
        <f t="shared" si="10"/>
        <v>7.2475300998164904E-4</v>
      </c>
      <c r="S33" s="229">
        <f t="shared" si="11"/>
        <v>73241.040000000008</v>
      </c>
      <c r="T33" s="368">
        <f t="shared" si="15"/>
        <v>369926.11776928476</v>
      </c>
      <c r="U33" s="229">
        <f t="shared" si="12"/>
        <v>82457.204199999993</v>
      </c>
      <c r="V33" s="368">
        <f t="shared" si="13"/>
        <v>416475.15425525297</v>
      </c>
      <c r="W33" s="246">
        <f t="shared" si="14"/>
        <v>786401.27202453767</v>
      </c>
    </row>
    <row r="34" spans="1:24">
      <c r="A34" s="233" t="s">
        <v>31</v>
      </c>
      <c r="B34" s="353">
        <v>610342</v>
      </c>
      <c r="C34" s="232">
        <v>70.260000000000005</v>
      </c>
      <c r="D34" s="233">
        <f t="shared" si="1"/>
        <v>1.1813265015656134</v>
      </c>
      <c r="E34" s="231">
        <f t="shared" si="2"/>
        <v>721013</v>
      </c>
      <c r="G34" s="229">
        <f t="shared" si="3"/>
        <v>24413.68</v>
      </c>
      <c r="H34" s="229">
        <f t="shared" si="4"/>
        <v>20629.559599999997</v>
      </c>
      <c r="I34" s="229">
        <f t="shared" si="5"/>
        <v>48827.360000000001</v>
      </c>
      <c r="J34" s="229">
        <f t="shared" si="6"/>
        <v>61827.6446</v>
      </c>
      <c r="K34" s="229">
        <f t="shared" si="7"/>
        <v>73241.040000000008</v>
      </c>
      <c r="L34" s="229">
        <f t="shared" si="8"/>
        <v>82457.204199999993</v>
      </c>
      <c r="N34" s="367">
        <v>37530</v>
      </c>
      <c r="O34" s="367">
        <v>44469</v>
      </c>
      <c r="P34" s="216">
        <f t="shared" si="9"/>
        <v>6939</v>
      </c>
      <c r="Q34" s="442">
        <f>20.3*1.5%</f>
        <v>0.30449999999999999</v>
      </c>
      <c r="R34" s="245">
        <f t="shared" si="10"/>
        <v>7.285387503104257E-4</v>
      </c>
      <c r="S34" s="229">
        <f t="shared" si="11"/>
        <v>73241.040000000008</v>
      </c>
      <c r="T34" s="368">
        <f t="shared" si="15"/>
        <v>370257.65519031615</v>
      </c>
      <c r="U34" s="229">
        <f t="shared" si="12"/>
        <v>82457.204199999993</v>
      </c>
      <c r="V34" s="368">
        <f t="shared" si="13"/>
        <v>416848.41013509751</v>
      </c>
      <c r="W34" s="246">
        <f t="shared" si="14"/>
        <v>787106.0653254136</v>
      </c>
    </row>
    <row r="35" spans="1:24">
      <c r="A35" s="233" t="s">
        <v>33</v>
      </c>
      <c r="B35" s="353">
        <v>610342</v>
      </c>
      <c r="C35" s="232">
        <v>70.66</v>
      </c>
      <c r="D35" s="233">
        <f t="shared" si="1"/>
        <v>1.1746391168978205</v>
      </c>
      <c r="E35" s="231">
        <f t="shared" si="2"/>
        <v>716931</v>
      </c>
      <c r="G35" s="229">
        <f t="shared" si="3"/>
        <v>24413.68</v>
      </c>
      <c r="H35" s="229">
        <f t="shared" si="4"/>
        <v>20629.559599999997</v>
      </c>
      <c r="I35" s="229">
        <f t="shared" si="5"/>
        <v>48827.360000000001</v>
      </c>
      <c r="J35" s="229">
        <f t="shared" si="6"/>
        <v>61827.6446</v>
      </c>
      <c r="K35" s="229">
        <f t="shared" si="7"/>
        <v>73241.040000000008</v>
      </c>
      <c r="L35" s="229">
        <f t="shared" si="8"/>
        <v>82457.204199999993</v>
      </c>
      <c r="N35" s="367">
        <v>37561</v>
      </c>
      <c r="O35" s="367">
        <v>44469</v>
      </c>
      <c r="P35" s="216">
        <f t="shared" si="9"/>
        <v>6908</v>
      </c>
      <c r="Q35" s="442">
        <f>19.69*1.5%</f>
        <v>0.29535</v>
      </c>
      <c r="R35" s="245">
        <f t="shared" si="10"/>
        <v>7.0924023831597793E-4</v>
      </c>
      <c r="S35" s="229">
        <f t="shared" si="11"/>
        <v>73241.040000000008</v>
      </c>
      <c r="T35" s="368">
        <f t="shared" si="15"/>
        <v>358839.46332367242</v>
      </c>
      <c r="U35" s="229">
        <f t="shared" si="12"/>
        <v>82457.204199999993</v>
      </c>
      <c r="V35" s="368">
        <f t="shared" si="13"/>
        <v>403993.42912523448</v>
      </c>
      <c r="W35" s="246">
        <f t="shared" si="14"/>
        <v>762832.8924489069</v>
      </c>
    </row>
    <row r="36" spans="1:24">
      <c r="A36" s="233" t="s">
        <v>34</v>
      </c>
      <c r="B36" s="353">
        <v>610342</v>
      </c>
      <c r="C36" s="232">
        <v>71.2</v>
      </c>
      <c r="D36" s="233">
        <f t="shared" si="1"/>
        <v>1.1657303370786516</v>
      </c>
      <c r="E36" s="231">
        <f t="shared" si="2"/>
        <v>711494</v>
      </c>
      <c r="G36" s="229">
        <f t="shared" si="3"/>
        <v>24413.68</v>
      </c>
      <c r="H36" s="229">
        <f t="shared" si="4"/>
        <v>20629.559599999997</v>
      </c>
      <c r="I36" s="229">
        <f t="shared" si="5"/>
        <v>48827.360000000001</v>
      </c>
      <c r="J36" s="229">
        <f t="shared" si="6"/>
        <v>61827.6446</v>
      </c>
      <c r="K36" s="229">
        <f t="shared" si="7"/>
        <v>73241.040000000008</v>
      </c>
      <c r="L36" s="229">
        <f t="shared" si="8"/>
        <v>82457.204199999993</v>
      </c>
      <c r="N36" s="367">
        <v>37591</v>
      </c>
      <c r="O36" s="367">
        <v>44469</v>
      </c>
      <c r="P36" s="216">
        <f t="shared" si="9"/>
        <v>6878</v>
      </c>
      <c r="Q36" s="442">
        <f>19.64*1.5%</f>
        <v>0.29459999999999997</v>
      </c>
      <c r="R36" s="245">
        <f t="shared" si="10"/>
        <v>7.0765236960057543E-4</v>
      </c>
      <c r="S36" s="229">
        <f t="shared" si="11"/>
        <v>73241.040000000008</v>
      </c>
      <c r="T36" s="368">
        <f t="shared" si="15"/>
        <v>356481.20670409646</v>
      </c>
      <c r="U36" s="229">
        <f t="shared" si="12"/>
        <v>82457.204199999993</v>
      </c>
      <c r="V36" s="368">
        <f t="shared" si="13"/>
        <v>401338.42521436187</v>
      </c>
      <c r="W36" s="246">
        <f t="shared" si="14"/>
        <v>757819.63191845827</v>
      </c>
    </row>
    <row r="37" spans="1:24">
      <c r="A37" s="233" t="s">
        <v>35</v>
      </c>
      <c r="B37" s="353">
        <v>610342</v>
      </c>
      <c r="C37" s="232">
        <v>71.400000000000006</v>
      </c>
      <c r="D37" s="233">
        <f t="shared" si="1"/>
        <v>1.1624649859943976</v>
      </c>
      <c r="E37" s="231">
        <f t="shared" si="2"/>
        <v>709501</v>
      </c>
      <c r="G37" s="229">
        <f t="shared" si="3"/>
        <v>24413.68</v>
      </c>
      <c r="H37" s="229">
        <f t="shared" si="4"/>
        <v>20629.559599999997</v>
      </c>
      <c r="I37" s="229">
        <f t="shared" si="5"/>
        <v>48827.360000000001</v>
      </c>
      <c r="J37" s="229">
        <f t="shared" si="6"/>
        <v>61827.6446</v>
      </c>
      <c r="K37" s="229">
        <f t="shared" si="7"/>
        <v>73241.040000000008</v>
      </c>
      <c r="L37" s="229">
        <f t="shared" si="8"/>
        <v>82457.204199999993</v>
      </c>
      <c r="N37" s="367">
        <v>37622</v>
      </c>
      <c r="O37" s="367">
        <v>44469</v>
      </c>
      <c r="P37" s="216">
        <f t="shared" si="9"/>
        <v>6847</v>
      </c>
      <c r="Q37" s="442">
        <f>19.64*1.5%</f>
        <v>0.29459999999999997</v>
      </c>
      <c r="R37" s="245">
        <f t="shared" si="10"/>
        <v>7.0765236960057543E-4</v>
      </c>
      <c r="S37" s="229">
        <f t="shared" si="11"/>
        <v>73241.040000000008</v>
      </c>
      <c r="T37" s="368">
        <f t="shared" si="15"/>
        <v>354874.50164334814</v>
      </c>
      <c r="U37" s="229">
        <f t="shared" si="12"/>
        <v>82457.204199999993</v>
      </c>
      <c r="V37" s="368">
        <f t="shared" si="13"/>
        <v>399529.54310013604</v>
      </c>
      <c r="W37" s="246">
        <f>+T37+V37</f>
        <v>754404.04474348412</v>
      </c>
    </row>
    <row r="38" spans="1:24">
      <c r="A38" s="233" t="s">
        <v>101</v>
      </c>
      <c r="B38" s="353">
        <v>286171</v>
      </c>
      <c r="C38" s="232">
        <f>+C32</f>
        <v>69.94</v>
      </c>
      <c r="D38" s="233">
        <f t="shared" si="1"/>
        <v>1.1867314841292538</v>
      </c>
      <c r="E38" s="231">
        <f t="shared" si="2"/>
        <v>339608</v>
      </c>
      <c r="K38" s="229"/>
      <c r="N38" s="2546" t="s">
        <v>97</v>
      </c>
      <c r="O38" s="2547"/>
      <c r="P38" s="2547"/>
      <c r="Q38" s="2547"/>
      <c r="R38" s="2548"/>
      <c r="S38" s="348">
        <f>SUM(S26:S37)</f>
        <v>878892.48000000033</v>
      </c>
      <c r="U38" s="348">
        <f>SUM(U26:U37)</f>
        <v>989486.45040000009</v>
      </c>
      <c r="V38" s="154" t="s">
        <v>97</v>
      </c>
      <c r="W38" s="246">
        <f>SUM(W26:W37)</f>
        <v>9549012.7208543476</v>
      </c>
      <c r="X38" s="443">
        <f>+S38+U38+W38</f>
        <v>11417391.651254348</v>
      </c>
    </row>
    <row r="39" spans="1:24">
      <c r="A39" s="233" t="s">
        <v>102</v>
      </c>
      <c r="B39" s="353">
        <v>317178</v>
      </c>
      <c r="C39" s="232">
        <f>+C34</f>
        <v>70.260000000000005</v>
      </c>
      <c r="D39" s="233">
        <f t="shared" si="1"/>
        <v>1.1813265015656134</v>
      </c>
      <c r="E39" s="231">
        <f t="shared" si="2"/>
        <v>374690</v>
      </c>
      <c r="G39" s="229">
        <f t="shared" ref="G39:L39" si="16">SUM(G26:G38)</f>
        <v>292964.15999999997</v>
      </c>
      <c r="H39" s="229">
        <f t="shared" si="16"/>
        <v>247554.71520000001</v>
      </c>
      <c r="I39" s="229">
        <f t="shared" si="16"/>
        <v>585928.31999999995</v>
      </c>
      <c r="J39" s="229">
        <f t="shared" si="16"/>
        <v>741931.7352</v>
      </c>
      <c r="K39" s="229">
        <f t="shared" si="16"/>
        <v>878892.48000000033</v>
      </c>
      <c r="L39" s="229">
        <f t="shared" si="16"/>
        <v>989486.45040000009</v>
      </c>
    </row>
    <row r="40" spans="1:24">
      <c r="A40" s="233" t="s">
        <v>103</v>
      </c>
      <c r="B40" s="353">
        <v>38423</v>
      </c>
      <c r="C40" s="232">
        <f>+C37</f>
        <v>71.400000000000006</v>
      </c>
      <c r="D40" s="233">
        <f t="shared" si="1"/>
        <v>1.1624649859943976</v>
      </c>
      <c r="E40" s="231">
        <f t="shared" si="2"/>
        <v>44665</v>
      </c>
    </row>
    <row r="41" spans="1:24">
      <c r="A41" s="233" t="s">
        <v>104</v>
      </c>
      <c r="B41" s="353">
        <v>444049</v>
      </c>
      <c r="C41" s="232">
        <f>+C36</f>
        <v>71.2</v>
      </c>
      <c r="D41" s="233">
        <f t="shared" si="1"/>
        <v>1.1657303370786516</v>
      </c>
      <c r="E41" s="231">
        <f t="shared" si="2"/>
        <v>517641</v>
      </c>
    </row>
    <row r="42" spans="1:24">
      <c r="A42" s="233" t="s">
        <v>95</v>
      </c>
      <c r="B42" s="353">
        <v>660788</v>
      </c>
      <c r="C42" s="232">
        <f>+C37</f>
        <v>71.400000000000006</v>
      </c>
      <c r="D42" s="233">
        <f t="shared" si="1"/>
        <v>1.1624649859943976</v>
      </c>
      <c r="E42" s="231">
        <f t="shared" si="2"/>
        <v>768142</v>
      </c>
    </row>
    <row r="43" spans="1:24">
      <c r="A43" s="233" t="s">
        <v>96</v>
      </c>
      <c r="B43" s="216"/>
      <c r="C43" s="216"/>
      <c r="D43" s="216"/>
      <c r="E43" s="231">
        <f>SUM(E26:E42)</f>
        <v>10770894</v>
      </c>
    </row>
    <row r="44" spans="1:24">
      <c r="A44" s="233" t="s">
        <v>98</v>
      </c>
      <c r="B44" s="216"/>
      <c r="C44" s="216"/>
      <c r="D44" s="216"/>
      <c r="E44" s="231">
        <f>+G39+H39</f>
        <v>540518.87520000001</v>
      </c>
    </row>
    <row r="45" spans="1:24">
      <c r="A45" s="233" t="s">
        <v>99</v>
      </c>
      <c r="B45" s="216"/>
      <c r="C45" s="216"/>
      <c r="D45" s="216"/>
      <c r="E45" s="231">
        <f>+E43-E44</f>
        <v>10230375.1248</v>
      </c>
    </row>
    <row r="47" spans="1:24">
      <c r="N47" s="2543" t="s">
        <v>84</v>
      </c>
      <c r="O47" s="2544"/>
      <c r="P47" s="2544"/>
      <c r="Q47" s="2544"/>
      <c r="R47" s="2544"/>
      <c r="S47" s="2544"/>
      <c r="T47" s="2544"/>
      <c r="U47" s="2544"/>
      <c r="V47" s="2544"/>
      <c r="W47" s="2545"/>
    </row>
    <row r="48" spans="1:24" ht="33.75">
      <c r="A48" s="226" t="s">
        <v>11</v>
      </c>
      <c r="B48" s="351" t="s">
        <v>105</v>
      </c>
      <c r="C48" s="228" t="s">
        <v>76</v>
      </c>
      <c r="D48" s="228" t="s">
        <v>77</v>
      </c>
      <c r="E48" s="229" t="s">
        <v>57</v>
      </c>
      <c r="G48" s="229" t="s">
        <v>78</v>
      </c>
      <c r="H48" s="229" t="s">
        <v>79</v>
      </c>
      <c r="I48" s="229" t="s">
        <v>80</v>
      </c>
      <c r="J48" s="229" t="s">
        <v>81</v>
      </c>
      <c r="K48" s="229" t="s">
        <v>82</v>
      </c>
      <c r="L48" s="229" t="s">
        <v>83</v>
      </c>
      <c r="N48" s="381" t="s">
        <v>85</v>
      </c>
      <c r="O48" s="381" t="s">
        <v>10</v>
      </c>
      <c r="P48" s="381" t="s">
        <v>86</v>
      </c>
      <c r="Q48" s="381" t="s">
        <v>87</v>
      </c>
      <c r="R48" s="381" t="s">
        <v>88</v>
      </c>
      <c r="S48" s="381" t="s">
        <v>89</v>
      </c>
      <c r="T48" s="381" t="s">
        <v>90</v>
      </c>
      <c r="U48" s="381" t="s">
        <v>91</v>
      </c>
      <c r="V48" s="381" t="s">
        <v>92</v>
      </c>
      <c r="W48" s="381" t="s">
        <v>93</v>
      </c>
    </row>
    <row r="49" spans="1:24">
      <c r="A49" s="233" t="s">
        <v>16</v>
      </c>
      <c r="B49" s="353">
        <v>648423</v>
      </c>
      <c r="C49" s="232">
        <v>50.42</v>
      </c>
      <c r="D49" s="233">
        <f>+$C$13/C49</f>
        <v>1.6461721539071796</v>
      </c>
      <c r="E49" s="231">
        <f>INT(B49*D49)</f>
        <v>1067415</v>
      </c>
      <c r="G49" s="229">
        <f>+B49*0.04</f>
        <v>25936.920000000002</v>
      </c>
      <c r="H49" s="229">
        <f>+B49*0.0338</f>
        <v>21916.697399999997</v>
      </c>
      <c r="I49" s="229">
        <f>+B49*0.08</f>
        <v>51873.840000000004</v>
      </c>
      <c r="J49" s="229">
        <f>+B49*0.1013</f>
        <v>65685.249899999995</v>
      </c>
      <c r="K49" s="229">
        <f>+G49+I49</f>
        <v>77810.760000000009</v>
      </c>
      <c r="L49" s="229">
        <f>+J49+H49</f>
        <v>87601.9473</v>
      </c>
      <c r="N49" s="367">
        <v>37653</v>
      </c>
      <c r="O49" s="367">
        <v>44469</v>
      </c>
      <c r="P49" s="216">
        <f t="shared" ref="P49:P60" si="17">_xlfn.DAYS(O49,N49)</f>
        <v>6816</v>
      </c>
      <c r="Q49" s="442">
        <f>19.78%*1.5</f>
        <v>0.29670000000000002</v>
      </c>
      <c r="R49" s="245">
        <f>((1+Q49)^(1/365))-1</f>
        <v>7.1209609292544052E-4</v>
      </c>
      <c r="S49" s="229">
        <f>+K49</f>
        <v>77810.760000000009</v>
      </c>
      <c r="T49" s="368">
        <f>+S49*R49*P49</f>
        <v>377665.95945913921</v>
      </c>
      <c r="U49" s="229">
        <f>+L49</f>
        <v>87601.9473</v>
      </c>
      <c r="V49" s="368">
        <f>+U49*R49*P49</f>
        <v>425188.92602441419</v>
      </c>
      <c r="W49" s="246">
        <f>+T49+V49</f>
        <v>802854.8854835534</v>
      </c>
      <c r="X49" s="348"/>
    </row>
    <row r="50" spans="1:24">
      <c r="A50" s="233" t="s">
        <v>17</v>
      </c>
      <c r="B50" s="353">
        <v>648423</v>
      </c>
      <c r="C50" s="232">
        <v>50.98</v>
      </c>
      <c r="D50" s="233">
        <f t="shared" ref="D50:D65" si="18">+$C$13/C50</f>
        <v>1.6280894468418989</v>
      </c>
      <c r="E50" s="231">
        <f t="shared" ref="E50:E65" si="19">INT(B50*D50)</f>
        <v>1055690</v>
      </c>
      <c r="G50" s="229">
        <f t="shared" ref="G50:G60" si="20">+B50*0.04</f>
        <v>25936.920000000002</v>
      </c>
      <c r="H50" s="229">
        <f t="shared" ref="H50:H60" si="21">+B50*0.0338</f>
        <v>21916.697399999997</v>
      </c>
      <c r="I50" s="229">
        <f t="shared" ref="I50:I60" si="22">+B50*0.08</f>
        <v>51873.840000000004</v>
      </c>
      <c r="J50" s="229">
        <f t="shared" ref="J50:J60" si="23">+B50*0.1013</f>
        <v>65685.249899999995</v>
      </c>
      <c r="K50" s="229">
        <f t="shared" ref="K50:K60" si="24">+G50+I50</f>
        <v>77810.760000000009</v>
      </c>
      <c r="L50" s="229">
        <f t="shared" ref="L50:L60" si="25">+J50+H50</f>
        <v>87601.9473</v>
      </c>
      <c r="N50" s="367">
        <v>37681</v>
      </c>
      <c r="O50" s="367">
        <v>44469</v>
      </c>
      <c r="P50" s="216">
        <f t="shared" si="17"/>
        <v>6788</v>
      </c>
      <c r="Q50" s="442">
        <f>19.49*1.5%</f>
        <v>0.29234999999999994</v>
      </c>
      <c r="R50" s="245">
        <f t="shared" ref="R50:R60" si="26">((1+Q50)^(1/365))-1</f>
        <v>7.0288325333756063E-4</v>
      </c>
      <c r="S50" s="229">
        <f t="shared" ref="S50:S60" si="27">+K50</f>
        <v>77810.760000000009</v>
      </c>
      <c r="T50" s="368">
        <f>+S50*R50*P50</f>
        <v>371248.48234598176</v>
      </c>
      <c r="U50" s="229">
        <f t="shared" ref="U50:U60" si="28">+L50</f>
        <v>87601.9473</v>
      </c>
      <c r="V50" s="368">
        <f t="shared" ref="V50:V60" si="29">+U50*R50*P50</f>
        <v>417963.91637451766</v>
      </c>
      <c r="W50" s="246">
        <f t="shared" ref="W50:W60" si="30">+T50+V50</f>
        <v>789212.39872049936</v>
      </c>
      <c r="X50" s="348"/>
    </row>
    <row r="51" spans="1:24">
      <c r="A51" s="233" t="s">
        <v>19</v>
      </c>
      <c r="B51" s="353">
        <v>648423</v>
      </c>
      <c r="C51" s="232">
        <v>51.51</v>
      </c>
      <c r="D51" s="233">
        <f t="shared" si="18"/>
        <v>1.6113376043486702</v>
      </c>
      <c r="E51" s="231">
        <f t="shared" si="19"/>
        <v>1044828</v>
      </c>
      <c r="G51" s="229">
        <f t="shared" si="20"/>
        <v>25936.920000000002</v>
      </c>
      <c r="H51" s="229">
        <f t="shared" si="21"/>
        <v>21916.697399999997</v>
      </c>
      <c r="I51" s="229">
        <f t="shared" si="22"/>
        <v>51873.840000000004</v>
      </c>
      <c r="J51" s="229">
        <f t="shared" si="23"/>
        <v>65685.249899999995</v>
      </c>
      <c r="K51" s="229">
        <f t="shared" si="24"/>
        <v>77810.760000000009</v>
      </c>
      <c r="L51" s="229">
        <f t="shared" si="25"/>
        <v>87601.9473</v>
      </c>
      <c r="N51" s="367">
        <v>37712</v>
      </c>
      <c r="O51" s="367">
        <v>44469</v>
      </c>
      <c r="P51" s="216">
        <f t="shared" si="17"/>
        <v>6757</v>
      </c>
      <c r="Q51" s="442">
        <f>19.81*1.5%</f>
        <v>0.29714999999999997</v>
      </c>
      <c r="R51" s="245">
        <f t="shared" si="26"/>
        <v>7.1304738558919389E-4</v>
      </c>
      <c r="S51" s="229">
        <f t="shared" si="27"/>
        <v>77810.760000000009</v>
      </c>
      <c r="T51" s="368">
        <f>+S51*R51*P51</f>
        <v>374897.00248670153</v>
      </c>
      <c r="U51" s="229">
        <f t="shared" si="28"/>
        <v>87601.9473</v>
      </c>
      <c r="V51" s="368">
        <f t="shared" si="29"/>
        <v>422071.54196627811</v>
      </c>
      <c r="W51" s="246">
        <f t="shared" si="30"/>
        <v>796968.5444529797</v>
      </c>
      <c r="X51" s="348"/>
    </row>
    <row r="52" spans="1:24">
      <c r="A52" s="233" t="s">
        <v>21</v>
      </c>
      <c r="B52" s="353">
        <v>648423</v>
      </c>
      <c r="C52" s="232">
        <v>52.1</v>
      </c>
      <c r="D52" s="233">
        <f t="shared" si="18"/>
        <v>1.5930902111324377</v>
      </c>
      <c r="E52" s="231">
        <f t="shared" si="19"/>
        <v>1032996</v>
      </c>
      <c r="G52" s="229">
        <f t="shared" si="20"/>
        <v>25936.920000000002</v>
      </c>
      <c r="H52" s="229">
        <f t="shared" si="21"/>
        <v>21916.697399999997</v>
      </c>
      <c r="I52" s="229">
        <f t="shared" si="22"/>
        <v>51873.840000000004</v>
      </c>
      <c r="J52" s="229">
        <f t="shared" si="23"/>
        <v>65685.249899999995</v>
      </c>
      <c r="K52" s="229">
        <f t="shared" si="24"/>
        <v>77810.760000000009</v>
      </c>
      <c r="L52" s="229">
        <f t="shared" si="25"/>
        <v>87601.9473</v>
      </c>
      <c r="N52" s="367">
        <v>37742</v>
      </c>
      <c r="O52" s="367">
        <v>44469</v>
      </c>
      <c r="P52" s="216">
        <f t="shared" si="17"/>
        <v>6727</v>
      </c>
      <c r="Q52" s="442">
        <f>19.89*1.5%</f>
        <v>0.29835</v>
      </c>
      <c r="R52" s="245">
        <f t="shared" si="26"/>
        <v>7.1558255792592007E-4</v>
      </c>
      <c r="S52" s="229">
        <f t="shared" si="27"/>
        <v>77810.760000000009</v>
      </c>
      <c r="T52" s="368">
        <f t="shared" ref="T52:T60" si="31">+S52*R52*P52</f>
        <v>374559.51253445505</v>
      </c>
      <c r="U52" s="229">
        <f t="shared" si="28"/>
        <v>87601.9473</v>
      </c>
      <c r="V52" s="368">
        <f t="shared" si="29"/>
        <v>421691.58452837396</v>
      </c>
      <c r="W52" s="246">
        <f t="shared" si="30"/>
        <v>796251.09706282895</v>
      </c>
      <c r="X52" s="348"/>
    </row>
    <row r="53" spans="1:24">
      <c r="A53" s="233" t="s">
        <v>23</v>
      </c>
      <c r="B53" s="353">
        <v>648423</v>
      </c>
      <c r="C53" s="232">
        <v>52.36</v>
      </c>
      <c r="D53" s="233">
        <f t="shared" si="18"/>
        <v>1.5851795263559969</v>
      </c>
      <c r="E53" s="231">
        <f t="shared" si="19"/>
        <v>1027866</v>
      </c>
      <c r="G53" s="229">
        <f t="shared" si="20"/>
        <v>25936.920000000002</v>
      </c>
      <c r="H53" s="229">
        <f t="shared" si="21"/>
        <v>21916.697399999997</v>
      </c>
      <c r="I53" s="229">
        <f t="shared" si="22"/>
        <v>51873.840000000004</v>
      </c>
      <c r="J53" s="229">
        <f t="shared" si="23"/>
        <v>65685.249899999995</v>
      </c>
      <c r="K53" s="229">
        <f t="shared" si="24"/>
        <v>77810.760000000009</v>
      </c>
      <c r="L53" s="229">
        <f t="shared" si="25"/>
        <v>87601.9473</v>
      </c>
      <c r="N53" s="367">
        <v>37773</v>
      </c>
      <c r="O53" s="367">
        <v>44469</v>
      </c>
      <c r="P53" s="216">
        <f t="shared" si="17"/>
        <v>6696</v>
      </c>
      <c r="Q53" s="442">
        <f>19.2*1.5%</f>
        <v>0.28799999999999998</v>
      </c>
      <c r="R53" s="245">
        <f t="shared" si="26"/>
        <v>6.9363943659817018E-4</v>
      </c>
      <c r="S53" s="229">
        <f t="shared" si="27"/>
        <v>77810.760000000009</v>
      </c>
      <c r="T53" s="368">
        <f t="shared" si="31"/>
        <v>361400.60812851478</v>
      </c>
      <c r="U53" s="229">
        <f t="shared" si="28"/>
        <v>87601.9473</v>
      </c>
      <c r="V53" s="368">
        <f t="shared" si="29"/>
        <v>406876.8513180195</v>
      </c>
      <c r="W53" s="246">
        <f t="shared" si="30"/>
        <v>768277.45944653428</v>
      </c>
      <c r="X53" s="348"/>
    </row>
    <row r="54" spans="1:24">
      <c r="A54" s="233" t="s">
        <v>25</v>
      </c>
      <c r="B54" s="353">
        <v>648423</v>
      </c>
      <c r="C54" s="232">
        <v>52.33</v>
      </c>
      <c r="D54" s="233">
        <f t="shared" si="18"/>
        <v>1.5860882858780814</v>
      </c>
      <c r="E54" s="231">
        <f t="shared" si="19"/>
        <v>1028456</v>
      </c>
      <c r="G54" s="229">
        <f t="shared" si="20"/>
        <v>25936.920000000002</v>
      </c>
      <c r="H54" s="229">
        <f t="shared" si="21"/>
        <v>21916.697399999997</v>
      </c>
      <c r="I54" s="229">
        <f t="shared" si="22"/>
        <v>51873.840000000004</v>
      </c>
      <c r="J54" s="229">
        <f t="shared" si="23"/>
        <v>65685.249899999995</v>
      </c>
      <c r="K54" s="229">
        <f t="shared" si="24"/>
        <v>77810.760000000009</v>
      </c>
      <c r="L54" s="229">
        <f t="shared" si="25"/>
        <v>87601.9473</v>
      </c>
      <c r="N54" s="367">
        <v>37803</v>
      </c>
      <c r="O54" s="367">
        <v>44469</v>
      </c>
      <c r="P54" s="216">
        <f t="shared" si="17"/>
        <v>6666</v>
      </c>
      <c r="Q54" s="442">
        <f>19.44*1.5%</f>
        <v>0.29160000000000003</v>
      </c>
      <c r="R54" s="245">
        <f t="shared" si="26"/>
        <v>7.0129170766231042E-4</v>
      </c>
      <c r="S54" s="229">
        <f t="shared" si="27"/>
        <v>77810.760000000009</v>
      </c>
      <c r="T54" s="368">
        <f t="shared" si="31"/>
        <v>363750.55967217812</v>
      </c>
      <c r="U54" s="229">
        <f t="shared" si="28"/>
        <v>87601.9473</v>
      </c>
      <c r="V54" s="368">
        <f t="shared" si="29"/>
        <v>409522.50509759376</v>
      </c>
      <c r="W54" s="246">
        <f t="shared" si="30"/>
        <v>773273.06476977188</v>
      </c>
      <c r="X54" s="348"/>
    </row>
    <row r="55" spans="1:24">
      <c r="A55" s="233" t="s">
        <v>27</v>
      </c>
      <c r="B55" s="353">
        <v>648423</v>
      </c>
      <c r="C55" s="232">
        <v>52.26</v>
      </c>
      <c r="D55" s="233">
        <f t="shared" si="18"/>
        <v>1.5882127822426331</v>
      </c>
      <c r="E55" s="231">
        <f t="shared" si="19"/>
        <v>1029833</v>
      </c>
      <c r="G55" s="229">
        <f t="shared" si="20"/>
        <v>25936.920000000002</v>
      </c>
      <c r="H55" s="229">
        <f t="shared" si="21"/>
        <v>21916.697399999997</v>
      </c>
      <c r="I55" s="229">
        <f t="shared" si="22"/>
        <v>51873.840000000004</v>
      </c>
      <c r="J55" s="229">
        <f t="shared" si="23"/>
        <v>65685.249899999995</v>
      </c>
      <c r="K55" s="229">
        <f t="shared" si="24"/>
        <v>77810.760000000009</v>
      </c>
      <c r="L55" s="229">
        <f t="shared" si="25"/>
        <v>87601.9473</v>
      </c>
      <c r="N55" s="367">
        <v>37834</v>
      </c>
      <c r="O55" s="367">
        <v>44469</v>
      </c>
      <c r="P55" s="216">
        <f t="shared" si="17"/>
        <v>6635</v>
      </c>
      <c r="Q55" s="442">
        <f>19.88*1.5%</f>
        <v>0.29819999999999997</v>
      </c>
      <c r="R55" s="245">
        <f t="shared" si="26"/>
        <v>7.152657892024461E-4</v>
      </c>
      <c r="S55" s="229">
        <f t="shared" si="27"/>
        <v>77810.760000000009</v>
      </c>
      <c r="T55" s="368">
        <f t="shared" si="31"/>
        <v>369273.41086805257</v>
      </c>
      <c r="U55" s="229">
        <f t="shared" si="28"/>
        <v>87601.9473</v>
      </c>
      <c r="V55" s="368">
        <f t="shared" si="29"/>
        <v>415740.31506894907</v>
      </c>
      <c r="W55" s="246">
        <f t="shared" si="30"/>
        <v>785013.72593700164</v>
      </c>
      <c r="X55" s="348"/>
    </row>
    <row r="56" spans="1:24">
      <c r="A56" s="233" t="s">
        <v>29</v>
      </c>
      <c r="B56" s="353">
        <v>648423</v>
      </c>
      <c r="C56" s="232">
        <v>52.42</v>
      </c>
      <c r="D56" s="233">
        <f t="shared" si="18"/>
        <v>1.5833651278138114</v>
      </c>
      <c r="E56" s="231">
        <f t="shared" si="19"/>
        <v>1026690</v>
      </c>
      <c r="G56" s="229">
        <f t="shared" si="20"/>
        <v>25936.920000000002</v>
      </c>
      <c r="H56" s="229">
        <f t="shared" si="21"/>
        <v>21916.697399999997</v>
      </c>
      <c r="I56" s="229">
        <f t="shared" si="22"/>
        <v>51873.840000000004</v>
      </c>
      <c r="J56" s="229">
        <f t="shared" si="23"/>
        <v>65685.249899999995</v>
      </c>
      <c r="K56" s="229">
        <f t="shared" si="24"/>
        <v>77810.760000000009</v>
      </c>
      <c r="L56" s="229">
        <f t="shared" si="25"/>
        <v>87601.9473</v>
      </c>
      <c r="N56" s="367">
        <v>37865</v>
      </c>
      <c r="O56" s="367">
        <v>44469</v>
      </c>
      <c r="P56" s="216">
        <f t="shared" si="17"/>
        <v>6604</v>
      </c>
      <c r="Q56" s="442">
        <f>20.12*1.5%</f>
        <v>0.30180000000000001</v>
      </c>
      <c r="R56" s="245">
        <f t="shared" si="26"/>
        <v>7.2285818314421491E-4</v>
      </c>
      <c r="S56" s="229">
        <f t="shared" si="27"/>
        <v>77810.760000000009</v>
      </c>
      <c r="T56" s="368">
        <f t="shared" si="31"/>
        <v>371449.53895603638</v>
      </c>
      <c r="U56" s="229">
        <f t="shared" si="28"/>
        <v>87601.9473</v>
      </c>
      <c r="V56" s="368">
        <f t="shared" si="29"/>
        <v>418190.27260800422</v>
      </c>
      <c r="W56" s="246">
        <f t="shared" si="30"/>
        <v>789639.8115640406</v>
      </c>
      <c r="X56" s="348"/>
    </row>
    <row r="57" spans="1:24">
      <c r="A57" s="233" t="s">
        <v>31</v>
      </c>
      <c r="B57" s="353">
        <v>648423</v>
      </c>
      <c r="C57" s="232">
        <v>52.53</v>
      </c>
      <c r="D57" s="233">
        <f t="shared" si="18"/>
        <v>1.5800494955263658</v>
      </c>
      <c r="E57" s="231">
        <f t="shared" si="19"/>
        <v>1024540</v>
      </c>
      <c r="G57" s="229">
        <f t="shared" si="20"/>
        <v>25936.920000000002</v>
      </c>
      <c r="H57" s="229">
        <f t="shared" si="21"/>
        <v>21916.697399999997</v>
      </c>
      <c r="I57" s="229">
        <f t="shared" si="22"/>
        <v>51873.840000000004</v>
      </c>
      <c r="J57" s="229">
        <f t="shared" si="23"/>
        <v>65685.249899999995</v>
      </c>
      <c r="K57" s="229">
        <f t="shared" si="24"/>
        <v>77810.760000000009</v>
      </c>
      <c r="L57" s="229">
        <f t="shared" si="25"/>
        <v>87601.9473</v>
      </c>
      <c r="N57" s="367">
        <v>37895</v>
      </c>
      <c r="O57" s="367">
        <v>44469</v>
      </c>
      <c r="P57" s="216">
        <f t="shared" si="17"/>
        <v>6574</v>
      </c>
      <c r="Q57" s="442">
        <f>20.04*1.5%</f>
        <v>0.30059999999999998</v>
      </c>
      <c r="R57" s="245">
        <f t="shared" si="26"/>
        <v>7.2032971416957636E-4</v>
      </c>
      <c r="S57" s="229">
        <f t="shared" si="27"/>
        <v>77810.760000000009</v>
      </c>
      <c r="T57" s="368">
        <f t="shared" si="31"/>
        <v>368468.77210151253</v>
      </c>
      <c r="U57" s="229">
        <f t="shared" si="28"/>
        <v>87601.9473</v>
      </c>
      <c r="V57" s="368">
        <f t="shared" si="29"/>
        <v>414834.42592428613</v>
      </c>
      <c r="W57" s="246">
        <f t="shared" si="30"/>
        <v>783303.19802579866</v>
      </c>
      <c r="X57" s="348"/>
    </row>
    <row r="58" spans="1:24">
      <c r="A58" s="233" t="s">
        <v>33</v>
      </c>
      <c r="B58" s="353">
        <v>648423</v>
      </c>
      <c r="C58" s="232">
        <v>52.56</v>
      </c>
      <c r="D58" s="233">
        <f t="shared" si="18"/>
        <v>1.5791476407914764</v>
      </c>
      <c r="E58" s="231">
        <f t="shared" si="19"/>
        <v>1023955</v>
      </c>
      <c r="G58" s="229">
        <f t="shared" si="20"/>
        <v>25936.920000000002</v>
      </c>
      <c r="H58" s="229">
        <f t="shared" si="21"/>
        <v>21916.697399999997</v>
      </c>
      <c r="I58" s="229">
        <f t="shared" si="22"/>
        <v>51873.840000000004</v>
      </c>
      <c r="J58" s="229">
        <f t="shared" si="23"/>
        <v>65685.249899999995</v>
      </c>
      <c r="K58" s="229">
        <f t="shared" si="24"/>
        <v>77810.760000000009</v>
      </c>
      <c r="L58" s="229">
        <f t="shared" si="25"/>
        <v>87601.9473</v>
      </c>
      <c r="N58" s="367">
        <v>37926</v>
      </c>
      <c r="O58" s="367">
        <v>44469</v>
      </c>
      <c r="P58" s="216">
        <f t="shared" si="17"/>
        <v>6543</v>
      </c>
      <c r="Q58" s="442">
        <f>19.87*1.5%</f>
        <v>0.29804999999999998</v>
      </c>
      <c r="R58" s="245">
        <f t="shared" si="26"/>
        <v>7.1494898397617135E-4</v>
      </c>
      <c r="S58" s="229">
        <f t="shared" si="27"/>
        <v>77810.760000000009</v>
      </c>
      <c r="T58" s="368">
        <f t="shared" si="31"/>
        <v>363991.82585227897</v>
      </c>
      <c r="U58" s="229">
        <f t="shared" si="28"/>
        <v>87601.9473</v>
      </c>
      <c r="V58" s="368">
        <f t="shared" si="29"/>
        <v>409794.13060535735</v>
      </c>
      <c r="W58" s="246">
        <f t="shared" si="30"/>
        <v>773785.95645763632</v>
      </c>
      <c r="X58" s="348"/>
    </row>
    <row r="59" spans="1:24">
      <c r="A59" s="233" t="s">
        <v>34</v>
      </c>
      <c r="B59" s="353">
        <v>648423</v>
      </c>
      <c r="C59" s="232">
        <v>52.75</v>
      </c>
      <c r="D59" s="233">
        <f t="shared" si="18"/>
        <v>1.5734597156398105</v>
      </c>
      <c r="E59" s="231">
        <f t="shared" si="19"/>
        <v>1020267</v>
      </c>
      <c r="G59" s="229">
        <f t="shared" si="20"/>
        <v>25936.920000000002</v>
      </c>
      <c r="H59" s="229">
        <f t="shared" si="21"/>
        <v>21916.697399999997</v>
      </c>
      <c r="I59" s="229">
        <f t="shared" si="22"/>
        <v>51873.840000000004</v>
      </c>
      <c r="J59" s="229">
        <f t="shared" si="23"/>
        <v>65685.249899999995</v>
      </c>
      <c r="K59" s="229">
        <f t="shared" si="24"/>
        <v>77810.760000000009</v>
      </c>
      <c r="L59" s="229">
        <f t="shared" si="25"/>
        <v>87601.9473</v>
      </c>
      <c r="N59" s="367">
        <v>37956</v>
      </c>
      <c r="O59" s="367">
        <v>44469</v>
      </c>
      <c r="P59" s="216">
        <f t="shared" si="17"/>
        <v>6513</v>
      </c>
      <c r="Q59" s="442">
        <f>19.81*1.5%</f>
        <v>0.29714999999999997</v>
      </c>
      <c r="R59" s="245">
        <f t="shared" si="26"/>
        <v>7.1304738558919389E-4</v>
      </c>
      <c r="S59" s="229">
        <f t="shared" si="27"/>
        <v>77810.760000000009</v>
      </c>
      <c r="T59" s="368">
        <f t="shared" si="31"/>
        <v>361359.20929345675</v>
      </c>
      <c r="U59" s="229">
        <f t="shared" si="28"/>
        <v>87601.9473</v>
      </c>
      <c r="V59" s="368">
        <f t="shared" si="29"/>
        <v>406830.24312955001</v>
      </c>
      <c r="W59" s="246">
        <f t="shared" si="30"/>
        <v>768189.45242300676</v>
      </c>
      <c r="X59" s="348"/>
    </row>
    <row r="60" spans="1:24">
      <c r="A60" s="233" t="s">
        <v>35</v>
      </c>
      <c r="B60" s="353">
        <v>648423</v>
      </c>
      <c r="C60" s="232">
        <v>53.07</v>
      </c>
      <c r="D60" s="233">
        <f t="shared" si="18"/>
        <v>1.5639721123045034</v>
      </c>
      <c r="E60" s="231">
        <f t="shared" si="19"/>
        <v>1014115</v>
      </c>
      <c r="G60" s="229">
        <f t="shared" si="20"/>
        <v>25936.920000000002</v>
      </c>
      <c r="H60" s="229">
        <f t="shared" si="21"/>
        <v>21916.697399999997</v>
      </c>
      <c r="I60" s="229">
        <f t="shared" si="22"/>
        <v>51873.840000000004</v>
      </c>
      <c r="J60" s="229">
        <f t="shared" si="23"/>
        <v>65685.249899999995</v>
      </c>
      <c r="K60" s="229">
        <f t="shared" si="24"/>
        <v>77810.760000000009</v>
      </c>
      <c r="L60" s="229">
        <f t="shared" si="25"/>
        <v>87601.9473</v>
      </c>
      <c r="N60" s="367">
        <v>37987</v>
      </c>
      <c r="O60" s="367">
        <v>44469</v>
      </c>
      <c r="P60" s="216">
        <f t="shared" si="17"/>
        <v>6482</v>
      </c>
      <c r="Q60" s="442">
        <f>19.76*1.5%</f>
        <v>0.2964</v>
      </c>
      <c r="R60" s="245">
        <f t="shared" si="26"/>
        <v>7.1146171489488985E-4</v>
      </c>
      <c r="S60" s="229">
        <f t="shared" si="27"/>
        <v>77810.760000000009</v>
      </c>
      <c r="T60" s="368">
        <f t="shared" si="31"/>
        <v>358839.48007324187</v>
      </c>
      <c r="U60" s="229">
        <f t="shared" si="28"/>
        <v>87601.9473</v>
      </c>
      <c r="V60" s="368">
        <f t="shared" si="29"/>
        <v>403993.44798245805</v>
      </c>
      <c r="W60" s="246">
        <f t="shared" si="30"/>
        <v>762832.92805569991</v>
      </c>
      <c r="X60" s="348"/>
    </row>
    <row r="61" spans="1:24">
      <c r="A61" s="233" t="s">
        <v>101</v>
      </c>
      <c r="B61" s="353">
        <v>305462</v>
      </c>
      <c r="C61" s="232">
        <f>+C55</f>
        <v>52.26</v>
      </c>
      <c r="D61" s="233">
        <f t="shared" si="18"/>
        <v>1.5882127822426331</v>
      </c>
      <c r="E61" s="231">
        <f t="shared" si="19"/>
        <v>485138</v>
      </c>
      <c r="K61" s="229"/>
      <c r="N61" s="2546" t="s">
        <v>97</v>
      </c>
      <c r="O61" s="2547"/>
      <c r="P61" s="2547"/>
      <c r="Q61" s="2547"/>
      <c r="R61" s="2548"/>
      <c r="S61" s="348">
        <f>SUM(S49:S60)</f>
        <v>933729.12000000011</v>
      </c>
      <c r="U61" s="348">
        <f>SUM(U49:U60)</f>
        <v>1051223.3676</v>
      </c>
      <c r="V61" s="154" t="s">
        <v>97</v>
      </c>
      <c r="W61" s="246">
        <f>SUM(W49:W60)</f>
        <v>9389602.522399351</v>
      </c>
      <c r="X61" s="224">
        <f>+S61+U61+W61</f>
        <v>11374555.009999352</v>
      </c>
    </row>
    <row r="62" spans="1:24">
      <c r="A62" s="233" t="s">
        <v>102</v>
      </c>
      <c r="B62" s="353">
        <v>336929</v>
      </c>
      <c r="C62" s="232">
        <f>+C57</f>
        <v>52.53</v>
      </c>
      <c r="D62" s="233">
        <f t="shared" si="18"/>
        <v>1.5800494955263658</v>
      </c>
      <c r="E62" s="231">
        <f t="shared" si="19"/>
        <v>532364</v>
      </c>
      <c r="G62" s="229">
        <f t="shared" ref="G62:L62" si="32">SUM(G49:G61)</f>
        <v>311243.04000000004</v>
      </c>
      <c r="H62" s="229">
        <f t="shared" si="32"/>
        <v>263000.3688</v>
      </c>
      <c r="I62" s="229">
        <f t="shared" si="32"/>
        <v>622486.08000000007</v>
      </c>
      <c r="J62" s="229">
        <f t="shared" si="32"/>
        <v>788222.99879999971</v>
      </c>
      <c r="K62" s="229">
        <f t="shared" si="32"/>
        <v>933729.12000000011</v>
      </c>
      <c r="L62" s="229">
        <f t="shared" si="32"/>
        <v>1051223.3676</v>
      </c>
    </row>
    <row r="63" spans="1:24">
      <c r="A63" s="233" t="s">
        <v>103</v>
      </c>
      <c r="B63" s="353">
        <v>40728</v>
      </c>
      <c r="C63" s="232">
        <f>+C60</f>
        <v>53.07</v>
      </c>
      <c r="D63" s="233">
        <f t="shared" si="18"/>
        <v>1.5639721123045034</v>
      </c>
      <c r="E63" s="231">
        <f t="shared" si="19"/>
        <v>63697</v>
      </c>
    </row>
    <row r="64" spans="1:24">
      <c r="A64" s="233" t="s">
        <v>104</v>
      </c>
      <c r="B64" s="353">
        <v>471715</v>
      </c>
      <c r="C64" s="232">
        <f>+C59</f>
        <v>52.75</v>
      </c>
      <c r="D64" s="233">
        <f t="shared" si="18"/>
        <v>1.5734597156398105</v>
      </c>
      <c r="E64" s="231">
        <f t="shared" si="19"/>
        <v>742224</v>
      </c>
    </row>
    <row r="65" spans="1:23">
      <c r="A65" s="233" t="s">
        <v>95</v>
      </c>
      <c r="B65" s="353">
        <v>713187</v>
      </c>
      <c r="C65" s="232">
        <f>+C60</f>
        <v>53.07</v>
      </c>
      <c r="D65" s="233">
        <f t="shared" si="18"/>
        <v>1.5639721123045034</v>
      </c>
      <c r="E65" s="231">
        <f t="shared" si="19"/>
        <v>1115404</v>
      </c>
    </row>
    <row r="66" spans="1:23">
      <c r="A66" s="233" t="s">
        <v>96</v>
      </c>
      <c r="B66" s="216"/>
      <c r="C66" s="216"/>
      <c r="D66" s="216"/>
      <c r="E66" s="231">
        <f>SUM(E49:E65)</f>
        <v>15335478</v>
      </c>
    </row>
    <row r="67" spans="1:23">
      <c r="A67" s="233" t="s">
        <v>98</v>
      </c>
      <c r="B67" s="216"/>
      <c r="C67" s="216"/>
      <c r="D67" s="216"/>
      <c r="E67" s="231">
        <f>+G62+H62</f>
        <v>574243.40880000009</v>
      </c>
    </row>
    <row r="68" spans="1:23">
      <c r="A68" s="233" t="s">
        <v>99</v>
      </c>
      <c r="B68" s="216"/>
      <c r="C68" s="216"/>
      <c r="D68" s="216"/>
      <c r="E68" s="231">
        <f>+E66-E67</f>
        <v>14761234.5912</v>
      </c>
    </row>
    <row r="69" spans="1:23">
      <c r="N69" s="2543" t="s">
        <v>84</v>
      </c>
      <c r="O69" s="2544"/>
      <c r="P69" s="2544"/>
      <c r="Q69" s="2544"/>
      <c r="R69" s="2544"/>
      <c r="S69" s="2544"/>
      <c r="T69" s="2544"/>
      <c r="U69" s="2544"/>
      <c r="V69" s="2544"/>
      <c r="W69" s="2545"/>
    </row>
    <row r="70" spans="1:23" ht="33.75">
      <c r="A70" s="226" t="s">
        <v>11</v>
      </c>
      <c r="B70" s="351" t="s">
        <v>106</v>
      </c>
      <c r="C70" s="228" t="s">
        <v>76</v>
      </c>
      <c r="D70" s="228" t="s">
        <v>77</v>
      </c>
      <c r="E70" s="229" t="s">
        <v>57</v>
      </c>
      <c r="G70" s="229" t="s">
        <v>78</v>
      </c>
      <c r="H70" s="229" t="s">
        <v>79</v>
      </c>
      <c r="I70" s="229" t="s">
        <v>80</v>
      </c>
      <c r="J70" s="229" t="s">
        <v>81</v>
      </c>
      <c r="K70" s="229" t="s">
        <v>82</v>
      </c>
      <c r="L70" s="229" t="s">
        <v>83</v>
      </c>
      <c r="N70" s="381" t="s">
        <v>85</v>
      </c>
      <c r="O70" s="381" t="s">
        <v>10</v>
      </c>
      <c r="P70" s="381" t="s">
        <v>86</v>
      </c>
      <c r="Q70" s="381" t="s">
        <v>87</v>
      </c>
      <c r="R70" s="381" t="s">
        <v>88</v>
      </c>
      <c r="S70" s="381" t="s">
        <v>89</v>
      </c>
      <c r="T70" s="381" t="s">
        <v>90</v>
      </c>
      <c r="U70" s="381" t="s">
        <v>91</v>
      </c>
      <c r="V70" s="381" t="s">
        <v>92</v>
      </c>
      <c r="W70" s="381" t="s">
        <v>93</v>
      </c>
    </row>
    <row r="71" spans="1:23">
      <c r="A71" s="233" t="s">
        <v>16</v>
      </c>
      <c r="B71" s="353">
        <v>683069</v>
      </c>
      <c r="C71" s="232">
        <v>50.42</v>
      </c>
      <c r="D71" s="233">
        <f>+$C$13/C71</f>
        <v>1.6461721539071796</v>
      </c>
      <c r="E71" s="231">
        <f>INT(B71*D71)</f>
        <v>1124449</v>
      </c>
      <c r="G71" s="229">
        <f>+B71*0.04</f>
        <v>27322.760000000002</v>
      </c>
      <c r="H71" s="229">
        <f>+B71*0.0363</f>
        <v>24795.404699999999</v>
      </c>
      <c r="I71" s="229">
        <f>+B71*0.08</f>
        <v>54645.520000000004</v>
      </c>
      <c r="J71" s="229">
        <f>+B71*0.1088</f>
        <v>74317.907200000001</v>
      </c>
      <c r="K71" s="229">
        <f>+G71+I71</f>
        <v>81968.28</v>
      </c>
      <c r="L71" s="229">
        <f>+J71+H71</f>
        <v>99113.311900000001</v>
      </c>
      <c r="N71" s="367">
        <v>38018</v>
      </c>
      <c r="O71" s="367">
        <v>44469</v>
      </c>
      <c r="P71" s="216">
        <f t="shared" ref="P71:P82" si="33">_xlfn.DAYS(O71,N71)</f>
        <v>6451</v>
      </c>
      <c r="Q71" s="442">
        <f>19.74*1.5%</f>
        <v>0.29609999999999997</v>
      </c>
      <c r="R71" s="245">
        <f>((1+Q71)^(1/365))-1</f>
        <v>7.108271904481267E-4</v>
      </c>
      <c r="S71" s="229">
        <f>+K71</f>
        <v>81968.28</v>
      </c>
      <c r="T71" s="368">
        <f>+S71*R71*P71</f>
        <v>375869.33533198992</v>
      </c>
      <c r="U71" s="229">
        <f>+L71</f>
        <v>99113.311900000001</v>
      </c>
      <c r="V71" s="368">
        <f>+U71*R71*P71</f>
        <v>454488.67130559788</v>
      </c>
      <c r="W71" s="246">
        <f>+T71+V71</f>
        <v>830358.00663758779</v>
      </c>
    </row>
    <row r="72" spans="1:23">
      <c r="A72" s="233" t="s">
        <v>17</v>
      </c>
      <c r="B72" s="353">
        <v>683069</v>
      </c>
      <c r="C72" s="232">
        <v>50.98</v>
      </c>
      <c r="D72" s="233">
        <f t="shared" ref="D72:D87" si="34">+$C$13/C72</f>
        <v>1.6280894468418989</v>
      </c>
      <c r="E72" s="231">
        <f t="shared" ref="E72:E87" si="35">INT(B72*D72)</f>
        <v>1112097</v>
      </c>
      <c r="G72" s="229">
        <f t="shared" ref="G72:G84" si="36">+B72*0.04</f>
        <v>27322.760000000002</v>
      </c>
      <c r="H72" s="229">
        <f t="shared" ref="H72:H84" si="37">+B72*0.0363</f>
        <v>24795.404699999999</v>
      </c>
      <c r="I72" s="229">
        <f t="shared" ref="I72:I84" si="38">+B72*0.08</f>
        <v>54645.520000000004</v>
      </c>
      <c r="J72" s="229">
        <f t="shared" ref="J72:J84" si="39">+B72*0.1088</f>
        <v>74317.907200000001</v>
      </c>
      <c r="K72" s="229">
        <f t="shared" ref="K72:K83" si="40">+G72+I72</f>
        <v>81968.28</v>
      </c>
      <c r="L72" s="229">
        <f t="shared" ref="L72:L83" si="41">+J72+H72</f>
        <v>99113.311900000001</v>
      </c>
      <c r="N72" s="367">
        <v>38047</v>
      </c>
      <c r="O72" s="367">
        <v>44469</v>
      </c>
      <c r="P72" s="216">
        <f t="shared" si="33"/>
        <v>6422</v>
      </c>
      <c r="Q72" s="442">
        <f>19.8*1.5%</f>
        <v>0.29699999999999999</v>
      </c>
      <c r="R72" s="245">
        <f t="shared" ref="R72:R82" si="42">((1+Q72)^(1/365))-1</f>
        <v>7.1273032460772434E-4</v>
      </c>
      <c r="S72" s="229">
        <f t="shared" ref="S72:S82" si="43">+K72</f>
        <v>81968.28</v>
      </c>
      <c r="T72" s="368">
        <f t="shared" ref="T72:T82" si="44">+S72*R72*P72</f>
        <v>375181.45253025839</v>
      </c>
      <c r="U72" s="229">
        <f t="shared" ref="U72:U82" si="45">+L72</f>
        <v>99113.311900000001</v>
      </c>
      <c r="V72" s="368">
        <f t="shared" ref="V72:V82" si="46">+U72*R72*P72</f>
        <v>453656.90635117074</v>
      </c>
      <c r="W72" s="246">
        <f t="shared" ref="W72:W82" si="47">+T72+V72</f>
        <v>828838.35888142907</v>
      </c>
    </row>
    <row r="73" spans="1:23">
      <c r="A73" s="233" t="s">
        <v>19</v>
      </c>
      <c r="B73" s="353">
        <v>683069</v>
      </c>
      <c r="C73" s="232">
        <v>51.51</v>
      </c>
      <c r="D73" s="233">
        <f t="shared" si="34"/>
        <v>1.6113376043486702</v>
      </c>
      <c r="E73" s="231">
        <f t="shared" si="35"/>
        <v>1100654</v>
      </c>
      <c r="G73" s="229">
        <f t="shared" si="36"/>
        <v>27322.760000000002</v>
      </c>
      <c r="H73" s="229">
        <f t="shared" si="37"/>
        <v>24795.404699999999</v>
      </c>
      <c r="I73" s="229">
        <f t="shared" si="38"/>
        <v>54645.520000000004</v>
      </c>
      <c r="J73" s="229">
        <f t="shared" si="39"/>
        <v>74317.907200000001</v>
      </c>
      <c r="K73" s="229">
        <f t="shared" si="40"/>
        <v>81968.28</v>
      </c>
      <c r="L73" s="229">
        <f t="shared" si="41"/>
        <v>99113.311900000001</v>
      </c>
      <c r="N73" s="367">
        <v>38078</v>
      </c>
      <c r="O73" s="367">
        <v>44469</v>
      </c>
      <c r="P73" s="216">
        <f t="shared" si="33"/>
        <v>6391</v>
      </c>
      <c r="Q73" s="442">
        <f>19.78*1.5%</f>
        <v>0.29670000000000002</v>
      </c>
      <c r="R73" s="245">
        <f t="shared" si="42"/>
        <v>7.1209609292544052E-4</v>
      </c>
      <c r="S73" s="229">
        <f t="shared" si="43"/>
        <v>81968.28</v>
      </c>
      <c r="T73" s="368">
        <f t="shared" si="44"/>
        <v>373038.1447362522</v>
      </c>
      <c r="U73" s="229">
        <f t="shared" si="45"/>
        <v>99113.311900000001</v>
      </c>
      <c r="V73" s="368">
        <f t="shared" si="46"/>
        <v>451065.29001025163</v>
      </c>
      <c r="W73" s="246">
        <f t="shared" si="47"/>
        <v>824103.43474650383</v>
      </c>
    </row>
    <row r="74" spans="1:23">
      <c r="A74" s="233" t="s">
        <v>21</v>
      </c>
      <c r="B74" s="353">
        <v>683069</v>
      </c>
      <c r="C74" s="232">
        <v>52.1</v>
      </c>
      <c r="D74" s="233">
        <f t="shared" si="34"/>
        <v>1.5930902111324377</v>
      </c>
      <c r="E74" s="231">
        <f t="shared" si="35"/>
        <v>1088190</v>
      </c>
      <c r="G74" s="229">
        <f t="shared" si="36"/>
        <v>27322.760000000002</v>
      </c>
      <c r="H74" s="229">
        <f t="shared" si="37"/>
        <v>24795.404699999999</v>
      </c>
      <c r="I74" s="229">
        <f t="shared" si="38"/>
        <v>54645.520000000004</v>
      </c>
      <c r="J74" s="229">
        <f t="shared" si="39"/>
        <v>74317.907200000001</v>
      </c>
      <c r="K74" s="229">
        <f t="shared" si="40"/>
        <v>81968.28</v>
      </c>
      <c r="L74" s="229">
        <f t="shared" si="41"/>
        <v>99113.311900000001</v>
      </c>
      <c r="N74" s="367">
        <v>38108</v>
      </c>
      <c r="O74" s="367">
        <v>44469</v>
      </c>
      <c r="P74" s="216">
        <f t="shared" si="33"/>
        <v>6361</v>
      </c>
      <c r="Q74" s="442">
        <f>19.71*1.5%</f>
        <v>0.29565000000000002</v>
      </c>
      <c r="R74" s="245">
        <f t="shared" si="42"/>
        <v>7.0987512909947981E-4</v>
      </c>
      <c r="S74" s="229">
        <f t="shared" si="43"/>
        <v>81968.28</v>
      </c>
      <c r="T74" s="368">
        <f t="shared" si="44"/>
        <v>370129.05493066332</v>
      </c>
      <c r="U74" s="229">
        <f t="shared" si="45"/>
        <v>99113.311900000001</v>
      </c>
      <c r="V74" s="368">
        <f t="shared" si="46"/>
        <v>447547.71558699379</v>
      </c>
      <c r="W74" s="246">
        <f t="shared" si="47"/>
        <v>817676.77051765705</v>
      </c>
    </row>
    <row r="75" spans="1:23">
      <c r="A75" s="233" t="s">
        <v>23</v>
      </c>
      <c r="B75" s="353">
        <v>683069</v>
      </c>
      <c r="C75" s="232">
        <v>52.36</v>
      </c>
      <c r="D75" s="233">
        <f t="shared" si="34"/>
        <v>1.5851795263559969</v>
      </c>
      <c r="E75" s="231">
        <f t="shared" si="35"/>
        <v>1082786</v>
      </c>
      <c r="G75" s="229">
        <f t="shared" si="36"/>
        <v>27322.760000000002</v>
      </c>
      <c r="H75" s="229">
        <f t="shared" si="37"/>
        <v>24795.404699999999</v>
      </c>
      <c r="I75" s="229">
        <f t="shared" si="38"/>
        <v>54645.520000000004</v>
      </c>
      <c r="J75" s="229">
        <f t="shared" si="39"/>
        <v>74317.907200000001</v>
      </c>
      <c r="K75" s="229">
        <f t="shared" si="40"/>
        <v>81968.28</v>
      </c>
      <c r="L75" s="229">
        <f t="shared" si="41"/>
        <v>99113.311900000001</v>
      </c>
      <c r="N75" s="367">
        <v>38139</v>
      </c>
      <c r="O75" s="367">
        <v>44469</v>
      </c>
      <c r="P75" s="216">
        <f t="shared" si="33"/>
        <v>6330</v>
      </c>
      <c r="Q75" s="442">
        <f>19.67*1.5%</f>
        <v>0.29505000000000003</v>
      </c>
      <c r="R75" s="245">
        <f t="shared" si="42"/>
        <v>7.0860520087911993E-4</v>
      </c>
      <c r="S75" s="229">
        <f t="shared" si="43"/>
        <v>81968.28</v>
      </c>
      <c r="T75" s="368">
        <f t="shared" si="44"/>
        <v>367666.33643068396</v>
      </c>
      <c r="U75" s="229">
        <f t="shared" si="45"/>
        <v>99113.311900000001</v>
      </c>
      <c r="V75" s="368">
        <f t="shared" si="46"/>
        <v>444569.87846743537</v>
      </c>
      <c r="W75" s="246">
        <f t="shared" si="47"/>
        <v>812236.21489811933</v>
      </c>
    </row>
    <row r="76" spans="1:23">
      <c r="A76" s="233" t="s">
        <v>25</v>
      </c>
      <c r="B76" s="353">
        <v>683069</v>
      </c>
      <c r="C76" s="232">
        <v>52.33</v>
      </c>
      <c r="D76" s="233">
        <f t="shared" si="34"/>
        <v>1.5860882858780814</v>
      </c>
      <c r="E76" s="231">
        <f t="shared" si="35"/>
        <v>1083407</v>
      </c>
      <c r="G76" s="229">
        <f t="shared" si="36"/>
        <v>27322.760000000002</v>
      </c>
      <c r="H76" s="229">
        <f t="shared" si="37"/>
        <v>24795.404699999999</v>
      </c>
      <c r="I76" s="229">
        <f t="shared" si="38"/>
        <v>54645.520000000004</v>
      </c>
      <c r="J76" s="229">
        <f t="shared" si="39"/>
        <v>74317.907200000001</v>
      </c>
      <c r="K76" s="229">
        <f t="shared" si="40"/>
        <v>81968.28</v>
      </c>
      <c r="L76" s="229">
        <f t="shared" si="41"/>
        <v>99113.311900000001</v>
      </c>
      <c r="N76" s="367">
        <v>38169</v>
      </c>
      <c r="O76" s="367">
        <v>44469</v>
      </c>
      <c r="P76" s="216">
        <f t="shared" si="33"/>
        <v>6300</v>
      </c>
      <c r="Q76" s="442">
        <f>19.44*1.5%</f>
        <v>0.29160000000000003</v>
      </c>
      <c r="R76" s="245">
        <f t="shared" si="42"/>
        <v>7.0129170766231042E-4</v>
      </c>
      <c r="S76" s="229">
        <f t="shared" si="43"/>
        <v>81968.28</v>
      </c>
      <c r="T76" s="368">
        <f t="shared" si="44"/>
        <v>362147.15284865716</v>
      </c>
      <c r="U76" s="229">
        <f t="shared" si="45"/>
        <v>99113.311900000001</v>
      </c>
      <c r="V76" s="368">
        <f t="shared" si="46"/>
        <v>437896.26565283455</v>
      </c>
      <c r="W76" s="246">
        <f t="shared" si="47"/>
        <v>800043.41850149166</v>
      </c>
    </row>
    <row r="77" spans="1:23">
      <c r="A77" s="233" t="s">
        <v>27</v>
      </c>
      <c r="B77" s="353">
        <v>683069</v>
      </c>
      <c r="C77" s="232">
        <v>52.26</v>
      </c>
      <c r="D77" s="233">
        <f t="shared" si="34"/>
        <v>1.5882127822426331</v>
      </c>
      <c r="E77" s="231">
        <f t="shared" si="35"/>
        <v>1084858</v>
      </c>
      <c r="G77" s="229">
        <f t="shared" si="36"/>
        <v>27322.760000000002</v>
      </c>
      <c r="H77" s="229">
        <f t="shared" si="37"/>
        <v>24795.404699999999</v>
      </c>
      <c r="I77" s="229">
        <f t="shared" si="38"/>
        <v>54645.520000000004</v>
      </c>
      <c r="J77" s="229">
        <f t="shared" si="39"/>
        <v>74317.907200000001</v>
      </c>
      <c r="K77" s="229">
        <f t="shared" si="40"/>
        <v>81968.28</v>
      </c>
      <c r="L77" s="229">
        <f t="shared" si="41"/>
        <v>99113.311900000001</v>
      </c>
      <c r="N77" s="367">
        <v>38200</v>
      </c>
      <c r="O77" s="367">
        <v>44469</v>
      </c>
      <c r="P77" s="216">
        <f t="shared" si="33"/>
        <v>6269</v>
      </c>
      <c r="Q77" s="442">
        <f>19.28*1.5%</f>
        <v>0.28920000000000001</v>
      </c>
      <c r="R77" s="245">
        <f t="shared" si="42"/>
        <v>6.9619256101671745E-4</v>
      </c>
      <c r="S77" s="229">
        <f t="shared" si="43"/>
        <v>81968.28</v>
      </c>
      <c r="T77" s="368">
        <f t="shared" si="44"/>
        <v>357744.91577457747</v>
      </c>
      <c r="U77" s="229">
        <f t="shared" si="45"/>
        <v>99113.311900000001</v>
      </c>
      <c r="V77" s="368">
        <f t="shared" si="46"/>
        <v>432573.22732409328</v>
      </c>
      <c r="W77" s="246">
        <f t="shared" si="47"/>
        <v>790318.14309867076</v>
      </c>
    </row>
    <row r="78" spans="1:23">
      <c r="A78" s="233" t="s">
        <v>29</v>
      </c>
      <c r="B78" s="353">
        <v>683069</v>
      </c>
      <c r="C78" s="232">
        <v>52.42</v>
      </c>
      <c r="D78" s="233">
        <f t="shared" si="34"/>
        <v>1.5833651278138114</v>
      </c>
      <c r="E78" s="231">
        <f t="shared" si="35"/>
        <v>1081547</v>
      </c>
      <c r="G78" s="229">
        <f t="shared" si="36"/>
        <v>27322.760000000002</v>
      </c>
      <c r="H78" s="229">
        <f t="shared" si="37"/>
        <v>24795.404699999999</v>
      </c>
      <c r="I78" s="229">
        <f t="shared" si="38"/>
        <v>54645.520000000004</v>
      </c>
      <c r="J78" s="229">
        <f t="shared" si="39"/>
        <v>74317.907200000001</v>
      </c>
      <c r="K78" s="229">
        <f t="shared" si="40"/>
        <v>81968.28</v>
      </c>
      <c r="L78" s="229">
        <f t="shared" si="41"/>
        <v>99113.311900000001</v>
      </c>
      <c r="N78" s="367">
        <v>38231</v>
      </c>
      <c r="O78" s="367">
        <v>44469</v>
      </c>
      <c r="P78" s="216">
        <f t="shared" si="33"/>
        <v>6238</v>
      </c>
      <c r="Q78" s="442">
        <f>19.5*1.5%</f>
        <v>0.29249999999999998</v>
      </c>
      <c r="R78" s="245">
        <f t="shared" si="42"/>
        <v>7.0320145193791816E-4</v>
      </c>
      <c r="S78" s="229">
        <f t="shared" si="43"/>
        <v>81968.28</v>
      </c>
      <c r="T78" s="368">
        <f t="shared" si="44"/>
        <v>359559.65186823014</v>
      </c>
      <c r="U78" s="229">
        <f t="shared" si="45"/>
        <v>99113.311900000001</v>
      </c>
      <c r="V78" s="368">
        <f t="shared" si="46"/>
        <v>434767.54571733496</v>
      </c>
      <c r="W78" s="246">
        <f t="shared" si="47"/>
        <v>794327.19758556504</v>
      </c>
    </row>
    <row r="79" spans="1:23">
      <c r="A79" s="233" t="s">
        <v>31</v>
      </c>
      <c r="B79" s="353">
        <v>683069</v>
      </c>
      <c r="C79" s="232">
        <v>52.53</v>
      </c>
      <c r="D79" s="233">
        <f t="shared" si="34"/>
        <v>1.5800494955263658</v>
      </c>
      <c r="E79" s="231">
        <f t="shared" si="35"/>
        <v>1079282</v>
      </c>
      <c r="G79" s="229">
        <f t="shared" si="36"/>
        <v>27322.760000000002</v>
      </c>
      <c r="H79" s="229">
        <f t="shared" si="37"/>
        <v>24795.404699999999</v>
      </c>
      <c r="I79" s="229">
        <f t="shared" si="38"/>
        <v>54645.520000000004</v>
      </c>
      <c r="J79" s="229">
        <f t="shared" si="39"/>
        <v>74317.907200000001</v>
      </c>
      <c r="K79" s="229">
        <f t="shared" si="40"/>
        <v>81968.28</v>
      </c>
      <c r="L79" s="229">
        <f t="shared" si="41"/>
        <v>99113.311900000001</v>
      </c>
      <c r="N79" s="367">
        <v>38261</v>
      </c>
      <c r="O79" s="367">
        <v>44469</v>
      </c>
      <c r="P79" s="216">
        <f t="shared" si="33"/>
        <v>6208</v>
      </c>
      <c r="Q79" s="442">
        <f>19.09*1.5%</f>
        <v>0.28634999999999999</v>
      </c>
      <c r="R79" s="245">
        <f t="shared" si="42"/>
        <v>6.9012501450993469E-4</v>
      </c>
      <c r="S79" s="229">
        <f t="shared" si="43"/>
        <v>81968.28</v>
      </c>
      <c r="T79" s="368">
        <f t="shared" si="44"/>
        <v>351176.38151439204</v>
      </c>
      <c r="U79" s="229">
        <f t="shared" si="45"/>
        <v>99113.311900000001</v>
      </c>
      <c r="V79" s="368">
        <f t="shared" si="46"/>
        <v>424630.77464781905</v>
      </c>
      <c r="W79" s="246">
        <f t="shared" si="47"/>
        <v>775807.15616221109</v>
      </c>
    </row>
    <row r="80" spans="1:23">
      <c r="A80" s="233" t="s">
        <v>33</v>
      </c>
      <c r="B80" s="353">
        <v>683069</v>
      </c>
      <c r="C80" s="232">
        <v>52.56</v>
      </c>
      <c r="D80" s="233">
        <f t="shared" si="34"/>
        <v>1.5791476407914764</v>
      </c>
      <c r="E80" s="231">
        <f t="shared" si="35"/>
        <v>1078666</v>
      </c>
      <c r="G80" s="229">
        <f t="shared" si="36"/>
        <v>27322.760000000002</v>
      </c>
      <c r="H80" s="229">
        <f t="shared" si="37"/>
        <v>24795.404699999999</v>
      </c>
      <c r="I80" s="229">
        <f t="shared" si="38"/>
        <v>54645.520000000004</v>
      </c>
      <c r="J80" s="229">
        <f t="shared" si="39"/>
        <v>74317.907200000001</v>
      </c>
      <c r="K80" s="229">
        <f t="shared" si="40"/>
        <v>81968.28</v>
      </c>
      <c r="L80" s="229">
        <f t="shared" si="41"/>
        <v>99113.311900000001</v>
      </c>
      <c r="N80" s="367">
        <v>38292</v>
      </c>
      <c r="O80" s="367">
        <v>44469</v>
      </c>
      <c r="P80" s="216">
        <f t="shared" si="33"/>
        <v>6177</v>
      </c>
      <c r="Q80" s="442">
        <f>19.59*1.5%</f>
        <v>0.29385</v>
      </c>
      <c r="R80" s="245">
        <f t="shared" si="42"/>
        <v>7.060635832412121E-4</v>
      </c>
      <c r="S80" s="229">
        <f t="shared" si="43"/>
        <v>81968.28</v>
      </c>
      <c r="T80" s="368">
        <f t="shared" si="44"/>
        <v>357492.74762905255</v>
      </c>
      <c r="U80" s="229">
        <f t="shared" si="45"/>
        <v>99113.311900000001</v>
      </c>
      <c r="V80" s="368">
        <f t="shared" si="46"/>
        <v>432268.31400812941</v>
      </c>
      <c r="W80" s="246">
        <f t="shared" si="47"/>
        <v>789761.06163718202</v>
      </c>
    </row>
    <row r="81" spans="1:24">
      <c r="A81" s="233" t="s">
        <v>34</v>
      </c>
      <c r="B81" s="353">
        <v>683069</v>
      </c>
      <c r="C81" s="232">
        <v>52.75</v>
      </c>
      <c r="D81" s="233">
        <f t="shared" si="34"/>
        <v>1.5734597156398105</v>
      </c>
      <c r="E81" s="231">
        <f t="shared" si="35"/>
        <v>1074781</v>
      </c>
      <c r="G81" s="229">
        <f t="shared" si="36"/>
        <v>27322.760000000002</v>
      </c>
      <c r="H81" s="229">
        <f t="shared" si="37"/>
        <v>24795.404699999999</v>
      </c>
      <c r="I81" s="229">
        <f t="shared" si="38"/>
        <v>54645.520000000004</v>
      </c>
      <c r="J81" s="229">
        <f t="shared" si="39"/>
        <v>74317.907200000001</v>
      </c>
      <c r="K81" s="229">
        <f t="shared" si="40"/>
        <v>81968.28</v>
      </c>
      <c r="L81" s="229">
        <f t="shared" si="41"/>
        <v>99113.311900000001</v>
      </c>
      <c r="N81" s="367">
        <v>38322</v>
      </c>
      <c r="O81" s="367">
        <v>44469</v>
      </c>
      <c r="P81" s="216">
        <f t="shared" si="33"/>
        <v>6147</v>
      </c>
      <c r="Q81" s="442">
        <f>19.49*1.5%</f>
        <v>0.29234999999999994</v>
      </c>
      <c r="R81" s="245">
        <f t="shared" si="42"/>
        <v>7.0288325333756063E-4</v>
      </c>
      <c r="S81" s="229">
        <f t="shared" si="43"/>
        <v>81968.28</v>
      </c>
      <c r="T81" s="368">
        <f t="shared" si="44"/>
        <v>354154.0652048866</v>
      </c>
      <c r="U81" s="229">
        <f t="shared" si="45"/>
        <v>99113.311900000001</v>
      </c>
      <c r="V81" s="368">
        <f t="shared" si="46"/>
        <v>428231.29051024205</v>
      </c>
      <c r="W81" s="246">
        <f t="shared" si="47"/>
        <v>782385.35571512859</v>
      </c>
    </row>
    <row r="82" spans="1:24">
      <c r="A82" s="233" t="s">
        <v>35</v>
      </c>
      <c r="B82" s="353">
        <v>683069</v>
      </c>
      <c r="C82" s="232">
        <v>53.07</v>
      </c>
      <c r="D82" s="233">
        <f t="shared" si="34"/>
        <v>1.5639721123045034</v>
      </c>
      <c r="E82" s="231">
        <f t="shared" si="35"/>
        <v>1068300</v>
      </c>
      <c r="G82" s="229">
        <f t="shared" si="36"/>
        <v>27322.760000000002</v>
      </c>
      <c r="H82" s="229">
        <f t="shared" si="37"/>
        <v>24795.404699999999</v>
      </c>
      <c r="I82" s="229">
        <f t="shared" si="38"/>
        <v>54645.520000000004</v>
      </c>
      <c r="J82" s="229">
        <f t="shared" si="39"/>
        <v>74317.907200000001</v>
      </c>
      <c r="K82" s="229">
        <f t="shared" si="40"/>
        <v>81968.28</v>
      </c>
      <c r="L82" s="229">
        <f t="shared" si="41"/>
        <v>99113.311900000001</v>
      </c>
      <c r="N82" s="367">
        <v>38353</v>
      </c>
      <c r="O82" s="367">
        <v>44469</v>
      </c>
      <c r="P82" s="216">
        <f t="shared" si="33"/>
        <v>6116</v>
      </c>
      <c r="Q82" s="442">
        <f>19.45*1.5%</f>
        <v>0.29174999999999995</v>
      </c>
      <c r="R82" s="245">
        <f t="shared" si="42"/>
        <v>7.016100905157252E-4</v>
      </c>
      <c r="S82" s="229">
        <f t="shared" si="43"/>
        <v>81968.28</v>
      </c>
      <c r="T82" s="368">
        <f t="shared" si="44"/>
        <v>351729.76769393514</v>
      </c>
      <c r="U82" s="229">
        <f t="shared" si="45"/>
        <v>99113.311900000001</v>
      </c>
      <c r="V82" s="368">
        <f t="shared" si="46"/>
        <v>425299.91076991661</v>
      </c>
      <c r="W82" s="246">
        <f t="shared" si="47"/>
        <v>777029.6784638518</v>
      </c>
    </row>
    <row r="83" spans="1:24">
      <c r="A83" s="233" t="s">
        <v>101</v>
      </c>
      <c r="B83" s="353">
        <v>320735</v>
      </c>
      <c r="C83" s="232">
        <f>+C77</f>
        <v>52.26</v>
      </c>
      <c r="D83" s="233">
        <f t="shared" si="34"/>
        <v>1.5882127822426331</v>
      </c>
      <c r="E83" s="231">
        <f t="shared" si="35"/>
        <v>509395</v>
      </c>
      <c r="G83" s="229">
        <f t="shared" si="36"/>
        <v>12829.4</v>
      </c>
      <c r="H83" s="229">
        <f t="shared" si="37"/>
        <v>11642.6805</v>
      </c>
      <c r="I83" s="229">
        <f t="shared" si="38"/>
        <v>25658.799999999999</v>
      </c>
      <c r="J83" s="229">
        <f t="shared" si="39"/>
        <v>34895.968000000001</v>
      </c>
      <c r="K83" s="229">
        <f t="shared" si="40"/>
        <v>38488.199999999997</v>
      </c>
      <c r="L83" s="444">
        <f t="shared" si="41"/>
        <v>46538.648500000003</v>
      </c>
      <c r="N83" s="2546" t="s">
        <v>97</v>
      </c>
      <c r="O83" s="2547"/>
      <c r="P83" s="2547"/>
      <c r="Q83" s="2547"/>
      <c r="R83" s="2548"/>
      <c r="S83" s="444">
        <f>SUM(S71:S82)</f>
        <v>983619.36000000022</v>
      </c>
      <c r="U83" s="444">
        <f>SUM(U71:U82)</f>
        <v>1189359.7427999999</v>
      </c>
      <c r="V83" s="154" t="s">
        <v>97</v>
      </c>
      <c r="W83" s="246">
        <f>SUM(W71:W82)</f>
        <v>9622884.796845397</v>
      </c>
      <c r="X83" s="224">
        <f>+S83+U83+W83</f>
        <v>11795863.899645397</v>
      </c>
    </row>
    <row r="84" spans="1:24">
      <c r="A84" s="233" t="s">
        <v>102</v>
      </c>
      <c r="B84" s="353">
        <v>354809</v>
      </c>
      <c r="C84" s="232">
        <f>+C79</f>
        <v>52.53</v>
      </c>
      <c r="D84" s="233">
        <f t="shared" si="34"/>
        <v>1.5800494955263658</v>
      </c>
      <c r="E84" s="231">
        <f t="shared" si="35"/>
        <v>560615</v>
      </c>
      <c r="G84" s="229">
        <f t="shared" si="36"/>
        <v>14192.36</v>
      </c>
      <c r="H84" s="229">
        <f t="shared" si="37"/>
        <v>12879.566699999999</v>
      </c>
      <c r="I84" s="229">
        <f t="shared" si="38"/>
        <v>28384.720000000001</v>
      </c>
      <c r="J84" s="229">
        <f t="shared" si="39"/>
        <v>38603.2192</v>
      </c>
      <c r="K84" s="229">
        <f>SUM(K71:K83)</f>
        <v>1022107.5600000002</v>
      </c>
      <c r="L84" s="229">
        <f>SUM(L71:L83)</f>
        <v>1235898.3912999998</v>
      </c>
      <c r="W84" s="8"/>
    </row>
    <row r="85" spans="1:24">
      <c r="A85" s="233" t="s">
        <v>103</v>
      </c>
      <c r="B85" s="353">
        <v>42765</v>
      </c>
      <c r="C85" s="232">
        <f>+C82</f>
        <v>53.07</v>
      </c>
      <c r="D85" s="233">
        <f t="shared" si="34"/>
        <v>1.5639721123045034</v>
      </c>
      <c r="E85" s="231">
        <f t="shared" si="35"/>
        <v>66883</v>
      </c>
    </row>
    <row r="86" spans="1:24">
      <c r="A86" s="233" t="s">
        <v>104</v>
      </c>
      <c r="B86" s="353">
        <v>496859</v>
      </c>
      <c r="C86" s="232">
        <f>+C81</f>
        <v>52.75</v>
      </c>
      <c r="D86" s="233">
        <f t="shared" si="34"/>
        <v>1.5734597156398105</v>
      </c>
      <c r="E86" s="231">
        <f t="shared" si="35"/>
        <v>781787</v>
      </c>
    </row>
    <row r="87" spans="1:24">
      <c r="A87" s="233" t="s">
        <v>95</v>
      </c>
      <c r="B87" s="353">
        <v>739372</v>
      </c>
      <c r="C87" s="232">
        <f>+C82</f>
        <v>53.07</v>
      </c>
      <c r="D87" s="233">
        <f t="shared" si="34"/>
        <v>1.5639721123045034</v>
      </c>
      <c r="E87" s="231">
        <f t="shared" si="35"/>
        <v>1156357</v>
      </c>
    </row>
    <row r="88" spans="1:24">
      <c r="A88" s="233" t="s">
        <v>96</v>
      </c>
      <c r="B88" s="216"/>
      <c r="C88" s="216"/>
      <c r="D88" s="216"/>
      <c r="E88" s="231">
        <f>SUM(E71:E87)</f>
        <v>16134054</v>
      </c>
    </row>
    <row r="89" spans="1:24">
      <c r="A89" s="233" t="s">
        <v>98</v>
      </c>
      <c r="B89" s="216"/>
      <c r="C89" s="216"/>
      <c r="D89" s="216"/>
      <c r="E89" s="231">
        <f>+G84+H84</f>
        <v>27071.9267</v>
      </c>
    </row>
    <row r="90" spans="1:24">
      <c r="A90" s="233" t="s">
        <v>99</v>
      </c>
      <c r="B90" s="216"/>
      <c r="C90" s="216"/>
      <c r="D90" s="216"/>
      <c r="E90" s="231">
        <f>+E88-E89</f>
        <v>16106982.0733</v>
      </c>
    </row>
    <row r="91" spans="1:24">
      <c r="N91" s="2543" t="s">
        <v>84</v>
      </c>
      <c r="O91" s="2544"/>
      <c r="P91" s="2544"/>
      <c r="Q91" s="2544"/>
      <c r="R91" s="2544"/>
      <c r="S91" s="2544"/>
      <c r="T91" s="2544"/>
      <c r="U91" s="2544"/>
      <c r="V91" s="2544"/>
      <c r="W91" s="2545"/>
    </row>
    <row r="92" spans="1:24" ht="33.75">
      <c r="A92" s="226" t="s">
        <v>11</v>
      </c>
      <c r="B92" s="351" t="s">
        <v>107</v>
      </c>
      <c r="C92" s="228" t="s">
        <v>76</v>
      </c>
      <c r="D92" s="228" t="s">
        <v>77</v>
      </c>
      <c r="E92" s="229" t="s">
        <v>57</v>
      </c>
      <c r="G92" s="229" t="s">
        <v>78</v>
      </c>
      <c r="H92" s="229" t="s">
        <v>79</v>
      </c>
      <c r="I92" s="229" t="s">
        <v>80</v>
      </c>
      <c r="J92" s="229" t="s">
        <v>81</v>
      </c>
      <c r="K92" s="229" t="s">
        <v>82</v>
      </c>
      <c r="L92" s="229" t="s">
        <v>83</v>
      </c>
      <c r="N92" s="381" t="s">
        <v>85</v>
      </c>
      <c r="O92" s="381" t="s">
        <v>10</v>
      </c>
      <c r="P92" s="381" t="s">
        <v>86</v>
      </c>
      <c r="Q92" s="381" t="s">
        <v>87</v>
      </c>
      <c r="R92" s="381" t="s">
        <v>88</v>
      </c>
      <c r="S92" s="381" t="s">
        <v>89</v>
      </c>
      <c r="T92" s="381" t="s">
        <v>90</v>
      </c>
      <c r="U92" s="381" t="s">
        <v>91</v>
      </c>
      <c r="V92" s="381" t="s">
        <v>92</v>
      </c>
      <c r="W92" s="381" t="s">
        <v>93</v>
      </c>
    </row>
    <row r="93" spans="1:24">
      <c r="A93" s="233" t="s">
        <v>16</v>
      </c>
      <c r="B93" s="353">
        <v>718042</v>
      </c>
      <c r="C93" s="232">
        <v>56.45</v>
      </c>
      <c r="D93" s="233">
        <f t="shared" ref="D93:D109" si="48">+$C$13/C93</f>
        <v>1.4703277236492471</v>
      </c>
      <c r="E93" s="231">
        <f>INT(B93*D93)</f>
        <v>1055757</v>
      </c>
      <c r="G93" s="229">
        <f>+B93*0.04</f>
        <v>28721.68</v>
      </c>
      <c r="H93" s="229">
        <f>+B93*0.0375</f>
        <v>26926.575000000001</v>
      </c>
      <c r="I93" s="229">
        <f>+B93*0.08</f>
        <v>57443.360000000001</v>
      </c>
      <c r="J93" s="229">
        <f>+B93*0.1125</f>
        <v>80779.725000000006</v>
      </c>
      <c r="K93" s="229">
        <f>+G93+I93</f>
        <v>86165.040000000008</v>
      </c>
      <c r="L93" s="229">
        <f>+J93+H93</f>
        <v>107706.3</v>
      </c>
      <c r="N93" s="367">
        <v>38384</v>
      </c>
      <c r="O93" s="367">
        <v>44469</v>
      </c>
      <c r="P93" s="216">
        <f t="shared" ref="P93:P104" si="49">_xlfn.DAYS(O93,N93)</f>
        <v>6085</v>
      </c>
      <c r="Q93" s="442">
        <f>19.74*1.5%</f>
        <v>0.29609999999999997</v>
      </c>
      <c r="R93" s="245">
        <f>((1+Q93)^(1/365))-1</f>
        <v>7.108271904481267E-4</v>
      </c>
      <c r="S93" s="229">
        <f>+K93</f>
        <v>86165.040000000008</v>
      </c>
      <c r="T93" s="368">
        <f>+S93*R93*P93</f>
        <v>372696.83831863705</v>
      </c>
      <c r="U93" s="229">
        <f>+L93</f>
        <v>107706.3</v>
      </c>
      <c r="V93" s="368">
        <f>+U93*R93*P93</f>
        <v>465871.04789829633</v>
      </c>
      <c r="W93" s="246">
        <f>+T93+V93</f>
        <v>838567.88621693337</v>
      </c>
    </row>
    <row r="94" spans="1:24">
      <c r="A94" s="233" t="s">
        <v>17</v>
      </c>
      <c r="B94" s="353">
        <v>718042</v>
      </c>
      <c r="C94" s="232">
        <v>57.02</v>
      </c>
      <c r="D94" s="233">
        <f t="shared" si="48"/>
        <v>1.4556296036478429</v>
      </c>
      <c r="E94" s="231">
        <f t="shared" ref="E94:E109" si="50">INT(B94*D94)</f>
        <v>1045203</v>
      </c>
      <c r="G94" s="229">
        <f t="shared" ref="G94:G104" si="51">+B94*0.04</f>
        <v>28721.68</v>
      </c>
      <c r="H94" s="229">
        <f t="shared" ref="H94:H104" si="52">+B94*0.0375</f>
        <v>26926.575000000001</v>
      </c>
      <c r="I94" s="229">
        <f t="shared" ref="I94:I104" si="53">+B94*0.08</f>
        <v>57443.360000000001</v>
      </c>
      <c r="J94" s="229">
        <f t="shared" ref="J94:J104" si="54">+B94*0.1125</f>
        <v>80779.725000000006</v>
      </c>
      <c r="K94" s="229">
        <f t="shared" ref="K94:K104" si="55">+G94+I94</f>
        <v>86165.040000000008</v>
      </c>
      <c r="L94" s="229">
        <f t="shared" ref="L94:L104" si="56">+J94+H94</f>
        <v>107706.3</v>
      </c>
      <c r="N94" s="367">
        <v>38412</v>
      </c>
      <c r="O94" s="367">
        <v>44469</v>
      </c>
      <c r="P94" s="216">
        <f t="shared" si="49"/>
        <v>6057</v>
      </c>
      <c r="Q94" s="442">
        <f>19.8*1.5%</f>
        <v>0.29699999999999999</v>
      </c>
      <c r="R94" s="245">
        <f t="shared" ref="R94:R104" si="57">((1+Q94)^(1/365))-1</f>
        <v>7.1273032460772434E-4</v>
      </c>
      <c r="S94" s="229">
        <f t="shared" ref="S94:S104" si="58">+K94</f>
        <v>86165.040000000008</v>
      </c>
      <c r="T94" s="368">
        <f t="shared" ref="T94:T104" si="59">+S94*R94*P94</f>
        <v>371975.13047918049</v>
      </c>
      <c r="U94" s="229">
        <f t="shared" ref="U94:U104" si="60">+L94</f>
        <v>107706.3</v>
      </c>
      <c r="V94" s="368">
        <f t="shared" ref="V94:V104" si="61">+U94*R94*P94</f>
        <v>464968.91309897555</v>
      </c>
      <c r="W94" s="246">
        <f t="shared" ref="W94:W104" si="62">+T94+V94</f>
        <v>836944.04357815604</v>
      </c>
    </row>
    <row r="95" spans="1:24">
      <c r="A95" s="233" t="s">
        <v>19</v>
      </c>
      <c r="B95" s="353">
        <v>718042</v>
      </c>
      <c r="C95" s="232">
        <v>57.46</v>
      </c>
      <c r="D95" s="233">
        <f t="shared" si="48"/>
        <v>1.4444831186912634</v>
      </c>
      <c r="E95" s="231">
        <f t="shared" si="50"/>
        <v>1037199</v>
      </c>
      <c r="G95" s="229">
        <f t="shared" si="51"/>
        <v>28721.68</v>
      </c>
      <c r="H95" s="229">
        <f t="shared" si="52"/>
        <v>26926.575000000001</v>
      </c>
      <c r="I95" s="229">
        <f t="shared" si="53"/>
        <v>57443.360000000001</v>
      </c>
      <c r="J95" s="229">
        <f t="shared" si="54"/>
        <v>80779.725000000006</v>
      </c>
      <c r="K95" s="229">
        <f t="shared" si="55"/>
        <v>86165.040000000008</v>
      </c>
      <c r="L95" s="229">
        <f t="shared" si="56"/>
        <v>107706.3</v>
      </c>
      <c r="N95" s="367">
        <v>38443</v>
      </c>
      <c r="O95" s="367">
        <v>44469</v>
      </c>
      <c r="P95" s="216">
        <f t="shared" si="49"/>
        <v>6026</v>
      </c>
      <c r="Q95" s="442">
        <f>19.78*1.5%</f>
        <v>0.29670000000000002</v>
      </c>
      <c r="R95" s="245">
        <f t="shared" si="57"/>
        <v>7.1209609292544052E-4</v>
      </c>
      <c r="S95" s="229">
        <f t="shared" si="58"/>
        <v>86165.040000000008</v>
      </c>
      <c r="T95" s="368">
        <f t="shared" si="59"/>
        <v>369742.03248118574</v>
      </c>
      <c r="U95" s="229">
        <f t="shared" si="60"/>
        <v>107706.3</v>
      </c>
      <c r="V95" s="368">
        <f t="shared" si="61"/>
        <v>462177.54060148209</v>
      </c>
      <c r="W95" s="246">
        <f t="shared" si="62"/>
        <v>831919.57308266778</v>
      </c>
    </row>
    <row r="96" spans="1:24">
      <c r="A96" s="233" t="s">
        <v>21</v>
      </c>
      <c r="B96" s="353">
        <v>718042</v>
      </c>
      <c r="C96" s="232">
        <v>57.72</v>
      </c>
      <c r="D96" s="233">
        <f t="shared" si="48"/>
        <v>1.4379764379764379</v>
      </c>
      <c r="E96" s="231">
        <f t="shared" si="50"/>
        <v>1032527</v>
      </c>
      <c r="G96" s="229">
        <f t="shared" si="51"/>
        <v>28721.68</v>
      </c>
      <c r="H96" s="229">
        <f t="shared" si="52"/>
        <v>26926.575000000001</v>
      </c>
      <c r="I96" s="229">
        <f t="shared" si="53"/>
        <v>57443.360000000001</v>
      </c>
      <c r="J96" s="229">
        <f t="shared" si="54"/>
        <v>80779.725000000006</v>
      </c>
      <c r="K96" s="229">
        <f t="shared" si="55"/>
        <v>86165.040000000008</v>
      </c>
      <c r="L96" s="229">
        <f t="shared" si="56"/>
        <v>107706.3</v>
      </c>
      <c r="N96" s="367">
        <v>38473</v>
      </c>
      <c r="O96" s="367">
        <v>44469</v>
      </c>
      <c r="P96" s="216">
        <f t="shared" si="49"/>
        <v>5996</v>
      </c>
      <c r="Q96" s="442">
        <f>19.71*1.5%</f>
        <v>0.29565000000000002</v>
      </c>
      <c r="R96" s="245">
        <f t="shared" si="57"/>
        <v>7.0987512909947981E-4</v>
      </c>
      <c r="S96" s="229">
        <f t="shared" si="58"/>
        <v>86165.040000000008</v>
      </c>
      <c r="T96" s="368">
        <f t="shared" si="59"/>
        <v>366753.84768759564</v>
      </c>
      <c r="U96" s="229">
        <f t="shared" si="60"/>
        <v>107706.3</v>
      </c>
      <c r="V96" s="368">
        <f t="shared" si="61"/>
        <v>458442.30960949446</v>
      </c>
      <c r="W96" s="246">
        <f t="shared" si="62"/>
        <v>825196.15729709016</v>
      </c>
    </row>
    <row r="97" spans="1:24">
      <c r="A97" s="233" t="s">
        <v>23</v>
      </c>
      <c r="B97" s="353">
        <v>718042</v>
      </c>
      <c r="C97" s="232">
        <v>57.95</v>
      </c>
      <c r="D97" s="233">
        <f t="shared" si="48"/>
        <v>1.4322691975841242</v>
      </c>
      <c r="E97" s="231">
        <f t="shared" si="50"/>
        <v>1028429</v>
      </c>
      <c r="G97" s="229">
        <f t="shared" si="51"/>
        <v>28721.68</v>
      </c>
      <c r="H97" s="229">
        <f t="shared" si="52"/>
        <v>26926.575000000001</v>
      </c>
      <c r="I97" s="229">
        <f t="shared" si="53"/>
        <v>57443.360000000001</v>
      </c>
      <c r="J97" s="229">
        <f t="shared" si="54"/>
        <v>80779.725000000006</v>
      </c>
      <c r="K97" s="229">
        <f t="shared" si="55"/>
        <v>86165.040000000008</v>
      </c>
      <c r="L97" s="229">
        <f t="shared" si="56"/>
        <v>107706.3</v>
      </c>
      <c r="N97" s="367">
        <v>38504</v>
      </c>
      <c r="O97" s="367">
        <v>44469</v>
      </c>
      <c r="P97" s="216">
        <f t="shared" si="49"/>
        <v>5965</v>
      </c>
      <c r="Q97" s="442">
        <f>19.67*1.5%</f>
        <v>0.29505000000000003</v>
      </c>
      <c r="R97" s="245">
        <f t="shared" si="57"/>
        <v>7.0860520087911993E-4</v>
      </c>
      <c r="S97" s="229">
        <f t="shared" si="58"/>
        <v>86165.040000000008</v>
      </c>
      <c r="T97" s="368">
        <f t="shared" si="59"/>
        <v>364204.97802601592</v>
      </c>
      <c r="U97" s="229">
        <f t="shared" si="60"/>
        <v>107706.3</v>
      </c>
      <c r="V97" s="368">
        <f t="shared" si="61"/>
        <v>455256.2225325199</v>
      </c>
      <c r="W97" s="246">
        <f t="shared" si="62"/>
        <v>819461.20055853575</v>
      </c>
    </row>
    <row r="98" spans="1:24">
      <c r="A98" s="233" t="s">
        <v>25</v>
      </c>
      <c r="B98" s="353">
        <v>718042</v>
      </c>
      <c r="C98" s="232">
        <v>58.18</v>
      </c>
      <c r="D98" s="233">
        <f t="shared" si="48"/>
        <v>1.4266070814712959</v>
      </c>
      <c r="E98" s="231">
        <f t="shared" si="50"/>
        <v>1024363</v>
      </c>
      <c r="G98" s="229">
        <f t="shared" si="51"/>
        <v>28721.68</v>
      </c>
      <c r="H98" s="229">
        <f t="shared" si="52"/>
        <v>26926.575000000001</v>
      </c>
      <c r="I98" s="229">
        <f t="shared" si="53"/>
        <v>57443.360000000001</v>
      </c>
      <c r="J98" s="229">
        <f t="shared" si="54"/>
        <v>80779.725000000006</v>
      </c>
      <c r="K98" s="229">
        <f t="shared" si="55"/>
        <v>86165.040000000008</v>
      </c>
      <c r="L98" s="229">
        <f t="shared" si="56"/>
        <v>107706.3</v>
      </c>
      <c r="N98" s="367">
        <v>38534</v>
      </c>
      <c r="O98" s="367">
        <v>44469</v>
      </c>
      <c r="P98" s="216">
        <f t="shared" si="49"/>
        <v>5935</v>
      </c>
      <c r="Q98" s="442">
        <f>19.44*1.5%</f>
        <v>0.29160000000000003</v>
      </c>
      <c r="R98" s="245">
        <f t="shared" si="57"/>
        <v>7.0129170766231042E-4</v>
      </c>
      <c r="S98" s="229">
        <f t="shared" si="58"/>
        <v>86165.040000000008</v>
      </c>
      <c r="T98" s="368">
        <f t="shared" si="59"/>
        <v>358633.22443159227</v>
      </c>
      <c r="U98" s="229">
        <f t="shared" si="60"/>
        <v>107706.3</v>
      </c>
      <c r="V98" s="368">
        <f t="shared" si="61"/>
        <v>448291.53053949034</v>
      </c>
      <c r="W98" s="246">
        <f t="shared" si="62"/>
        <v>806924.75497108256</v>
      </c>
    </row>
    <row r="99" spans="1:24">
      <c r="A99" s="233" t="s">
        <v>27</v>
      </c>
      <c r="B99" s="353">
        <v>718042</v>
      </c>
      <c r="C99" s="232">
        <v>58.21</v>
      </c>
      <c r="D99" s="233">
        <f t="shared" si="48"/>
        <v>1.425871843325889</v>
      </c>
      <c r="E99" s="231">
        <f t="shared" si="50"/>
        <v>1023835</v>
      </c>
      <c r="G99" s="229">
        <f t="shared" si="51"/>
        <v>28721.68</v>
      </c>
      <c r="H99" s="229">
        <f t="shared" si="52"/>
        <v>26926.575000000001</v>
      </c>
      <c r="I99" s="229">
        <f t="shared" si="53"/>
        <v>57443.360000000001</v>
      </c>
      <c r="J99" s="229">
        <f t="shared" si="54"/>
        <v>80779.725000000006</v>
      </c>
      <c r="K99" s="229">
        <f t="shared" si="55"/>
        <v>86165.040000000008</v>
      </c>
      <c r="L99" s="229">
        <f t="shared" si="56"/>
        <v>107706.3</v>
      </c>
      <c r="N99" s="367">
        <v>38565</v>
      </c>
      <c r="O99" s="367">
        <v>44469</v>
      </c>
      <c r="P99" s="216">
        <f t="shared" si="49"/>
        <v>5904</v>
      </c>
      <c r="Q99" s="442">
        <f>19.28*1.5%</f>
        <v>0.28920000000000001</v>
      </c>
      <c r="R99" s="245">
        <f t="shared" si="57"/>
        <v>6.9619256101671745E-4</v>
      </c>
      <c r="S99" s="229">
        <f t="shared" si="58"/>
        <v>86165.040000000008</v>
      </c>
      <c r="T99" s="368">
        <f t="shared" si="59"/>
        <v>354165.96305894747</v>
      </c>
      <c r="U99" s="229">
        <f t="shared" si="60"/>
        <v>107706.3</v>
      </c>
      <c r="V99" s="368">
        <f t="shared" si="61"/>
        <v>442707.45382368431</v>
      </c>
      <c r="W99" s="246">
        <f t="shared" si="62"/>
        <v>796873.41688263183</v>
      </c>
    </row>
    <row r="100" spans="1:24">
      <c r="A100" s="233" t="s">
        <v>29</v>
      </c>
      <c r="B100" s="353">
        <v>718042</v>
      </c>
      <c r="C100" s="232">
        <v>58.21</v>
      </c>
      <c r="D100" s="233">
        <f t="shared" si="48"/>
        <v>1.425871843325889</v>
      </c>
      <c r="E100" s="231">
        <f t="shared" si="50"/>
        <v>1023835</v>
      </c>
      <c r="G100" s="229">
        <f t="shared" si="51"/>
        <v>28721.68</v>
      </c>
      <c r="H100" s="229">
        <f t="shared" si="52"/>
        <v>26926.575000000001</v>
      </c>
      <c r="I100" s="229">
        <f t="shared" si="53"/>
        <v>57443.360000000001</v>
      </c>
      <c r="J100" s="229">
        <f t="shared" si="54"/>
        <v>80779.725000000006</v>
      </c>
      <c r="K100" s="229">
        <f t="shared" si="55"/>
        <v>86165.040000000008</v>
      </c>
      <c r="L100" s="229">
        <f t="shared" si="56"/>
        <v>107706.3</v>
      </c>
      <c r="N100" s="367">
        <v>38596</v>
      </c>
      <c r="O100" s="367">
        <v>44469</v>
      </c>
      <c r="P100" s="216">
        <f t="shared" si="49"/>
        <v>5873</v>
      </c>
      <c r="Q100" s="442">
        <f>19.5*1.5%</f>
        <v>0.29249999999999998</v>
      </c>
      <c r="R100" s="245">
        <f t="shared" si="57"/>
        <v>7.0320145193791816E-4</v>
      </c>
      <c r="S100" s="229">
        <f t="shared" si="58"/>
        <v>86165.040000000008</v>
      </c>
      <c r="T100" s="368">
        <f t="shared" si="59"/>
        <v>355853.18198897812</v>
      </c>
      <c r="U100" s="229">
        <f t="shared" si="60"/>
        <v>107706.3</v>
      </c>
      <c r="V100" s="368">
        <f t="shared" si="61"/>
        <v>444816.47748622257</v>
      </c>
      <c r="W100" s="246">
        <f t="shared" si="62"/>
        <v>800669.65947520069</v>
      </c>
    </row>
    <row r="101" spans="1:24">
      <c r="A101" s="233" t="s">
        <v>31</v>
      </c>
      <c r="B101" s="353">
        <v>718042</v>
      </c>
      <c r="C101" s="232">
        <v>58.46</v>
      </c>
      <c r="D101" s="233">
        <f t="shared" si="48"/>
        <v>1.4197742045843311</v>
      </c>
      <c r="E101" s="231">
        <f t="shared" si="50"/>
        <v>1019457</v>
      </c>
      <c r="G101" s="229">
        <f t="shared" si="51"/>
        <v>28721.68</v>
      </c>
      <c r="H101" s="229">
        <f t="shared" si="52"/>
        <v>26926.575000000001</v>
      </c>
      <c r="I101" s="229">
        <f t="shared" si="53"/>
        <v>57443.360000000001</v>
      </c>
      <c r="J101" s="229">
        <f t="shared" si="54"/>
        <v>80779.725000000006</v>
      </c>
      <c r="K101" s="229">
        <f t="shared" si="55"/>
        <v>86165.040000000008</v>
      </c>
      <c r="L101" s="229">
        <f t="shared" si="56"/>
        <v>107706.3</v>
      </c>
      <c r="N101" s="367">
        <v>38626</v>
      </c>
      <c r="O101" s="367">
        <v>44469</v>
      </c>
      <c r="P101" s="216">
        <f t="shared" si="49"/>
        <v>5843</v>
      </c>
      <c r="Q101" s="442">
        <f>19.09*1.5%</f>
        <v>0.28634999999999999</v>
      </c>
      <c r="R101" s="245">
        <f t="shared" si="57"/>
        <v>6.9012501450993469E-4</v>
      </c>
      <c r="S101" s="229">
        <f t="shared" si="58"/>
        <v>86165.040000000008</v>
      </c>
      <c r="T101" s="368">
        <f t="shared" si="59"/>
        <v>347451.94691309554</v>
      </c>
      <c r="U101" s="229">
        <f t="shared" si="60"/>
        <v>107706.3</v>
      </c>
      <c r="V101" s="368">
        <f t="shared" si="61"/>
        <v>434314.9336413694</v>
      </c>
      <c r="W101" s="246">
        <f t="shared" si="62"/>
        <v>781766.88055446488</v>
      </c>
    </row>
    <row r="102" spans="1:24">
      <c r="A102" s="233" t="s">
        <v>33</v>
      </c>
      <c r="B102" s="353">
        <v>718042</v>
      </c>
      <c r="C102" s="232">
        <v>58.6</v>
      </c>
      <c r="D102" s="233">
        <f t="shared" si="48"/>
        <v>1.4163822525597269</v>
      </c>
      <c r="E102" s="231">
        <f t="shared" si="50"/>
        <v>1017021</v>
      </c>
      <c r="G102" s="229">
        <f t="shared" si="51"/>
        <v>28721.68</v>
      </c>
      <c r="H102" s="229">
        <f t="shared" si="52"/>
        <v>26926.575000000001</v>
      </c>
      <c r="I102" s="229">
        <f t="shared" si="53"/>
        <v>57443.360000000001</v>
      </c>
      <c r="J102" s="229">
        <f t="shared" si="54"/>
        <v>80779.725000000006</v>
      </c>
      <c r="K102" s="229">
        <f t="shared" si="55"/>
        <v>86165.040000000008</v>
      </c>
      <c r="L102" s="229">
        <f t="shared" si="56"/>
        <v>107706.3</v>
      </c>
      <c r="N102" s="367">
        <v>38657</v>
      </c>
      <c r="O102" s="367">
        <v>44469</v>
      </c>
      <c r="P102" s="216">
        <f t="shared" si="49"/>
        <v>5812</v>
      </c>
      <c r="Q102" s="442">
        <f>19.59*1.5%</f>
        <v>0.29385</v>
      </c>
      <c r="R102" s="245">
        <f t="shared" si="57"/>
        <v>7.060635832412121E-4</v>
      </c>
      <c r="S102" s="229">
        <f t="shared" si="58"/>
        <v>86165.040000000008</v>
      </c>
      <c r="T102" s="368">
        <f t="shared" si="59"/>
        <v>353590.43793934007</v>
      </c>
      <c r="U102" s="229">
        <f t="shared" si="60"/>
        <v>107706.3</v>
      </c>
      <c r="V102" s="368">
        <f t="shared" si="61"/>
        <v>441988.04742417502</v>
      </c>
      <c r="W102" s="246">
        <f t="shared" si="62"/>
        <v>795578.48536351509</v>
      </c>
    </row>
    <row r="103" spans="1:24">
      <c r="A103" s="233" t="s">
        <v>34</v>
      </c>
      <c r="B103" s="353">
        <v>718042</v>
      </c>
      <c r="C103" s="232">
        <v>58.66</v>
      </c>
      <c r="D103" s="233">
        <f t="shared" si="48"/>
        <v>1.4149335151721787</v>
      </c>
      <c r="E103" s="231">
        <f t="shared" si="50"/>
        <v>1015981</v>
      </c>
      <c r="G103" s="229">
        <f t="shared" si="51"/>
        <v>28721.68</v>
      </c>
      <c r="H103" s="229">
        <f t="shared" si="52"/>
        <v>26926.575000000001</v>
      </c>
      <c r="I103" s="229">
        <f t="shared" si="53"/>
        <v>57443.360000000001</v>
      </c>
      <c r="J103" s="229">
        <f t="shared" si="54"/>
        <v>80779.725000000006</v>
      </c>
      <c r="K103" s="229">
        <f t="shared" si="55"/>
        <v>86165.040000000008</v>
      </c>
      <c r="L103" s="229">
        <f t="shared" si="56"/>
        <v>107706.3</v>
      </c>
      <c r="N103" s="367">
        <v>38687</v>
      </c>
      <c r="O103" s="367">
        <v>44469</v>
      </c>
      <c r="P103" s="216">
        <f t="shared" si="49"/>
        <v>5782</v>
      </c>
      <c r="Q103" s="442">
        <f>19.49*1.5%</f>
        <v>0.29234999999999994</v>
      </c>
      <c r="R103" s="245">
        <f t="shared" si="57"/>
        <v>7.0288325333756063E-4</v>
      </c>
      <c r="S103" s="229">
        <f t="shared" si="58"/>
        <v>86165.040000000008</v>
      </c>
      <c r="T103" s="368">
        <f t="shared" si="59"/>
        <v>350180.8377616292</v>
      </c>
      <c r="U103" s="229">
        <f t="shared" si="60"/>
        <v>107706.3</v>
      </c>
      <c r="V103" s="368">
        <f t="shared" si="61"/>
        <v>437726.04720203648</v>
      </c>
      <c r="W103" s="246">
        <f t="shared" si="62"/>
        <v>787906.88496366562</v>
      </c>
    </row>
    <row r="104" spans="1:24">
      <c r="A104" s="233" t="s">
        <v>35</v>
      </c>
      <c r="B104" s="353">
        <v>718042</v>
      </c>
      <c r="C104" s="232">
        <v>58.7</v>
      </c>
      <c r="D104" s="233">
        <f t="shared" si="48"/>
        <v>1.41396933560477</v>
      </c>
      <c r="E104" s="231">
        <f t="shared" si="50"/>
        <v>1015289</v>
      </c>
      <c r="G104" s="229">
        <f t="shared" si="51"/>
        <v>28721.68</v>
      </c>
      <c r="H104" s="229">
        <f t="shared" si="52"/>
        <v>26926.575000000001</v>
      </c>
      <c r="I104" s="229">
        <f t="shared" si="53"/>
        <v>57443.360000000001</v>
      </c>
      <c r="J104" s="229">
        <f t="shared" si="54"/>
        <v>80779.725000000006</v>
      </c>
      <c r="K104" s="229">
        <f t="shared" si="55"/>
        <v>86165.040000000008</v>
      </c>
      <c r="L104" s="229">
        <f t="shared" si="56"/>
        <v>107706.3</v>
      </c>
      <c r="N104" s="367">
        <v>38718</v>
      </c>
      <c r="O104" s="367">
        <v>44469</v>
      </c>
      <c r="P104" s="216">
        <f t="shared" si="49"/>
        <v>5751</v>
      </c>
      <c r="Q104" s="442">
        <f>19.45*1.5%</f>
        <v>0.29174999999999995</v>
      </c>
      <c r="R104" s="245">
        <f t="shared" si="57"/>
        <v>7.016100905157252E-4</v>
      </c>
      <c r="S104" s="229">
        <f t="shared" si="58"/>
        <v>86165.040000000008</v>
      </c>
      <c r="T104" s="368">
        <f t="shared" si="59"/>
        <v>347672.45796523744</v>
      </c>
      <c r="U104" s="229">
        <f t="shared" si="60"/>
        <v>107706.3</v>
      </c>
      <c r="V104" s="368">
        <f t="shared" si="61"/>
        <v>434590.57245654677</v>
      </c>
      <c r="W104" s="246">
        <f t="shared" si="62"/>
        <v>782263.03042178415</v>
      </c>
    </row>
    <row r="105" spans="1:24">
      <c r="A105" s="233" t="s">
        <v>101</v>
      </c>
      <c r="B105" s="353">
        <v>336771</v>
      </c>
      <c r="C105" s="232">
        <f>+C99</f>
        <v>58.21</v>
      </c>
      <c r="D105" s="233">
        <f t="shared" si="48"/>
        <v>1.425871843325889</v>
      </c>
      <c r="E105" s="231">
        <f t="shared" si="50"/>
        <v>480192</v>
      </c>
      <c r="G105" s="229"/>
      <c r="H105" s="229"/>
      <c r="I105" s="229"/>
      <c r="J105" s="229"/>
      <c r="K105" s="229"/>
      <c r="L105" s="444"/>
      <c r="N105" s="2546" t="s">
        <v>97</v>
      </c>
      <c r="O105" s="2547"/>
      <c r="P105" s="2547"/>
      <c r="Q105" s="2547"/>
      <c r="R105" s="2548"/>
      <c r="S105" s="444">
        <f>SUM(S93:S104)</f>
        <v>1033980.4800000003</v>
      </c>
      <c r="U105" s="444">
        <f>SUM(U93:U104)</f>
        <v>1292475.6000000003</v>
      </c>
      <c r="V105" s="154" t="s">
        <v>97</v>
      </c>
      <c r="W105" s="246">
        <f>SUM(W93:W104)</f>
        <v>9704071.9733657278</v>
      </c>
      <c r="X105" s="224">
        <f>+S105+U105+W105</f>
        <v>12030528.053365728</v>
      </c>
    </row>
    <row r="106" spans="1:24">
      <c r="A106" s="233" t="s">
        <v>102</v>
      </c>
      <c r="B106" s="353">
        <v>412914</v>
      </c>
      <c r="C106" s="232">
        <f>+C101</f>
        <v>58.46</v>
      </c>
      <c r="D106" s="233">
        <f t="shared" si="48"/>
        <v>1.4197742045843311</v>
      </c>
      <c r="E106" s="231">
        <f t="shared" si="50"/>
        <v>586244</v>
      </c>
      <c r="G106" s="229">
        <f t="shared" ref="G106:L106" si="63">SUM(G93:G105)</f>
        <v>344660.16</v>
      </c>
      <c r="H106" s="229">
        <f t="shared" si="63"/>
        <v>323118.90000000008</v>
      </c>
      <c r="I106" s="229">
        <f t="shared" si="63"/>
        <v>689320.32</v>
      </c>
      <c r="J106" s="229">
        <f t="shared" si="63"/>
        <v>969356.69999999984</v>
      </c>
      <c r="K106" s="229">
        <f t="shared" si="63"/>
        <v>1033980.4800000003</v>
      </c>
      <c r="L106" s="229">
        <f t="shared" si="63"/>
        <v>1292475.6000000003</v>
      </c>
    </row>
    <row r="107" spans="1:24">
      <c r="A107" s="233" t="s">
        <v>103</v>
      </c>
      <c r="B107" s="353">
        <v>44903</v>
      </c>
      <c r="C107" s="232">
        <f>+C104</f>
        <v>58.7</v>
      </c>
      <c r="D107" s="233">
        <f t="shared" si="48"/>
        <v>1.41396933560477</v>
      </c>
      <c r="E107" s="231">
        <f t="shared" si="50"/>
        <v>63491</v>
      </c>
    </row>
    <row r="108" spans="1:24">
      <c r="A108" s="233" t="s">
        <v>104</v>
      </c>
      <c r="B108" s="353">
        <v>471479</v>
      </c>
      <c r="C108" s="232">
        <f>+C103</f>
        <v>58.66</v>
      </c>
      <c r="D108" s="233">
        <f t="shared" si="48"/>
        <v>1.4149335151721787</v>
      </c>
      <c r="E108" s="231">
        <f t="shared" si="50"/>
        <v>667111</v>
      </c>
    </row>
    <row r="109" spans="1:24">
      <c r="A109" s="233" t="s">
        <v>95</v>
      </c>
      <c r="B109" s="353">
        <v>780516</v>
      </c>
      <c r="C109" s="232">
        <f>+C104</f>
        <v>58.7</v>
      </c>
      <c r="D109" s="233">
        <f t="shared" si="48"/>
        <v>1.41396933560477</v>
      </c>
      <c r="E109" s="231">
        <f t="shared" si="50"/>
        <v>1103625</v>
      </c>
    </row>
    <row r="110" spans="1:24">
      <c r="A110" s="233" t="s">
        <v>96</v>
      </c>
      <c r="B110" s="216"/>
      <c r="C110" s="216"/>
      <c r="D110" s="216"/>
      <c r="E110" s="231">
        <f>SUM(E93:E109)</f>
        <v>15239559</v>
      </c>
    </row>
    <row r="111" spans="1:24">
      <c r="A111" s="233" t="s">
        <v>98</v>
      </c>
      <c r="B111" s="216"/>
      <c r="C111" s="216"/>
      <c r="D111" s="216"/>
      <c r="E111" s="231">
        <f>+G106+H106</f>
        <v>667779.06000000006</v>
      </c>
    </row>
    <row r="112" spans="1:24">
      <c r="A112" s="233" t="s">
        <v>99</v>
      </c>
      <c r="B112" s="216"/>
      <c r="C112" s="216"/>
      <c r="D112" s="216"/>
      <c r="E112" s="231">
        <f>+E110-E111</f>
        <v>14571779.939999999</v>
      </c>
    </row>
    <row r="114" spans="1:24">
      <c r="N114" s="2543" t="s">
        <v>84</v>
      </c>
      <c r="O114" s="2544"/>
      <c r="P114" s="2544"/>
      <c r="Q114" s="2544"/>
      <c r="R114" s="2544"/>
      <c r="S114" s="2544"/>
      <c r="T114" s="2544"/>
      <c r="U114" s="2544"/>
      <c r="V114" s="2544"/>
      <c r="W114" s="2545"/>
    </row>
    <row r="115" spans="1:24" ht="33.75">
      <c r="A115" s="226" t="s">
        <v>11</v>
      </c>
      <c r="B115" s="351" t="s">
        <v>108</v>
      </c>
      <c r="C115" s="228" t="s">
        <v>76</v>
      </c>
      <c r="D115" s="228" t="s">
        <v>77</v>
      </c>
      <c r="E115" s="229" t="s">
        <v>57</v>
      </c>
      <c r="G115" s="229" t="s">
        <v>78</v>
      </c>
      <c r="H115" s="229" t="s">
        <v>79</v>
      </c>
      <c r="I115" s="229" t="s">
        <v>80</v>
      </c>
      <c r="J115" s="229" t="s">
        <v>81</v>
      </c>
      <c r="K115" s="229" t="s">
        <v>82</v>
      </c>
      <c r="L115" s="229" t="s">
        <v>83</v>
      </c>
      <c r="N115" s="381" t="s">
        <v>85</v>
      </c>
      <c r="O115" s="381" t="s">
        <v>10</v>
      </c>
      <c r="P115" s="381" t="s">
        <v>86</v>
      </c>
      <c r="Q115" s="381" t="s">
        <v>87</v>
      </c>
      <c r="R115" s="381" t="s">
        <v>88</v>
      </c>
      <c r="S115" s="381" t="s">
        <v>89</v>
      </c>
      <c r="T115" s="381" t="s">
        <v>90</v>
      </c>
      <c r="U115" s="381" t="s">
        <v>91</v>
      </c>
      <c r="V115" s="381" t="s">
        <v>92</v>
      </c>
      <c r="W115" s="381" t="s">
        <v>93</v>
      </c>
    </row>
    <row r="116" spans="1:24">
      <c r="A116" s="233" t="s">
        <v>16</v>
      </c>
      <c r="B116" s="353">
        <v>754919</v>
      </c>
      <c r="C116" s="232">
        <v>59.02</v>
      </c>
      <c r="D116" s="233">
        <f t="shared" ref="D116:D132" si="64">+$C$13/C116</f>
        <v>1.4063029481531684</v>
      </c>
      <c r="E116" s="231">
        <f>INT(B116*D116)</f>
        <v>1061644</v>
      </c>
      <c r="G116" s="229">
        <f>+B116*0.04</f>
        <v>30196.760000000002</v>
      </c>
      <c r="H116" s="229">
        <f>+B116*0.0388</f>
        <v>29290.857200000002</v>
      </c>
      <c r="I116" s="229">
        <f>+B116*0.08</f>
        <v>60393.520000000004</v>
      </c>
      <c r="J116" s="229">
        <f>+B116*0.1163</f>
        <v>87797.079700000002</v>
      </c>
      <c r="K116" s="229">
        <f>+G116+I116</f>
        <v>90590.28</v>
      </c>
      <c r="L116" s="229">
        <f>+J116+H116</f>
        <v>117087.9369</v>
      </c>
      <c r="N116" s="367">
        <v>38749</v>
      </c>
      <c r="O116" s="367">
        <v>44469</v>
      </c>
      <c r="P116" s="216">
        <f t="shared" ref="P116:P127" si="65">_xlfn.DAYS(O116,N116)</f>
        <v>5720</v>
      </c>
      <c r="Q116" s="442">
        <f>17.35*1.5%</f>
        <v>0.26025000000000004</v>
      </c>
      <c r="R116" s="245">
        <f>((1+Q116)^(1/365))-1</f>
        <v>6.3392718663468628E-4</v>
      </c>
      <c r="S116" s="229">
        <f>+K116</f>
        <v>90590.28</v>
      </c>
      <c r="T116" s="368">
        <f>+S116*R116*P116</f>
        <v>328486.10844677337</v>
      </c>
      <c r="U116" s="229">
        <f>+L116</f>
        <v>117087.9369</v>
      </c>
      <c r="V116" s="368">
        <f>+U116*R116*P116</f>
        <v>424568.29516745458</v>
      </c>
      <c r="W116" s="246">
        <f>+T116+V116</f>
        <v>753054.40361422789</v>
      </c>
    </row>
    <row r="117" spans="1:24">
      <c r="A117" s="233" t="s">
        <v>17</v>
      </c>
      <c r="B117" s="353">
        <v>754919</v>
      </c>
      <c r="C117" s="232">
        <v>59.41</v>
      </c>
      <c r="D117" s="233">
        <f t="shared" si="64"/>
        <v>1.3970712001346575</v>
      </c>
      <c r="E117" s="231">
        <f t="shared" ref="E117:E131" si="66">INT(B117*D117)</f>
        <v>1054675</v>
      </c>
      <c r="G117" s="229">
        <f t="shared" ref="G117:G127" si="67">+B117*0.04</f>
        <v>30196.760000000002</v>
      </c>
      <c r="H117" s="229">
        <f t="shared" ref="H117:H127" si="68">+B117*0.0388</f>
        <v>29290.857200000002</v>
      </c>
      <c r="I117" s="229">
        <f t="shared" ref="I117:I127" si="69">+B117*0.08</f>
        <v>60393.520000000004</v>
      </c>
      <c r="J117" s="229">
        <f t="shared" ref="J117:J127" si="70">+B117*0.1163</f>
        <v>87797.079700000002</v>
      </c>
      <c r="K117" s="229">
        <f t="shared" ref="K117:K127" si="71">+G117+I117</f>
        <v>90590.28</v>
      </c>
      <c r="L117" s="229">
        <f t="shared" ref="L117:L127" si="72">+J117+H117</f>
        <v>117087.9369</v>
      </c>
      <c r="N117" s="367">
        <v>38777</v>
      </c>
      <c r="O117" s="367">
        <v>44469</v>
      </c>
      <c r="P117" s="216">
        <f t="shared" si="65"/>
        <v>5692</v>
      </c>
      <c r="Q117" s="442">
        <f>17.51*1.5%</f>
        <v>0.26264999999999999</v>
      </c>
      <c r="R117" s="245">
        <f t="shared" ref="R117:R127" si="73">((1+Q117)^(1/365))-1</f>
        <v>6.3914303338785672E-4</v>
      </c>
      <c r="S117" s="229">
        <f>+K117</f>
        <v>90590.28</v>
      </c>
      <c r="T117" s="368">
        <f>+S117*R117*P117</f>
        <v>329567.63305069791</v>
      </c>
      <c r="U117" s="229">
        <f t="shared" ref="U117:U127" si="74">+L117</f>
        <v>117087.9369</v>
      </c>
      <c r="V117" s="368">
        <f t="shared" ref="V117:V127" si="75">+U117*R117*P117</f>
        <v>425966.16571802698</v>
      </c>
      <c r="W117" s="246">
        <f t="shared" ref="W117:W127" si="76">+T117+V117</f>
        <v>755533.7987687249</v>
      </c>
    </row>
    <row r="118" spans="1:24">
      <c r="A118" s="233" t="s">
        <v>19</v>
      </c>
      <c r="B118" s="353">
        <v>754919</v>
      </c>
      <c r="C118" s="232">
        <v>59.83</v>
      </c>
      <c r="D118" s="233">
        <f t="shared" si="64"/>
        <v>1.387263914424202</v>
      </c>
      <c r="E118" s="231">
        <f t="shared" si="66"/>
        <v>1047271</v>
      </c>
      <c r="G118" s="229">
        <f t="shared" si="67"/>
        <v>30196.760000000002</v>
      </c>
      <c r="H118" s="229">
        <f t="shared" si="68"/>
        <v>29290.857200000002</v>
      </c>
      <c r="I118" s="229">
        <f t="shared" si="69"/>
        <v>60393.520000000004</v>
      </c>
      <c r="J118" s="229">
        <f t="shared" si="70"/>
        <v>87797.079700000002</v>
      </c>
      <c r="K118" s="229">
        <f t="shared" si="71"/>
        <v>90590.28</v>
      </c>
      <c r="L118" s="229">
        <f t="shared" si="72"/>
        <v>117087.9369</v>
      </c>
      <c r="N118" s="367">
        <v>38808</v>
      </c>
      <c r="O118" s="367">
        <v>44469</v>
      </c>
      <c r="P118" s="216">
        <f t="shared" si="65"/>
        <v>5661</v>
      </c>
      <c r="Q118" s="442">
        <f>17.25*1.5%</f>
        <v>0.25874999999999998</v>
      </c>
      <c r="R118" s="245">
        <f t="shared" si="73"/>
        <v>6.3066224975627527E-4</v>
      </c>
      <c r="S118" s="229">
        <f t="shared" ref="S118:S127" si="77">+K118</f>
        <v>90590.28</v>
      </c>
      <c r="T118" s="368">
        <f t="shared" ref="T118:T127" si="78">+S118*R118*P118</f>
        <v>323423.514886007</v>
      </c>
      <c r="U118" s="229">
        <f t="shared" si="74"/>
        <v>117087.9369</v>
      </c>
      <c r="V118" s="368">
        <f t="shared" si="75"/>
        <v>418024.89299016405</v>
      </c>
      <c r="W118" s="246">
        <f t="shared" si="76"/>
        <v>741448.40787617106</v>
      </c>
    </row>
    <row r="119" spans="1:24">
      <c r="A119" s="233" t="s">
        <v>21</v>
      </c>
      <c r="B119" s="353">
        <v>754919</v>
      </c>
      <c r="C119" s="232">
        <v>60.09</v>
      </c>
      <c r="D119" s="233">
        <f t="shared" si="64"/>
        <v>1.3812614411715758</v>
      </c>
      <c r="E119" s="231">
        <f>INT(B119*D119)</f>
        <v>1042740</v>
      </c>
      <c r="G119" s="229">
        <f t="shared" si="67"/>
        <v>30196.760000000002</v>
      </c>
      <c r="H119" s="229">
        <f t="shared" si="68"/>
        <v>29290.857200000002</v>
      </c>
      <c r="I119" s="229">
        <f t="shared" si="69"/>
        <v>60393.520000000004</v>
      </c>
      <c r="J119" s="229">
        <f t="shared" si="70"/>
        <v>87797.079700000002</v>
      </c>
      <c r="K119" s="229">
        <f t="shared" si="71"/>
        <v>90590.28</v>
      </c>
      <c r="L119" s="229">
        <f t="shared" si="72"/>
        <v>117087.9369</v>
      </c>
      <c r="N119" s="367">
        <v>38838</v>
      </c>
      <c r="O119" s="367">
        <v>44469</v>
      </c>
      <c r="P119" s="216">
        <f t="shared" si="65"/>
        <v>5631</v>
      </c>
      <c r="Q119" s="442">
        <f>16.75*1.5%</f>
        <v>0.25124999999999997</v>
      </c>
      <c r="R119" s="245">
        <f t="shared" si="73"/>
        <v>6.1427914466394284E-4</v>
      </c>
      <c r="S119" s="229">
        <f t="shared" si="77"/>
        <v>90590.28</v>
      </c>
      <c r="T119" s="368">
        <f t="shared" si="78"/>
        <v>313352.30970540695</v>
      </c>
      <c r="U119" s="229">
        <f t="shared" si="74"/>
        <v>117087.9369</v>
      </c>
      <c r="V119" s="368">
        <f t="shared" si="75"/>
        <v>405007.86029423855</v>
      </c>
      <c r="W119" s="246">
        <f t="shared" si="76"/>
        <v>718360.16999964556</v>
      </c>
    </row>
    <row r="120" spans="1:24">
      <c r="A120" s="233" t="s">
        <v>23</v>
      </c>
      <c r="B120" s="353">
        <v>754919</v>
      </c>
      <c r="C120" s="232">
        <v>60.29</v>
      </c>
      <c r="D120" s="233">
        <f t="shared" si="64"/>
        <v>1.3766793829822526</v>
      </c>
      <c r="E120" s="231">
        <f t="shared" si="66"/>
        <v>1039281</v>
      </c>
      <c r="G120" s="229">
        <f t="shared" si="67"/>
        <v>30196.760000000002</v>
      </c>
      <c r="H120" s="229">
        <f t="shared" si="68"/>
        <v>29290.857200000002</v>
      </c>
      <c r="I120" s="229">
        <f t="shared" si="69"/>
        <v>60393.520000000004</v>
      </c>
      <c r="J120" s="229">
        <f t="shared" si="70"/>
        <v>87797.079700000002</v>
      </c>
      <c r="K120" s="229">
        <f t="shared" si="71"/>
        <v>90590.28</v>
      </c>
      <c r="L120" s="229">
        <f t="shared" si="72"/>
        <v>117087.9369</v>
      </c>
      <c r="N120" s="367">
        <v>38869</v>
      </c>
      <c r="O120" s="367">
        <v>44469</v>
      </c>
      <c r="P120" s="216">
        <f t="shared" si="65"/>
        <v>5600</v>
      </c>
      <c r="Q120" s="442">
        <f>16.07*1.5%</f>
        <v>0.24104999999999999</v>
      </c>
      <c r="R120" s="245">
        <f t="shared" si="73"/>
        <v>5.9184026152525604E-4</v>
      </c>
      <c r="S120" s="229">
        <f t="shared" si="77"/>
        <v>90590.28</v>
      </c>
      <c r="T120" s="368">
        <f t="shared" si="78"/>
        <v>300243.86003833858</v>
      </c>
      <c r="U120" s="229">
        <f t="shared" si="74"/>
        <v>117087.9369</v>
      </c>
      <c r="V120" s="368">
        <f t="shared" si="75"/>
        <v>388065.18909955258</v>
      </c>
      <c r="W120" s="246">
        <f t="shared" si="76"/>
        <v>688309.04913789115</v>
      </c>
    </row>
    <row r="121" spans="1:24">
      <c r="A121" s="233" t="s">
        <v>25</v>
      </c>
      <c r="B121" s="353">
        <v>754919</v>
      </c>
      <c r="C121" s="232">
        <v>60.48</v>
      </c>
      <c r="D121" s="233">
        <f t="shared" si="64"/>
        <v>1.3723544973544974</v>
      </c>
      <c r="E121" s="231">
        <f t="shared" si="66"/>
        <v>1036016</v>
      </c>
      <c r="G121" s="229">
        <f t="shared" si="67"/>
        <v>30196.760000000002</v>
      </c>
      <c r="H121" s="229">
        <f t="shared" si="68"/>
        <v>29290.857200000002</v>
      </c>
      <c r="I121" s="229">
        <f t="shared" si="69"/>
        <v>60393.520000000004</v>
      </c>
      <c r="J121" s="229">
        <f t="shared" si="70"/>
        <v>87797.079700000002</v>
      </c>
      <c r="K121" s="229">
        <f t="shared" si="71"/>
        <v>90590.28</v>
      </c>
      <c r="L121" s="229">
        <f t="shared" si="72"/>
        <v>117087.9369</v>
      </c>
      <c r="N121" s="367">
        <v>38899</v>
      </c>
      <c r="O121" s="367">
        <v>44469</v>
      </c>
      <c r="P121" s="216">
        <f t="shared" si="65"/>
        <v>5570</v>
      </c>
      <c r="Q121" s="442">
        <f>15.61*1.5%</f>
        <v>0.23414999999999997</v>
      </c>
      <c r="R121" s="245">
        <f t="shared" si="73"/>
        <v>5.7655648458965203E-4</v>
      </c>
      <c r="S121" s="229">
        <f t="shared" si="77"/>
        <v>90590.28</v>
      </c>
      <c r="T121" s="368">
        <f t="shared" si="78"/>
        <v>290923.40249759291</v>
      </c>
      <c r="U121" s="229">
        <f t="shared" si="74"/>
        <v>117087.9369</v>
      </c>
      <c r="V121" s="368">
        <f t="shared" si="75"/>
        <v>376018.49772813881</v>
      </c>
      <c r="W121" s="246">
        <f t="shared" si="76"/>
        <v>666941.90022573178</v>
      </c>
    </row>
    <row r="122" spans="1:24">
      <c r="A122" s="233" t="s">
        <v>27</v>
      </c>
      <c r="B122" s="353">
        <v>754919</v>
      </c>
      <c r="C122" s="232">
        <v>60.73</v>
      </c>
      <c r="D122" s="233">
        <f t="shared" si="64"/>
        <v>1.3667050880948461</v>
      </c>
      <c r="E122" s="231">
        <f t="shared" si="66"/>
        <v>1031751</v>
      </c>
      <c r="G122" s="229">
        <f t="shared" si="67"/>
        <v>30196.760000000002</v>
      </c>
      <c r="H122" s="229">
        <f t="shared" si="68"/>
        <v>29290.857200000002</v>
      </c>
      <c r="I122" s="229">
        <f t="shared" si="69"/>
        <v>60393.520000000004</v>
      </c>
      <c r="J122" s="229">
        <f t="shared" si="70"/>
        <v>87797.079700000002</v>
      </c>
      <c r="K122" s="229">
        <f t="shared" si="71"/>
        <v>90590.28</v>
      </c>
      <c r="L122" s="229">
        <f t="shared" si="72"/>
        <v>117087.9369</v>
      </c>
      <c r="N122" s="367">
        <v>38930</v>
      </c>
      <c r="O122" s="367">
        <v>44469</v>
      </c>
      <c r="P122" s="216">
        <f t="shared" si="65"/>
        <v>5539</v>
      </c>
      <c r="Q122" s="442">
        <f>15.08*1.5%</f>
        <v>0.22619999999999998</v>
      </c>
      <c r="R122" s="245">
        <f t="shared" si="73"/>
        <v>5.5884090533520059E-4</v>
      </c>
      <c r="S122" s="229">
        <f t="shared" si="77"/>
        <v>90590.28</v>
      </c>
      <c r="T122" s="368">
        <f t="shared" si="78"/>
        <v>280414.94410323224</v>
      </c>
      <c r="U122" s="229">
        <f t="shared" si="74"/>
        <v>117087.9369</v>
      </c>
      <c r="V122" s="368">
        <f t="shared" si="75"/>
        <v>362436.31525342766</v>
      </c>
      <c r="W122" s="246">
        <f t="shared" si="76"/>
        <v>642851.25935665984</v>
      </c>
    </row>
    <row r="123" spans="1:24">
      <c r="A123" s="233" t="s">
        <v>29</v>
      </c>
      <c r="B123" s="353">
        <v>754919</v>
      </c>
      <c r="C123" s="232">
        <v>60.96</v>
      </c>
      <c r="D123" s="233">
        <f t="shared" si="64"/>
        <v>1.3615485564304461</v>
      </c>
      <c r="E123" s="231">
        <f t="shared" si="66"/>
        <v>1027858</v>
      </c>
      <c r="G123" s="229">
        <f t="shared" si="67"/>
        <v>30196.760000000002</v>
      </c>
      <c r="H123" s="229">
        <f t="shared" si="68"/>
        <v>29290.857200000002</v>
      </c>
      <c r="I123" s="229">
        <f t="shared" si="69"/>
        <v>60393.520000000004</v>
      </c>
      <c r="J123" s="229">
        <f t="shared" si="70"/>
        <v>87797.079700000002</v>
      </c>
      <c r="K123" s="229">
        <f t="shared" si="71"/>
        <v>90590.28</v>
      </c>
      <c r="L123" s="229">
        <f t="shared" si="72"/>
        <v>117087.9369</v>
      </c>
      <c r="N123" s="367">
        <v>38961</v>
      </c>
      <c r="O123" s="367">
        <v>44469</v>
      </c>
      <c r="P123" s="216">
        <f t="shared" si="65"/>
        <v>5508</v>
      </c>
      <c r="Q123" s="442">
        <f>15.02*1.5%</f>
        <v>0.22529999999999997</v>
      </c>
      <c r="R123" s="245">
        <f t="shared" si="73"/>
        <v>5.5682815475988079E-4</v>
      </c>
      <c r="S123" s="229">
        <f t="shared" si="77"/>
        <v>90590.28</v>
      </c>
      <c r="T123" s="368">
        <f t="shared" si="78"/>
        <v>277841.24723130779</v>
      </c>
      <c r="U123" s="229">
        <f t="shared" si="74"/>
        <v>117087.9369</v>
      </c>
      <c r="V123" s="368">
        <f t="shared" si="75"/>
        <v>359109.81204646529</v>
      </c>
      <c r="W123" s="246">
        <f t="shared" si="76"/>
        <v>636951.05927777314</v>
      </c>
    </row>
    <row r="124" spans="1:24">
      <c r="A124" s="233" t="s">
        <v>31</v>
      </c>
      <c r="B124" s="353">
        <v>754919</v>
      </c>
      <c r="C124" s="232">
        <v>61.14</v>
      </c>
      <c r="D124" s="233">
        <f t="shared" si="64"/>
        <v>1.3575400719659798</v>
      </c>
      <c r="E124" s="231">
        <f t="shared" si="66"/>
        <v>1024832</v>
      </c>
      <c r="G124" s="229">
        <f t="shared" si="67"/>
        <v>30196.760000000002</v>
      </c>
      <c r="H124" s="229">
        <f t="shared" si="68"/>
        <v>29290.857200000002</v>
      </c>
      <c r="I124" s="229">
        <f t="shared" si="69"/>
        <v>60393.520000000004</v>
      </c>
      <c r="J124" s="229">
        <f t="shared" si="70"/>
        <v>87797.079700000002</v>
      </c>
      <c r="K124" s="229">
        <f t="shared" si="71"/>
        <v>90590.28</v>
      </c>
      <c r="L124" s="229">
        <f t="shared" si="72"/>
        <v>117087.9369</v>
      </c>
      <c r="N124" s="367">
        <v>38991</v>
      </c>
      <c r="O124" s="367">
        <v>44469</v>
      </c>
      <c r="P124" s="216">
        <f t="shared" si="65"/>
        <v>5478</v>
      </c>
      <c r="Q124" s="442">
        <f>15.07*1.5%</f>
        <v>0.22605</v>
      </c>
      <c r="R124" s="245">
        <f t="shared" si="73"/>
        <v>5.5850554923675411E-4</v>
      </c>
      <c r="S124" s="229">
        <f t="shared" si="77"/>
        <v>90590.28</v>
      </c>
      <c r="T124" s="368">
        <f t="shared" si="78"/>
        <v>277160.36364810035</v>
      </c>
      <c r="U124" s="229">
        <f t="shared" si="74"/>
        <v>117087.9369</v>
      </c>
      <c r="V124" s="368">
        <f t="shared" si="75"/>
        <v>358229.77001516969</v>
      </c>
      <c r="W124" s="246">
        <f t="shared" si="76"/>
        <v>635390.13366327004</v>
      </c>
    </row>
    <row r="125" spans="1:24">
      <c r="A125" s="233" t="s">
        <v>33</v>
      </c>
      <c r="B125" s="353">
        <v>754919</v>
      </c>
      <c r="C125" s="232">
        <v>61.05</v>
      </c>
      <c r="D125" s="233">
        <f t="shared" si="64"/>
        <v>1.3595413595413597</v>
      </c>
      <c r="E125" s="231">
        <f t="shared" si="66"/>
        <v>1026343</v>
      </c>
      <c r="G125" s="229">
        <f t="shared" si="67"/>
        <v>30196.760000000002</v>
      </c>
      <c r="H125" s="229">
        <f t="shared" si="68"/>
        <v>29290.857200000002</v>
      </c>
      <c r="I125" s="229">
        <f t="shared" si="69"/>
        <v>60393.520000000004</v>
      </c>
      <c r="J125" s="229">
        <f t="shared" si="70"/>
        <v>87797.079700000002</v>
      </c>
      <c r="K125" s="229">
        <f t="shared" si="71"/>
        <v>90590.28</v>
      </c>
      <c r="L125" s="229">
        <f t="shared" si="72"/>
        <v>117087.9369</v>
      </c>
      <c r="N125" s="367">
        <v>39022</v>
      </c>
      <c r="O125" s="367">
        <v>44469</v>
      </c>
      <c r="P125" s="216">
        <f t="shared" si="65"/>
        <v>5447</v>
      </c>
      <c r="Q125" s="442">
        <f>15.07*1.5%</f>
        <v>0.22605</v>
      </c>
      <c r="R125" s="245">
        <f t="shared" si="73"/>
        <v>5.5850554923675411E-4</v>
      </c>
      <c r="S125" s="229">
        <f t="shared" si="77"/>
        <v>90590.28</v>
      </c>
      <c r="T125" s="368">
        <f t="shared" si="78"/>
        <v>275591.91325140611</v>
      </c>
      <c r="U125" s="229">
        <f t="shared" si="74"/>
        <v>117087.9369</v>
      </c>
      <c r="V125" s="368">
        <f t="shared" si="75"/>
        <v>356202.54787744238</v>
      </c>
      <c r="W125" s="246">
        <f t="shared" si="76"/>
        <v>631794.46112884849</v>
      </c>
    </row>
    <row r="126" spans="1:24">
      <c r="A126" s="233" t="s">
        <v>34</v>
      </c>
      <c r="B126" s="353">
        <v>754919</v>
      </c>
      <c r="C126" s="232">
        <v>61.19</v>
      </c>
      <c r="D126" s="233">
        <f t="shared" si="64"/>
        <v>1.3564307893446641</v>
      </c>
      <c r="E126" s="231">
        <f t="shared" si="66"/>
        <v>1023995</v>
      </c>
      <c r="G126" s="229">
        <f t="shared" si="67"/>
        <v>30196.760000000002</v>
      </c>
      <c r="H126" s="229">
        <f t="shared" si="68"/>
        <v>29290.857200000002</v>
      </c>
      <c r="I126" s="229">
        <f t="shared" si="69"/>
        <v>60393.520000000004</v>
      </c>
      <c r="J126" s="229">
        <f t="shared" si="70"/>
        <v>87797.079700000002</v>
      </c>
      <c r="K126" s="229">
        <f t="shared" si="71"/>
        <v>90590.28</v>
      </c>
      <c r="L126" s="229">
        <f t="shared" si="72"/>
        <v>117087.9369</v>
      </c>
      <c r="N126" s="367">
        <v>39052</v>
      </c>
      <c r="O126" s="367">
        <v>44469</v>
      </c>
      <c r="P126" s="216">
        <f t="shared" si="65"/>
        <v>5417</v>
      </c>
      <c r="Q126" s="442">
        <f>15.07*1.5%</f>
        <v>0.22605</v>
      </c>
      <c r="R126" s="245">
        <f t="shared" si="73"/>
        <v>5.5850554923675411E-4</v>
      </c>
      <c r="S126" s="229">
        <f t="shared" si="77"/>
        <v>90590.28</v>
      </c>
      <c r="T126" s="368">
        <f t="shared" si="78"/>
        <v>274074.05802879872</v>
      </c>
      <c r="U126" s="229">
        <f t="shared" si="74"/>
        <v>117087.9369</v>
      </c>
      <c r="V126" s="368">
        <f t="shared" si="75"/>
        <v>354240.7200022224</v>
      </c>
      <c r="W126" s="246">
        <f t="shared" si="76"/>
        <v>628314.77803102112</v>
      </c>
    </row>
    <row r="127" spans="1:24">
      <c r="A127" s="233" t="s">
        <v>35</v>
      </c>
      <c r="B127" s="353">
        <v>754919</v>
      </c>
      <c r="C127" s="232">
        <v>61.33</v>
      </c>
      <c r="D127" s="233">
        <f t="shared" si="64"/>
        <v>1.3533344203489321</v>
      </c>
      <c r="E127" s="231">
        <f t="shared" si="66"/>
        <v>1021657</v>
      </c>
      <c r="G127" s="229">
        <f t="shared" si="67"/>
        <v>30196.760000000002</v>
      </c>
      <c r="H127" s="229">
        <f t="shared" si="68"/>
        <v>29290.857200000002</v>
      </c>
      <c r="I127" s="229">
        <f t="shared" si="69"/>
        <v>60393.520000000004</v>
      </c>
      <c r="J127" s="229">
        <f t="shared" si="70"/>
        <v>87797.079700000002</v>
      </c>
      <c r="K127" s="229">
        <f t="shared" si="71"/>
        <v>90590.28</v>
      </c>
      <c r="L127" s="229">
        <f t="shared" si="72"/>
        <v>117087.9369</v>
      </c>
      <c r="N127" s="367">
        <v>39083</v>
      </c>
      <c r="O127" s="367">
        <v>44469</v>
      </c>
      <c r="P127" s="216">
        <f t="shared" si="65"/>
        <v>5386</v>
      </c>
      <c r="Q127" s="442">
        <f>20.68*1.5%</f>
        <v>0.31019999999999998</v>
      </c>
      <c r="R127" s="245">
        <f t="shared" si="73"/>
        <v>7.4049265219700011E-4</v>
      </c>
      <c r="S127" s="229">
        <f t="shared" si="77"/>
        <v>90590.28</v>
      </c>
      <c r="T127" s="368">
        <f t="shared" si="78"/>
        <v>361300.61806872528</v>
      </c>
      <c r="U127" s="229">
        <f t="shared" si="74"/>
        <v>117087.9369</v>
      </c>
      <c r="V127" s="368">
        <f t="shared" si="75"/>
        <v>466981.04885382735</v>
      </c>
      <c r="W127" s="246">
        <f t="shared" si="76"/>
        <v>828281.66692255263</v>
      </c>
    </row>
    <row r="128" spans="1:24">
      <c r="A128" s="233" t="s">
        <v>101</v>
      </c>
      <c r="B128" s="353">
        <v>353610</v>
      </c>
      <c r="C128" s="232">
        <f>+C122</f>
        <v>60.73</v>
      </c>
      <c r="D128" s="233">
        <f t="shared" si="64"/>
        <v>1.3667050880948461</v>
      </c>
      <c r="E128" s="231">
        <f t="shared" si="66"/>
        <v>483280</v>
      </c>
      <c r="G128" s="229"/>
      <c r="H128" s="229"/>
      <c r="I128" s="229"/>
      <c r="J128" s="229"/>
      <c r="K128" s="229"/>
      <c r="L128" s="444"/>
      <c r="N128" s="2546" t="s">
        <v>97</v>
      </c>
      <c r="O128" s="2547"/>
      <c r="P128" s="2547"/>
      <c r="Q128" s="2547"/>
      <c r="R128" s="2548"/>
      <c r="S128" s="444">
        <f>SUM(S116:S127)</f>
        <v>1087083.3600000001</v>
      </c>
      <c r="U128" s="444">
        <f>SUM(U116:U127)</f>
        <v>1405055.2428000001</v>
      </c>
      <c r="V128" s="154" t="s">
        <v>97</v>
      </c>
      <c r="W128" s="246">
        <f>SUM(W116:W127)</f>
        <v>8327231.0880025178</v>
      </c>
      <c r="X128" s="224">
        <f>+S128+U128+W128</f>
        <v>10819369.690802518</v>
      </c>
    </row>
    <row r="129" spans="1:23">
      <c r="A129" s="233" t="s">
        <v>102</v>
      </c>
      <c r="B129" s="353">
        <v>392194</v>
      </c>
      <c r="C129" s="232">
        <f>+C124</f>
        <v>61.14</v>
      </c>
      <c r="D129" s="233">
        <f t="shared" si="64"/>
        <v>1.3575400719659798</v>
      </c>
      <c r="E129" s="231">
        <f t="shared" si="66"/>
        <v>532419</v>
      </c>
      <c r="G129" s="229">
        <f t="shared" ref="G129:L129" si="79">SUM(G116:G128)</f>
        <v>362361.12000000005</v>
      </c>
      <c r="H129" s="229">
        <f t="shared" si="79"/>
        <v>351490.2864000001</v>
      </c>
      <c r="I129" s="229">
        <f t="shared" si="79"/>
        <v>724722.24000000011</v>
      </c>
      <c r="J129" s="229">
        <f t="shared" si="79"/>
        <v>1053564.9564</v>
      </c>
      <c r="K129" s="229">
        <f t="shared" si="79"/>
        <v>1087083.3600000001</v>
      </c>
      <c r="L129" s="229">
        <f t="shared" si="79"/>
        <v>1405055.2428000001</v>
      </c>
    </row>
    <row r="130" spans="1:23">
      <c r="A130" s="233" t="s">
        <v>103</v>
      </c>
      <c r="B130" s="353">
        <v>47148</v>
      </c>
      <c r="C130" s="232">
        <f>+C127</f>
        <v>61.33</v>
      </c>
      <c r="D130" s="233">
        <f t="shared" si="64"/>
        <v>1.3533344203489321</v>
      </c>
      <c r="E130" s="231">
        <f t="shared" si="66"/>
        <v>63807</v>
      </c>
    </row>
    <row r="131" spans="1:23">
      <c r="A131" s="233" t="s">
        <v>104</v>
      </c>
      <c r="B131" s="353">
        <v>549072</v>
      </c>
      <c r="C131" s="232">
        <f>+C126</f>
        <v>61.19</v>
      </c>
      <c r="D131" s="233">
        <f t="shared" si="64"/>
        <v>1.3564307893446641</v>
      </c>
      <c r="E131" s="231">
        <f t="shared" si="66"/>
        <v>744778</v>
      </c>
    </row>
    <row r="132" spans="1:23">
      <c r="A132" s="233" t="s">
        <v>95</v>
      </c>
      <c r="B132" s="353">
        <v>817069</v>
      </c>
      <c r="C132" s="232">
        <f>+C127</f>
        <v>61.33</v>
      </c>
      <c r="D132" s="233">
        <f t="shared" si="64"/>
        <v>1.3533344203489321</v>
      </c>
      <c r="E132" s="231">
        <f>INT(B132*D132)</f>
        <v>1105767</v>
      </c>
    </row>
    <row r="133" spans="1:23">
      <c r="A133" s="233" t="s">
        <v>96</v>
      </c>
      <c r="B133" s="216"/>
      <c r="C133" s="216"/>
      <c r="D133" s="216"/>
      <c r="E133" s="231">
        <f>SUM(E116:E132)</f>
        <v>15368114</v>
      </c>
    </row>
    <row r="134" spans="1:23">
      <c r="A134" s="233" t="s">
        <v>98</v>
      </c>
      <c r="B134" s="216"/>
      <c r="C134" s="216"/>
      <c r="D134" s="216"/>
      <c r="E134" s="231">
        <f>+G129+H129</f>
        <v>713851.40640000021</v>
      </c>
    </row>
    <row r="135" spans="1:23">
      <c r="A135" s="233" t="s">
        <v>99</v>
      </c>
      <c r="B135" s="216"/>
      <c r="C135" s="216"/>
      <c r="D135" s="216"/>
      <c r="E135" s="231">
        <f>+E133-E134</f>
        <v>14654262.593599999</v>
      </c>
    </row>
    <row r="137" spans="1:23">
      <c r="N137" s="2543" t="s">
        <v>84</v>
      </c>
      <c r="O137" s="2544"/>
      <c r="P137" s="2544"/>
      <c r="Q137" s="2544"/>
      <c r="R137" s="2544"/>
      <c r="S137" s="2544"/>
      <c r="T137" s="2544"/>
      <c r="U137" s="2544"/>
      <c r="V137" s="2544"/>
      <c r="W137" s="2545"/>
    </row>
    <row r="138" spans="1:23" ht="33.75">
      <c r="A138" s="226" t="s">
        <v>11</v>
      </c>
      <c r="B138" s="351" t="s">
        <v>109</v>
      </c>
      <c r="C138" s="228" t="s">
        <v>76</v>
      </c>
      <c r="D138" s="228" t="s">
        <v>77</v>
      </c>
      <c r="E138" s="229" t="s">
        <v>57</v>
      </c>
      <c r="G138" s="229" t="s">
        <v>78</v>
      </c>
      <c r="H138" s="229" t="s">
        <v>79</v>
      </c>
      <c r="I138" s="229" t="s">
        <v>80</v>
      </c>
      <c r="J138" s="229" t="s">
        <v>81</v>
      </c>
      <c r="K138" s="229" t="s">
        <v>82</v>
      </c>
      <c r="L138" s="229" t="s">
        <v>83</v>
      </c>
      <c r="N138" s="381" t="s">
        <v>85</v>
      </c>
      <c r="O138" s="381" t="s">
        <v>10</v>
      </c>
      <c r="P138" s="381" t="s">
        <v>86</v>
      </c>
      <c r="Q138" s="381" t="s">
        <v>87</v>
      </c>
      <c r="R138" s="381" t="s">
        <v>88</v>
      </c>
      <c r="S138" s="381" t="s">
        <v>89</v>
      </c>
      <c r="T138" s="381" t="s">
        <v>90</v>
      </c>
      <c r="U138" s="381" t="s">
        <v>91</v>
      </c>
      <c r="V138" s="381" t="s">
        <v>92</v>
      </c>
      <c r="W138" s="381" t="s">
        <v>93</v>
      </c>
    </row>
    <row r="139" spans="1:23">
      <c r="A139" s="233" t="s">
        <v>16</v>
      </c>
      <c r="B139" s="353">
        <v>793380</v>
      </c>
      <c r="C139" s="232">
        <v>61.8</v>
      </c>
      <c r="D139" s="233">
        <f>+$C$13/C139</f>
        <v>1.3430420711974111</v>
      </c>
      <c r="E139" s="231">
        <f t="shared" ref="E139:E155" si="80">INT(B139*D139)</f>
        <v>1065542</v>
      </c>
      <c r="G139" s="229">
        <f>+B139*0.04</f>
        <v>31735.200000000001</v>
      </c>
      <c r="H139" s="229">
        <f>+B139*0.0388</f>
        <v>30783.144</v>
      </c>
      <c r="I139" s="229">
        <f>+B139*0.085</f>
        <v>67437.3</v>
      </c>
      <c r="J139" s="229">
        <f>+B139*0.1163</f>
        <v>92270.093999999997</v>
      </c>
      <c r="K139" s="229">
        <f>+G139+I139</f>
        <v>99172.5</v>
      </c>
      <c r="L139" s="229">
        <f>+J139+H139</f>
        <v>123053.238</v>
      </c>
      <c r="N139" s="367">
        <v>39114</v>
      </c>
      <c r="O139" s="367">
        <v>44469</v>
      </c>
      <c r="P139" s="216">
        <f t="shared" ref="P139:P150" si="81">_xlfn.DAYS(O139,N139)</f>
        <v>5355</v>
      </c>
      <c r="Q139" s="442">
        <f>20.68*1.5%</f>
        <v>0.31019999999999998</v>
      </c>
      <c r="R139" s="245">
        <f>((1+Q139)^(1/365))-1</f>
        <v>7.4049265219700011E-4</v>
      </c>
      <c r="S139" s="229">
        <f>+K139</f>
        <v>99172.5</v>
      </c>
      <c r="T139" s="368">
        <f>+S139*R139*P139</f>
        <v>393252.49793028744</v>
      </c>
      <c r="U139" s="229">
        <f>+L139</f>
        <v>123053.238</v>
      </c>
      <c r="V139" s="368">
        <f>+U139*R139*P139</f>
        <v>487947.69943190069</v>
      </c>
      <c r="W139" s="246">
        <f>+T139+V139</f>
        <v>881200.19736218813</v>
      </c>
    </row>
    <row r="140" spans="1:23">
      <c r="A140" s="233" t="s">
        <v>17</v>
      </c>
      <c r="B140" s="353">
        <v>793380</v>
      </c>
      <c r="C140" s="232">
        <v>62.53</v>
      </c>
      <c r="D140" s="233">
        <f t="shared" ref="D140:D155" si="82">+$C$13/C140</f>
        <v>1.3273628658244043</v>
      </c>
      <c r="E140" s="231">
        <f t="shared" si="80"/>
        <v>1053103</v>
      </c>
      <c r="G140" s="229">
        <f t="shared" ref="G140:G150" si="83">+B140*0.04</f>
        <v>31735.200000000001</v>
      </c>
      <c r="H140" s="229">
        <f t="shared" ref="H140:H150" si="84">+B140*0.0388</f>
        <v>30783.144</v>
      </c>
      <c r="I140" s="229">
        <f t="shared" ref="I140:I150" si="85">+B140*0.085</f>
        <v>67437.3</v>
      </c>
      <c r="J140" s="229">
        <f t="shared" ref="J140:J150" si="86">+B140*0.1163</f>
        <v>92270.093999999997</v>
      </c>
      <c r="K140" s="229">
        <f t="shared" ref="K140:K150" si="87">+G140+I140</f>
        <v>99172.5</v>
      </c>
      <c r="L140" s="229">
        <f t="shared" ref="L140:L150" si="88">+J140+H140</f>
        <v>123053.238</v>
      </c>
      <c r="N140" s="367">
        <v>39142</v>
      </c>
      <c r="O140" s="367">
        <v>44469</v>
      </c>
      <c r="P140" s="216">
        <f t="shared" si="81"/>
        <v>5327</v>
      </c>
      <c r="Q140" s="442">
        <f>20.68*1.5%</f>
        <v>0.31019999999999998</v>
      </c>
      <c r="R140" s="245">
        <f t="shared" ref="R140:R150" si="89">((1+Q140)^(1/365))-1</f>
        <v>7.4049265219700011E-4</v>
      </c>
      <c r="S140" s="229">
        <f t="shared" ref="S140:S150" si="90">+K140</f>
        <v>99172.5</v>
      </c>
      <c r="T140" s="368">
        <f>+S140*R140*P140</f>
        <v>391196.27571888728</v>
      </c>
      <c r="U140" s="229">
        <f t="shared" ref="U140:U150" si="91">+L140</f>
        <v>123053.238</v>
      </c>
      <c r="V140" s="368">
        <f t="shared" ref="V140:V150" si="92">+U140*R140*P140</f>
        <v>485396.33891199529</v>
      </c>
      <c r="W140" s="246">
        <f t="shared" ref="W140:W150" si="93">+T140+V140</f>
        <v>876592.61463088263</v>
      </c>
    </row>
    <row r="141" spans="1:23">
      <c r="A141" s="233" t="s">
        <v>19</v>
      </c>
      <c r="B141" s="353">
        <v>793380</v>
      </c>
      <c r="C141" s="232">
        <v>63.29</v>
      </c>
      <c r="D141" s="233">
        <f t="shared" si="82"/>
        <v>1.3114236056249013</v>
      </c>
      <c r="E141" s="231">
        <f t="shared" si="80"/>
        <v>1040457</v>
      </c>
      <c r="G141" s="229">
        <f t="shared" si="83"/>
        <v>31735.200000000001</v>
      </c>
      <c r="H141" s="229">
        <f t="shared" si="84"/>
        <v>30783.144</v>
      </c>
      <c r="I141" s="229">
        <f t="shared" si="85"/>
        <v>67437.3</v>
      </c>
      <c r="J141" s="229">
        <f t="shared" si="86"/>
        <v>92270.093999999997</v>
      </c>
      <c r="K141" s="229">
        <f t="shared" si="87"/>
        <v>99172.5</v>
      </c>
      <c r="L141" s="229">
        <f t="shared" si="88"/>
        <v>123053.238</v>
      </c>
      <c r="N141" s="367">
        <v>39173</v>
      </c>
      <c r="O141" s="367">
        <v>44469</v>
      </c>
      <c r="P141" s="216">
        <f t="shared" si="81"/>
        <v>5296</v>
      </c>
      <c r="Q141" s="442">
        <f>16.75*1.5%</f>
        <v>0.25124999999999997</v>
      </c>
      <c r="R141" s="245">
        <f t="shared" si="89"/>
        <v>6.1427914466394284E-4</v>
      </c>
      <c r="S141" s="229">
        <f t="shared" si="90"/>
        <v>99172.5</v>
      </c>
      <c r="T141" s="368">
        <f t="shared" ref="T141:T150" si="94">+S141*R141*P141</f>
        <v>322630.19351928309</v>
      </c>
      <c r="U141" s="229">
        <f t="shared" si="91"/>
        <v>123053.238</v>
      </c>
      <c r="V141" s="368">
        <f t="shared" si="92"/>
        <v>400319.54411872645</v>
      </c>
      <c r="W141" s="246">
        <f t="shared" si="93"/>
        <v>722949.73763800948</v>
      </c>
    </row>
    <row r="142" spans="1:23">
      <c r="A142" s="233" t="s">
        <v>21</v>
      </c>
      <c r="B142" s="353">
        <v>793380</v>
      </c>
      <c r="C142" s="232">
        <v>63.85</v>
      </c>
      <c r="D142" s="233">
        <f t="shared" si="82"/>
        <v>1.2999216914643696</v>
      </c>
      <c r="E142" s="231">
        <f t="shared" si="80"/>
        <v>1031331</v>
      </c>
      <c r="G142" s="229">
        <f t="shared" si="83"/>
        <v>31735.200000000001</v>
      </c>
      <c r="H142" s="229">
        <f t="shared" si="84"/>
        <v>30783.144</v>
      </c>
      <c r="I142" s="229">
        <f t="shared" si="85"/>
        <v>67437.3</v>
      </c>
      <c r="J142" s="229">
        <f t="shared" si="86"/>
        <v>92270.093999999997</v>
      </c>
      <c r="K142" s="229">
        <f t="shared" si="87"/>
        <v>99172.5</v>
      </c>
      <c r="L142" s="229">
        <f t="shared" si="88"/>
        <v>123053.238</v>
      </c>
      <c r="N142" s="367">
        <v>39203</v>
      </c>
      <c r="O142" s="367">
        <v>44469</v>
      </c>
      <c r="P142" s="216">
        <f t="shared" si="81"/>
        <v>5266</v>
      </c>
      <c r="Q142" s="442">
        <f>16.75*1.5%</f>
        <v>0.25124999999999997</v>
      </c>
      <c r="R142" s="245">
        <f t="shared" si="89"/>
        <v>6.1427914466394284E-4</v>
      </c>
      <c r="S142" s="229">
        <f t="shared" si="90"/>
        <v>99172.5</v>
      </c>
      <c r="T142" s="368">
        <f t="shared" si="94"/>
        <v>320802.60556505754</v>
      </c>
      <c r="U142" s="229">
        <f t="shared" si="91"/>
        <v>123053.238</v>
      </c>
      <c r="V142" s="368">
        <f t="shared" si="92"/>
        <v>398051.87298512337</v>
      </c>
      <c r="W142" s="246">
        <f t="shared" si="93"/>
        <v>718854.47855018091</v>
      </c>
    </row>
    <row r="143" spans="1:23">
      <c r="A143" s="233" t="s">
        <v>23</v>
      </c>
      <c r="B143" s="353">
        <v>793380</v>
      </c>
      <c r="C143" s="232">
        <v>64.05</v>
      </c>
      <c r="D143" s="233">
        <f t="shared" si="82"/>
        <v>1.2958626073380173</v>
      </c>
      <c r="E143" s="231">
        <f t="shared" si="80"/>
        <v>1028111</v>
      </c>
      <c r="G143" s="229">
        <f t="shared" si="83"/>
        <v>31735.200000000001</v>
      </c>
      <c r="H143" s="229">
        <f t="shared" si="84"/>
        <v>30783.144</v>
      </c>
      <c r="I143" s="229">
        <f t="shared" si="85"/>
        <v>67437.3</v>
      </c>
      <c r="J143" s="229">
        <f t="shared" si="86"/>
        <v>92270.093999999997</v>
      </c>
      <c r="K143" s="229">
        <f t="shared" si="87"/>
        <v>99172.5</v>
      </c>
      <c r="L143" s="229">
        <f t="shared" si="88"/>
        <v>123053.238</v>
      </c>
      <c r="N143" s="367">
        <v>39234</v>
      </c>
      <c r="O143" s="367">
        <v>44469</v>
      </c>
      <c r="P143" s="216">
        <f t="shared" si="81"/>
        <v>5235</v>
      </c>
      <c r="Q143" s="442">
        <f>16.75*1.5%</f>
        <v>0.25124999999999997</v>
      </c>
      <c r="R143" s="245">
        <f t="shared" si="89"/>
        <v>6.1427914466394284E-4</v>
      </c>
      <c r="S143" s="229">
        <f t="shared" si="90"/>
        <v>99172.5</v>
      </c>
      <c r="T143" s="368">
        <f t="shared" si="94"/>
        <v>318914.09801235783</v>
      </c>
      <c r="U143" s="229">
        <f t="shared" si="91"/>
        <v>123053.238</v>
      </c>
      <c r="V143" s="368">
        <f t="shared" si="92"/>
        <v>395708.61281373352</v>
      </c>
      <c r="W143" s="246">
        <f t="shared" si="93"/>
        <v>714622.71082609135</v>
      </c>
    </row>
    <row r="144" spans="1:23">
      <c r="A144" s="233" t="s">
        <v>25</v>
      </c>
      <c r="B144" s="353">
        <v>793380</v>
      </c>
      <c r="C144" s="232">
        <v>64.12</v>
      </c>
      <c r="D144" s="233">
        <f t="shared" si="82"/>
        <v>1.2944479101684341</v>
      </c>
      <c r="E144" s="231">
        <f t="shared" si="80"/>
        <v>1026989</v>
      </c>
      <c r="G144" s="229">
        <f t="shared" si="83"/>
        <v>31735.200000000001</v>
      </c>
      <c r="H144" s="229">
        <f t="shared" si="84"/>
        <v>30783.144</v>
      </c>
      <c r="I144" s="229">
        <f t="shared" si="85"/>
        <v>67437.3</v>
      </c>
      <c r="J144" s="229">
        <f t="shared" si="86"/>
        <v>92270.093999999997</v>
      </c>
      <c r="K144" s="229">
        <f t="shared" si="87"/>
        <v>99172.5</v>
      </c>
      <c r="L144" s="229">
        <f t="shared" si="88"/>
        <v>123053.238</v>
      </c>
      <c r="N144" s="367">
        <v>39264</v>
      </c>
      <c r="O144" s="367">
        <v>44469</v>
      </c>
      <c r="P144" s="216">
        <f t="shared" si="81"/>
        <v>5205</v>
      </c>
      <c r="Q144" s="442">
        <f>19.01*1.5%</f>
        <v>0.28515000000000001</v>
      </c>
      <c r="R144" s="245">
        <f t="shared" si="89"/>
        <v>6.8756624634369601E-4</v>
      </c>
      <c r="S144" s="229">
        <f t="shared" si="90"/>
        <v>99172.5</v>
      </c>
      <c r="T144" s="368">
        <f t="shared" si="94"/>
        <v>354916.78885853261</v>
      </c>
      <c r="U144" s="229">
        <f t="shared" si="91"/>
        <v>123053.238</v>
      </c>
      <c r="V144" s="368">
        <f t="shared" si="92"/>
        <v>440380.75161566725</v>
      </c>
      <c r="W144" s="246">
        <f t="shared" si="93"/>
        <v>795297.54047419992</v>
      </c>
    </row>
    <row r="145" spans="1:24">
      <c r="A145" s="233" t="s">
        <v>27</v>
      </c>
      <c r="B145" s="353">
        <v>793380</v>
      </c>
      <c r="C145" s="232">
        <v>64.23</v>
      </c>
      <c r="D145" s="233">
        <f t="shared" si="82"/>
        <v>1.2922310446831697</v>
      </c>
      <c r="E145" s="231">
        <f t="shared" si="80"/>
        <v>1025230</v>
      </c>
      <c r="G145" s="229">
        <f t="shared" si="83"/>
        <v>31735.200000000001</v>
      </c>
      <c r="H145" s="229">
        <f t="shared" si="84"/>
        <v>30783.144</v>
      </c>
      <c r="I145" s="229">
        <f t="shared" si="85"/>
        <v>67437.3</v>
      </c>
      <c r="J145" s="229">
        <f t="shared" si="86"/>
        <v>92270.093999999997</v>
      </c>
      <c r="K145" s="229">
        <f t="shared" si="87"/>
        <v>99172.5</v>
      </c>
      <c r="L145" s="229">
        <f t="shared" si="88"/>
        <v>123053.238</v>
      </c>
      <c r="N145" s="367">
        <v>39295</v>
      </c>
      <c r="O145" s="367">
        <v>44469</v>
      </c>
      <c r="P145" s="216">
        <f t="shared" si="81"/>
        <v>5174</v>
      </c>
      <c r="Q145" s="442">
        <f>19.01*1.5%</f>
        <v>0.28515000000000001</v>
      </c>
      <c r="R145" s="245">
        <f t="shared" si="89"/>
        <v>6.8756624634369601E-4</v>
      </c>
      <c r="S145" s="229">
        <f t="shared" si="90"/>
        <v>99172.5</v>
      </c>
      <c r="T145" s="368">
        <f t="shared" si="94"/>
        <v>352802.97128800151</v>
      </c>
      <c r="U145" s="229">
        <f t="shared" si="91"/>
        <v>123053.238</v>
      </c>
      <c r="V145" s="368">
        <f t="shared" si="92"/>
        <v>437757.92677415221</v>
      </c>
      <c r="W145" s="246">
        <f t="shared" si="93"/>
        <v>790560.89806215372</v>
      </c>
    </row>
    <row r="146" spans="1:24">
      <c r="A146" s="233" t="s">
        <v>29</v>
      </c>
      <c r="B146" s="353">
        <v>793380</v>
      </c>
      <c r="C146" s="232">
        <v>64.14</v>
      </c>
      <c r="D146" s="233">
        <f t="shared" si="82"/>
        <v>1.2940442781415653</v>
      </c>
      <c r="E146" s="231">
        <f t="shared" si="80"/>
        <v>1026668</v>
      </c>
      <c r="G146" s="229">
        <f t="shared" si="83"/>
        <v>31735.200000000001</v>
      </c>
      <c r="H146" s="229">
        <f t="shared" si="84"/>
        <v>30783.144</v>
      </c>
      <c r="I146" s="229">
        <f t="shared" si="85"/>
        <v>67437.3</v>
      </c>
      <c r="J146" s="229">
        <f t="shared" si="86"/>
        <v>92270.093999999997</v>
      </c>
      <c r="K146" s="229">
        <f t="shared" si="87"/>
        <v>99172.5</v>
      </c>
      <c r="L146" s="229">
        <f t="shared" si="88"/>
        <v>123053.238</v>
      </c>
      <c r="N146" s="367">
        <v>39326</v>
      </c>
      <c r="O146" s="367">
        <v>44469</v>
      </c>
      <c r="P146" s="216">
        <f t="shared" si="81"/>
        <v>5143</v>
      </c>
      <c r="Q146" s="442">
        <f>19.01*1.5%</f>
        <v>0.28515000000000001</v>
      </c>
      <c r="R146" s="245">
        <f t="shared" si="89"/>
        <v>6.8756624634369601E-4</v>
      </c>
      <c r="S146" s="229">
        <f t="shared" si="90"/>
        <v>99172.5</v>
      </c>
      <c r="T146" s="368">
        <f t="shared" si="94"/>
        <v>350689.15371747036</v>
      </c>
      <c r="U146" s="229">
        <f t="shared" si="91"/>
        <v>123053.238</v>
      </c>
      <c r="V146" s="368">
        <f t="shared" si="92"/>
        <v>435135.10193263722</v>
      </c>
      <c r="W146" s="246">
        <f t="shared" si="93"/>
        <v>785824.25565010752</v>
      </c>
    </row>
    <row r="147" spans="1:24">
      <c r="A147" s="233" t="s">
        <v>31</v>
      </c>
      <c r="B147" s="353">
        <v>793380</v>
      </c>
      <c r="C147" s="232">
        <v>64.2</v>
      </c>
      <c r="D147" s="233">
        <f t="shared" si="82"/>
        <v>1.2928348909657321</v>
      </c>
      <c r="E147" s="231">
        <f t="shared" si="80"/>
        <v>1025709</v>
      </c>
      <c r="G147" s="229">
        <f t="shared" si="83"/>
        <v>31735.200000000001</v>
      </c>
      <c r="H147" s="229">
        <f t="shared" si="84"/>
        <v>30783.144</v>
      </c>
      <c r="I147" s="229">
        <f t="shared" si="85"/>
        <v>67437.3</v>
      </c>
      <c r="J147" s="229">
        <f t="shared" si="86"/>
        <v>92270.093999999997</v>
      </c>
      <c r="K147" s="229">
        <f t="shared" si="87"/>
        <v>99172.5</v>
      </c>
      <c r="L147" s="229">
        <f t="shared" si="88"/>
        <v>123053.238</v>
      </c>
      <c r="N147" s="367">
        <v>39356</v>
      </c>
      <c r="O147" s="367">
        <v>44469</v>
      </c>
      <c r="P147" s="216">
        <f t="shared" si="81"/>
        <v>5113</v>
      </c>
      <c r="Q147" s="442">
        <f>21.26*1.5%</f>
        <v>0.31890000000000002</v>
      </c>
      <c r="R147" s="245">
        <f t="shared" si="89"/>
        <v>7.5863845864221346E-4</v>
      </c>
      <c r="S147" s="229">
        <f t="shared" si="90"/>
        <v>99172.5</v>
      </c>
      <c r="T147" s="368">
        <f t="shared" si="94"/>
        <v>384682.03889546008</v>
      </c>
      <c r="U147" s="229">
        <f t="shared" si="91"/>
        <v>123053.238</v>
      </c>
      <c r="V147" s="368">
        <f t="shared" si="92"/>
        <v>477313.47386148688</v>
      </c>
      <c r="W147" s="246">
        <f t="shared" si="93"/>
        <v>861995.51275694696</v>
      </c>
    </row>
    <row r="148" spans="1:24">
      <c r="A148" s="233" t="s">
        <v>33</v>
      </c>
      <c r="B148" s="353">
        <v>793380</v>
      </c>
      <c r="C148" s="232">
        <v>64.2</v>
      </c>
      <c r="D148" s="233">
        <f t="shared" si="82"/>
        <v>1.2928348909657321</v>
      </c>
      <c r="E148" s="231">
        <f t="shared" si="80"/>
        <v>1025709</v>
      </c>
      <c r="G148" s="229">
        <f t="shared" si="83"/>
        <v>31735.200000000001</v>
      </c>
      <c r="H148" s="229">
        <f t="shared" si="84"/>
        <v>30783.144</v>
      </c>
      <c r="I148" s="229">
        <f t="shared" si="85"/>
        <v>67437.3</v>
      </c>
      <c r="J148" s="229">
        <f t="shared" si="86"/>
        <v>92270.093999999997</v>
      </c>
      <c r="K148" s="229">
        <f t="shared" si="87"/>
        <v>99172.5</v>
      </c>
      <c r="L148" s="229">
        <f t="shared" si="88"/>
        <v>123053.238</v>
      </c>
      <c r="N148" s="367">
        <v>39387</v>
      </c>
      <c r="O148" s="367">
        <v>44469</v>
      </c>
      <c r="P148" s="216">
        <f t="shared" si="81"/>
        <v>5082</v>
      </c>
      <c r="Q148" s="442">
        <f>21.26*1.5%</f>
        <v>0.31890000000000002</v>
      </c>
      <c r="R148" s="245">
        <f t="shared" si="89"/>
        <v>7.5863845864221346E-4</v>
      </c>
      <c r="S148" s="229">
        <f t="shared" si="90"/>
        <v>99172.5</v>
      </c>
      <c r="T148" s="368">
        <f t="shared" si="94"/>
        <v>382349.72064672958</v>
      </c>
      <c r="U148" s="229">
        <f t="shared" si="91"/>
        <v>123053.238</v>
      </c>
      <c r="V148" s="368">
        <f t="shared" si="92"/>
        <v>474419.53337846202</v>
      </c>
      <c r="W148" s="246">
        <f t="shared" si="93"/>
        <v>856769.25402519153</v>
      </c>
    </row>
    <row r="149" spans="1:24">
      <c r="A149" s="233" t="s">
        <v>34</v>
      </c>
      <c r="B149" s="353">
        <v>793380</v>
      </c>
      <c r="C149" s="232">
        <v>64.510000000000005</v>
      </c>
      <c r="D149" s="233">
        <f t="shared" si="82"/>
        <v>1.2866222291117655</v>
      </c>
      <c r="E149" s="231">
        <f t="shared" si="80"/>
        <v>1020780</v>
      </c>
      <c r="G149" s="229">
        <f t="shared" si="83"/>
        <v>31735.200000000001</v>
      </c>
      <c r="H149" s="229">
        <f t="shared" si="84"/>
        <v>30783.144</v>
      </c>
      <c r="I149" s="229">
        <f t="shared" si="85"/>
        <v>67437.3</v>
      </c>
      <c r="J149" s="229">
        <f t="shared" si="86"/>
        <v>92270.093999999997</v>
      </c>
      <c r="K149" s="229">
        <f t="shared" si="87"/>
        <v>99172.5</v>
      </c>
      <c r="L149" s="229">
        <f t="shared" si="88"/>
        <v>123053.238</v>
      </c>
      <c r="N149" s="367">
        <v>39417</v>
      </c>
      <c r="O149" s="367">
        <v>44469</v>
      </c>
      <c r="P149" s="216">
        <f t="shared" si="81"/>
        <v>5052</v>
      </c>
      <c r="Q149" s="442">
        <f>21.26*1.5%</f>
        <v>0.31890000000000002</v>
      </c>
      <c r="R149" s="245">
        <f t="shared" si="89"/>
        <v>7.5863845864221346E-4</v>
      </c>
      <c r="S149" s="229">
        <f t="shared" si="90"/>
        <v>99172.5</v>
      </c>
      <c r="T149" s="368">
        <f t="shared" si="94"/>
        <v>380092.63847053872</v>
      </c>
      <c r="U149" s="229">
        <f t="shared" si="91"/>
        <v>123053.238</v>
      </c>
      <c r="V149" s="368">
        <f t="shared" si="92"/>
        <v>471618.94581424439</v>
      </c>
      <c r="W149" s="246">
        <f t="shared" si="93"/>
        <v>851711.58428478311</v>
      </c>
    </row>
    <row r="150" spans="1:24">
      <c r="A150" s="233" t="s">
        <v>35</v>
      </c>
      <c r="B150" s="353">
        <v>793380</v>
      </c>
      <c r="C150" s="232">
        <v>64.819999999999993</v>
      </c>
      <c r="D150" s="233">
        <f t="shared" si="82"/>
        <v>1.2804689910521445</v>
      </c>
      <c r="E150" s="231">
        <f t="shared" si="80"/>
        <v>1015898</v>
      </c>
      <c r="G150" s="229">
        <f t="shared" si="83"/>
        <v>31735.200000000001</v>
      </c>
      <c r="H150" s="229">
        <f t="shared" si="84"/>
        <v>30783.144</v>
      </c>
      <c r="I150" s="229">
        <f t="shared" si="85"/>
        <v>67437.3</v>
      </c>
      <c r="J150" s="229">
        <f t="shared" si="86"/>
        <v>92270.093999999997</v>
      </c>
      <c r="K150" s="229">
        <f t="shared" si="87"/>
        <v>99172.5</v>
      </c>
      <c r="L150" s="229">
        <f t="shared" si="88"/>
        <v>123053.238</v>
      </c>
      <c r="N150" s="367">
        <v>39448</v>
      </c>
      <c r="O150" s="367">
        <v>44469</v>
      </c>
      <c r="P150" s="216">
        <f t="shared" si="81"/>
        <v>5021</v>
      </c>
      <c r="Q150" s="442">
        <f>21.83*1.5%</f>
        <v>0.32744999999999996</v>
      </c>
      <c r="R150" s="245">
        <f t="shared" si="89"/>
        <v>7.7635547827781259E-4</v>
      </c>
      <c r="S150" s="229">
        <f t="shared" si="90"/>
        <v>99172.5</v>
      </c>
      <c r="T150" s="368">
        <f t="shared" si="94"/>
        <v>386582.42373459152</v>
      </c>
      <c r="U150" s="229">
        <f t="shared" si="91"/>
        <v>123053.238</v>
      </c>
      <c r="V150" s="368">
        <f t="shared" si="92"/>
        <v>479671.47136988112</v>
      </c>
      <c r="W150" s="246">
        <f t="shared" si="93"/>
        <v>866253.89510447264</v>
      </c>
    </row>
    <row r="151" spans="1:24">
      <c r="A151" s="233" t="s">
        <v>101</v>
      </c>
      <c r="B151" s="353">
        <v>371290</v>
      </c>
      <c r="C151" s="232">
        <f>+C145</f>
        <v>64.23</v>
      </c>
      <c r="D151" s="233">
        <f t="shared" si="82"/>
        <v>1.2922310446831697</v>
      </c>
      <c r="E151" s="231">
        <f t="shared" si="80"/>
        <v>479792</v>
      </c>
      <c r="G151" s="229"/>
      <c r="H151" s="229"/>
      <c r="I151" s="229"/>
      <c r="J151" s="229"/>
      <c r="K151" s="229"/>
      <c r="L151" s="444"/>
      <c r="N151" s="2546" t="s">
        <v>97</v>
      </c>
      <c r="O151" s="2547"/>
      <c r="P151" s="2547"/>
      <c r="Q151" s="2547"/>
      <c r="R151" s="2548"/>
      <c r="S151" s="444">
        <f>SUM(S139:S150)</f>
        <v>1190070</v>
      </c>
      <c r="U151" s="444">
        <f>SUM(U139:U150)</f>
        <v>1476638.8559999997</v>
      </c>
      <c r="V151" s="154" t="s">
        <v>97</v>
      </c>
      <c r="W151" s="246">
        <f>SUM(W139:W150)</f>
        <v>9722632.6793652084</v>
      </c>
      <c r="X151" s="224">
        <f>+S151+U151+W151</f>
        <v>12389341.535365209</v>
      </c>
    </row>
    <row r="152" spans="1:24">
      <c r="A152" s="233" t="s">
        <v>102</v>
      </c>
      <c r="B152" s="353">
        <v>412161</v>
      </c>
      <c r="C152" s="232">
        <f>+C147</f>
        <v>64.2</v>
      </c>
      <c r="D152" s="233">
        <f t="shared" si="82"/>
        <v>1.2928348909657321</v>
      </c>
      <c r="E152" s="231">
        <f t="shared" si="80"/>
        <v>532856</v>
      </c>
      <c r="G152" s="229">
        <f t="shared" ref="G152:L152" si="95">SUM(G139:G151)</f>
        <v>380822.40000000008</v>
      </c>
      <c r="H152" s="229">
        <f t="shared" si="95"/>
        <v>369397.72799999989</v>
      </c>
      <c r="I152" s="229">
        <f t="shared" si="95"/>
        <v>809247.60000000021</v>
      </c>
      <c r="J152" s="229">
        <f t="shared" si="95"/>
        <v>1107241.1280000003</v>
      </c>
      <c r="K152" s="229">
        <f t="shared" si="95"/>
        <v>1190070</v>
      </c>
      <c r="L152" s="229">
        <f t="shared" si="95"/>
        <v>1476638.8559999997</v>
      </c>
    </row>
    <row r="153" spans="1:24">
      <c r="A153" s="233" t="s">
        <v>103</v>
      </c>
      <c r="B153" s="353">
        <v>49505</v>
      </c>
      <c r="C153" s="232">
        <f>+C150</f>
        <v>64.819999999999993</v>
      </c>
      <c r="D153" s="233">
        <f t="shared" si="82"/>
        <v>1.2804689910521445</v>
      </c>
      <c r="E153" s="231">
        <f t="shared" si="80"/>
        <v>63389</v>
      </c>
    </row>
    <row r="154" spans="1:24">
      <c r="A154" s="233" t="s">
        <v>104</v>
      </c>
      <c r="B154" s="353">
        <v>577025</v>
      </c>
      <c r="C154" s="232">
        <f>+C149</f>
        <v>64.510000000000005</v>
      </c>
      <c r="D154" s="233">
        <f t="shared" si="82"/>
        <v>1.2866222291117655</v>
      </c>
      <c r="E154" s="231">
        <f t="shared" si="80"/>
        <v>742413</v>
      </c>
    </row>
    <row r="155" spans="1:24">
      <c r="A155" s="233" t="s">
        <v>95</v>
      </c>
      <c r="B155" s="353">
        <v>858668</v>
      </c>
      <c r="C155" s="232">
        <f>+C150</f>
        <v>64.819999999999993</v>
      </c>
      <c r="D155" s="233">
        <f t="shared" si="82"/>
        <v>1.2804689910521445</v>
      </c>
      <c r="E155" s="231">
        <f t="shared" si="80"/>
        <v>1099497</v>
      </c>
    </row>
    <row r="156" spans="1:24">
      <c r="A156" s="233" t="s">
        <v>96</v>
      </c>
      <c r="B156" s="216"/>
      <c r="C156" s="232"/>
      <c r="D156" s="233"/>
      <c r="E156" s="231">
        <f>SUM(E139:E155)</f>
        <v>15303474</v>
      </c>
    </row>
    <row r="157" spans="1:24">
      <c r="A157" s="233" t="s">
        <v>98</v>
      </c>
      <c r="B157" s="216"/>
      <c r="C157" s="216"/>
      <c r="D157" s="233"/>
      <c r="E157" s="231">
        <f>+G152+H152</f>
        <v>750220.12800000003</v>
      </c>
    </row>
    <row r="158" spans="1:24">
      <c r="A158" s="233" t="s">
        <v>99</v>
      </c>
      <c r="B158" s="216"/>
      <c r="C158" s="216"/>
      <c r="D158" s="233"/>
      <c r="E158" s="231">
        <f>+E156-E157</f>
        <v>14553253.872</v>
      </c>
    </row>
    <row r="161" spans="1:24">
      <c r="N161" s="2543" t="s">
        <v>84</v>
      </c>
      <c r="O161" s="2544"/>
      <c r="P161" s="2544"/>
      <c r="Q161" s="2544"/>
      <c r="R161" s="2544"/>
      <c r="S161" s="2544"/>
      <c r="T161" s="2544"/>
      <c r="U161" s="2544"/>
      <c r="V161" s="2544"/>
      <c r="W161" s="2545"/>
    </row>
    <row r="162" spans="1:24" ht="33.75">
      <c r="A162" s="226" t="s">
        <v>11</v>
      </c>
      <c r="B162" s="351" t="s">
        <v>110</v>
      </c>
      <c r="C162" s="228" t="s">
        <v>76</v>
      </c>
      <c r="D162" s="228" t="s">
        <v>77</v>
      </c>
      <c r="E162" s="229" t="s">
        <v>57</v>
      </c>
      <c r="G162" s="229" t="s">
        <v>78</v>
      </c>
      <c r="H162" s="229" t="s">
        <v>79</v>
      </c>
      <c r="I162" s="229" t="s">
        <v>80</v>
      </c>
      <c r="J162" s="229" t="s">
        <v>81</v>
      </c>
      <c r="K162" s="229" t="s">
        <v>82</v>
      </c>
      <c r="L162" s="229" t="s">
        <v>83</v>
      </c>
      <c r="N162" s="381" t="s">
        <v>85</v>
      </c>
      <c r="O162" s="381" t="s">
        <v>10</v>
      </c>
      <c r="P162" s="381" t="s">
        <v>86</v>
      </c>
      <c r="Q162" s="381" t="s">
        <v>87</v>
      </c>
      <c r="R162" s="381" t="s">
        <v>88</v>
      </c>
      <c r="S162" s="381" t="s">
        <v>89</v>
      </c>
      <c r="T162" s="381" t="s">
        <v>90</v>
      </c>
      <c r="U162" s="381" t="s">
        <v>91</v>
      </c>
      <c r="V162" s="381" t="s">
        <v>92</v>
      </c>
      <c r="W162" s="381" t="s">
        <v>93</v>
      </c>
    </row>
    <row r="163" spans="1:24">
      <c r="A163" s="233" t="s">
        <v>16</v>
      </c>
      <c r="B163" s="353">
        <v>834709</v>
      </c>
      <c r="C163" s="232">
        <v>65.510000000000005</v>
      </c>
      <c r="D163" s="233">
        <f>+$C$13/C163</f>
        <v>1.2669821401312775</v>
      </c>
      <c r="E163" s="231">
        <f t="shared" ref="E163:E179" si="96">INT(B163*D163)</f>
        <v>1057561</v>
      </c>
      <c r="G163" s="229">
        <f>+B163*0.04</f>
        <v>33388.36</v>
      </c>
      <c r="H163" s="229">
        <f>+B163*0.04</f>
        <v>33388.36</v>
      </c>
      <c r="I163" s="229">
        <f>+B163*0.085</f>
        <v>70950.264999999999</v>
      </c>
      <c r="J163" s="229">
        <f>+B163*0.12</f>
        <v>100165.08</v>
      </c>
      <c r="K163" s="229">
        <f>+G163+I163</f>
        <v>104338.625</v>
      </c>
      <c r="L163" s="229">
        <f>+J163+H163</f>
        <v>133553.44</v>
      </c>
      <c r="N163" s="367">
        <v>39479</v>
      </c>
      <c r="O163" s="367">
        <v>44469</v>
      </c>
      <c r="P163" s="216">
        <f t="shared" ref="P163:P174" si="97">_xlfn.DAYS(O163,N163)</f>
        <v>4990</v>
      </c>
      <c r="Q163" s="442">
        <f>21.83*1.5%</f>
        <v>0.32744999999999996</v>
      </c>
      <c r="R163" s="245">
        <f>((1+Q163)^(1/365))-1</f>
        <v>7.7635547827781259E-4</v>
      </c>
      <c r="S163" s="229">
        <f>+K163</f>
        <v>104338.625</v>
      </c>
      <c r="T163" s="368">
        <f>+S163*R163*P163</f>
        <v>404209.27694247448</v>
      </c>
      <c r="U163" s="229">
        <f>+L163</f>
        <v>133553.44</v>
      </c>
      <c r="V163" s="368">
        <f>+U163*R163*P163</f>
        <v>517387.87448636728</v>
      </c>
      <c r="W163" s="246">
        <f>+T163+V163</f>
        <v>921597.15142884175</v>
      </c>
    </row>
    <row r="164" spans="1:24">
      <c r="A164" s="233" t="s">
        <v>17</v>
      </c>
      <c r="B164" s="353">
        <v>834709</v>
      </c>
      <c r="C164" s="232">
        <v>66.5</v>
      </c>
      <c r="D164" s="233">
        <f t="shared" ref="D164:D179" si="98">+$C$13/C164</f>
        <v>1.2481203007518797</v>
      </c>
      <c r="E164" s="231">
        <f t="shared" si="96"/>
        <v>1041817</v>
      </c>
      <c r="G164" s="229">
        <f t="shared" ref="G164:G174" si="99">+B164*0.04</f>
        <v>33388.36</v>
      </c>
      <c r="H164" s="229">
        <f t="shared" ref="H164:H174" si="100">+B164*0.04</f>
        <v>33388.36</v>
      </c>
      <c r="I164" s="229">
        <f t="shared" ref="I164:I174" si="101">+B164*0.085</f>
        <v>70950.264999999999</v>
      </c>
      <c r="J164" s="229">
        <f t="shared" ref="J164:J174" si="102">+B164*0.12</f>
        <v>100165.08</v>
      </c>
      <c r="K164" s="229">
        <f t="shared" ref="K164:K174" si="103">+G164+I164</f>
        <v>104338.625</v>
      </c>
      <c r="L164" s="229">
        <f t="shared" ref="L164:L174" si="104">+J164+H164</f>
        <v>133553.44</v>
      </c>
      <c r="N164" s="367">
        <v>39508</v>
      </c>
      <c r="O164" s="367">
        <v>44469</v>
      </c>
      <c r="P164" s="216">
        <f t="shared" si="97"/>
        <v>4961</v>
      </c>
      <c r="Q164" s="442">
        <f>21.83*1.5%</f>
        <v>0.32744999999999996</v>
      </c>
      <c r="R164" s="245">
        <f t="shared" ref="R164:R174" si="105">((1+Q164)^(1/365))-1</f>
        <v>7.7635547827781259E-4</v>
      </c>
      <c r="S164" s="229">
        <f t="shared" ref="S164:S174" si="106">+K164</f>
        <v>104338.625</v>
      </c>
      <c r="T164" s="368">
        <f>+S164*R164*P164</f>
        <v>401860.16491214745</v>
      </c>
      <c r="U164" s="229">
        <f t="shared" ref="U164:U174" si="107">+L164</f>
        <v>133553.44</v>
      </c>
      <c r="V164" s="368">
        <f t="shared" ref="V164:V174" si="108">+U164*R164*P164</f>
        <v>514381.01108754874</v>
      </c>
      <c r="W164" s="246">
        <f t="shared" ref="W164:W174" si="109">+T164+V164</f>
        <v>916241.17599969613</v>
      </c>
    </row>
    <row r="165" spans="1:24">
      <c r="A165" s="233" t="s">
        <v>19</v>
      </c>
      <c r="B165" s="353">
        <v>834709</v>
      </c>
      <c r="C165" s="232">
        <v>67.040000000000006</v>
      </c>
      <c r="D165" s="233">
        <f t="shared" si="98"/>
        <v>1.2380668257756562</v>
      </c>
      <c r="E165" s="231">
        <f t="shared" si="96"/>
        <v>1033425</v>
      </c>
      <c r="G165" s="229">
        <f t="shared" si="99"/>
        <v>33388.36</v>
      </c>
      <c r="H165" s="229">
        <f t="shared" si="100"/>
        <v>33388.36</v>
      </c>
      <c r="I165" s="229">
        <f t="shared" si="101"/>
        <v>70950.264999999999</v>
      </c>
      <c r="J165" s="229">
        <f t="shared" si="102"/>
        <v>100165.08</v>
      </c>
      <c r="K165" s="229">
        <f t="shared" si="103"/>
        <v>104338.625</v>
      </c>
      <c r="L165" s="229">
        <f t="shared" si="104"/>
        <v>133553.44</v>
      </c>
      <c r="N165" s="367">
        <v>39539</v>
      </c>
      <c r="O165" s="367">
        <v>44469</v>
      </c>
      <c r="P165" s="216">
        <f t="shared" si="97"/>
        <v>4930</v>
      </c>
      <c r="Q165" s="442">
        <f>21.92*1.5%</f>
        <v>0.32880000000000004</v>
      </c>
      <c r="R165" s="245">
        <f t="shared" si="105"/>
        <v>7.7914249535959712E-4</v>
      </c>
      <c r="S165" s="229">
        <f t="shared" si="106"/>
        <v>104338.625</v>
      </c>
      <c r="T165" s="368">
        <f t="shared" ref="T165:T174" si="110">+S165*R165*P165</f>
        <v>400782.65725930396</v>
      </c>
      <c r="U165" s="229">
        <f t="shared" si="107"/>
        <v>133553.44</v>
      </c>
      <c r="V165" s="368">
        <f t="shared" si="108"/>
        <v>513001.80129190907</v>
      </c>
      <c r="W165" s="246">
        <f t="shared" si="109"/>
        <v>913784.45855121303</v>
      </c>
    </row>
    <row r="166" spans="1:24">
      <c r="A166" s="233" t="s">
        <v>21</v>
      </c>
      <c r="B166" s="353">
        <v>834709</v>
      </c>
      <c r="C166" s="232">
        <v>67.510000000000005</v>
      </c>
      <c r="D166" s="233">
        <f t="shared" si="98"/>
        <v>1.2294474892608502</v>
      </c>
      <c r="E166" s="231">
        <f t="shared" si="96"/>
        <v>1026230</v>
      </c>
      <c r="G166" s="229">
        <f t="shared" si="99"/>
        <v>33388.36</v>
      </c>
      <c r="H166" s="229">
        <f t="shared" si="100"/>
        <v>33388.36</v>
      </c>
      <c r="I166" s="229">
        <f t="shared" si="101"/>
        <v>70950.264999999999</v>
      </c>
      <c r="J166" s="229">
        <f t="shared" si="102"/>
        <v>100165.08</v>
      </c>
      <c r="K166" s="229">
        <f t="shared" si="103"/>
        <v>104338.625</v>
      </c>
      <c r="L166" s="229">
        <f t="shared" si="104"/>
        <v>133553.44</v>
      </c>
      <c r="N166" s="367">
        <v>39569</v>
      </c>
      <c r="O166" s="367">
        <v>44469</v>
      </c>
      <c r="P166" s="216">
        <f t="shared" si="97"/>
        <v>4900</v>
      </c>
      <c r="Q166" s="442">
        <f>21.92*1.5%</f>
        <v>0.32880000000000004</v>
      </c>
      <c r="R166" s="245">
        <f t="shared" si="105"/>
        <v>7.7914249535959712E-4</v>
      </c>
      <c r="S166" s="229">
        <f t="shared" si="106"/>
        <v>104338.625</v>
      </c>
      <c r="T166" s="368">
        <f t="shared" si="110"/>
        <v>398343.81755995727</v>
      </c>
      <c r="U166" s="229">
        <f t="shared" si="107"/>
        <v>133553.44</v>
      </c>
      <c r="V166" s="368">
        <f t="shared" si="108"/>
        <v>509880.08647674532</v>
      </c>
      <c r="W166" s="246">
        <f t="shared" si="109"/>
        <v>908223.90403670259</v>
      </c>
    </row>
    <row r="167" spans="1:24">
      <c r="A167" s="233" t="s">
        <v>23</v>
      </c>
      <c r="B167" s="353">
        <v>834709</v>
      </c>
      <c r="C167" s="232">
        <v>68.14</v>
      </c>
      <c r="D167" s="233">
        <f t="shared" si="98"/>
        <v>1.218080422659231</v>
      </c>
      <c r="E167" s="231">
        <f t="shared" si="96"/>
        <v>1016742</v>
      </c>
      <c r="G167" s="229">
        <f t="shared" si="99"/>
        <v>33388.36</v>
      </c>
      <c r="H167" s="229">
        <f t="shared" si="100"/>
        <v>33388.36</v>
      </c>
      <c r="I167" s="229">
        <f t="shared" si="101"/>
        <v>70950.264999999999</v>
      </c>
      <c r="J167" s="229">
        <f t="shared" si="102"/>
        <v>100165.08</v>
      </c>
      <c r="K167" s="229">
        <f t="shared" si="103"/>
        <v>104338.625</v>
      </c>
      <c r="L167" s="229">
        <f t="shared" si="104"/>
        <v>133553.44</v>
      </c>
      <c r="N167" s="367">
        <v>39600</v>
      </c>
      <c r="O167" s="367">
        <v>44469</v>
      </c>
      <c r="P167" s="216">
        <f t="shared" si="97"/>
        <v>4869</v>
      </c>
      <c r="Q167" s="442">
        <f>21.92*1.5%</f>
        <v>0.32880000000000004</v>
      </c>
      <c r="R167" s="245">
        <f t="shared" si="105"/>
        <v>7.7914249535959712E-4</v>
      </c>
      <c r="S167" s="229">
        <f t="shared" si="106"/>
        <v>104338.625</v>
      </c>
      <c r="T167" s="368">
        <f t="shared" si="110"/>
        <v>395823.68320396572</v>
      </c>
      <c r="U167" s="229">
        <f t="shared" si="107"/>
        <v>133553.44</v>
      </c>
      <c r="V167" s="368">
        <f t="shared" si="108"/>
        <v>506654.31450107612</v>
      </c>
      <c r="W167" s="246">
        <f t="shared" si="109"/>
        <v>902477.9977050419</v>
      </c>
    </row>
    <row r="168" spans="1:24">
      <c r="A168" s="233" t="s">
        <v>25</v>
      </c>
      <c r="B168" s="353">
        <v>834709</v>
      </c>
      <c r="C168" s="232">
        <v>68.73</v>
      </c>
      <c r="D168" s="233">
        <f t="shared" si="98"/>
        <v>1.2076240360832242</v>
      </c>
      <c r="E168" s="231">
        <f t="shared" si="96"/>
        <v>1008014</v>
      </c>
      <c r="G168" s="229">
        <f t="shared" si="99"/>
        <v>33388.36</v>
      </c>
      <c r="H168" s="229">
        <f t="shared" si="100"/>
        <v>33388.36</v>
      </c>
      <c r="I168" s="229">
        <f t="shared" si="101"/>
        <v>70950.264999999999</v>
      </c>
      <c r="J168" s="229">
        <f t="shared" si="102"/>
        <v>100165.08</v>
      </c>
      <c r="K168" s="229">
        <f t="shared" si="103"/>
        <v>104338.625</v>
      </c>
      <c r="L168" s="229">
        <f t="shared" si="104"/>
        <v>133553.44</v>
      </c>
      <c r="N168" s="367">
        <v>39630</v>
      </c>
      <c r="O168" s="367">
        <v>44469</v>
      </c>
      <c r="P168" s="216">
        <f t="shared" si="97"/>
        <v>4839</v>
      </c>
      <c r="Q168" s="442">
        <f>21.51*1.5%</f>
        <v>0.32264999999999999</v>
      </c>
      <c r="R168" s="245">
        <f t="shared" si="105"/>
        <v>7.6642314091612818E-4</v>
      </c>
      <c r="S168" s="229">
        <f t="shared" si="106"/>
        <v>104338.625</v>
      </c>
      <c r="T168" s="368">
        <f t="shared" si="110"/>
        <v>386962.9100495397</v>
      </c>
      <c r="U168" s="229">
        <f t="shared" si="107"/>
        <v>133553.44</v>
      </c>
      <c r="V168" s="368">
        <f t="shared" si="108"/>
        <v>495312.5248634108</v>
      </c>
      <c r="W168" s="246">
        <f t="shared" si="109"/>
        <v>882275.4349129505</v>
      </c>
    </row>
    <row r="169" spans="1:24">
      <c r="A169" s="233" t="s">
        <v>27</v>
      </c>
      <c r="B169" s="353">
        <v>834709</v>
      </c>
      <c r="C169" s="232">
        <v>69.06</v>
      </c>
      <c r="D169" s="233">
        <f t="shared" si="98"/>
        <v>1.2018534607587605</v>
      </c>
      <c r="E169" s="231">
        <f t="shared" si="96"/>
        <v>1003197</v>
      </c>
      <c r="G169" s="229">
        <f t="shared" si="99"/>
        <v>33388.36</v>
      </c>
      <c r="H169" s="229">
        <f t="shared" si="100"/>
        <v>33388.36</v>
      </c>
      <c r="I169" s="229">
        <f t="shared" si="101"/>
        <v>70950.264999999999</v>
      </c>
      <c r="J169" s="229">
        <f t="shared" si="102"/>
        <v>100165.08</v>
      </c>
      <c r="K169" s="229">
        <f t="shared" si="103"/>
        <v>104338.625</v>
      </c>
      <c r="L169" s="229">
        <f t="shared" si="104"/>
        <v>133553.44</v>
      </c>
      <c r="N169" s="367">
        <v>39661</v>
      </c>
      <c r="O169" s="367">
        <v>44469</v>
      </c>
      <c r="P169" s="216">
        <f t="shared" si="97"/>
        <v>4808</v>
      </c>
      <c r="Q169" s="442">
        <f>21.51*1.5%</f>
        <v>0.32264999999999999</v>
      </c>
      <c r="R169" s="245">
        <f t="shared" si="105"/>
        <v>7.6642314091612818E-4</v>
      </c>
      <c r="S169" s="229">
        <f t="shared" si="106"/>
        <v>104338.625</v>
      </c>
      <c r="T169" s="368">
        <f t="shared" si="110"/>
        <v>384483.91641210724</v>
      </c>
      <c r="U169" s="229">
        <f t="shared" si="107"/>
        <v>133553.44</v>
      </c>
      <c r="V169" s="368">
        <f t="shared" si="108"/>
        <v>492139.41300749726</v>
      </c>
      <c r="W169" s="246">
        <f t="shared" si="109"/>
        <v>876623.3294196045</v>
      </c>
    </row>
    <row r="170" spans="1:24">
      <c r="A170" s="233" t="s">
        <v>29</v>
      </c>
      <c r="B170" s="353">
        <v>834709</v>
      </c>
      <c r="C170" s="232">
        <v>69.19</v>
      </c>
      <c r="D170" s="233">
        <f t="shared" si="98"/>
        <v>1.1995953172423761</v>
      </c>
      <c r="E170" s="231">
        <f t="shared" si="96"/>
        <v>1001313</v>
      </c>
      <c r="G170" s="229">
        <f t="shared" si="99"/>
        <v>33388.36</v>
      </c>
      <c r="H170" s="229">
        <f t="shared" si="100"/>
        <v>33388.36</v>
      </c>
      <c r="I170" s="229">
        <f t="shared" si="101"/>
        <v>70950.264999999999</v>
      </c>
      <c r="J170" s="229">
        <f t="shared" si="102"/>
        <v>100165.08</v>
      </c>
      <c r="K170" s="229">
        <f t="shared" si="103"/>
        <v>104338.625</v>
      </c>
      <c r="L170" s="229">
        <f t="shared" si="104"/>
        <v>133553.44</v>
      </c>
      <c r="N170" s="367">
        <v>39692</v>
      </c>
      <c r="O170" s="367">
        <v>44469</v>
      </c>
      <c r="P170" s="216">
        <f t="shared" si="97"/>
        <v>4777</v>
      </c>
      <c r="Q170" s="442">
        <f>21.51*1.5%</f>
        <v>0.32264999999999999</v>
      </c>
      <c r="R170" s="245">
        <f t="shared" si="105"/>
        <v>7.6642314091612818E-4</v>
      </c>
      <c r="S170" s="229">
        <f t="shared" si="106"/>
        <v>104338.625</v>
      </c>
      <c r="T170" s="368">
        <f t="shared" si="110"/>
        <v>382004.92277467478</v>
      </c>
      <c r="U170" s="229">
        <f t="shared" si="107"/>
        <v>133553.44</v>
      </c>
      <c r="V170" s="368">
        <f t="shared" si="108"/>
        <v>488966.30115158367</v>
      </c>
      <c r="W170" s="246">
        <f t="shared" si="109"/>
        <v>870971.22392625851</v>
      </c>
    </row>
    <row r="171" spans="1:24">
      <c r="A171" s="233" t="s">
        <v>31</v>
      </c>
      <c r="B171" s="353">
        <v>834709</v>
      </c>
      <c r="C171" s="232">
        <v>69.06</v>
      </c>
      <c r="D171" s="233">
        <f t="shared" si="98"/>
        <v>1.2018534607587605</v>
      </c>
      <c r="E171" s="231">
        <f t="shared" si="96"/>
        <v>1003197</v>
      </c>
      <c r="G171" s="229">
        <f t="shared" si="99"/>
        <v>33388.36</v>
      </c>
      <c r="H171" s="229">
        <f t="shared" si="100"/>
        <v>33388.36</v>
      </c>
      <c r="I171" s="229">
        <f t="shared" si="101"/>
        <v>70950.264999999999</v>
      </c>
      <c r="J171" s="229">
        <f t="shared" si="102"/>
        <v>100165.08</v>
      </c>
      <c r="K171" s="229">
        <f t="shared" si="103"/>
        <v>104338.625</v>
      </c>
      <c r="L171" s="229">
        <f t="shared" si="104"/>
        <v>133553.44</v>
      </c>
      <c r="N171" s="367">
        <v>39722</v>
      </c>
      <c r="O171" s="367">
        <v>44469</v>
      </c>
      <c r="P171" s="216">
        <f t="shared" si="97"/>
        <v>4747</v>
      </c>
      <c r="Q171" s="442">
        <f>21.02*1.5%</f>
        <v>0.31529999999999997</v>
      </c>
      <c r="R171" s="245">
        <f t="shared" si="105"/>
        <v>7.5114436909107241E-4</v>
      </c>
      <c r="S171" s="229">
        <f t="shared" si="106"/>
        <v>104338.625</v>
      </c>
      <c r="T171" s="368">
        <f t="shared" si="110"/>
        <v>372038.39046346885</v>
      </c>
      <c r="U171" s="229">
        <f t="shared" si="107"/>
        <v>133553.44</v>
      </c>
      <c r="V171" s="368">
        <f t="shared" si="108"/>
        <v>476209.13979324017</v>
      </c>
      <c r="W171" s="246">
        <f t="shared" si="109"/>
        <v>848247.53025670908</v>
      </c>
    </row>
    <row r="172" spans="1:24">
      <c r="A172" s="233" t="s">
        <v>33</v>
      </c>
      <c r="B172" s="353">
        <v>834709</v>
      </c>
      <c r="C172" s="232">
        <v>69.3</v>
      </c>
      <c r="D172" s="233">
        <f t="shared" si="98"/>
        <v>1.1976911976911977</v>
      </c>
      <c r="E172" s="231">
        <f t="shared" si="96"/>
        <v>999723</v>
      </c>
      <c r="G172" s="229">
        <f t="shared" si="99"/>
        <v>33388.36</v>
      </c>
      <c r="H172" s="229">
        <f t="shared" si="100"/>
        <v>33388.36</v>
      </c>
      <c r="I172" s="229">
        <f t="shared" si="101"/>
        <v>70950.264999999999</v>
      </c>
      <c r="J172" s="229">
        <f t="shared" si="102"/>
        <v>100165.08</v>
      </c>
      <c r="K172" s="229">
        <f t="shared" si="103"/>
        <v>104338.625</v>
      </c>
      <c r="L172" s="229">
        <f t="shared" si="104"/>
        <v>133553.44</v>
      </c>
      <c r="N172" s="367">
        <v>39753</v>
      </c>
      <c r="O172" s="367">
        <v>44469</v>
      </c>
      <c r="P172" s="216">
        <f t="shared" si="97"/>
        <v>4716</v>
      </c>
      <c r="Q172" s="442">
        <f>21.02*1.5%</f>
        <v>0.31529999999999997</v>
      </c>
      <c r="R172" s="245">
        <f t="shared" si="105"/>
        <v>7.5114436909107241E-4</v>
      </c>
      <c r="S172" s="229">
        <f t="shared" si="106"/>
        <v>104338.625</v>
      </c>
      <c r="T172" s="368">
        <f t="shared" si="110"/>
        <v>369608.81597339775</v>
      </c>
      <c r="U172" s="229">
        <f t="shared" si="107"/>
        <v>133553.44</v>
      </c>
      <c r="V172" s="368">
        <f t="shared" si="108"/>
        <v>473099.28444594913</v>
      </c>
      <c r="W172" s="246">
        <f t="shared" si="109"/>
        <v>842708.10041934694</v>
      </c>
    </row>
    <row r="173" spans="1:24">
      <c r="A173" s="233" t="s">
        <v>34</v>
      </c>
      <c r="B173" s="353">
        <v>834709</v>
      </c>
      <c r="C173" s="232">
        <v>69.489999999999995</v>
      </c>
      <c r="D173" s="233">
        <f t="shared" si="98"/>
        <v>1.194416462800403</v>
      </c>
      <c r="E173" s="231">
        <f t="shared" si="96"/>
        <v>996990</v>
      </c>
      <c r="G173" s="229">
        <f t="shared" si="99"/>
        <v>33388.36</v>
      </c>
      <c r="H173" s="229">
        <f t="shared" si="100"/>
        <v>33388.36</v>
      </c>
      <c r="I173" s="229">
        <f t="shared" si="101"/>
        <v>70950.264999999999</v>
      </c>
      <c r="J173" s="229">
        <f t="shared" si="102"/>
        <v>100165.08</v>
      </c>
      <c r="K173" s="229">
        <f t="shared" si="103"/>
        <v>104338.625</v>
      </c>
      <c r="L173" s="229">
        <f t="shared" si="104"/>
        <v>133553.44</v>
      </c>
      <c r="N173" s="367">
        <v>39783</v>
      </c>
      <c r="O173" s="367">
        <v>44469</v>
      </c>
      <c r="P173" s="216">
        <f t="shared" si="97"/>
        <v>4686</v>
      </c>
      <c r="Q173" s="442">
        <f>21.02*1.5%</f>
        <v>0.31529999999999997</v>
      </c>
      <c r="R173" s="245">
        <f t="shared" si="105"/>
        <v>7.5114436909107241E-4</v>
      </c>
      <c r="S173" s="229">
        <f t="shared" si="106"/>
        <v>104338.625</v>
      </c>
      <c r="T173" s="368">
        <f t="shared" si="110"/>
        <v>367257.61485397408</v>
      </c>
      <c r="U173" s="229">
        <f t="shared" si="107"/>
        <v>133553.44</v>
      </c>
      <c r="V173" s="368">
        <f t="shared" si="108"/>
        <v>470089.74701308686</v>
      </c>
      <c r="W173" s="246">
        <f t="shared" si="109"/>
        <v>837347.36186706088</v>
      </c>
    </row>
    <row r="174" spans="1:24">
      <c r="A174" s="233" t="s">
        <v>35</v>
      </c>
      <c r="B174" s="353">
        <v>834709</v>
      </c>
      <c r="C174" s="232">
        <v>69.8</v>
      </c>
      <c r="D174" s="233">
        <f t="shared" si="98"/>
        <v>1.1891117478510029</v>
      </c>
      <c r="E174" s="231">
        <f t="shared" si="96"/>
        <v>992562</v>
      </c>
      <c r="G174" s="229">
        <f t="shared" si="99"/>
        <v>33388.36</v>
      </c>
      <c r="H174" s="229">
        <f t="shared" si="100"/>
        <v>33388.36</v>
      </c>
      <c r="I174" s="229">
        <f t="shared" si="101"/>
        <v>70950.264999999999</v>
      </c>
      <c r="J174" s="229">
        <f t="shared" si="102"/>
        <v>100165.08</v>
      </c>
      <c r="K174" s="229">
        <f t="shared" si="103"/>
        <v>104338.625</v>
      </c>
      <c r="L174" s="229">
        <f t="shared" si="104"/>
        <v>133553.44</v>
      </c>
      <c r="N174" s="367">
        <v>39814</v>
      </c>
      <c r="O174" s="367">
        <v>44469</v>
      </c>
      <c r="P174" s="216">
        <f t="shared" si="97"/>
        <v>4655</v>
      </c>
      <c r="Q174" s="442">
        <f>20.47*1.5%</f>
        <v>0.30704999999999999</v>
      </c>
      <c r="R174" s="245">
        <f t="shared" si="105"/>
        <v>7.3389297449621971E-4</v>
      </c>
      <c r="S174" s="229">
        <f t="shared" si="106"/>
        <v>104338.625</v>
      </c>
      <c r="T174" s="368">
        <f t="shared" si="110"/>
        <v>356449.10185012518</v>
      </c>
      <c r="U174" s="229">
        <f t="shared" si="107"/>
        <v>133553.44</v>
      </c>
      <c r="V174" s="368">
        <f t="shared" si="108"/>
        <v>456254.85036816023</v>
      </c>
      <c r="W174" s="246">
        <f t="shared" si="109"/>
        <v>812703.95221828541</v>
      </c>
    </row>
    <row r="175" spans="1:24">
      <c r="A175" s="233" t="s">
        <v>101</v>
      </c>
      <c r="B175" s="353">
        <v>389855</v>
      </c>
      <c r="C175" s="232">
        <f>+C169</f>
        <v>69.06</v>
      </c>
      <c r="D175" s="233">
        <f t="shared" si="98"/>
        <v>1.2018534607587605</v>
      </c>
      <c r="E175" s="231">
        <f t="shared" si="96"/>
        <v>468548</v>
      </c>
      <c r="G175" s="229"/>
      <c r="H175" s="229"/>
      <c r="I175" s="229"/>
      <c r="J175" s="229"/>
      <c r="K175" s="229"/>
      <c r="L175" s="444"/>
      <c r="N175" s="2546" t="s">
        <v>97</v>
      </c>
      <c r="O175" s="2547"/>
      <c r="P175" s="2547"/>
      <c r="Q175" s="2547"/>
      <c r="R175" s="2548"/>
      <c r="S175" s="444">
        <f>SUM(S163:S174)</f>
        <v>1252063.5</v>
      </c>
      <c r="U175" s="444">
        <f>SUM(U163:U174)</f>
        <v>1602641.2799999996</v>
      </c>
      <c r="W175" s="246">
        <f>SUM(W163:W174)</f>
        <v>10533201.62074171</v>
      </c>
      <c r="X175" s="348">
        <f>+S175+U175+W175</f>
        <v>13387906.400741709</v>
      </c>
    </row>
    <row r="176" spans="1:24">
      <c r="A176" s="233" t="s">
        <v>102</v>
      </c>
      <c r="B176" s="353">
        <v>433599</v>
      </c>
      <c r="C176" s="232">
        <f>+C171</f>
        <v>69.06</v>
      </c>
      <c r="D176" s="233">
        <f t="shared" si="98"/>
        <v>1.2018534607587605</v>
      </c>
      <c r="E176" s="231">
        <f t="shared" si="96"/>
        <v>521122</v>
      </c>
      <c r="G176" s="229">
        <f t="shared" ref="G176:L176" si="111">SUM(G163:G175)</f>
        <v>400660.31999999989</v>
      </c>
      <c r="H176" s="229">
        <f t="shared" si="111"/>
        <v>400660.31999999989</v>
      </c>
      <c r="I176" s="229">
        <f t="shared" si="111"/>
        <v>851403.18</v>
      </c>
      <c r="J176" s="229">
        <f t="shared" si="111"/>
        <v>1201980.96</v>
      </c>
      <c r="K176" s="229">
        <f t="shared" si="111"/>
        <v>1252063.5</v>
      </c>
      <c r="L176" s="229">
        <f t="shared" si="111"/>
        <v>1602641.2799999996</v>
      </c>
    </row>
    <row r="177" spans="1:23">
      <c r="A177" s="233" t="s">
        <v>103</v>
      </c>
      <c r="B177" s="353">
        <v>51981</v>
      </c>
      <c r="C177" s="232">
        <f>+C173</f>
        <v>69.489999999999995</v>
      </c>
      <c r="D177" s="233">
        <f t="shared" si="98"/>
        <v>1.194416462800403</v>
      </c>
      <c r="E177" s="231">
        <f t="shared" si="96"/>
        <v>62086</v>
      </c>
    </row>
    <row r="178" spans="1:23">
      <c r="A178" s="233" t="s">
        <v>104</v>
      </c>
      <c r="B178" s="353">
        <v>607039</v>
      </c>
      <c r="C178" s="232">
        <f>+C173</f>
        <v>69.489999999999995</v>
      </c>
      <c r="D178" s="233">
        <f t="shared" si="98"/>
        <v>1.194416462800403</v>
      </c>
      <c r="E178" s="231">
        <f t="shared" si="96"/>
        <v>725057</v>
      </c>
    </row>
    <row r="179" spans="1:23">
      <c r="A179" s="233" t="s">
        <v>95</v>
      </c>
      <c r="B179" s="353">
        <v>903330</v>
      </c>
      <c r="C179" s="232">
        <f>+C174</f>
        <v>69.8</v>
      </c>
      <c r="D179" s="233">
        <f t="shared" si="98"/>
        <v>1.1891117478510029</v>
      </c>
      <c r="E179" s="231">
        <f t="shared" si="96"/>
        <v>1074160</v>
      </c>
    </row>
    <row r="180" spans="1:23">
      <c r="A180" s="233" t="s">
        <v>96</v>
      </c>
      <c r="B180" s="216"/>
      <c r="C180" s="216"/>
      <c r="D180" s="216"/>
      <c r="E180" s="231">
        <f>SUM(E163:E179)</f>
        <v>15031744</v>
      </c>
    </row>
    <row r="181" spans="1:23">
      <c r="A181" s="233" t="s">
        <v>98</v>
      </c>
      <c r="B181" s="216"/>
      <c r="C181" s="216"/>
      <c r="D181" s="216"/>
      <c r="E181" s="231">
        <f>+G176+H176</f>
        <v>801320.63999999978</v>
      </c>
    </row>
    <row r="182" spans="1:23">
      <c r="A182" s="233" t="s">
        <v>99</v>
      </c>
      <c r="B182" s="216"/>
      <c r="C182" s="216"/>
      <c r="D182" s="216"/>
      <c r="E182" s="231">
        <f>+E180-E181</f>
        <v>14230423.359999999</v>
      </c>
    </row>
    <row r="184" spans="1:23">
      <c r="N184" s="2543" t="s">
        <v>84</v>
      </c>
      <c r="O184" s="2544"/>
      <c r="P184" s="2544"/>
      <c r="Q184" s="2544"/>
      <c r="R184" s="2544"/>
      <c r="S184" s="2544"/>
      <c r="T184" s="2544"/>
      <c r="U184" s="2544"/>
      <c r="V184" s="2544"/>
      <c r="W184" s="2545"/>
    </row>
    <row r="185" spans="1:23" ht="33.75">
      <c r="A185" s="226" t="s">
        <v>11</v>
      </c>
      <c r="B185" s="351" t="s">
        <v>111</v>
      </c>
      <c r="C185" s="228" t="s">
        <v>76</v>
      </c>
      <c r="D185" s="228" t="s">
        <v>77</v>
      </c>
      <c r="E185" s="229" t="s">
        <v>57</v>
      </c>
      <c r="G185" s="229" t="s">
        <v>78</v>
      </c>
      <c r="H185" s="229" t="s">
        <v>79</v>
      </c>
      <c r="I185" s="229" t="s">
        <v>80</v>
      </c>
      <c r="J185" s="229" t="s">
        <v>81</v>
      </c>
      <c r="K185" s="229" t="s">
        <v>82</v>
      </c>
      <c r="L185" s="229" t="s">
        <v>83</v>
      </c>
      <c r="N185" s="381" t="s">
        <v>85</v>
      </c>
      <c r="O185" s="381" t="s">
        <v>10</v>
      </c>
      <c r="P185" s="381" t="s">
        <v>86</v>
      </c>
      <c r="Q185" s="381" t="s">
        <v>87</v>
      </c>
      <c r="R185" s="381" t="s">
        <v>88</v>
      </c>
      <c r="S185" s="381" t="s">
        <v>89</v>
      </c>
      <c r="T185" s="381" t="s">
        <v>90</v>
      </c>
      <c r="U185" s="381" t="s">
        <v>91</v>
      </c>
      <c r="V185" s="381" t="s">
        <v>92</v>
      </c>
      <c r="W185" s="381" t="s">
        <v>93</v>
      </c>
    </row>
    <row r="186" spans="1:23">
      <c r="A186" s="233" t="s">
        <v>16</v>
      </c>
      <c r="B186" s="353">
        <v>899345</v>
      </c>
      <c r="C186" s="232">
        <v>70.209999999999994</v>
      </c>
      <c r="D186" s="233">
        <f t="shared" ref="D186:D202" si="112">+$C$13/C186</f>
        <v>1.1821677823671843</v>
      </c>
      <c r="E186" s="231">
        <f>INT(B186*D186)</f>
        <v>1063176</v>
      </c>
      <c r="G186" s="229">
        <f>+B186*0.04</f>
        <v>35973.800000000003</v>
      </c>
      <c r="H186" s="229">
        <f>+B186*0.04</f>
        <v>35973.800000000003</v>
      </c>
      <c r="I186" s="229">
        <f>+B186*0.085</f>
        <v>76444.325000000012</v>
      </c>
      <c r="J186" s="229">
        <f>+B186*0.12</f>
        <v>107921.4</v>
      </c>
      <c r="K186" s="229">
        <f>+G186+I186</f>
        <v>112418.12500000001</v>
      </c>
      <c r="L186" s="229">
        <f>+J186+H186</f>
        <v>143895.20000000001</v>
      </c>
      <c r="N186" s="367">
        <v>39845</v>
      </c>
      <c r="O186" s="367">
        <v>44469</v>
      </c>
      <c r="P186" s="216">
        <f t="shared" ref="P186:P197" si="113">_xlfn.DAYS(O186,N186)</f>
        <v>4624</v>
      </c>
      <c r="Q186" s="442">
        <f>20.47*1.5%</f>
        <v>0.30704999999999999</v>
      </c>
      <c r="R186" s="245">
        <f>((1+Q186)^(1/365))-1</f>
        <v>7.3389297449621971E-4</v>
      </c>
      <c r="S186" s="229">
        <f>+K186</f>
        <v>112418.12500000001</v>
      </c>
      <c r="T186" s="368">
        <f>+S186*R186*P186</f>
        <v>381493.28079171898</v>
      </c>
      <c r="U186" s="229">
        <f>+L186</f>
        <v>143895.20000000001</v>
      </c>
      <c r="V186" s="368">
        <f>+U186*R186*P186</f>
        <v>488311.39941340027</v>
      </c>
      <c r="W186" s="246">
        <f>+T186+V186</f>
        <v>869804.68020511931</v>
      </c>
    </row>
    <row r="187" spans="1:23">
      <c r="A187" s="233" t="s">
        <v>17</v>
      </c>
      <c r="B187" s="353">
        <v>899345</v>
      </c>
      <c r="C187" s="232">
        <v>70.8</v>
      </c>
      <c r="D187" s="233">
        <f t="shared" si="112"/>
        <v>1.1723163841807911</v>
      </c>
      <c r="E187" s="231">
        <f t="shared" ref="E187:E202" si="114">INT(B187*D187)</f>
        <v>1054316</v>
      </c>
      <c r="G187" s="229">
        <f t="shared" ref="G187:G197" si="115">+B187*0.04</f>
        <v>35973.800000000003</v>
      </c>
      <c r="H187" s="229">
        <f t="shared" ref="H187:H197" si="116">+B187*0.04</f>
        <v>35973.800000000003</v>
      </c>
      <c r="I187" s="229">
        <f t="shared" ref="I187:I197" si="117">+B187*0.085</f>
        <v>76444.325000000012</v>
      </c>
      <c r="J187" s="229">
        <f t="shared" ref="J187:J197" si="118">+B187*0.12</f>
        <v>107921.4</v>
      </c>
      <c r="K187" s="229">
        <f t="shared" ref="K187:K197" si="119">+G187+I187</f>
        <v>112418.12500000001</v>
      </c>
      <c r="L187" s="229">
        <f t="shared" ref="L187:L197" si="120">+J187+H187</f>
        <v>143895.20000000001</v>
      </c>
      <c r="N187" s="367">
        <v>39873</v>
      </c>
      <c r="O187" s="367">
        <v>44469</v>
      </c>
      <c r="P187" s="216">
        <f t="shared" si="113"/>
        <v>4596</v>
      </c>
      <c r="Q187" s="442">
        <f>20.47*1.5%</f>
        <v>0.30704999999999999</v>
      </c>
      <c r="R187" s="245">
        <f t="shared" ref="R187:R197" si="121">((1+Q187)^(1/365))-1</f>
        <v>7.3389297449621971E-4</v>
      </c>
      <c r="S187" s="229">
        <f t="shared" ref="S187:S197" si="122">+K187</f>
        <v>112418.12500000001</v>
      </c>
      <c r="T187" s="368">
        <f t="shared" ref="T187:T197" si="123">+S187*R187*P187</f>
        <v>379183.20037169993</v>
      </c>
      <c r="U187" s="229">
        <f t="shared" ref="U187:U197" si="124">+L187</f>
        <v>143895.20000000001</v>
      </c>
      <c r="V187" s="368">
        <f t="shared" ref="V187:V197" si="125">+U187*R187*P187</f>
        <v>485354.4964757759</v>
      </c>
      <c r="W187" s="246">
        <f t="shared" ref="W187:W197" si="126">+T187+V187</f>
        <v>864537.69684747583</v>
      </c>
    </row>
    <row r="188" spans="1:23">
      <c r="A188" s="233" t="s">
        <v>19</v>
      </c>
      <c r="B188" s="353">
        <v>899345</v>
      </c>
      <c r="C188" s="232">
        <v>71.150000000000006</v>
      </c>
      <c r="D188" s="233">
        <f t="shared" si="112"/>
        <v>1.1665495432185522</v>
      </c>
      <c r="E188" s="231">
        <f t="shared" si="114"/>
        <v>1049130</v>
      </c>
      <c r="G188" s="229">
        <f t="shared" si="115"/>
        <v>35973.800000000003</v>
      </c>
      <c r="H188" s="229">
        <f t="shared" si="116"/>
        <v>35973.800000000003</v>
      </c>
      <c r="I188" s="229">
        <f t="shared" si="117"/>
        <v>76444.325000000012</v>
      </c>
      <c r="J188" s="229">
        <f t="shared" si="118"/>
        <v>107921.4</v>
      </c>
      <c r="K188" s="229">
        <f t="shared" si="119"/>
        <v>112418.12500000001</v>
      </c>
      <c r="L188" s="229">
        <f t="shared" si="120"/>
        <v>143895.20000000001</v>
      </c>
      <c r="N188" s="367">
        <v>39904</v>
      </c>
      <c r="O188" s="367">
        <v>44469</v>
      </c>
      <c r="P188" s="216">
        <f t="shared" si="113"/>
        <v>4565</v>
      </c>
      <c r="Q188" s="442">
        <f>20.28*1.5%</f>
        <v>0.30420000000000003</v>
      </c>
      <c r="R188" s="245">
        <f t="shared" si="121"/>
        <v>7.2790815549184096E-4</v>
      </c>
      <c r="S188" s="229">
        <f t="shared" si="122"/>
        <v>112418.12500000001</v>
      </c>
      <c r="T188" s="368">
        <f t="shared" si="123"/>
        <v>373554.26960752462</v>
      </c>
      <c r="U188" s="229">
        <f t="shared" si="124"/>
        <v>143895.20000000001</v>
      </c>
      <c r="V188" s="368">
        <f t="shared" si="125"/>
        <v>478149.46509763144</v>
      </c>
      <c r="W188" s="246">
        <f t="shared" si="126"/>
        <v>851703.73470515606</v>
      </c>
    </row>
    <row r="189" spans="1:23">
      <c r="A189" s="233" t="s">
        <v>21</v>
      </c>
      <c r="B189" s="353">
        <v>899345</v>
      </c>
      <c r="C189" s="232">
        <v>71.38</v>
      </c>
      <c r="D189" s="233">
        <f t="shared" si="112"/>
        <v>1.1627906976744187</v>
      </c>
      <c r="E189" s="231">
        <f t="shared" si="114"/>
        <v>1045750</v>
      </c>
      <c r="G189" s="229">
        <f t="shared" si="115"/>
        <v>35973.800000000003</v>
      </c>
      <c r="H189" s="229">
        <f t="shared" si="116"/>
        <v>35973.800000000003</v>
      </c>
      <c r="I189" s="229">
        <f t="shared" si="117"/>
        <v>76444.325000000012</v>
      </c>
      <c r="J189" s="229">
        <f t="shared" si="118"/>
        <v>107921.4</v>
      </c>
      <c r="K189" s="229">
        <f t="shared" si="119"/>
        <v>112418.12500000001</v>
      </c>
      <c r="L189" s="229">
        <f t="shared" si="120"/>
        <v>143895.20000000001</v>
      </c>
      <c r="N189" s="367">
        <v>39934</v>
      </c>
      <c r="O189" s="367">
        <v>44469</v>
      </c>
      <c r="P189" s="216">
        <f t="shared" si="113"/>
        <v>4535</v>
      </c>
      <c r="Q189" s="442">
        <f>20.28*1.5%</f>
        <v>0.30420000000000003</v>
      </c>
      <c r="R189" s="245">
        <f t="shared" si="121"/>
        <v>7.2790815549184096E-4</v>
      </c>
      <c r="S189" s="229">
        <f t="shared" si="122"/>
        <v>112418.12500000001</v>
      </c>
      <c r="T189" s="368">
        <f t="shared" si="123"/>
        <v>371099.36750714655</v>
      </c>
      <c r="U189" s="229">
        <f t="shared" si="124"/>
        <v>143895.20000000001</v>
      </c>
      <c r="V189" s="368">
        <f t="shared" si="125"/>
        <v>475007.19040914753</v>
      </c>
      <c r="W189" s="246">
        <f t="shared" si="126"/>
        <v>846106.55791629408</v>
      </c>
    </row>
    <row r="190" spans="1:23">
      <c r="A190" s="233" t="s">
        <v>23</v>
      </c>
      <c r="B190" s="353">
        <v>899345</v>
      </c>
      <c r="C190" s="232">
        <v>71.39</v>
      </c>
      <c r="D190" s="233">
        <f t="shared" si="112"/>
        <v>1.1626278190222721</v>
      </c>
      <c r="E190" s="231">
        <f t="shared" si="114"/>
        <v>1045603</v>
      </c>
      <c r="G190" s="229">
        <f t="shared" si="115"/>
        <v>35973.800000000003</v>
      </c>
      <c r="H190" s="229">
        <f t="shared" si="116"/>
        <v>35973.800000000003</v>
      </c>
      <c r="I190" s="229">
        <f t="shared" si="117"/>
        <v>76444.325000000012</v>
      </c>
      <c r="J190" s="229">
        <f t="shared" si="118"/>
        <v>107921.4</v>
      </c>
      <c r="K190" s="229">
        <f t="shared" si="119"/>
        <v>112418.12500000001</v>
      </c>
      <c r="L190" s="229">
        <f t="shared" si="120"/>
        <v>143895.20000000001</v>
      </c>
      <c r="N190" s="367">
        <v>39965</v>
      </c>
      <c r="O190" s="367">
        <v>44469</v>
      </c>
      <c r="P190" s="216">
        <f t="shared" si="113"/>
        <v>4504</v>
      </c>
      <c r="Q190" s="442">
        <f>20.28*1.5%</f>
        <v>0.30420000000000003</v>
      </c>
      <c r="R190" s="245">
        <f t="shared" si="121"/>
        <v>7.2790815549184096E-4</v>
      </c>
      <c r="S190" s="229">
        <f t="shared" si="122"/>
        <v>112418.12500000001</v>
      </c>
      <c r="T190" s="368">
        <f t="shared" si="123"/>
        <v>368562.63533675595</v>
      </c>
      <c r="U190" s="229">
        <f t="shared" si="124"/>
        <v>143895.20000000001</v>
      </c>
      <c r="V190" s="368">
        <f t="shared" si="125"/>
        <v>471760.17323104752</v>
      </c>
      <c r="W190" s="246">
        <f t="shared" si="126"/>
        <v>840322.80856780347</v>
      </c>
    </row>
    <row r="191" spans="1:23">
      <c r="A191" s="233" t="s">
        <v>25</v>
      </c>
      <c r="B191" s="353">
        <v>899345</v>
      </c>
      <c r="C191" s="232">
        <v>71.349999999999994</v>
      </c>
      <c r="D191" s="233">
        <f t="shared" si="112"/>
        <v>1.1632796075683252</v>
      </c>
      <c r="E191" s="231">
        <f t="shared" si="114"/>
        <v>1046189</v>
      </c>
      <c r="G191" s="229">
        <f t="shared" si="115"/>
        <v>35973.800000000003</v>
      </c>
      <c r="H191" s="229">
        <f t="shared" si="116"/>
        <v>35973.800000000003</v>
      </c>
      <c r="I191" s="229">
        <f t="shared" si="117"/>
        <v>76444.325000000012</v>
      </c>
      <c r="J191" s="229">
        <f t="shared" si="118"/>
        <v>107921.4</v>
      </c>
      <c r="K191" s="229">
        <f t="shared" si="119"/>
        <v>112418.12500000001</v>
      </c>
      <c r="L191" s="229">
        <f t="shared" si="120"/>
        <v>143895.20000000001</v>
      </c>
      <c r="N191" s="367">
        <v>39995</v>
      </c>
      <c r="O191" s="367">
        <v>44469</v>
      </c>
      <c r="P191" s="216">
        <f t="shared" si="113"/>
        <v>4474</v>
      </c>
      <c r="Q191" s="442">
        <f>18.65*1.5%</f>
        <v>0.27974999999999994</v>
      </c>
      <c r="R191" s="245">
        <f t="shared" si="121"/>
        <v>6.760222257264914E-4</v>
      </c>
      <c r="S191" s="229">
        <f t="shared" si="122"/>
        <v>112418.12500000001</v>
      </c>
      <c r="T191" s="368">
        <f t="shared" si="123"/>
        <v>340011.25390730822</v>
      </c>
      <c r="U191" s="229">
        <f t="shared" si="124"/>
        <v>143895.20000000001</v>
      </c>
      <c r="V191" s="368">
        <f t="shared" si="125"/>
        <v>435214.40500135458</v>
      </c>
      <c r="W191" s="246">
        <f t="shared" si="126"/>
        <v>775225.65890866285</v>
      </c>
    </row>
    <row r="192" spans="1:23">
      <c r="A192" s="233" t="s">
        <v>27</v>
      </c>
      <c r="B192" s="353">
        <v>899345</v>
      </c>
      <c r="C192" s="232">
        <v>71.319999999999993</v>
      </c>
      <c r="D192" s="233">
        <f t="shared" si="112"/>
        <v>1.1637689287717332</v>
      </c>
      <c r="E192" s="231">
        <f t="shared" si="114"/>
        <v>1046629</v>
      </c>
      <c r="G192" s="229">
        <f t="shared" si="115"/>
        <v>35973.800000000003</v>
      </c>
      <c r="H192" s="229">
        <f t="shared" si="116"/>
        <v>35973.800000000003</v>
      </c>
      <c r="I192" s="229">
        <f t="shared" si="117"/>
        <v>76444.325000000012</v>
      </c>
      <c r="J192" s="229">
        <f t="shared" si="118"/>
        <v>107921.4</v>
      </c>
      <c r="K192" s="229">
        <f t="shared" si="119"/>
        <v>112418.12500000001</v>
      </c>
      <c r="L192" s="229">
        <f t="shared" si="120"/>
        <v>143895.20000000001</v>
      </c>
      <c r="N192" s="367">
        <v>40026</v>
      </c>
      <c r="O192" s="367">
        <v>44469</v>
      </c>
      <c r="P192" s="216">
        <f t="shared" si="113"/>
        <v>4443</v>
      </c>
      <c r="Q192" s="442">
        <f>18.65*1.5%</f>
        <v>0.27974999999999994</v>
      </c>
      <c r="R192" s="245">
        <f t="shared" si="121"/>
        <v>6.760222257264914E-4</v>
      </c>
      <c r="S192" s="229">
        <f t="shared" si="122"/>
        <v>112418.12500000001</v>
      </c>
      <c r="T192" s="368">
        <f t="shared" si="123"/>
        <v>337655.34222399874</v>
      </c>
      <c r="U192" s="229">
        <f t="shared" si="124"/>
        <v>143895.20000000001</v>
      </c>
      <c r="V192" s="368">
        <f t="shared" si="125"/>
        <v>432198.83804671845</v>
      </c>
      <c r="W192" s="246">
        <f t="shared" si="126"/>
        <v>769854.18027071725</v>
      </c>
    </row>
    <row r="193" spans="1:24">
      <c r="A193" s="233" t="s">
        <v>29</v>
      </c>
      <c r="B193" s="353">
        <v>899345</v>
      </c>
      <c r="C193" s="232">
        <v>71.349999999999994</v>
      </c>
      <c r="D193" s="233">
        <f t="shared" si="112"/>
        <v>1.1632796075683252</v>
      </c>
      <c r="E193" s="231">
        <f t="shared" si="114"/>
        <v>1046189</v>
      </c>
      <c r="G193" s="229">
        <f t="shared" si="115"/>
        <v>35973.800000000003</v>
      </c>
      <c r="H193" s="229">
        <f t="shared" si="116"/>
        <v>35973.800000000003</v>
      </c>
      <c r="I193" s="229">
        <f t="shared" si="117"/>
        <v>76444.325000000012</v>
      </c>
      <c r="J193" s="229">
        <f t="shared" si="118"/>
        <v>107921.4</v>
      </c>
      <c r="K193" s="229">
        <f t="shared" si="119"/>
        <v>112418.12500000001</v>
      </c>
      <c r="L193" s="229">
        <f t="shared" si="120"/>
        <v>143895.20000000001</v>
      </c>
      <c r="N193" s="367">
        <v>40057</v>
      </c>
      <c r="O193" s="367">
        <v>44469</v>
      </c>
      <c r="P193" s="216">
        <f t="shared" si="113"/>
        <v>4412</v>
      </c>
      <c r="Q193" s="442">
        <f>18.65*1.5%</f>
        <v>0.27974999999999994</v>
      </c>
      <c r="R193" s="245">
        <f t="shared" si="121"/>
        <v>6.760222257264914E-4</v>
      </c>
      <c r="S193" s="229">
        <f t="shared" si="122"/>
        <v>112418.12500000001</v>
      </c>
      <c r="T193" s="368">
        <f t="shared" si="123"/>
        <v>335299.43054068927</v>
      </c>
      <c r="U193" s="229">
        <f t="shared" si="124"/>
        <v>143895.20000000001</v>
      </c>
      <c r="V193" s="368">
        <f t="shared" si="125"/>
        <v>429183.27109208232</v>
      </c>
      <c r="W193" s="246">
        <f t="shared" si="126"/>
        <v>764482.70163277164</v>
      </c>
    </row>
    <row r="194" spans="1:24">
      <c r="A194" s="233" t="s">
        <v>31</v>
      </c>
      <c r="B194" s="353">
        <v>899345</v>
      </c>
      <c r="C194" s="232">
        <v>71.28</v>
      </c>
      <c r="D194" s="233">
        <f t="shared" si="112"/>
        <v>1.1644219977553312</v>
      </c>
      <c r="E194" s="231">
        <f t="shared" si="114"/>
        <v>1047217</v>
      </c>
      <c r="G194" s="229">
        <f t="shared" si="115"/>
        <v>35973.800000000003</v>
      </c>
      <c r="H194" s="229">
        <f t="shared" si="116"/>
        <v>35973.800000000003</v>
      </c>
      <c r="I194" s="229">
        <f t="shared" si="117"/>
        <v>76444.325000000012</v>
      </c>
      <c r="J194" s="229">
        <f t="shared" si="118"/>
        <v>107921.4</v>
      </c>
      <c r="K194" s="229">
        <f t="shared" si="119"/>
        <v>112418.12500000001</v>
      </c>
      <c r="L194" s="229">
        <f t="shared" si="120"/>
        <v>143895.20000000001</v>
      </c>
      <c r="N194" s="367">
        <v>40087</v>
      </c>
      <c r="O194" s="367">
        <v>44469</v>
      </c>
      <c r="P194" s="216">
        <f t="shared" si="113"/>
        <v>4382</v>
      </c>
      <c r="Q194" s="442">
        <f>17.28*1.5%</f>
        <v>0.25919999999999999</v>
      </c>
      <c r="R194" s="245">
        <f t="shared" si="121"/>
        <v>6.3164213804500768E-4</v>
      </c>
      <c r="S194" s="229">
        <f t="shared" si="122"/>
        <v>112418.12500000001</v>
      </c>
      <c r="T194" s="368">
        <f t="shared" si="123"/>
        <v>311157.16480510792</v>
      </c>
      <c r="U194" s="229">
        <f t="shared" si="124"/>
        <v>143895.20000000001</v>
      </c>
      <c r="V194" s="368">
        <f t="shared" si="125"/>
        <v>398281.17095053819</v>
      </c>
      <c r="W194" s="246">
        <f t="shared" si="126"/>
        <v>709438.33575564611</v>
      </c>
    </row>
    <row r="195" spans="1:24">
      <c r="A195" s="233" t="s">
        <v>33</v>
      </c>
      <c r="B195" s="353">
        <v>899345</v>
      </c>
      <c r="C195" s="232">
        <v>71.19</v>
      </c>
      <c r="D195" s="233">
        <f t="shared" si="112"/>
        <v>1.1658940862480687</v>
      </c>
      <c r="E195" s="231">
        <f t="shared" si="114"/>
        <v>1048541</v>
      </c>
      <c r="G195" s="229">
        <f t="shared" si="115"/>
        <v>35973.800000000003</v>
      </c>
      <c r="H195" s="229">
        <f t="shared" si="116"/>
        <v>35973.800000000003</v>
      </c>
      <c r="I195" s="229">
        <f t="shared" si="117"/>
        <v>76444.325000000012</v>
      </c>
      <c r="J195" s="229">
        <f t="shared" si="118"/>
        <v>107921.4</v>
      </c>
      <c r="K195" s="229">
        <f t="shared" si="119"/>
        <v>112418.12500000001</v>
      </c>
      <c r="L195" s="229">
        <f t="shared" si="120"/>
        <v>143895.20000000001</v>
      </c>
      <c r="N195" s="367">
        <v>40118</v>
      </c>
      <c r="O195" s="367">
        <v>44469</v>
      </c>
      <c r="P195" s="216">
        <f t="shared" si="113"/>
        <v>4351</v>
      </c>
      <c r="Q195" s="442">
        <f>17.28*1.5%</f>
        <v>0.25919999999999999</v>
      </c>
      <c r="R195" s="245">
        <f t="shared" si="121"/>
        <v>6.3164213804500768E-4</v>
      </c>
      <c r="S195" s="229">
        <f t="shared" si="122"/>
        <v>112418.12500000001</v>
      </c>
      <c r="T195" s="368">
        <f t="shared" si="123"/>
        <v>308955.9160353776</v>
      </c>
      <c r="U195" s="229">
        <f t="shared" si="124"/>
        <v>143895.20000000001</v>
      </c>
      <c r="V195" s="368">
        <f t="shared" si="125"/>
        <v>395463.57252528332</v>
      </c>
      <c r="W195" s="246">
        <f t="shared" si="126"/>
        <v>704419.48856066098</v>
      </c>
    </row>
    <row r="196" spans="1:24">
      <c r="A196" s="233" t="s">
        <v>34</v>
      </c>
      <c r="B196" s="353">
        <v>899345</v>
      </c>
      <c r="C196" s="232">
        <v>71.14</v>
      </c>
      <c r="D196" s="233">
        <f t="shared" si="112"/>
        <v>1.1667135226314309</v>
      </c>
      <c r="E196" s="231">
        <f t="shared" si="114"/>
        <v>1049277</v>
      </c>
      <c r="G196" s="229">
        <f t="shared" si="115"/>
        <v>35973.800000000003</v>
      </c>
      <c r="H196" s="229">
        <f t="shared" si="116"/>
        <v>35973.800000000003</v>
      </c>
      <c r="I196" s="229">
        <f t="shared" si="117"/>
        <v>76444.325000000012</v>
      </c>
      <c r="J196" s="229">
        <f t="shared" si="118"/>
        <v>107921.4</v>
      </c>
      <c r="K196" s="229">
        <f t="shared" si="119"/>
        <v>112418.12500000001</v>
      </c>
      <c r="L196" s="229">
        <f t="shared" si="120"/>
        <v>143895.20000000001</v>
      </c>
      <c r="N196" s="367">
        <v>40148</v>
      </c>
      <c r="O196" s="367">
        <v>44469</v>
      </c>
      <c r="P196" s="216">
        <f t="shared" si="113"/>
        <v>4321</v>
      </c>
      <c r="Q196" s="442">
        <f>17.28*1.5%</f>
        <v>0.25919999999999999</v>
      </c>
      <c r="R196" s="245">
        <f t="shared" si="121"/>
        <v>6.3164213804500768E-4</v>
      </c>
      <c r="S196" s="229">
        <f t="shared" si="122"/>
        <v>112418.12500000001</v>
      </c>
      <c r="T196" s="368">
        <f t="shared" si="123"/>
        <v>306825.67529047729</v>
      </c>
      <c r="U196" s="229">
        <f t="shared" si="124"/>
        <v>143895.20000000001</v>
      </c>
      <c r="V196" s="368">
        <f t="shared" si="125"/>
        <v>392736.86437181092</v>
      </c>
      <c r="W196" s="246">
        <f t="shared" si="126"/>
        <v>699562.53966228827</v>
      </c>
    </row>
    <row r="197" spans="1:24">
      <c r="A197" s="233" t="s">
        <v>35</v>
      </c>
      <c r="B197" s="353">
        <v>899345</v>
      </c>
      <c r="C197" s="232">
        <v>71.2</v>
      </c>
      <c r="D197" s="233">
        <f t="shared" si="112"/>
        <v>1.1657303370786516</v>
      </c>
      <c r="E197" s="231">
        <f t="shared" si="114"/>
        <v>1048393</v>
      </c>
      <c r="G197" s="229">
        <f t="shared" si="115"/>
        <v>35973.800000000003</v>
      </c>
      <c r="H197" s="229">
        <f t="shared" si="116"/>
        <v>35973.800000000003</v>
      </c>
      <c r="I197" s="229">
        <f t="shared" si="117"/>
        <v>76444.325000000012</v>
      </c>
      <c r="J197" s="229">
        <f t="shared" si="118"/>
        <v>107921.4</v>
      </c>
      <c r="K197" s="229">
        <f t="shared" si="119"/>
        <v>112418.12500000001</v>
      </c>
      <c r="L197" s="229">
        <f t="shared" si="120"/>
        <v>143895.20000000001</v>
      </c>
      <c r="N197" s="367">
        <v>40179</v>
      </c>
      <c r="O197" s="367">
        <v>44469</v>
      </c>
      <c r="P197" s="216">
        <f t="shared" si="113"/>
        <v>4290</v>
      </c>
      <c r="Q197" s="442">
        <f>16.14*1.5%</f>
        <v>0.24210000000000001</v>
      </c>
      <c r="R197" s="245">
        <f t="shared" si="121"/>
        <v>5.9415862198597402E-4</v>
      </c>
      <c r="S197" s="229">
        <f t="shared" si="122"/>
        <v>112418.12500000001</v>
      </c>
      <c r="T197" s="368">
        <f t="shared" si="123"/>
        <v>286547.11043349956</v>
      </c>
      <c r="U197" s="229">
        <f t="shared" si="124"/>
        <v>143895.20000000001</v>
      </c>
      <c r="V197" s="368">
        <f t="shared" si="125"/>
        <v>366780.30135487946</v>
      </c>
      <c r="W197" s="246">
        <f t="shared" si="126"/>
        <v>653327.41178837908</v>
      </c>
    </row>
    <row r="198" spans="1:24">
      <c r="A198" s="233" t="s">
        <v>101</v>
      </c>
      <c r="B198" s="353">
        <v>420023</v>
      </c>
      <c r="C198" s="232">
        <f>+C192</f>
        <v>71.319999999999993</v>
      </c>
      <c r="D198" s="233">
        <f t="shared" si="112"/>
        <v>1.1637689287717332</v>
      </c>
      <c r="E198" s="231">
        <f t="shared" si="114"/>
        <v>488809</v>
      </c>
      <c r="G198" s="229"/>
      <c r="H198" s="229"/>
      <c r="I198" s="229"/>
      <c r="J198" s="229"/>
      <c r="K198" s="229"/>
      <c r="L198" s="444"/>
      <c r="N198" s="2546" t="s">
        <v>97</v>
      </c>
      <c r="O198" s="2547"/>
      <c r="P198" s="2547"/>
      <c r="Q198" s="2547"/>
      <c r="R198" s="2548"/>
      <c r="S198" s="444">
        <f>SUM(S186:S197)</f>
        <v>1349017.5000000002</v>
      </c>
      <c r="U198" s="444">
        <f>SUM(U186:U197)</f>
        <v>1726742.3999999997</v>
      </c>
      <c r="V198" s="154" t="s">
        <v>97</v>
      </c>
      <c r="W198" s="246">
        <f>SUM(W186:W197)</f>
        <v>9348785.7948209755</v>
      </c>
      <c r="X198" s="224">
        <f>+S198+U198+W198</f>
        <v>12424545.694820976</v>
      </c>
    </row>
    <row r="199" spans="1:24">
      <c r="A199" s="233" t="s">
        <v>102</v>
      </c>
      <c r="B199" s="353">
        <v>467174</v>
      </c>
      <c r="C199" s="232">
        <f>+C194</f>
        <v>71.28</v>
      </c>
      <c r="D199" s="233">
        <f t="shared" si="112"/>
        <v>1.1644219977553312</v>
      </c>
      <c r="E199" s="231">
        <f t="shared" si="114"/>
        <v>543987</v>
      </c>
      <c r="G199" s="229">
        <f t="shared" ref="G199:L199" si="127">SUM(G186:G198)</f>
        <v>431685.59999999992</v>
      </c>
      <c r="H199" s="229">
        <f t="shared" si="127"/>
        <v>431685.59999999992</v>
      </c>
      <c r="I199" s="229">
        <f t="shared" si="127"/>
        <v>917331.89999999991</v>
      </c>
      <c r="J199" s="229">
        <f t="shared" si="127"/>
        <v>1295056.7999999998</v>
      </c>
      <c r="K199" s="229">
        <f t="shared" si="127"/>
        <v>1349017.5000000002</v>
      </c>
      <c r="L199" s="229">
        <f t="shared" si="127"/>
        <v>1726742.3999999997</v>
      </c>
    </row>
    <row r="200" spans="1:24">
      <c r="A200" s="233" t="s">
        <v>103</v>
      </c>
      <c r="B200" s="353">
        <v>56003</v>
      </c>
      <c r="C200" s="232">
        <f>+C194</f>
        <v>71.28</v>
      </c>
      <c r="D200" s="233">
        <f t="shared" si="112"/>
        <v>1.1644219977553312</v>
      </c>
      <c r="E200" s="231">
        <f t="shared" si="114"/>
        <v>65211</v>
      </c>
    </row>
    <row r="201" spans="1:24">
      <c r="A201" s="233" t="s">
        <v>104</v>
      </c>
      <c r="B201" s="353">
        <v>654404</v>
      </c>
      <c r="C201" s="232">
        <f>+C196</f>
        <v>71.14</v>
      </c>
      <c r="D201" s="233">
        <f t="shared" si="112"/>
        <v>1.1667135226314309</v>
      </c>
      <c r="E201" s="231">
        <f t="shared" si="114"/>
        <v>763501</v>
      </c>
    </row>
    <row r="202" spans="1:24">
      <c r="A202" s="233" t="s">
        <v>95</v>
      </c>
      <c r="B202" s="353">
        <v>973278</v>
      </c>
      <c r="C202" s="232">
        <f>+C197</f>
        <v>71.2</v>
      </c>
      <c r="D202" s="233">
        <f t="shared" si="112"/>
        <v>1.1657303370786516</v>
      </c>
      <c r="E202" s="231">
        <f t="shared" si="114"/>
        <v>1134579</v>
      </c>
    </row>
    <row r="203" spans="1:24">
      <c r="A203" s="233" t="s">
        <v>96</v>
      </c>
      <c r="B203" s="353"/>
      <c r="C203" s="216"/>
      <c r="D203" s="216"/>
      <c r="E203" s="231">
        <f>SUM(E186:E202)</f>
        <v>15586497</v>
      </c>
    </row>
    <row r="204" spans="1:24">
      <c r="A204" s="233" t="s">
        <v>98</v>
      </c>
      <c r="B204" s="216"/>
      <c r="C204" s="216"/>
      <c r="D204" s="216"/>
      <c r="E204" s="231">
        <f>+G199+H199</f>
        <v>863371.19999999984</v>
      </c>
    </row>
    <row r="205" spans="1:24">
      <c r="A205" s="233" t="s">
        <v>99</v>
      </c>
      <c r="B205" s="216"/>
      <c r="C205" s="216"/>
      <c r="D205" s="216"/>
      <c r="E205" s="231">
        <f>+E203-E204</f>
        <v>14723125.800000001</v>
      </c>
    </row>
    <row r="207" spans="1:24">
      <c r="N207" s="2543" t="s">
        <v>84</v>
      </c>
      <c r="O207" s="2544"/>
      <c r="P207" s="2544"/>
      <c r="Q207" s="2544"/>
      <c r="R207" s="2544"/>
      <c r="S207" s="2544"/>
      <c r="T207" s="2544"/>
      <c r="U207" s="2544"/>
      <c r="V207" s="2544"/>
      <c r="W207" s="2545"/>
    </row>
    <row r="208" spans="1:24" ht="33.75">
      <c r="A208" s="226" t="s">
        <v>11</v>
      </c>
      <c r="B208" s="351" t="s">
        <v>112</v>
      </c>
      <c r="C208" s="228" t="s">
        <v>76</v>
      </c>
      <c r="D208" s="228" t="s">
        <v>77</v>
      </c>
      <c r="E208" s="229" t="s">
        <v>57</v>
      </c>
      <c r="G208" s="229" t="s">
        <v>78</v>
      </c>
      <c r="H208" s="229" t="s">
        <v>79</v>
      </c>
      <c r="I208" s="229" t="s">
        <v>80</v>
      </c>
      <c r="J208" s="229" t="s">
        <v>81</v>
      </c>
      <c r="K208" s="229" t="s">
        <v>82</v>
      </c>
      <c r="L208" s="229" t="s">
        <v>83</v>
      </c>
      <c r="N208" s="381" t="s">
        <v>85</v>
      </c>
      <c r="O208" s="381" t="s">
        <v>10</v>
      </c>
      <c r="P208" s="381" t="s">
        <v>86</v>
      </c>
      <c r="Q208" s="381" t="s">
        <v>87</v>
      </c>
      <c r="R208" s="381" t="s">
        <v>88</v>
      </c>
      <c r="S208" s="381" t="s">
        <v>89</v>
      </c>
      <c r="T208" s="381" t="s">
        <v>90</v>
      </c>
      <c r="U208" s="381" t="s">
        <v>91</v>
      </c>
      <c r="V208" s="381" t="s">
        <v>92</v>
      </c>
      <c r="W208" s="381" t="s">
        <v>93</v>
      </c>
    </row>
    <row r="209" spans="1:24">
      <c r="A209" s="233" t="s">
        <v>16</v>
      </c>
      <c r="B209" s="353">
        <v>983409</v>
      </c>
      <c r="C209" s="232">
        <v>71.69</v>
      </c>
      <c r="D209" s="233">
        <f t="shared" ref="D209:D225" si="128">+$C$13/C209</f>
        <v>1.1577625889245362</v>
      </c>
      <c r="E209" s="231">
        <f>INT(B209*D209)</f>
        <v>1138554</v>
      </c>
      <c r="G209" s="229">
        <f>+B209*0.04</f>
        <v>39336.36</v>
      </c>
      <c r="H209" s="229">
        <f>+B209*0.04</f>
        <v>39336.36</v>
      </c>
      <c r="I209" s="229">
        <f>+B209*0.085</f>
        <v>83589.764999999999</v>
      </c>
      <c r="J209" s="229">
        <f>+B209*0.12</f>
        <v>118009.08</v>
      </c>
      <c r="K209" s="229">
        <f>+G209+I209</f>
        <v>122926.125</v>
      </c>
      <c r="L209" s="229">
        <f>+J209+H209</f>
        <v>157345.44</v>
      </c>
      <c r="N209" s="367">
        <v>40210</v>
      </c>
      <c r="O209" s="367">
        <v>44469</v>
      </c>
      <c r="P209" s="216">
        <f t="shared" ref="P209:P220" si="129">_xlfn.DAYS(O209,N209)</f>
        <v>4259</v>
      </c>
      <c r="Q209" s="442">
        <f>16.14*1.5%</f>
        <v>0.24210000000000001</v>
      </c>
      <c r="R209" s="245">
        <f>((1+Q209)^(1/365))-1</f>
        <v>5.9415862198597402E-4</v>
      </c>
      <c r="S209" s="229">
        <f>+K209</f>
        <v>122926.125</v>
      </c>
      <c r="T209" s="368">
        <f>+S209*R209*P209</f>
        <v>311067.21095664595</v>
      </c>
      <c r="U209" s="229">
        <f>+L209</f>
        <v>157345.44</v>
      </c>
      <c r="V209" s="368">
        <f>+U209*R209*P209</f>
        <v>398166.03002450685</v>
      </c>
      <c r="W209" s="246">
        <f>+T209+V209</f>
        <v>709233.24098115275</v>
      </c>
    </row>
    <row r="210" spans="1:24">
      <c r="A210" s="233" t="s">
        <v>17</v>
      </c>
      <c r="B210" s="353">
        <v>983409</v>
      </c>
      <c r="C210" s="232">
        <v>72.28</v>
      </c>
      <c r="D210" s="233">
        <f t="shared" si="128"/>
        <v>1.1483121195351411</v>
      </c>
      <c r="E210" s="231">
        <f t="shared" ref="E210:E225" si="130">INT(B210*D210)</f>
        <v>1129260</v>
      </c>
      <c r="G210" s="229">
        <f t="shared" ref="G210:G220" si="131">+B210*0.04</f>
        <v>39336.36</v>
      </c>
      <c r="H210" s="229">
        <f t="shared" ref="H210:H220" si="132">+B210*0.04</f>
        <v>39336.36</v>
      </c>
      <c r="I210" s="229">
        <f t="shared" ref="I210:I220" si="133">+B210*0.085</f>
        <v>83589.764999999999</v>
      </c>
      <c r="J210" s="229">
        <f t="shared" ref="J210:J220" si="134">+B210*0.12</f>
        <v>118009.08</v>
      </c>
      <c r="K210" s="229">
        <f t="shared" ref="K210:K220" si="135">+G210+I210</f>
        <v>122926.125</v>
      </c>
      <c r="L210" s="229">
        <f t="shared" ref="L210:L220" si="136">+J210+H210</f>
        <v>157345.44</v>
      </c>
      <c r="N210" s="367">
        <v>40238</v>
      </c>
      <c r="O210" s="367">
        <v>44469</v>
      </c>
      <c r="P210" s="216">
        <f t="shared" si="129"/>
        <v>4231</v>
      </c>
      <c r="Q210" s="442">
        <f>16.14*1.5%</f>
        <v>0.24210000000000001</v>
      </c>
      <c r="R210" s="245">
        <f t="shared" ref="R210:R220" si="137">((1+Q210)^(1/365))-1</f>
        <v>5.9415862198597402E-4</v>
      </c>
      <c r="S210" s="229">
        <f t="shared" ref="S210:S220" si="138">+K210</f>
        <v>122926.125</v>
      </c>
      <c r="T210" s="368">
        <f t="shared" ref="T210:T220" si="139">+S210*R210*P210</f>
        <v>309022.1576796358</v>
      </c>
      <c r="U210" s="229">
        <f t="shared" ref="U210:U220" si="140">+L210</f>
        <v>157345.44</v>
      </c>
      <c r="V210" s="368">
        <f t="shared" ref="V210:V220" si="141">+U210*R210*P210</f>
        <v>395548.36182993389</v>
      </c>
      <c r="W210" s="246">
        <f t="shared" ref="W210:W220" si="142">+T210+V210</f>
        <v>704570.51950956974</v>
      </c>
    </row>
    <row r="211" spans="1:24">
      <c r="A211" s="233" t="s">
        <v>19</v>
      </c>
      <c r="B211" s="353">
        <v>983409</v>
      </c>
      <c r="C211" s="232">
        <v>72.459999999999994</v>
      </c>
      <c r="D211" s="233">
        <f t="shared" si="128"/>
        <v>1.1454595638973228</v>
      </c>
      <c r="E211" s="231">
        <f t="shared" si="130"/>
        <v>1126455</v>
      </c>
      <c r="G211" s="229">
        <f t="shared" si="131"/>
        <v>39336.36</v>
      </c>
      <c r="H211" s="229">
        <f t="shared" si="132"/>
        <v>39336.36</v>
      </c>
      <c r="I211" s="229">
        <f t="shared" si="133"/>
        <v>83589.764999999999</v>
      </c>
      <c r="J211" s="229">
        <f t="shared" si="134"/>
        <v>118009.08</v>
      </c>
      <c r="K211" s="229">
        <f t="shared" si="135"/>
        <v>122926.125</v>
      </c>
      <c r="L211" s="229">
        <f t="shared" si="136"/>
        <v>157345.44</v>
      </c>
      <c r="N211" s="367">
        <v>40269</v>
      </c>
      <c r="O211" s="367">
        <v>44469</v>
      </c>
      <c r="P211" s="216">
        <f t="shared" si="129"/>
        <v>4200</v>
      </c>
      <c r="Q211" s="442">
        <f>15.31*1.5%</f>
        <v>0.22964999999999999</v>
      </c>
      <c r="R211" s="245">
        <f t="shared" si="137"/>
        <v>5.6654282492329955E-4</v>
      </c>
      <c r="S211" s="229">
        <f t="shared" si="138"/>
        <v>122926.125</v>
      </c>
      <c r="T211" s="368">
        <f t="shared" si="139"/>
        <v>292500.23928037344</v>
      </c>
      <c r="U211" s="229">
        <f t="shared" si="140"/>
        <v>157345.44</v>
      </c>
      <c r="V211" s="368">
        <f t="shared" si="141"/>
        <v>374400.30627887801</v>
      </c>
      <c r="W211" s="246">
        <f t="shared" si="142"/>
        <v>666900.54555925145</v>
      </c>
    </row>
    <row r="212" spans="1:24">
      <c r="A212" s="233" t="s">
        <v>21</v>
      </c>
      <c r="B212" s="353">
        <v>983409</v>
      </c>
      <c r="C212" s="232">
        <v>72.790000000000006</v>
      </c>
      <c r="D212" s="233">
        <f t="shared" si="128"/>
        <v>1.1402665201263908</v>
      </c>
      <c r="E212" s="231">
        <f t="shared" si="130"/>
        <v>1121348</v>
      </c>
      <c r="G212" s="229">
        <f t="shared" si="131"/>
        <v>39336.36</v>
      </c>
      <c r="H212" s="229">
        <f t="shared" si="132"/>
        <v>39336.36</v>
      </c>
      <c r="I212" s="229">
        <f t="shared" si="133"/>
        <v>83589.764999999999</v>
      </c>
      <c r="J212" s="229">
        <f t="shared" si="134"/>
        <v>118009.08</v>
      </c>
      <c r="K212" s="229">
        <f t="shared" si="135"/>
        <v>122926.125</v>
      </c>
      <c r="L212" s="229">
        <f t="shared" si="136"/>
        <v>157345.44</v>
      </c>
      <c r="N212" s="367">
        <v>40299</v>
      </c>
      <c r="O212" s="367">
        <v>44469</v>
      </c>
      <c r="P212" s="216">
        <f t="shared" si="129"/>
        <v>4170</v>
      </c>
      <c r="Q212" s="442">
        <f>15.31*1.5%</f>
        <v>0.22964999999999999</v>
      </c>
      <c r="R212" s="245">
        <f t="shared" si="137"/>
        <v>5.6654282492329955E-4</v>
      </c>
      <c r="S212" s="229">
        <f t="shared" si="138"/>
        <v>122926.125</v>
      </c>
      <c r="T212" s="368">
        <f t="shared" si="139"/>
        <v>290410.95185694221</v>
      </c>
      <c r="U212" s="229">
        <f t="shared" si="140"/>
        <v>157345.44</v>
      </c>
      <c r="V212" s="368">
        <f t="shared" si="141"/>
        <v>371726.01837688603</v>
      </c>
      <c r="W212" s="246">
        <f t="shared" si="142"/>
        <v>662136.9702338283</v>
      </c>
    </row>
    <row r="213" spans="1:24">
      <c r="A213" s="233" t="s">
        <v>23</v>
      </c>
      <c r="B213" s="353">
        <v>983409</v>
      </c>
      <c r="C213" s="232">
        <v>72.87</v>
      </c>
      <c r="D213" s="233">
        <f t="shared" si="128"/>
        <v>1.1390146836832715</v>
      </c>
      <c r="E213" s="231">
        <f t="shared" si="130"/>
        <v>1120117</v>
      </c>
      <c r="G213" s="229">
        <f t="shared" si="131"/>
        <v>39336.36</v>
      </c>
      <c r="H213" s="229">
        <f t="shared" si="132"/>
        <v>39336.36</v>
      </c>
      <c r="I213" s="229">
        <f t="shared" si="133"/>
        <v>83589.764999999999</v>
      </c>
      <c r="J213" s="229">
        <f t="shared" si="134"/>
        <v>118009.08</v>
      </c>
      <c r="K213" s="229">
        <f t="shared" si="135"/>
        <v>122926.125</v>
      </c>
      <c r="L213" s="229">
        <f t="shared" si="136"/>
        <v>157345.44</v>
      </c>
      <c r="N213" s="367">
        <v>40330</v>
      </c>
      <c r="O213" s="367">
        <v>44469</v>
      </c>
      <c r="P213" s="216">
        <f t="shared" si="129"/>
        <v>4139</v>
      </c>
      <c r="Q213" s="442">
        <f>15.31*1.5%</f>
        <v>0.22964999999999999</v>
      </c>
      <c r="R213" s="245">
        <f t="shared" si="137"/>
        <v>5.6654282492329955E-4</v>
      </c>
      <c r="S213" s="229">
        <f t="shared" si="138"/>
        <v>122926.125</v>
      </c>
      <c r="T213" s="368">
        <f t="shared" si="139"/>
        <v>288252.02151939663</v>
      </c>
      <c r="U213" s="229">
        <f t="shared" si="140"/>
        <v>157345.44</v>
      </c>
      <c r="V213" s="368">
        <f t="shared" si="141"/>
        <v>368962.58754482766</v>
      </c>
      <c r="W213" s="246">
        <f t="shared" si="142"/>
        <v>657214.60906422429</v>
      </c>
    </row>
    <row r="214" spans="1:24">
      <c r="A214" s="233" t="s">
        <v>25</v>
      </c>
      <c r="B214" s="353">
        <v>983409</v>
      </c>
      <c r="C214" s="232">
        <v>72.95</v>
      </c>
      <c r="D214" s="233">
        <f t="shared" si="128"/>
        <v>1.13776559287183</v>
      </c>
      <c r="E214" s="231">
        <f t="shared" si="130"/>
        <v>1118888</v>
      </c>
      <c r="G214" s="229">
        <f t="shared" si="131"/>
        <v>39336.36</v>
      </c>
      <c r="H214" s="229">
        <f t="shared" si="132"/>
        <v>39336.36</v>
      </c>
      <c r="I214" s="229">
        <f t="shared" si="133"/>
        <v>83589.764999999999</v>
      </c>
      <c r="J214" s="229">
        <f t="shared" si="134"/>
        <v>118009.08</v>
      </c>
      <c r="K214" s="229">
        <f t="shared" si="135"/>
        <v>122926.125</v>
      </c>
      <c r="L214" s="229">
        <f t="shared" si="136"/>
        <v>157345.44</v>
      </c>
      <c r="N214" s="367">
        <v>40360</v>
      </c>
      <c r="O214" s="367">
        <v>44469</v>
      </c>
      <c r="P214" s="216">
        <f t="shared" si="129"/>
        <v>4109</v>
      </c>
      <c r="Q214" s="442">
        <f>14.94*1.5%</f>
        <v>0.22409999999999999</v>
      </c>
      <c r="R214" s="245">
        <f t="shared" si="137"/>
        <v>5.5414219268845599E-4</v>
      </c>
      <c r="S214" s="229">
        <f t="shared" si="138"/>
        <v>122926.125</v>
      </c>
      <c r="T214" s="368">
        <f t="shared" si="139"/>
        <v>279899.13200141618</v>
      </c>
      <c r="U214" s="229">
        <f t="shared" si="140"/>
        <v>157345.44</v>
      </c>
      <c r="V214" s="368">
        <f t="shared" si="141"/>
        <v>358270.88896181271</v>
      </c>
      <c r="W214" s="246">
        <f t="shared" si="142"/>
        <v>638170.02096322889</v>
      </c>
    </row>
    <row r="215" spans="1:24">
      <c r="A215" s="233" t="s">
        <v>27</v>
      </c>
      <c r="B215" s="353">
        <v>983409</v>
      </c>
      <c r="C215" s="232">
        <v>72.92</v>
      </c>
      <c r="D215" s="233">
        <f t="shared" si="128"/>
        <v>1.1382336807460229</v>
      </c>
      <c r="E215" s="231">
        <f t="shared" si="130"/>
        <v>1119349</v>
      </c>
      <c r="G215" s="229">
        <f t="shared" si="131"/>
        <v>39336.36</v>
      </c>
      <c r="H215" s="229">
        <f t="shared" si="132"/>
        <v>39336.36</v>
      </c>
      <c r="I215" s="229">
        <f t="shared" si="133"/>
        <v>83589.764999999999</v>
      </c>
      <c r="J215" s="229">
        <f t="shared" si="134"/>
        <v>118009.08</v>
      </c>
      <c r="K215" s="229">
        <f t="shared" si="135"/>
        <v>122926.125</v>
      </c>
      <c r="L215" s="229">
        <f t="shared" si="136"/>
        <v>157345.44</v>
      </c>
      <c r="N215" s="367">
        <v>40391</v>
      </c>
      <c r="O215" s="367">
        <v>44469</v>
      </c>
      <c r="P215" s="216">
        <f t="shared" si="129"/>
        <v>4078</v>
      </c>
      <c r="Q215" s="442">
        <f>14.94*1.5%</f>
        <v>0.22409999999999999</v>
      </c>
      <c r="R215" s="245">
        <f t="shared" si="137"/>
        <v>5.5414219268845599E-4</v>
      </c>
      <c r="S215" s="229">
        <f t="shared" si="138"/>
        <v>122926.125</v>
      </c>
      <c r="T215" s="368">
        <f t="shared" si="139"/>
        <v>277787.45687558415</v>
      </c>
      <c r="U215" s="229">
        <f t="shared" si="140"/>
        <v>157345.44</v>
      </c>
      <c r="V215" s="368">
        <f t="shared" si="141"/>
        <v>355567.94480074767</v>
      </c>
      <c r="W215" s="246">
        <f t="shared" si="142"/>
        <v>633355.40167633188</v>
      </c>
    </row>
    <row r="216" spans="1:24">
      <c r="A216" s="233" t="s">
        <v>29</v>
      </c>
      <c r="B216" s="353">
        <v>983409</v>
      </c>
      <c r="C216" s="232">
        <v>73</v>
      </c>
      <c r="D216" s="233">
        <f t="shared" si="128"/>
        <v>1.1369863013698631</v>
      </c>
      <c r="E216" s="231">
        <f t="shared" si="130"/>
        <v>1118122</v>
      </c>
      <c r="G216" s="229">
        <f t="shared" si="131"/>
        <v>39336.36</v>
      </c>
      <c r="H216" s="229">
        <f t="shared" si="132"/>
        <v>39336.36</v>
      </c>
      <c r="I216" s="229">
        <f t="shared" si="133"/>
        <v>83589.764999999999</v>
      </c>
      <c r="J216" s="229">
        <f t="shared" si="134"/>
        <v>118009.08</v>
      </c>
      <c r="K216" s="229">
        <f t="shared" si="135"/>
        <v>122926.125</v>
      </c>
      <c r="L216" s="229">
        <f t="shared" si="136"/>
        <v>157345.44</v>
      </c>
      <c r="N216" s="367">
        <v>40422</v>
      </c>
      <c r="O216" s="367">
        <v>44469</v>
      </c>
      <c r="P216" s="216">
        <f t="shared" si="129"/>
        <v>4047</v>
      </c>
      <c r="Q216" s="442">
        <f>14.94*1.5%</f>
        <v>0.22409999999999999</v>
      </c>
      <c r="R216" s="245">
        <f t="shared" si="137"/>
        <v>5.5414219268845599E-4</v>
      </c>
      <c r="S216" s="229">
        <f t="shared" si="138"/>
        <v>122926.125</v>
      </c>
      <c r="T216" s="368">
        <f t="shared" si="139"/>
        <v>275675.78174975206</v>
      </c>
      <c r="U216" s="229">
        <f t="shared" si="140"/>
        <v>157345.44</v>
      </c>
      <c r="V216" s="368">
        <f t="shared" si="141"/>
        <v>352865.00063968264</v>
      </c>
      <c r="W216" s="246">
        <f t="shared" si="142"/>
        <v>628540.78238943475</v>
      </c>
    </row>
    <row r="217" spans="1:24">
      <c r="A217" s="233" t="s">
        <v>31</v>
      </c>
      <c r="B217" s="353">
        <v>983409</v>
      </c>
      <c r="C217" s="232">
        <v>72.900000000000006</v>
      </c>
      <c r="D217" s="233">
        <f t="shared" si="128"/>
        <v>1.138545953360768</v>
      </c>
      <c r="E217" s="231">
        <f t="shared" si="130"/>
        <v>1119656</v>
      </c>
      <c r="G217" s="229">
        <f t="shared" si="131"/>
        <v>39336.36</v>
      </c>
      <c r="H217" s="229">
        <f t="shared" si="132"/>
        <v>39336.36</v>
      </c>
      <c r="I217" s="229">
        <f t="shared" si="133"/>
        <v>83589.764999999999</v>
      </c>
      <c r="J217" s="229">
        <f t="shared" si="134"/>
        <v>118009.08</v>
      </c>
      <c r="K217" s="229">
        <f t="shared" si="135"/>
        <v>122926.125</v>
      </c>
      <c r="L217" s="229">
        <f t="shared" si="136"/>
        <v>157345.44</v>
      </c>
      <c r="N217" s="367">
        <v>40452</v>
      </c>
      <c r="O217" s="367">
        <v>44469</v>
      </c>
      <c r="P217" s="216">
        <f t="shared" si="129"/>
        <v>4017</v>
      </c>
      <c r="Q217" s="442">
        <f>14.21*1.5%</f>
        <v>0.21315000000000001</v>
      </c>
      <c r="R217" s="245">
        <f t="shared" si="137"/>
        <v>5.2951077879614949E-4</v>
      </c>
      <c r="S217" s="229">
        <f t="shared" si="138"/>
        <v>122926.125</v>
      </c>
      <c r="T217" s="368">
        <f t="shared" si="139"/>
        <v>261469.37477168473</v>
      </c>
      <c r="U217" s="229">
        <f t="shared" si="140"/>
        <v>157345.44</v>
      </c>
      <c r="V217" s="368">
        <f t="shared" si="141"/>
        <v>334680.79970775644</v>
      </c>
      <c r="W217" s="246">
        <f t="shared" si="142"/>
        <v>596150.17447944114</v>
      </c>
    </row>
    <row r="218" spans="1:24">
      <c r="A218" s="233" t="s">
        <v>33</v>
      </c>
      <c r="B218" s="353">
        <v>983409</v>
      </c>
      <c r="C218" s="232">
        <v>72.84</v>
      </c>
      <c r="D218" s="233">
        <f t="shared" si="128"/>
        <v>1.1394838001098297</v>
      </c>
      <c r="E218" s="231">
        <f t="shared" si="130"/>
        <v>1120578</v>
      </c>
      <c r="G218" s="229">
        <f t="shared" si="131"/>
        <v>39336.36</v>
      </c>
      <c r="H218" s="229">
        <f t="shared" si="132"/>
        <v>39336.36</v>
      </c>
      <c r="I218" s="229">
        <f t="shared" si="133"/>
        <v>83589.764999999999</v>
      </c>
      <c r="J218" s="229">
        <f t="shared" si="134"/>
        <v>118009.08</v>
      </c>
      <c r="K218" s="229">
        <f t="shared" si="135"/>
        <v>122926.125</v>
      </c>
      <c r="L218" s="229">
        <f t="shared" si="136"/>
        <v>157345.44</v>
      </c>
      <c r="N218" s="367">
        <v>40483</v>
      </c>
      <c r="O218" s="367">
        <v>44469</v>
      </c>
      <c r="P218" s="216">
        <f t="shared" si="129"/>
        <v>3986</v>
      </c>
      <c r="Q218" s="442">
        <f>14.21*1.5%</f>
        <v>0.21315000000000001</v>
      </c>
      <c r="R218" s="245">
        <f t="shared" si="137"/>
        <v>5.2951077879614949E-4</v>
      </c>
      <c r="S218" s="229">
        <f t="shared" si="138"/>
        <v>122926.125</v>
      </c>
      <c r="T218" s="368">
        <f t="shared" si="139"/>
        <v>259451.56281800728</v>
      </c>
      <c r="U218" s="229">
        <f t="shared" si="140"/>
        <v>157345.44</v>
      </c>
      <c r="V218" s="368">
        <f t="shared" si="141"/>
        <v>332098.00040704932</v>
      </c>
      <c r="W218" s="246">
        <f t="shared" si="142"/>
        <v>591549.56322505663</v>
      </c>
    </row>
    <row r="219" spans="1:24">
      <c r="A219" s="233" t="s">
        <v>34</v>
      </c>
      <c r="B219" s="353">
        <v>983409</v>
      </c>
      <c r="C219" s="232">
        <v>72.98</v>
      </c>
      <c r="D219" s="233">
        <f t="shared" si="128"/>
        <v>1.1372978898328308</v>
      </c>
      <c r="E219" s="231">
        <f t="shared" si="130"/>
        <v>1118428</v>
      </c>
      <c r="G219" s="229">
        <f t="shared" si="131"/>
        <v>39336.36</v>
      </c>
      <c r="H219" s="229">
        <f t="shared" si="132"/>
        <v>39336.36</v>
      </c>
      <c r="I219" s="229">
        <f t="shared" si="133"/>
        <v>83589.764999999999</v>
      </c>
      <c r="J219" s="229">
        <f t="shared" si="134"/>
        <v>118009.08</v>
      </c>
      <c r="K219" s="229">
        <f t="shared" si="135"/>
        <v>122926.125</v>
      </c>
      <c r="L219" s="229">
        <f t="shared" si="136"/>
        <v>157345.44</v>
      </c>
      <c r="N219" s="367">
        <v>40513</v>
      </c>
      <c r="O219" s="367">
        <v>44469</v>
      </c>
      <c r="P219" s="216">
        <f t="shared" si="129"/>
        <v>3956</v>
      </c>
      <c r="Q219" s="442">
        <f>14.21*1.5%</f>
        <v>0.21315000000000001</v>
      </c>
      <c r="R219" s="245">
        <f t="shared" si="137"/>
        <v>5.2951077879614949E-4</v>
      </c>
      <c r="S219" s="229">
        <f t="shared" si="138"/>
        <v>122926.125</v>
      </c>
      <c r="T219" s="368">
        <f t="shared" si="139"/>
        <v>257498.84157251302</v>
      </c>
      <c r="U219" s="229">
        <f t="shared" si="140"/>
        <v>157345.44</v>
      </c>
      <c r="V219" s="368">
        <f t="shared" si="141"/>
        <v>329598.51721281663</v>
      </c>
      <c r="W219" s="246">
        <f t="shared" si="142"/>
        <v>587097.35878532962</v>
      </c>
    </row>
    <row r="220" spans="1:24">
      <c r="A220" s="233" t="s">
        <v>35</v>
      </c>
      <c r="B220" s="353">
        <v>983409</v>
      </c>
      <c r="C220" s="232">
        <v>73.45</v>
      </c>
      <c r="D220" s="233">
        <f t="shared" si="128"/>
        <v>1.1300204220558203</v>
      </c>
      <c r="E220" s="231">
        <f t="shared" si="130"/>
        <v>1111272</v>
      </c>
      <c r="G220" s="229">
        <f t="shared" si="131"/>
        <v>39336.36</v>
      </c>
      <c r="H220" s="229">
        <f t="shared" si="132"/>
        <v>39336.36</v>
      </c>
      <c r="I220" s="229">
        <f t="shared" si="133"/>
        <v>83589.764999999999</v>
      </c>
      <c r="J220" s="229">
        <f t="shared" si="134"/>
        <v>118009.08</v>
      </c>
      <c r="K220" s="229">
        <f t="shared" si="135"/>
        <v>122926.125</v>
      </c>
      <c r="L220" s="229">
        <f t="shared" si="136"/>
        <v>157345.44</v>
      </c>
      <c r="N220" s="367">
        <v>40544</v>
      </c>
      <c r="O220" s="367">
        <v>44469</v>
      </c>
      <c r="P220" s="216">
        <f t="shared" si="129"/>
        <v>3925</v>
      </c>
      <c r="Q220" s="442">
        <f>15.61*1.5%</f>
        <v>0.23414999999999997</v>
      </c>
      <c r="R220" s="245">
        <f t="shared" si="137"/>
        <v>5.7655648458965203E-4</v>
      </c>
      <c r="S220" s="229">
        <f t="shared" si="138"/>
        <v>122926.125</v>
      </c>
      <c r="T220" s="368">
        <f t="shared" si="139"/>
        <v>278179.87888984545</v>
      </c>
      <c r="U220" s="229">
        <f t="shared" si="140"/>
        <v>157345.44</v>
      </c>
      <c r="V220" s="368">
        <f t="shared" si="141"/>
        <v>356070.24497900216</v>
      </c>
      <c r="W220" s="246">
        <f t="shared" si="142"/>
        <v>634250.12386884762</v>
      </c>
    </row>
    <row r="221" spans="1:24">
      <c r="A221" s="233" t="s">
        <v>101</v>
      </c>
      <c r="B221" s="353">
        <v>420023</v>
      </c>
      <c r="C221" s="232">
        <f>+C215</f>
        <v>72.92</v>
      </c>
      <c r="D221" s="233">
        <f t="shared" si="128"/>
        <v>1.1382336807460229</v>
      </c>
      <c r="E221" s="231">
        <f t="shared" si="130"/>
        <v>478084</v>
      </c>
      <c r="G221" s="229"/>
      <c r="H221" s="229"/>
      <c r="I221" s="229"/>
      <c r="J221" s="229"/>
      <c r="K221" s="229"/>
      <c r="L221" s="444"/>
      <c r="N221" s="2546" t="s">
        <v>97</v>
      </c>
      <c r="O221" s="2547"/>
      <c r="P221" s="2547"/>
      <c r="Q221" s="2547"/>
      <c r="R221" s="2548"/>
      <c r="S221" s="444">
        <f>SUM(S209:S220)</f>
        <v>1475113.5</v>
      </c>
      <c r="U221" s="444">
        <f>SUM(U209:U220)</f>
        <v>1888145.2799999996</v>
      </c>
      <c r="V221" s="154" t="s">
        <v>97</v>
      </c>
      <c r="W221" s="246">
        <f>SUM(W209:W220)</f>
        <v>7709169.3107356969</v>
      </c>
      <c r="X221" s="224">
        <f>+S221+U221+W221</f>
        <v>11072428.090735696</v>
      </c>
    </row>
    <row r="222" spans="1:24">
      <c r="A222" s="233" t="s">
        <v>102</v>
      </c>
      <c r="B222" s="353">
        <v>467174</v>
      </c>
      <c r="C222" s="232">
        <f>+C219</f>
        <v>72.98</v>
      </c>
      <c r="D222" s="233">
        <f t="shared" si="128"/>
        <v>1.1372978898328308</v>
      </c>
      <c r="E222" s="231">
        <f t="shared" si="130"/>
        <v>531316</v>
      </c>
      <c r="G222" s="229">
        <f t="shared" ref="G222:L222" si="143">SUM(G209:G221)</f>
        <v>472036.31999999989</v>
      </c>
      <c r="H222" s="229">
        <f t="shared" si="143"/>
        <v>472036.31999999989</v>
      </c>
      <c r="I222" s="229">
        <f t="shared" si="143"/>
        <v>1003077.18</v>
      </c>
      <c r="J222" s="229">
        <f t="shared" si="143"/>
        <v>1416108.9600000002</v>
      </c>
      <c r="K222" s="229">
        <f t="shared" si="143"/>
        <v>1475113.5</v>
      </c>
      <c r="L222" s="229">
        <f t="shared" si="143"/>
        <v>1888145.2799999996</v>
      </c>
    </row>
    <row r="223" spans="1:24">
      <c r="A223" s="233" t="s">
        <v>103</v>
      </c>
      <c r="B223" s="353">
        <v>56003</v>
      </c>
      <c r="C223" s="232">
        <f>+C220</f>
        <v>73.45</v>
      </c>
      <c r="D223" s="233">
        <f t="shared" si="128"/>
        <v>1.1300204220558203</v>
      </c>
      <c r="E223" s="231">
        <f t="shared" si="130"/>
        <v>63284</v>
      </c>
    </row>
    <row r="224" spans="1:24">
      <c r="A224" s="233" t="s">
        <v>104</v>
      </c>
      <c r="B224" s="353">
        <v>654404</v>
      </c>
      <c r="C224" s="232">
        <f>+C219</f>
        <v>72.98</v>
      </c>
      <c r="D224" s="233">
        <f t="shared" si="128"/>
        <v>1.1372978898328308</v>
      </c>
      <c r="E224" s="231">
        <f t="shared" si="130"/>
        <v>744252</v>
      </c>
    </row>
    <row r="225" spans="1:23">
      <c r="A225" s="233" t="s">
        <v>95</v>
      </c>
      <c r="B225" s="353">
        <v>973278</v>
      </c>
      <c r="C225" s="232">
        <f>+C220</f>
        <v>73.45</v>
      </c>
      <c r="D225" s="233">
        <f t="shared" si="128"/>
        <v>1.1300204220558203</v>
      </c>
      <c r="E225" s="231">
        <f t="shared" si="130"/>
        <v>1099824</v>
      </c>
    </row>
    <row r="226" spans="1:23">
      <c r="A226" s="233" t="s">
        <v>96</v>
      </c>
      <c r="B226" s="353"/>
      <c r="C226" s="216"/>
      <c r="D226" s="216"/>
      <c r="E226" s="231">
        <f>SUM(E209:E225)</f>
        <v>16378787</v>
      </c>
    </row>
    <row r="227" spans="1:23">
      <c r="A227" s="233" t="s">
        <v>98</v>
      </c>
      <c r="B227" s="216"/>
      <c r="C227" s="216"/>
      <c r="D227" s="216"/>
      <c r="E227" s="231">
        <f>+G222+H222</f>
        <v>944072.63999999978</v>
      </c>
    </row>
    <row r="228" spans="1:23">
      <c r="A228" s="233" t="s">
        <v>99</v>
      </c>
      <c r="B228" s="216"/>
      <c r="C228" s="216"/>
      <c r="D228" s="216"/>
      <c r="E228" s="231">
        <f>+E226-E227</f>
        <v>15434714.359999999</v>
      </c>
    </row>
    <row r="229" spans="1:23">
      <c r="N229" s="2543" t="s">
        <v>84</v>
      </c>
      <c r="O229" s="2544"/>
      <c r="P229" s="2544"/>
      <c r="Q229" s="2544"/>
      <c r="R229" s="2544"/>
      <c r="S229" s="2544"/>
      <c r="T229" s="2544"/>
      <c r="U229" s="2544"/>
      <c r="V229" s="2544"/>
      <c r="W229" s="2545"/>
    </row>
    <row r="230" spans="1:23" ht="33.75">
      <c r="A230" s="226" t="s">
        <v>11</v>
      </c>
      <c r="B230" s="351" t="s">
        <v>113</v>
      </c>
      <c r="C230" s="228" t="s">
        <v>76</v>
      </c>
      <c r="D230" s="228" t="s">
        <v>77</v>
      </c>
      <c r="E230" s="229" t="s">
        <v>57</v>
      </c>
      <c r="G230" s="229" t="s">
        <v>78</v>
      </c>
      <c r="H230" s="229" t="s">
        <v>79</v>
      </c>
      <c r="I230" s="229" t="s">
        <v>80</v>
      </c>
      <c r="J230" s="229" t="s">
        <v>81</v>
      </c>
      <c r="K230" s="229" t="s">
        <v>82</v>
      </c>
      <c r="L230" s="229" t="s">
        <v>83</v>
      </c>
      <c r="N230" s="381" t="s">
        <v>85</v>
      </c>
      <c r="O230" s="381" t="s">
        <v>10</v>
      </c>
      <c r="P230" s="381" t="s">
        <v>86</v>
      </c>
      <c r="Q230" s="381" t="s">
        <v>87</v>
      </c>
      <c r="R230" s="381" t="s">
        <v>88</v>
      </c>
      <c r="S230" s="381" t="s">
        <v>89</v>
      </c>
      <c r="T230" s="381" t="s">
        <v>90</v>
      </c>
      <c r="U230" s="381" t="s">
        <v>91</v>
      </c>
      <c r="V230" s="381" t="s">
        <v>92</v>
      </c>
      <c r="W230" s="381" t="s">
        <v>93</v>
      </c>
    </row>
    <row r="231" spans="1:23">
      <c r="A231" s="233" t="s">
        <v>16</v>
      </c>
      <c r="B231" s="353">
        <v>1072368</v>
      </c>
      <c r="C231" s="232">
        <v>74.12</v>
      </c>
      <c r="D231" s="233">
        <f t="shared" ref="D231:D247" si="144">+$C$13/C231</f>
        <v>1.1198057204533189</v>
      </c>
      <c r="E231" s="231">
        <f t="shared" ref="E231:E247" si="145">INT(B231*D231)</f>
        <v>1200843</v>
      </c>
      <c r="G231" s="229">
        <f>+B231*0.04</f>
        <v>42894.720000000001</v>
      </c>
      <c r="H231" s="229">
        <f>+B231*0.04</f>
        <v>42894.720000000001</v>
      </c>
      <c r="I231" s="229">
        <f>+B231*0.085</f>
        <v>91151.280000000013</v>
      </c>
      <c r="J231" s="229">
        <f>+B231*0.12</f>
        <v>128684.15999999999</v>
      </c>
      <c r="K231" s="229">
        <f>+G231+I231</f>
        <v>134046</v>
      </c>
      <c r="L231" s="229">
        <f>+J231+H231</f>
        <v>171578.88</v>
      </c>
      <c r="N231" s="367">
        <v>40575</v>
      </c>
      <c r="O231" s="367">
        <v>44469</v>
      </c>
      <c r="P231" s="216">
        <f t="shared" ref="P231:P242" si="146">_xlfn.DAYS(O231,N231)</f>
        <v>3894</v>
      </c>
      <c r="Q231" s="442">
        <f>15.61*1.5%</f>
        <v>0.23414999999999997</v>
      </c>
      <c r="R231" s="245">
        <f>((1+Q231)^(1/365))-1</f>
        <v>5.7655648458965203E-4</v>
      </c>
      <c r="S231" s="229">
        <f>+K231</f>
        <v>134046</v>
      </c>
      <c r="T231" s="368">
        <f>+S231*R231*P231</f>
        <v>300948.14253668772</v>
      </c>
      <c r="U231" s="229">
        <f>+L231</f>
        <v>171578.88</v>
      </c>
      <c r="V231" s="368">
        <f>+U231*R231*P231</f>
        <v>385213.6224469603</v>
      </c>
      <c r="W231" s="246">
        <f>+T231+V231</f>
        <v>686161.76498364797</v>
      </c>
    </row>
    <row r="232" spans="1:23">
      <c r="A232" s="233" t="s">
        <v>17</v>
      </c>
      <c r="B232" s="353">
        <v>1072368</v>
      </c>
      <c r="C232" s="232">
        <v>74.569999999999993</v>
      </c>
      <c r="D232" s="233">
        <f t="shared" si="144"/>
        <v>1.1130481426847258</v>
      </c>
      <c r="E232" s="231">
        <f t="shared" si="145"/>
        <v>1193597</v>
      </c>
      <c r="G232" s="229">
        <f t="shared" ref="G232:G242" si="147">+B232*0.04</f>
        <v>42894.720000000001</v>
      </c>
      <c r="H232" s="229">
        <f t="shared" ref="H232:H242" si="148">+B232*0.04</f>
        <v>42894.720000000001</v>
      </c>
      <c r="I232" s="229">
        <f t="shared" ref="I232:I242" si="149">+B232*0.085</f>
        <v>91151.280000000013</v>
      </c>
      <c r="J232" s="229">
        <f t="shared" ref="J232:J242" si="150">+B232*0.12</f>
        <v>128684.15999999999</v>
      </c>
      <c r="K232" s="229">
        <f t="shared" ref="K232:K242" si="151">+G232+I232</f>
        <v>134046</v>
      </c>
      <c r="L232" s="229">
        <f t="shared" ref="L232:L242" si="152">+J232+H232</f>
        <v>171578.88</v>
      </c>
      <c r="N232" s="367">
        <v>40603</v>
      </c>
      <c r="O232" s="367">
        <v>44469</v>
      </c>
      <c r="P232" s="216">
        <f t="shared" si="146"/>
        <v>3866</v>
      </c>
      <c r="Q232" s="442">
        <f>15.61*1.5%</f>
        <v>0.23414999999999997</v>
      </c>
      <c r="R232" s="245">
        <f t="shared" ref="R232:R242" si="153">((1+Q232)^(1/365))-1</f>
        <v>5.7655648458965203E-4</v>
      </c>
      <c r="S232" s="229">
        <f t="shared" ref="S232:S242" si="154">+K232</f>
        <v>134046</v>
      </c>
      <c r="T232" s="368">
        <f t="shared" ref="T232:T242" si="155">+S232*R232*P232</f>
        <v>298784.16000175517</v>
      </c>
      <c r="U232" s="229">
        <f t="shared" ref="U232:U242" si="156">+L232</f>
        <v>171578.88</v>
      </c>
      <c r="V232" s="368">
        <f t="shared" ref="V232:V242" si="157">+U232*R232*P232</f>
        <v>382443.72480224667</v>
      </c>
      <c r="W232" s="246">
        <f t="shared" ref="W232:W242" si="158">+T232+V232</f>
        <v>681227.88480400178</v>
      </c>
    </row>
    <row r="233" spans="1:23">
      <c r="A233" s="233" t="s">
        <v>19</v>
      </c>
      <c r="B233" s="353">
        <v>1072368</v>
      </c>
      <c r="C233" s="232">
        <v>74.77</v>
      </c>
      <c r="D233" s="233">
        <f t="shared" si="144"/>
        <v>1.1100708840444029</v>
      </c>
      <c r="E233" s="231">
        <f t="shared" si="145"/>
        <v>1190404</v>
      </c>
      <c r="G233" s="229">
        <f t="shared" si="147"/>
        <v>42894.720000000001</v>
      </c>
      <c r="H233" s="229">
        <f t="shared" si="148"/>
        <v>42894.720000000001</v>
      </c>
      <c r="I233" s="229">
        <f t="shared" si="149"/>
        <v>91151.280000000013</v>
      </c>
      <c r="J233" s="229">
        <f t="shared" si="150"/>
        <v>128684.15999999999</v>
      </c>
      <c r="K233" s="229">
        <f t="shared" si="151"/>
        <v>134046</v>
      </c>
      <c r="L233" s="229">
        <f t="shared" si="152"/>
        <v>171578.88</v>
      </c>
      <c r="N233" s="367">
        <v>40634</v>
      </c>
      <c r="O233" s="367">
        <v>44469</v>
      </c>
      <c r="P233" s="216">
        <f t="shared" si="146"/>
        <v>3835</v>
      </c>
      <c r="Q233" s="442">
        <f>17.69*1.5%</f>
        <v>0.26535000000000003</v>
      </c>
      <c r="R233" s="245">
        <f t="shared" si="153"/>
        <v>6.4499905605819308E-4</v>
      </c>
      <c r="S233" s="229">
        <f t="shared" si="154"/>
        <v>134046</v>
      </c>
      <c r="T233" s="368">
        <f t="shared" si="155"/>
        <v>331572.3492012241</v>
      </c>
      <c r="U233" s="229">
        <f t="shared" si="156"/>
        <v>171578.88</v>
      </c>
      <c r="V233" s="368">
        <f t="shared" si="157"/>
        <v>424412.60697756684</v>
      </c>
      <c r="W233" s="246">
        <f t="shared" si="158"/>
        <v>755984.95617879089</v>
      </c>
    </row>
    <row r="234" spans="1:23">
      <c r="A234" s="233" t="s">
        <v>21</v>
      </c>
      <c r="B234" s="353">
        <v>1072368</v>
      </c>
      <c r="C234" s="232">
        <v>74.86</v>
      </c>
      <c r="D234" s="233">
        <f t="shared" si="144"/>
        <v>1.1087363077745125</v>
      </c>
      <c r="E234" s="231">
        <f t="shared" si="145"/>
        <v>1188973</v>
      </c>
      <c r="G234" s="229">
        <f t="shared" si="147"/>
        <v>42894.720000000001</v>
      </c>
      <c r="H234" s="229">
        <f t="shared" si="148"/>
        <v>42894.720000000001</v>
      </c>
      <c r="I234" s="229">
        <f t="shared" si="149"/>
        <v>91151.280000000013</v>
      </c>
      <c r="J234" s="229">
        <f t="shared" si="150"/>
        <v>128684.15999999999</v>
      </c>
      <c r="K234" s="229">
        <f t="shared" si="151"/>
        <v>134046</v>
      </c>
      <c r="L234" s="229">
        <f t="shared" si="152"/>
        <v>171578.88</v>
      </c>
      <c r="N234" s="367">
        <v>40664</v>
      </c>
      <c r="O234" s="367">
        <v>44469</v>
      </c>
      <c r="P234" s="216">
        <f t="shared" si="146"/>
        <v>3805</v>
      </c>
      <c r="Q234" s="442">
        <f>17.69*1.5%</f>
        <v>0.26535000000000003</v>
      </c>
      <c r="R234" s="245">
        <f t="shared" si="153"/>
        <v>6.4499905605819308E-4</v>
      </c>
      <c r="S234" s="229">
        <f t="shared" si="154"/>
        <v>134046</v>
      </c>
      <c r="T234" s="368">
        <f t="shared" si="155"/>
        <v>328978.56289717276</v>
      </c>
      <c r="U234" s="229">
        <f t="shared" si="156"/>
        <v>171578.88</v>
      </c>
      <c r="V234" s="368">
        <f t="shared" si="157"/>
        <v>421092.56050838117</v>
      </c>
      <c r="W234" s="246">
        <f t="shared" si="158"/>
        <v>750071.12340555387</v>
      </c>
    </row>
    <row r="235" spans="1:23">
      <c r="A235" s="233" t="s">
        <v>23</v>
      </c>
      <c r="B235" s="353">
        <v>1072368</v>
      </c>
      <c r="C235" s="232">
        <v>75.069999999999993</v>
      </c>
      <c r="D235" s="233">
        <f t="shared" si="144"/>
        <v>1.1056347409084855</v>
      </c>
      <c r="E235" s="231">
        <f t="shared" si="145"/>
        <v>1185647</v>
      </c>
      <c r="G235" s="229">
        <f t="shared" si="147"/>
        <v>42894.720000000001</v>
      </c>
      <c r="H235" s="229">
        <f t="shared" si="148"/>
        <v>42894.720000000001</v>
      </c>
      <c r="I235" s="229">
        <f t="shared" si="149"/>
        <v>91151.280000000013</v>
      </c>
      <c r="J235" s="229">
        <f t="shared" si="150"/>
        <v>128684.15999999999</v>
      </c>
      <c r="K235" s="229">
        <f t="shared" si="151"/>
        <v>134046</v>
      </c>
      <c r="L235" s="229">
        <f t="shared" si="152"/>
        <v>171578.88</v>
      </c>
      <c r="N235" s="367">
        <v>40695</v>
      </c>
      <c r="O235" s="367">
        <v>44469</v>
      </c>
      <c r="P235" s="216">
        <f t="shared" si="146"/>
        <v>3774</v>
      </c>
      <c r="Q235" s="442">
        <f>17.69*1.5%</f>
        <v>0.26535000000000003</v>
      </c>
      <c r="R235" s="245">
        <f t="shared" si="153"/>
        <v>6.4499905605819308E-4</v>
      </c>
      <c r="S235" s="229">
        <f t="shared" si="154"/>
        <v>134046</v>
      </c>
      <c r="T235" s="368">
        <f t="shared" si="155"/>
        <v>326298.31704965309</v>
      </c>
      <c r="U235" s="229">
        <f t="shared" si="156"/>
        <v>171578.88</v>
      </c>
      <c r="V235" s="368">
        <f t="shared" si="157"/>
        <v>417661.84582355601</v>
      </c>
      <c r="W235" s="246">
        <f t="shared" si="158"/>
        <v>743960.1628732091</v>
      </c>
    </row>
    <row r="236" spans="1:23">
      <c r="A236" s="233" t="s">
        <v>25</v>
      </c>
      <c r="B236" s="353">
        <v>1072368</v>
      </c>
      <c r="C236" s="232">
        <v>75.31</v>
      </c>
      <c r="D236" s="233">
        <f t="shared" si="144"/>
        <v>1.1021112734032665</v>
      </c>
      <c r="E236" s="231">
        <f t="shared" si="145"/>
        <v>1181868</v>
      </c>
      <c r="G236" s="229">
        <f t="shared" si="147"/>
        <v>42894.720000000001</v>
      </c>
      <c r="H236" s="229">
        <f t="shared" si="148"/>
        <v>42894.720000000001</v>
      </c>
      <c r="I236" s="229">
        <f t="shared" si="149"/>
        <v>91151.280000000013</v>
      </c>
      <c r="J236" s="229">
        <f t="shared" si="150"/>
        <v>128684.15999999999</v>
      </c>
      <c r="K236" s="229">
        <f t="shared" si="151"/>
        <v>134046</v>
      </c>
      <c r="L236" s="229">
        <f t="shared" si="152"/>
        <v>171578.88</v>
      </c>
      <c r="N236" s="367">
        <v>40725</v>
      </c>
      <c r="O236" s="367">
        <v>44469</v>
      </c>
      <c r="P236" s="216">
        <f t="shared" si="146"/>
        <v>3744</v>
      </c>
      <c r="Q236" s="442">
        <f>18.63*1.5%</f>
        <v>0.27944999999999998</v>
      </c>
      <c r="R236" s="245">
        <f t="shared" si="153"/>
        <v>6.7537946769080648E-4</v>
      </c>
      <c r="S236" s="229">
        <f t="shared" si="154"/>
        <v>134046</v>
      </c>
      <c r="T236" s="368">
        <f t="shared" si="155"/>
        <v>338951.49397605041</v>
      </c>
      <c r="U236" s="229">
        <f t="shared" si="156"/>
        <v>171578.88</v>
      </c>
      <c r="V236" s="368">
        <f t="shared" si="157"/>
        <v>433857.91228934453</v>
      </c>
      <c r="W236" s="246">
        <f t="shared" si="158"/>
        <v>772809.40626539499</v>
      </c>
    </row>
    <row r="237" spans="1:23">
      <c r="A237" s="233" t="s">
        <v>27</v>
      </c>
      <c r="B237" s="353">
        <v>1072368</v>
      </c>
      <c r="C237" s="232">
        <v>75.42</v>
      </c>
      <c r="D237" s="233">
        <f t="shared" si="144"/>
        <v>1.1005038451339166</v>
      </c>
      <c r="E237" s="231">
        <f t="shared" si="145"/>
        <v>1180145</v>
      </c>
      <c r="G237" s="229">
        <f t="shared" si="147"/>
        <v>42894.720000000001</v>
      </c>
      <c r="H237" s="229">
        <f t="shared" si="148"/>
        <v>42894.720000000001</v>
      </c>
      <c r="I237" s="229">
        <f t="shared" si="149"/>
        <v>91151.280000000013</v>
      </c>
      <c r="J237" s="229">
        <f t="shared" si="150"/>
        <v>128684.15999999999</v>
      </c>
      <c r="K237" s="229">
        <f t="shared" si="151"/>
        <v>134046</v>
      </c>
      <c r="L237" s="229">
        <f t="shared" si="152"/>
        <v>171578.88</v>
      </c>
      <c r="N237" s="367">
        <v>40756</v>
      </c>
      <c r="O237" s="367">
        <v>44469</v>
      </c>
      <c r="P237" s="216">
        <f t="shared" si="146"/>
        <v>3713</v>
      </c>
      <c r="Q237" s="442">
        <f>18.63*1.5%</f>
        <v>0.27944999999999998</v>
      </c>
      <c r="R237" s="245">
        <f t="shared" si="153"/>
        <v>6.7537946769080648E-4</v>
      </c>
      <c r="S237" s="229">
        <f t="shared" si="154"/>
        <v>134046</v>
      </c>
      <c r="T237" s="368">
        <f t="shared" si="155"/>
        <v>336145.00457614189</v>
      </c>
      <c r="U237" s="229">
        <f t="shared" si="156"/>
        <v>171578.88</v>
      </c>
      <c r="V237" s="368">
        <f t="shared" si="157"/>
        <v>430265.60585746163</v>
      </c>
      <c r="W237" s="246">
        <f t="shared" si="158"/>
        <v>766410.61043360352</v>
      </c>
    </row>
    <row r="238" spans="1:23">
      <c r="A238" s="233" t="s">
        <v>29</v>
      </c>
      <c r="B238" s="353">
        <v>1072368</v>
      </c>
      <c r="C238" s="232">
        <v>75.39</v>
      </c>
      <c r="D238" s="233">
        <f t="shared" si="144"/>
        <v>1.1009417694654464</v>
      </c>
      <c r="E238" s="231">
        <f t="shared" si="145"/>
        <v>1180614</v>
      </c>
      <c r="G238" s="229">
        <f t="shared" si="147"/>
        <v>42894.720000000001</v>
      </c>
      <c r="H238" s="229">
        <f t="shared" si="148"/>
        <v>42894.720000000001</v>
      </c>
      <c r="I238" s="229">
        <f t="shared" si="149"/>
        <v>91151.280000000013</v>
      </c>
      <c r="J238" s="229">
        <f t="shared" si="150"/>
        <v>128684.15999999999</v>
      </c>
      <c r="K238" s="229">
        <f t="shared" si="151"/>
        <v>134046</v>
      </c>
      <c r="L238" s="229">
        <f t="shared" si="152"/>
        <v>171578.88</v>
      </c>
      <c r="N238" s="367">
        <v>40787</v>
      </c>
      <c r="O238" s="367">
        <v>44469</v>
      </c>
      <c r="P238" s="216">
        <f t="shared" si="146"/>
        <v>3682</v>
      </c>
      <c r="Q238" s="442">
        <f>18.63*1.5%</f>
        <v>0.27944999999999998</v>
      </c>
      <c r="R238" s="245">
        <f t="shared" si="153"/>
        <v>6.7537946769080648E-4</v>
      </c>
      <c r="S238" s="229">
        <f t="shared" si="154"/>
        <v>134046</v>
      </c>
      <c r="T238" s="368">
        <f t="shared" si="155"/>
        <v>333338.51517623331</v>
      </c>
      <c r="U238" s="229">
        <f t="shared" si="156"/>
        <v>171578.88</v>
      </c>
      <c r="V238" s="368">
        <f t="shared" si="157"/>
        <v>426673.29942557868</v>
      </c>
      <c r="W238" s="246">
        <f t="shared" si="158"/>
        <v>760011.81460181205</v>
      </c>
    </row>
    <row r="239" spans="1:23">
      <c r="A239" s="233" t="s">
        <v>31</v>
      </c>
      <c r="B239" s="353">
        <v>1072368</v>
      </c>
      <c r="C239" s="232">
        <v>75.62</v>
      </c>
      <c r="D239" s="233">
        <f t="shared" si="144"/>
        <v>1.0975932293044168</v>
      </c>
      <c r="E239" s="231">
        <f t="shared" si="145"/>
        <v>1177023</v>
      </c>
      <c r="G239" s="229">
        <f t="shared" si="147"/>
        <v>42894.720000000001</v>
      </c>
      <c r="H239" s="229">
        <f t="shared" si="148"/>
        <v>42894.720000000001</v>
      </c>
      <c r="I239" s="229">
        <f t="shared" si="149"/>
        <v>91151.280000000013</v>
      </c>
      <c r="J239" s="229">
        <f t="shared" si="150"/>
        <v>128684.15999999999</v>
      </c>
      <c r="K239" s="229">
        <f t="shared" si="151"/>
        <v>134046</v>
      </c>
      <c r="L239" s="229">
        <f t="shared" si="152"/>
        <v>171578.88</v>
      </c>
      <c r="N239" s="367">
        <v>40817</v>
      </c>
      <c r="O239" s="367">
        <v>44469</v>
      </c>
      <c r="P239" s="216">
        <f t="shared" si="146"/>
        <v>3652</v>
      </c>
      <c r="Q239" s="442">
        <f>19.39*1.5%</f>
        <v>0.29085</v>
      </c>
      <c r="R239" s="245">
        <f t="shared" si="153"/>
        <v>6.9969924008095319E-4</v>
      </c>
      <c r="S239" s="229">
        <f t="shared" si="154"/>
        <v>134046</v>
      </c>
      <c r="T239" s="368">
        <f t="shared" si="155"/>
        <v>342527.96159467561</v>
      </c>
      <c r="U239" s="229">
        <f t="shared" si="156"/>
        <v>171578.88</v>
      </c>
      <c r="V239" s="368">
        <f t="shared" si="157"/>
        <v>438435.79084118473</v>
      </c>
      <c r="W239" s="246">
        <f t="shared" si="158"/>
        <v>780963.75243586034</v>
      </c>
    </row>
    <row r="240" spans="1:23">
      <c r="A240" s="233" t="s">
        <v>33</v>
      </c>
      <c r="B240" s="353">
        <v>1072368</v>
      </c>
      <c r="C240" s="232">
        <v>75.77</v>
      </c>
      <c r="D240" s="233">
        <f t="shared" si="144"/>
        <v>1.0954203510624259</v>
      </c>
      <c r="E240" s="231">
        <f t="shared" si="145"/>
        <v>1174693</v>
      </c>
      <c r="G240" s="229">
        <f t="shared" si="147"/>
        <v>42894.720000000001</v>
      </c>
      <c r="H240" s="229">
        <f t="shared" si="148"/>
        <v>42894.720000000001</v>
      </c>
      <c r="I240" s="229">
        <f t="shared" si="149"/>
        <v>91151.280000000013</v>
      </c>
      <c r="J240" s="229">
        <f t="shared" si="150"/>
        <v>128684.15999999999</v>
      </c>
      <c r="K240" s="229">
        <f t="shared" si="151"/>
        <v>134046</v>
      </c>
      <c r="L240" s="229">
        <f t="shared" si="152"/>
        <v>171578.88</v>
      </c>
      <c r="N240" s="367">
        <v>40848</v>
      </c>
      <c r="O240" s="367">
        <v>44469</v>
      </c>
      <c r="P240" s="216">
        <f t="shared" si="146"/>
        <v>3621</v>
      </c>
      <c r="Q240" s="442">
        <f>19.39*1.5%</f>
        <v>0.29085</v>
      </c>
      <c r="R240" s="245">
        <f t="shared" si="153"/>
        <v>6.9969924008095319E-4</v>
      </c>
      <c r="S240" s="229">
        <f t="shared" si="154"/>
        <v>134046</v>
      </c>
      <c r="T240" s="368">
        <f t="shared" si="155"/>
        <v>339620.41318026296</v>
      </c>
      <c r="U240" s="229">
        <f t="shared" si="156"/>
        <v>171578.88</v>
      </c>
      <c r="V240" s="368">
        <f t="shared" si="157"/>
        <v>434714.12887073657</v>
      </c>
      <c r="W240" s="246">
        <f t="shared" si="158"/>
        <v>774334.54205099959</v>
      </c>
    </row>
    <row r="241" spans="1:24">
      <c r="A241" s="233" t="s">
        <v>34</v>
      </c>
      <c r="B241" s="353">
        <v>1072368</v>
      </c>
      <c r="C241" s="232">
        <v>75.87</v>
      </c>
      <c r="D241" s="233">
        <f t="shared" si="144"/>
        <v>1.0939765388163964</v>
      </c>
      <c r="E241" s="231">
        <f t="shared" si="145"/>
        <v>1173145</v>
      </c>
      <c r="G241" s="229">
        <f t="shared" si="147"/>
        <v>42894.720000000001</v>
      </c>
      <c r="H241" s="229">
        <f t="shared" si="148"/>
        <v>42894.720000000001</v>
      </c>
      <c r="I241" s="229">
        <f t="shared" si="149"/>
        <v>91151.280000000013</v>
      </c>
      <c r="J241" s="229">
        <f t="shared" si="150"/>
        <v>128684.15999999999</v>
      </c>
      <c r="K241" s="229">
        <f t="shared" si="151"/>
        <v>134046</v>
      </c>
      <c r="L241" s="229">
        <f t="shared" si="152"/>
        <v>171578.88</v>
      </c>
      <c r="N241" s="367">
        <v>40878</v>
      </c>
      <c r="O241" s="367">
        <v>44469</v>
      </c>
      <c r="P241" s="216">
        <f t="shared" si="146"/>
        <v>3591</v>
      </c>
      <c r="Q241" s="442">
        <f>19.39*1.5%</f>
        <v>0.29085</v>
      </c>
      <c r="R241" s="245">
        <f t="shared" si="153"/>
        <v>6.9969924008095319E-4</v>
      </c>
      <c r="S241" s="229">
        <f t="shared" si="154"/>
        <v>134046</v>
      </c>
      <c r="T241" s="368">
        <f t="shared" si="155"/>
        <v>336806.65665018623</v>
      </c>
      <c r="U241" s="229">
        <f t="shared" si="156"/>
        <v>171578.88</v>
      </c>
      <c r="V241" s="368">
        <f t="shared" si="157"/>
        <v>431112.52051223832</v>
      </c>
      <c r="W241" s="246">
        <f t="shared" si="158"/>
        <v>767919.17716242454</v>
      </c>
    </row>
    <row r="242" spans="1:24">
      <c r="A242" s="233" t="s">
        <v>35</v>
      </c>
      <c r="B242" s="353">
        <v>1072368</v>
      </c>
      <c r="C242" s="232">
        <v>76.19</v>
      </c>
      <c r="D242" s="233">
        <f t="shared" si="144"/>
        <v>1.0893818086363041</v>
      </c>
      <c r="E242" s="231">
        <f t="shared" si="145"/>
        <v>1168218</v>
      </c>
      <c r="G242" s="229">
        <f t="shared" si="147"/>
        <v>42894.720000000001</v>
      </c>
      <c r="H242" s="229">
        <f t="shared" si="148"/>
        <v>42894.720000000001</v>
      </c>
      <c r="I242" s="229">
        <f t="shared" si="149"/>
        <v>91151.280000000013</v>
      </c>
      <c r="J242" s="229">
        <f t="shared" si="150"/>
        <v>128684.15999999999</v>
      </c>
      <c r="K242" s="229">
        <f t="shared" si="151"/>
        <v>134046</v>
      </c>
      <c r="L242" s="229">
        <f t="shared" si="152"/>
        <v>171578.88</v>
      </c>
      <c r="N242" s="367">
        <v>40909</v>
      </c>
      <c r="O242" s="367">
        <v>44469</v>
      </c>
      <c r="P242" s="216">
        <f t="shared" si="146"/>
        <v>3560</v>
      </c>
      <c r="Q242" s="442">
        <f>19.92*1.5%</f>
        <v>0.29880000000000001</v>
      </c>
      <c r="R242" s="245">
        <f t="shared" si="153"/>
        <v>7.1653264516413628E-4</v>
      </c>
      <c r="S242" s="229">
        <f t="shared" si="154"/>
        <v>134046</v>
      </c>
      <c r="T242" s="368">
        <f t="shared" si="155"/>
        <v>341932.07243507163</v>
      </c>
      <c r="U242" s="229">
        <f t="shared" si="156"/>
        <v>171578.88</v>
      </c>
      <c r="V242" s="368">
        <f t="shared" si="157"/>
        <v>437673.05271689169</v>
      </c>
      <c r="W242" s="246">
        <f t="shared" si="158"/>
        <v>779605.12515196332</v>
      </c>
    </row>
    <row r="243" spans="1:24">
      <c r="A243" s="233" t="s">
        <v>101</v>
      </c>
      <c r="B243" s="353">
        <v>504364</v>
      </c>
      <c r="C243" s="232">
        <f>+C237</f>
        <v>75.42</v>
      </c>
      <c r="D243" s="233">
        <f t="shared" si="144"/>
        <v>1.1005038451339166</v>
      </c>
      <c r="E243" s="231">
        <f t="shared" si="145"/>
        <v>555054</v>
      </c>
      <c r="G243" s="229"/>
      <c r="H243" s="229"/>
      <c r="I243" s="229"/>
      <c r="J243" s="229"/>
      <c r="K243" s="229"/>
      <c r="L243" s="444"/>
      <c r="N243" s="2546" t="s">
        <v>97</v>
      </c>
      <c r="O243" s="2547"/>
      <c r="P243" s="2547"/>
      <c r="Q243" s="2547"/>
      <c r="R243" s="2548"/>
      <c r="S243" s="444">
        <f>SUM(S231:S242)</f>
        <v>1608552</v>
      </c>
      <c r="U243" s="444">
        <f>SUM(U231:U242)</f>
        <v>2058946.5599999996</v>
      </c>
      <c r="V243" s="154" t="s">
        <v>97</v>
      </c>
      <c r="W243" s="246">
        <f>SUM(W231:W242)</f>
        <v>9019460.3203472607</v>
      </c>
      <c r="X243" s="224">
        <f>+S243+U243+W243</f>
        <v>12686958.880347259</v>
      </c>
    </row>
    <row r="244" spans="1:24">
      <c r="A244" s="233" t="s">
        <v>102</v>
      </c>
      <c r="B244" s="353">
        <v>557200</v>
      </c>
      <c r="C244" s="232">
        <f>+C241</f>
        <v>75.87</v>
      </c>
      <c r="D244" s="233">
        <f t="shared" si="144"/>
        <v>1.0939765388163964</v>
      </c>
      <c r="E244" s="231">
        <f t="shared" si="145"/>
        <v>609563</v>
      </c>
      <c r="G244" s="229">
        <f t="shared" ref="G244:L244" si="159">SUM(G231:G243)</f>
        <v>514736.6399999999</v>
      </c>
      <c r="H244" s="229">
        <f t="shared" si="159"/>
        <v>514736.6399999999</v>
      </c>
      <c r="I244" s="229">
        <f t="shared" si="159"/>
        <v>1093815.3600000001</v>
      </c>
      <c r="J244" s="229">
        <f t="shared" si="159"/>
        <v>1544209.9199999997</v>
      </c>
      <c r="K244" s="229">
        <f t="shared" si="159"/>
        <v>1608552</v>
      </c>
      <c r="L244" s="229">
        <f t="shared" si="159"/>
        <v>2058946.5599999996</v>
      </c>
    </row>
    <row r="245" spans="1:24">
      <c r="A245" s="233" t="s">
        <v>103</v>
      </c>
      <c r="B245" s="353">
        <v>70341</v>
      </c>
      <c r="C245" s="232">
        <f>+C242</f>
        <v>76.19</v>
      </c>
      <c r="D245" s="233">
        <f t="shared" si="144"/>
        <v>1.0893818086363041</v>
      </c>
      <c r="E245" s="231">
        <f t="shared" si="145"/>
        <v>76628</v>
      </c>
    </row>
    <row r="246" spans="1:24">
      <c r="A246" s="233" t="s">
        <v>104</v>
      </c>
      <c r="B246" s="353">
        <v>780080</v>
      </c>
      <c r="C246" s="232">
        <f>+C241</f>
        <v>75.87</v>
      </c>
      <c r="D246" s="233">
        <f t="shared" si="144"/>
        <v>1.0939765388163964</v>
      </c>
      <c r="E246" s="231">
        <f t="shared" si="145"/>
        <v>853389</v>
      </c>
    </row>
    <row r="247" spans="1:24">
      <c r="A247" s="233" t="s">
        <v>95</v>
      </c>
      <c r="B247" s="353">
        <v>1160833</v>
      </c>
      <c r="C247" s="232">
        <f>+C242</f>
        <v>76.19</v>
      </c>
      <c r="D247" s="233">
        <f t="shared" si="144"/>
        <v>1.0893818086363041</v>
      </c>
      <c r="E247" s="231">
        <f t="shared" si="145"/>
        <v>1264590</v>
      </c>
    </row>
    <row r="248" spans="1:24">
      <c r="A248" s="233" t="s">
        <v>96</v>
      </c>
      <c r="B248" s="353"/>
      <c r="C248" s="216"/>
      <c r="D248" s="216"/>
      <c r="E248" s="231">
        <f>SUM(E231:E247)</f>
        <v>17554394</v>
      </c>
    </row>
    <row r="249" spans="1:24">
      <c r="A249" s="233" t="s">
        <v>98</v>
      </c>
      <c r="B249" s="216"/>
      <c r="C249" s="216"/>
      <c r="D249" s="216"/>
      <c r="E249" s="231">
        <f>+G244+H244</f>
        <v>1029473.2799999998</v>
      </c>
    </row>
    <row r="250" spans="1:24">
      <c r="A250" s="233" t="s">
        <v>99</v>
      </c>
      <c r="B250" s="216"/>
      <c r="C250" s="216"/>
      <c r="D250" s="216"/>
      <c r="E250" s="231">
        <f>+E248-E249</f>
        <v>16524920.720000001</v>
      </c>
    </row>
    <row r="251" spans="1:24">
      <c r="N251" s="2543" t="s">
        <v>84</v>
      </c>
      <c r="O251" s="2544"/>
      <c r="P251" s="2544"/>
      <c r="Q251" s="2544"/>
      <c r="R251" s="2544"/>
      <c r="S251" s="2544"/>
      <c r="T251" s="2544"/>
      <c r="U251" s="2544"/>
      <c r="V251" s="2544"/>
      <c r="W251" s="2545"/>
    </row>
    <row r="252" spans="1:24" ht="33.75">
      <c r="A252" s="226" t="s">
        <v>11</v>
      </c>
      <c r="B252" s="351" t="s">
        <v>114</v>
      </c>
      <c r="C252" s="228" t="s">
        <v>76</v>
      </c>
      <c r="D252" s="228" t="s">
        <v>77</v>
      </c>
      <c r="E252" s="229" t="s">
        <v>57</v>
      </c>
      <c r="G252" s="229" t="s">
        <v>78</v>
      </c>
      <c r="H252" s="229" t="s">
        <v>79</v>
      </c>
      <c r="I252" s="229" t="s">
        <v>80</v>
      </c>
      <c r="J252" s="229" t="s">
        <v>81</v>
      </c>
      <c r="K252" s="229" t="s">
        <v>82</v>
      </c>
      <c r="L252" s="229" t="s">
        <v>83</v>
      </c>
      <c r="N252" s="381" t="s">
        <v>85</v>
      </c>
      <c r="O252" s="381" t="s">
        <v>10</v>
      </c>
      <c r="P252" s="381" t="s">
        <v>86</v>
      </c>
      <c r="Q252" s="381" t="s">
        <v>87</v>
      </c>
      <c r="R252" s="381" t="s">
        <v>88</v>
      </c>
      <c r="S252" s="381" t="s">
        <v>89</v>
      </c>
      <c r="T252" s="381" t="s">
        <v>90</v>
      </c>
      <c r="U252" s="381" t="s">
        <v>91</v>
      </c>
      <c r="V252" s="381" t="s">
        <v>92</v>
      </c>
      <c r="W252" s="381" t="s">
        <v>93</v>
      </c>
    </row>
    <row r="253" spans="1:24">
      <c r="A253" s="233" t="s">
        <v>16</v>
      </c>
      <c r="B253" s="353">
        <v>1127006</v>
      </c>
      <c r="C253" s="232">
        <v>76.75</v>
      </c>
      <c r="D253" s="233">
        <f t="shared" ref="D253:D269" si="160">+$C$13/C253</f>
        <v>1.0814332247557004</v>
      </c>
      <c r="E253" s="231">
        <f t="shared" ref="E253:E269" si="161">INT(B253*D253)</f>
        <v>1218781</v>
      </c>
      <c r="G253" s="229">
        <f>+B253*0.04</f>
        <v>45080.24</v>
      </c>
      <c r="H253" s="229">
        <f>+B253*0.04</f>
        <v>45080.24</v>
      </c>
      <c r="I253" s="229">
        <f>+B253*0.085</f>
        <v>95795.510000000009</v>
      </c>
      <c r="J253" s="229">
        <f>+B253*0.12</f>
        <v>135240.72</v>
      </c>
      <c r="K253" s="229">
        <f>+G253+I253</f>
        <v>140875.75</v>
      </c>
      <c r="L253" s="229">
        <f>+J253+H253</f>
        <v>180320.96</v>
      </c>
      <c r="N253" s="367">
        <v>40940</v>
      </c>
      <c r="O253" s="367">
        <v>44469</v>
      </c>
      <c r="P253" s="216">
        <f t="shared" ref="P253:P264" si="162">_xlfn.DAYS(O253,N253)</f>
        <v>3529</v>
      </c>
      <c r="Q253" s="442">
        <f>19.92*1.5%</f>
        <v>0.29880000000000001</v>
      </c>
      <c r="R253" s="245">
        <f>((1+Q253)^(1/365))-1</f>
        <v>7.1653264516413628E-4</v>
      </c>
      <c r="S253" s="229">
        <f>+K253</f>
        <v>140875.75</v>
      </c>
      <c r="T253" s="368">
        <f>+S253*R253*P253</f>
        <v>356224.57839425793</v>
      </c>
      <c r="U253" s="229">
        <f>+L253</f>
        <v>180320.96</v>
      </c>
      <c r="V253" s="368">
        <f>+U253*R253*P253</f>
        <v>455967.4603446502</v>
      </c>
      <c r="W253" s="246">
        <f>+T253+V253</f>
        <v>812192.03873890813</v>
      </c>
    </row>
    <row r="254" spans="1:24">
      <c r="A254" s="233" t="s">
        <v>17</v>
      </c>
      <c r="B254" s="353">
        <v>1127006</v>
      </c>
      <c r="C254" s="232">
        <v>77.22</v>
      </c>
      <c r="D254" s="233">
        <f t="shared" si="160"/>
        <v>1.0748510748510749</v>
      </c>
      <c r="E254" s="231">
        <f t="shared" si="161"/>
        <v>1211363</v>
      </c>
      <c r="G254" s="229">
        <f t="shared" ref="G254:G263" si="163">+B254*0.04</f>
        <v>45080.24</v>
      </c>
      <c r="H254" s="229">
        <f t="shared" ref="H254:H264" si="164">+B254*0.04</f>
        <v>45080.24</v>
      </c>
      <c r="I254" s="229">
        <f t="shared" ref="I254:I264" si="165">+B254*0.085</f>
        <v>95795.510000000009</v>
      </c>
      <c r="J254" s="229">
        <f t="shared" ref="J254:J264" si="166">+B254*0.12</f>
        <v>135240.72</v>
      </c>
      <c r="K254" s="229">
        <f t="shared" ref="K254:K264" si="167">+G254+I254</f>
        <v>140875.75</v>
      </c>
      <c r="L254" s="229">
        <f t="shared" ref="L254:L264" si="168">+J254+H254</f>
        <v>180320.96</v>
      </c>
      <c r="N254" s="367">
        <v>40969</v>
      </c>
      <c r="O254" s="367">
        <v>44469</v>
      </c>
      <c r="P254" s="216">
        <f t="shared" si="162"/>
        <v>3500</v>
      </c>
      <c r="Q254" s="442">
        <f>19.92*1.5%</f>
        <v>0.29880000000000001</v>
      </c>
      <c r="R254" s="245">
        <f t="shared" ref="R254:R264" si="169">((1+Q254)^(1/365))-1</f>
        <v>7.1653264516413628E-4</v>
      </c>
      <c r="S254" s="229">
        <f t="shared" ref="S254:S264" si="170">+K254</f>
        <v>140875.75</v>
      </c>
      <c r="T254" s="368">
        <f t="shared" ref="T254:T264" si="171">+S254*R254*P254</f>
        <v>353297.2582544355</v>
      </c>
      <c r="U254" s="229">
        <f t="shared" ref="U254:U264" si="172">+L254</f>
        <v>180320.96</v>
      </c>
      <c r="V254" s="368">
        <f t="shared" ref="V254:V264" si="173">+U254*R254*P254</f>
        <v>452220.49056567741</v>
      </c>
      <c r="W254" s="246">
        <f t="shared" ref="W254:W264" si="174">+T254+V254</f>
        <v>805517.7488201129</v>
      </c>
    </row>
    <row r="255" spans="1:24">
      <c r="A255" s="233" t="s">
        <v>19</v>
      </c>
      <c r="B255" s="353">
        <v>1127006</v>
      </c>
      <c r="C255" s="232">
        <v>77.31</v>
      </c>
      <c r="D255" s="233">
        <f t="shared" si="160"/>
        <v>1.0735997930410037</v>
      </c>
      <c r="E255" s="231">
        <f t="shared" si="161"/>
        <v>1209953</v>
      </c>
      <c r="G255" s="229">
        <f t="shared" si="163"/>
        <v>45080.24</v>
      </c>
      <c r="H255" s="229">
        <f t="shared" si="164"/>
        <v>45080.24</v>
      </c>
      <c r="I255" s="229">
        <f t="shared" si="165"/>
        <v>95795.510000000009</v>
      </c>
      <c r="J255" s="229">
        <f t="shared" si="166"/>
        <v>135240.72</v>
      </c>
      <c r="K255" s="229">
        <f t="shared" si="167"/>
        <v>140875.75</v>
      </c>
      <c r="L255" s="229">
        <f t="shared" si="168"/>
        <v>180320.96</v>
      </c>
      <c r="N255" s="367">
        <v>41000</v>
      </c>
      <c r="O255" s="367">
        <v>44469</v>
      </c>
      <c r="P255" s="216">
        <f t="shared" si="162"/>
        <v>3469</v>
      </c>
      <c r="Q255" s="442">
        <f>20.52*1.5%</f>
        <v>0.30779999999999996</v>
      </c>
      <c r="R255" s="245">
        <f t="shared" si="169"/>
        <v>7.3546576390448593E-4</v>
      </c>
      <c r="S255" s="229">
        <f t="shared" si="170"/>
        <v>140875.75</v>
      </c>
      <c r="T255" s="368">
        <f t="shared" si="171"/>
        <v>359420.6307890155</v>
      </c>
      <c r="U255" s="229">
        <f t="shared" si="172"/>
        <v>180320.96</v>
      </c>
      <c r="V255" s="368">
        <f t="shared" si="173"/>
        <v>460058.4074099398</v>
      </c>
      <c r="W255" s="246">
        <f t="shared" si="174"/>
        <v>819479.03819895536</v>
      </c>
    </row>
    <row r="256" spans="1:24">
      <c r="A256" s="233" t="s">
        <v>21</v>
      </c>
      <c r="B256" s="353">
        <v>1127006</v>
      </c>
      <c r="C256" s="232">
        <v>77.42</v>
      </c>
      <c r="D256" s="233">
        <f t="shared" si="160"/>
        <v>1.072074399380005</v>
      </c>
      <c r="E256" s="231">
        <f t="shared" si="161"/>
        <v>1208234</v>
      </c>
      <c r="G256" s="229">
        <f t="shared" si="163"/>
        <v>45080.24</v>
      </c>
      <c r="H256" s="229">
        <f t="shared" si="164"/>
        <v>45080.24</v>
      </c>
      <c r="I256" s="229">
        <f t="shared" si="165"/>
        <v>95795.510000000009</v>
      </c>
      <c r="J256" s="229">
        <f t="shared" si="166"/>
        <v>135240.72</v>
      </c>
      <c r="K256" s="229">
        <f t="shared" si="167"/>
        <v>140875.75</v>
      </c>
      <c r="L256" s="229">
        <f t="shared" si="168"/>
        <v>180320.96</v>
      </c>
      <c r="N256" s="367">
        <v>41030</v>
      </c>
      <c r="O256" s="367">
        <v>44469</v>
      </c>
      <c r="P256" s="216">
        <f t="shared" si="162"/>
        <v>3439</v>
      </c>
      <c r="Q256" s="442">
        <f>20.52*1.5%</f>
        <v>0.30779999999999996</v>
      </c>
      <c r="R256" s="245">
        <f t="shared" si="169"/>
        <v>7.3546576390448593E-4</v>
      </c>
      <c r="S256" s="229">
        <f t="shared" si="170"/>
        <v>140875.75</v>
      </c>
      <c r="T256" s="368">
        <f t="shared" si="171"/>
        <v>356312.35205633444</v>
      </c>
      <c r="U256" s="229">
        <f t="shared" si="172"/>
        <v>180320.96</v>
      </c>
      <c r="V256" s="368">
        <f t="shared" si="173"/>
        <v>456079.81063210807</v>
      </c>
      <c r="W256" s="246">
        <f t="shared" si="174"/>
        <v>812392.16268844251</v>
      </c>
    </row>
    <row r="257" spans="1:24">
      <c r="A257" s="233" t="s">
        <v>23</v>
      </c>
      <c r="B257" s="353">
        <v>1127006</v>
      </c>
      <c r="C257" s="232">
        <v>77.66</v>
      </c>
      <c r="D257" s="233">
        <f t="shared" si="160"/>
        <v>1.0687612670615505</v>
      </c>
      <c r="E257" s="231">
        <f t="shared" si="161"/>
        <v>1204500</v>
      </c>
      <c r="G257" s="229">
        <f t="shared" si="163"/>
        <v>45080.24</v>
      </c>
      <c r="H257" s="229">
        <f t="shared" si="164"/>
        <v>45080.24</v>
      </c>
      <c r="I257" s="229">
        <f t="shared" si="165"/>
        <v>95795.510000000009</v>
      </c>
      <c r="J257" s="229">
        <f t="shared" si="166"/>
        <v>135240.72</v>
      </c>
      <c r="K257" s="229">
        <f t="shared" si="167"/>
        <v>140875.75</v>
      </c>
      <c r="L257" s="229">
        <f t="shared" si="168"/>
        <v>180320.96</v>
      </c>
      <c r="N257" s="367">
        <v>41061</v>
      </c>
      <c r="O257" s="367">
        <v>44469</v>
      </c>
      <c r="P257" s="216">
        <f t="shared" si="162"/>
        <v>3408</v>
      </c>
      <c r="Q257" s="442">
        <f>20.52*1.5%</f>
        <v>0.30779999999999996</v>
      </c>
      <c r="R257" s="245">
        <f t="shared" si="169"/>
        <v>7.3546576390448593E-4</v>
      </c>
      <c r="S257" s="229">
        <f t="shared" si="170"/>
        <v>140875.75</v>
      </c>
      <c r="T257" s="368">
        <f t="shared" si="171"/>
        <v>353100.46403256408</v>
      </c>
      <c r="U257" s="229">
        <f t="shared" si="172"/>
        <v>180320.96</v>
      </c>
      <c r="V257" s="368">
        <f t="shared" si="173"/>
        <v>451968.593961682</v>
      </c>
      <c r="W257" s="246">
        <f t="shared" si="174"/>
        <v>805069.05799424602</v>
      </c>
    </row>
    <row r="258" spans="1:24">
      <c r="A258" s="233" t="s">
        <v>25</v>
      </c>
      <c r="B258" s="353">
        <v>1127006</v>
      </c>
      <c r="C258" s="232">
        <v>77.72</v>
      </c>
      <c r="D258" s="233">
        <f t="shared" si="160"/>
        <v>1.0679361811631498</v>
      </c>
      <c r="E258" s="231">
        <f t="shared" si="161"/>
        <v>1203570</v>
      </c>
      <c r="G258" s="229">
        <f t="shared" si="163"/>
        <v>45080.24</v>
      </c>
      <c r="H258" s="229">
        <f t="shared" si="164"/>
        <v>45080.24</v>
      </c>
      <c r="I258" s="229">
        <f t="shared" si="165"/>
        <v>95795.510000000009</v>
      </c>
      <c r="J258" s="229">
        <f t="shared" si="166"/>
        <v>135240.72</v>
      </c>
      <c r="K258" s="229">
        <f t="shared" si="167"/>
        <v>140875.75</v>
      </c>
      <c r="L258" s="229">
        <f t="shared" si="168"/>
        <v>180320.96</v>
      </c>
      <c r="N258" s="367">
        <v>41091</v>
      </c>
      <c r="O258" s="367">
        <v>44469</v>
      </c>
      <c r="P258" s="216">
        <f t="shared" si="162"/>
        <v>3378</v>
      </c>
      <c r="Q258" s="442">
        <f>20.86*1.5%</f>
        <v>0.31289999999999996</v>
      </c>
      <c r="R258" s="245">
        <f t="shared" si="169"/>
        <v>7.4613693673164505E-4</v>
      </c>
      <c r="S258" s="229">
        <f t="shared" si="170"/>
        <v>140875.75</v>
      </c>
      <c r="T258" s="368">
        <f t="shared" si="171"/>
        <v>355070.36470780335</v>
      </c>
      <c r="U258" s="229">
        <f t="shared" si="172"/>
        <v>180320.96</v>
      </c>
      <c r="V258" s="368">
        <f t="shared" si="173"/>
        <v>454490.0668259883</v>
      </c>
      <c r="W258" s="246">
        <f t="shared" si="174"/>
        <v>809560.43153379159</v>
      </c>
    </row>
    <row r="259" spans="1:24">
      <c r="A259" s="233" t="s">
        <v>27</v>
      </c>
      <c r="B259" s="353">
        <v>1127006</v>
      </c>
      <c r="C259" s="232">
        <v>77.7</v>
      </c>
      <c r="D259" s="233">
        <f t="shared" si="160"/>
        <v>1.0682110682110681</v>
      </c>
      <c r="E259" s="231">
        <f t="shared" si="161"/>
        <v>1203880</v>
      </c>
      <c r="G259" s="229">
        <f t="shared" si="163"/>
        <v>45080.24</v>
      </c>
      <c r="H259" s="229">
        <f t="shared" si="164"/>
        <v>45080.24</v>
      </c>
      <c r="I259" s="229">
        <f t="shared" si="165"/>
        <v>95795.510000000009</v>
      </c>
      <c r="J259" s="229">
        <f t="shared" si="166"/>
        <v>135240.72</v>
      </c>
      <c r="K259" s="229">
        <f t="shared" si="167"/>
        <v>140875.75</v>
      </c>
      <c r="L259" s="229">
        <f t="shared" si="168"/>
        <v>180320.96</v>
      </c>
      <c r="N259" s="367">
        <v>41122</v>
      </c>
      <c r="O259" s="367">
        <v>44469</v>
      </c>
      <c r="P259" s="216">
        <f t="shared" si="162"/>
        <v>3347</v>
      </c>
      <c r="Q259" s="442">
        <f>20.86*1.5%</f>
        <v>0.31289999999999996</v>
      </c>
      <c r="R259" s="245">
        <f t="shared" si="169"/>
        <v>7.4613693673164505E-4</v>
      </c>
      <c r="S259" s="229">
        <f t="shared" si="170"/>
        <v>140875.75</v>
      </c>
      <c r="T259" s="368">
        <f t="shared" si="171"/>
        <v>351811.8740902954</v>
      </c>
      <c r="U259" s="229">
        <f t="shared" si="172"/>
        <v>180320.96</v>
      </c>
      <c r="V259" s="368">
        <f t="shared" si="173"/>
        <v>450319.19883557811</v>
      </c>
      <c r="W259" s="246">
        <f t="shared" si="174"/>
        <v>802131.07292587357</v>
      </c>
    </row>
    <row r="260" spans="1:24">
      <c r="A260" s="233" t="s">
        <v>29</v>
      </c>
      <c r="B260" s="353">
        <v>1127006</v>
      </c>
      <c r="C260" s="232">
        <v>77.73</v>
      </c>
      <c r="D260" s="233">
        <f t="shared" si="160"/>
        <v>1.0677987906857069</v>
      </c>
      <c r="E260" s="231">
        <f t="shared" si="161"/>
        <v>1203415</v>
      </c>
      <c r="G260" s="229">
        <f t="shared" si="163"/>
        <v>45080.24</v>
      </c>
      <c r="H260" s="229">
        <f t="shared" si="164"/>
        <v>45080.24</v>
      </c>
      <c r="I260" s="229">
        <f t="shared" si="165"/>
        <v>95795.510000000009</v>
      </c>
      <c r="J260" s="229">
        <f t="shared" si="166"/>
        <v>135240.72</v>
      </c>
      <c r="K260" s="229">
        <f t="shared" si="167"/>
        <v>140875.75</v>
      </c>
      <c r="L260" s="229">
        <f t="shared" si="168"/>
        <v>180320.96</v>
      </c>
      <c r="N260" s="367">
        <v>41153</v>
      </c>
      <c r="O260" s="367">
        <v>44469</v>
      </c>
      <c r="P260" s="216">
        <f t="shared" si="162"/>
        <v>3316</v>
      </c>
      <c r="Q260" s="442">
        <f>20.86*1.5%</f>
        <v>0.31289999999999996</v>
      </c>
      <c r="R260" s="245">
        <f t="shared" si="169"/>
        <v>7.4613693673164505E-4</v>
      </c>
      <c r="S260" s="229">
        <f t="shared" si="170"/>
        <v>140875.75</v>
      </c>
      <c r="T260" s="368">
        <f t="shared" si="171"/>
        <v>348553.38347278745</v>
      </c>
      <c r="U260" s="229">
        <f t="shared" si="172"/>
        <v>180320.96</v>
      </c>
      <c r="V260" s="368">
        <f t="shared" si="173"/>
        <v>446148.33084516792</v>
      </c>
      <c r="W260" s="246">
        <f t="shared" si="174"/>
        <v>794701.71431795531</v>
      </c>
    </row>
    <row r="261" spans="1:24">
      <c r="A261" s="233" t="s">
        <v>31</v>
      </c>
      <c r="B261" s="353">
        <v>1127006</v>
      </c>
      <c r="C261" s="232">
        <v>77.959999999999994</v>
      </c>
      <c r="D261" s="233">
        <f t="shared" si="160"/>
        <v>1.064648537711647</v>
      </c>
      <c r="E261" s="231">
        <f t="shared" si="161"/>
        <v>1199865</v>
      </c>
      <c r="G261" s="229">
        <f t="shared" si="163"/>
        <v>45080.24</v>
      </c>
      <c r="H261" s="229">
        <f t="shared" si="164"/>
        <v>45080.24</v>
      </c>
      <c r="I261" s="229">
        <f t="shared" si="165"/>
        <v>95795.510000000009</v>
      </c>
      <c r="J261" s="229">
        <f t="shared" si="166"/>
        <v>135240.72</v>
      </c>
      <c r="K261" s="229">
        <f t="shared" si="167"/>
        <v>140875.75</v>
      </c>
      <c r="L261" s="229">
        <f t="shared" si="168"/>
        <v>180320.96</v>
      </c>
      <c r="N261" s="367">
        <v>41183</v>
      </c>
      <c r="O261" s="367">
        <v>44469</v>
      </c>
      <c r="P261" s="216">
        <f t="shared" si="162"/>
        <v>3286</v>
      </c>
      <c r="Q261" s="442">
        <f>20.89*1.5%</f>
        <v>0.31335000000000002</v>
      </c>
      <c r="R261" s="245">
        <f t="shared" si="169"/>
        <v>7.470765252692857E-4</v>
      </c>
      <c r="S261" s="229">
        <f t="shared" si="170"/>
        <v>140875.75</v>
      </c>
      <c r="T261" s="368">
        <f t="shared" si="171"/>
        <v>345834.95763425925</v>
      </c>
      <c r="U261" s="229">
        <f t="shared" si="172"/>
        <v>180320.96</v>
      </c>
      <c r="V261" s="368">
        <f t="shared" si="173"/>
        <v>442668.7457718518</v>
      </c>
      <c r="W261" s="246">
        <f t="shared" si="174"/>
        <v>788503.7034061111</v>
      </c>
    </row>
    <row r="262" spans="1:24">
      <c r="A262" s="233" t="s">
        <v>33</v>
      </c>
      <c r="B262" s="353">
        <v>1127006</v>
      </c>
      <c r="C262" s="232">
        <v>78.08</v>
      </c>
      <c r="D262" s="233">
        <f t="shared" si="160"/>
        <v>1.0630122950819672</v>
      </c>
      <c r="E262" s="231">
        <f t="shared" si="161"/>
        <v>1198021</v>
      </c>
      <c r="G262" s="229">
        <f t="shared" si="163"/>
        <v>45080.24</v>
      </c>
      <c r="H262" s="229">
        <f t="shared" si="164"/>
        <v>45080.24</v>
      </c>
      <c r="I262" s="229">
        <f t="shared" si="165"/>
        <v>95795.510000000009</v>
      </c>
      <c r="J262" s="229">
        <f t="shared" si="166"/>
        <v>135240.72</v>
      </c>
      <c r="K262" s="229">
        <f t="shared" si="167"/>
        <v>140875.75</v>
      </c>
      <c r="L262" s="229">
        <f t="shared" si="168"/>
        <v>180320.96</v>
      </c>
      <c r="N262" s="367">
        <v>41214</v>
      </c>
      <c r="O262" s="367">
        <v>44469</v>
      </c>
      <c r="P262" s="216">
        <f t="shared" si="162"/>
        <v>3255</v>
      </c>
      <c r="Q262" s="442">
        <f>20.89*1.5%</f>
        <v>0.31335000000000002</v>
      </c>
      <c r="R262" s="245">
        <f t="shared" si="169"/>
        <v>7.470765252692857E-4</v>
      </c>
      <c r="S262" s="229">
        <f t="shared" si="170"/>
        <v>140875.75</v>
      </c>
      <c r="T262" s="368">
        <f t="shared" si="171"/>
        <v>342572.36369431339</v>
      </c>
      <c r="U262" s="229">
        <f t="shared" si="172"/>
        <v>180320.96</v>
      </c>
      <c r="V262" s="368">
        <f t="shared" si="173"/>
        <v>438492.62552872114</v>
      </c>
      <c r="W262" s="246">
        <f t="shared" si="174"/>
        <v>781064.98922303459</v>
      </c>
    </row>
    <row r="263" spans="1:24">
      <c r="A263" s="233" t="s">
        <v>34</v>
      </c>
      <c r="B263" s="353">
        <v>1127006</v>
      </c>
      <c r="C263" s="232">
        <v>77.98</v>
      </c>
      <c r="D263" s="233">
        <f t="shared" si="160"/>
        <v>1.0643754808925365</v>
      </c>
      <c r="E263" s="231">
        <f t="shared" si="161"/>
        <v>1199557</v>
      </c>
      <c r="G263" s="229">
        <f t="shared" si="163"/>
        <v>45080.24</v>
      </c>
      <c r="H263" s="229">
        <f t="shared" si="164"/>
        <v>45080.24</v>
      </c>
      <c r="I263" s="229">
        <f t="shared" si="165"/>
        <v>95795.510000000009</v>
      </c>
      <c r="J263" s="229">
        <f t="shared" si="166"/>
        <v>135240.72</v>
      </c>
      <c r="K263" s="229">
        <f t="shared" si="167"/>
        <v>140875.75</v>
      </c>
      <c r="L263" s="229">
        <f t="shared" si="168"/>
        <v>180320.96</v>
      </c>
      <c r="N263" s="367">
        <v>41244</v>
      </c>
      <c r="O263" s="367">
        <v>44469</v>
      </c>
      <c r="P263" s="216">
        <f t="shared" si="162"/>
        <v>3225</v>
      </c>
      <c r="Q263" s="442">
        <f>20.89*1.5%</f>
        <v>0.31335000000000002</v>
      </c>
      <c r="R263" s="245">
        <f t="shared" si="169"/>
        <v>7.470765252692857E-4</v>
      </c>
      <c r="S263" s="229">
        <f t="shared" si="170"/>
        <v>140875.75</v>
      </c>
      <c r="T263" s="368">
        <f t="shared" si="171"/>
        <v>339415.01472017227</v>
      </c>
      <c r="U263" s="229">
        <f t="shared" si="172"/>
        <v>180320.96</v>
      </c>
      <c r="V263" s="368">
        <f t="shared" si="173"/>
        <v>434451.21884182049</v>
      </c>
      <c r="W263" s="246">
        <f t="shared" si="174"/>
        <v>773866.23356199276</v>
      </c>
    </row>
    <row r="264" spans="1:24">
      <c r="A264" s="233" t="s">
        <v>35</v>
      </c>
      <c r="B264" s="353">
        <v>1127006</v>
      </c>
      <c r="C264" s="232">
        <v>78.05</v>
      </c>
      <c r="D264" s="233">
        <f t="shared" si="160"/>
        <v>1.0634208840486867</v>
      </c>
      <c r="E264" s="231">
        <f t="shared" si="161"/>
        <v>1198481</v>
      </c>
      <c r="G264" s="229">
        <f>+B264*0.04</f>
        <v>45080.24</v>
      </c>
      <c r="H264" s="229">
        <f t="shared" si="164"/>
        <v>45080.24</v>
      </c>
      <c r="I264" s="229">
        <f t="shared" si="165"/>
        <v>95795.510000000009</v>
      </c>
      <c r="J264" s="229">
        <f t="shared" si="166"/>
        <v>135240.72</v>
      </c>
      <c r="K264" s="229">
        <f t="shared" si="167"/>
        <v>140875.75</v>
      </c>
      <c r="L264" s="229">
        <f t="shared" si="168"/>
        <v>180320.96</v>
      </c>
      <c r="N264" s="367">
        <v>41275</v>
      </c>
      <c r="O264" s="367">
        <v>44469</v>
      </c>
      <c r="P264" s="216">
        <f t="shared" si="162"/>
        <v>3194</v>
      </c>
      <c r="Q264" s="442">
        <f>20.75*1.5%</f>
        <v>0.31124999999999997</v>
      </c>
      <c r="R264" s="245">
        <f t="shared" si="169"/>
        <v>7.4268902887886235E-4</v>
      </c>
      <c r="S264" s="229">
        <f t="shared" si="170"/>
        <v>140875.75</v>
      </c>
      <c r="T264" s="368">
        <f t="shared" si="171"/>
        <v>334178.23542849999</v>
      </c>
      <c r="U264" s="229">
        <f t="shared" si="172"/>
        <v>180320.96</v>
      </c>
      <c r="V264" s="368">
        <f t="shared" si="173"/>
        <v>427748.14134847996</v>
      </c>
      <c r="W264" s="246">
        <f t="shared" si="174"/>
        <v>761926.37677698</v>
      </c>
    </row>
    <row r="265" spans="1:24">
      <c r="A265" s="233" t="s">
        <v>101</v>
      </c>
      <c r="B265" s="353">
        <v>529603</v>
      </c>
      <c r="C265" s="232">
        <f>+C259</f>
        <v>77.7</v>
      </c>
      <c r="D265" s="233">
        <f t="shared" si="160"/>
        <v>1.0682110682110681</v>
      </c>
      <c r="E265" s="231">
        <f t="shared" si="161"/>
        <v>565727</v>
      </c>
      <c r="G265" s="229"/>
      <c r="H265" s="229"/>
      <c r="I265" s="229"/>
      <c r="J265" s="229"/>
      <c r="K265" s="229"/>
      <c r="L265" s="444"/>
      <c r="N265" s="2546" t="s">
        <v>97</v>
      </c>
      <c r="O265" s="2547"/>
      <c r="P265" s="2547"/>
      <c r="Q265" s="2547"/>
      <c r="R265" s="2548"/>
      <c r="S265" s="444">
        <f>SUM(S253:S264)</f>
        <v>1690509</v>
      </c>
      <c r="U265" s="444">
        <f>SUM(U253:U264)</f>
        <v>2163851.52</v>
      </c>
      <c r="V265" s="154" t="s">
        <v>97</v>
      </c>
      <c r="W265" s="246">
        <f>SUM(W253:W264)</f>
        <v>9566404.5681864042</v>
      </c>
      <c r="X265" s="224">
        <f>+S265+U265+W265</f>
        <v>13420765.088186404</v>
      </c>
    </row>
    <row r="266" spans="1:24">
      <c r="A266" s="233" t="s">
        <v>102</v>
      </c>
      <c r="B266" s="353">
        <v>585570</v>
      </c>
      <c r="C266" s="232">
        <f>+C263</f>
        <v>77.98</v>
      </c>
      <c r="D266" s="233">
        <f t="shared" si="160"/>
        <v>1.0643754808925365</v>
      </c>
      <c r="E266" s="231">
        <f t="shared" si="161"/>
        <v>623266</v>
      </c>
      <c r="G266" s="229">
        <f t="shared" ref="G266:L266" si="175">SUM(G253:G265)</f>
        <v>540962.88</v>
      </c>
      <c r="H266" s="229">
        <f t="shared" si="175"/>
        <v>540962.88</v>
      </c>
      <c r="I266" s="229">
        <f t="shared" si="175"/>
        <v>1149546.1200000001</v>
      </c>
      <c r="J266" s="229">
        <f t="shared" si="175"/>
        <v>1622888.64</v>
      </c>
      <c r="K266" s="229">
        <f t="shared" si="175"/>
        <v>1690509</v>
      </c>
      <c r="L266" s="229">
        <f t="shared" si="175"/>
        <v>2163851.52</v>
      </c>
    </row>
    <row r="267" spans="1:24">
      <c r="A267" s="233" t="s">
        <v>103</v>
      </c>
      <c r="B267" s="353">
        <v>70614</v>
      </c>
      <c r="C267" s="232">
        <f>+C264</f>
        <v>78.05</v>
      </c>
      <c r="D267" s="233">
        <f t="shared" si="160"/>
        <v>1.0634208840486867</v>
      </c>
      <c r="E267" s="231">
        <f t="shared" si="161"/>
        <v>75092</v>
      </c>
    </row>
    <row r="268" spans="1:24">
      <c r="A268" s="233" t="s">
        <v>104</v>
      </c>
      <c r="B268" s="353">
        <v>819798</v>
      </c>
      <c r="C268" s="232">
        <f>+C263</f>
        <v>77.98</v>
      </c>
      <c r="D268" s="233">
        <f t="shared" si="160"/>
        <v>1.0643754808925365</v>
      </c>
      <c r="E268" s="231">
        <f t="shared" si="161"/>
        <v>872572</v>
      </c>
    </row>
    <row r="269" spans="1:24">
      <c r="A269" s="233" t="s">
        <v>95</v>
      </c>
      <c r="B269" s="353">
        <v>1219938</v>
      </c>
      <c r="C269" s="232">
        <f>+C264</f>
        <v>78.05</v>
      </c>
      <c r="D269" s="233">
        <f t="shared" si="160"/>
        <v>1.0634208840486867</v>
      </c>
      <c r="E269" s="231">
        <f t="shared" si="161"/>
        <v>1297307</v>
      </c>
    </row>
    <row r="270" spans="1:24">
      <c r="A270" s="233" t="s">
        <v>96</v>
      </c>
      <c r="B270" s="353"/>
      <c r="C270" s="216"/>
      <c r="D270" s="216"/>
      <c r="E270" s="231">
        <f>SUM(E253:E269)</f>
        <v>17893584</v>
      </c>
    </row>
    <row r="271" spans="1:24">
      <c r="A271" s="233" t="s">
        <v>98</v>
      </c>
      <c r="B271" s="216"/>
      <c r="C271" s="216"/>
      <c r="D271" s="216"/>
      <c r="E271" s="231">
        <f>+G266+H266</f>
        <v>1081925.76</v>
      </c>
    </row>
    <row r="272" spans="1:24">
      <c r="A272" s="233" t="s">
        <v>99</v>
      </c>
      <c r="B272" s="216"/>
      <c r="C272" s="216"/>
      <c r="D272" s="216"/>
      <c r="E272" s="231">
        <f>+E270-E271</f>
        <v>16811658.239999998</v>
      </c>
    </row>
    <row r="274" spans="1:24">
      <c r="N274" s="2543" t="s">
        <v>84</v>
      </c>
      <c r="O274" s="2544"/>
      <c r="P274" s="2544"/>
      <c r="Q274" s="2544"/>
      <c r="R274" s="2544"/>
      <c r="S274" s="2544"/>
      <c r="T274" s="2544"/>
      <c r="U274" s="2544"/>
      <c r="V274" s="2544"/>
      <c r="W274" s="2545"/>
    </row>
    <row r="275" spans="1:24" ht="33.75">
      <c r="A275" s="226" t="s">
        <v>11</v>
      </c>
      <c r="B275" s="351" t="s">
        <v>115</v>
      </c>
      <c r="C275" s="228" t="s">
        <v>76</v>
      </c>
      <c r="D275" s="228" t="s">
        <v>77</v>
      </c>
      <c r="E275" s="229" t="s">
        <v>57</v>
      </c>
      <c r="G275" s="229" t="s">
        <v>78</v>
      </c>
      <c r="H275" s="229" t="s">
        <v>79</v>
      </c>
      <c r="I275" s="229" t="s">
        <v>80</v>
      </c>
      <c r="J275" s="229" t="s">
        <v>81</v>
      </c>
      <c r="K275" s="229" t="s">
        <v>82</v>
      </c>
      <c r="L275" s="229" t="s">
        <v>83</v>
      </c>
      <c r="N275" s="381" t="s">
        <v>85</v>
      </c>
      <c r="O275" s="381" t="s">
        <v>10</v>
      </c>
      <c r="P275" s="381" t="s">
        <v>86</v>
      </c>
      <c r="Q275" s="381" t="s">
        <v>87</v>
      </c>
      <c r="R275" s="381" t="s">
        <v>88</v>
      </c>
      <c r="S275" s="381" t="s">
        <v>89</v>
      </c>
      <c r="T275" s="381" t="s">
        <v>90</v>
      </c>
      <c r="U275" s="381" t="s">
        <v>91</v>
      </c>
      <c r="V275" s="381" t="s">
        <v>92</v>
      </c>
      <c r="W275" s="381" t="s">
        <v>93</v>
      </c>
    </row>
    <row r="276" spans="1:24">
      <c r="A276" s="233" t="s">
        <v>16</v>
      </c>
      <c r="B276" s="353">
        <v>1214442</v>
      </c>
      <c r="C276" s="232">
        <v>78.28</v>
      </c>
      <c r="D276" s="233">
        <f>+$C$13/C276</f>
        <v>1.0602963719979561</v>
      </c>
      <c r="E276" s="231">
        <f>INT(B276*D276)</f>
        <v>1287668</v>
      </c>
      <c r="G276" s="229">
        <f>+B276*0.04</f>
        <v>48577.68</v>
      </c>
      <c r="H276" s="229">
        <f>+B276*0.04</f>
        <v>48577.68</v>
      </c>
      <c r="I276" s="229">
        <f>+B276*0.085</f>
        <v>103227.57</v>
      </c>
      <c r="J276" s="229">
        <f>+B276*0.12</f>
        <v>145733.04</v>
      </c>
      <c r="K276" s="229">
        <f>+G276+I276</f>
        <v>151805.25</v>
      </c>
      <c r="L276" s="229">
        <f>+J276+H276</f>
        <v>194310.72</v>
      </c>
      <c r="N276" s="367">
        <v>41306</v>
      </c>
      <c r="O276" s="367">
        <v>44469</v>
      </c>
      <c r="P276" s="216">
        <f t="shared" ref="P276:P287" si="176">_xlfn.DAYS(O276,N276)</f>
        <v>3163</v>
      </c>
      <c r="Q276" s="442">
        <f>20.75*1.5%</f>
        <v>0.31124999999999997</v>
      </c>
      <c r="R276" s="245">
        <f>((1+Q276)^(1/365))-1</f>
        <v>7.4268902887886235E-4</v>
      </c>
      <c r="S276" s="229">
        <f>+K276</f>
        <v>151805.25</v>
      </c>
      <c r="T276" s="368">
        <f>+S276*R276*P276</f>
        <v>356609.56837693648</v>
      </c>
      <c r="U276" s="229">
        <f>+L276</f>
        <v>194310.72</v>
      </c>
      <c r="V276" s="368">
        <f>+U276*R276*P276</f>
        <v>456460.24752247869</v>
      </c>
      <c r="W276" s="246">
        <f>+T276+V276</f>
        <v>813069.81589941517</v>
      </c>
    </row>
    <row r="277" spans="1:24">
      <c r="A277" s="233" t="s">
        <v>17</v>
      </c>
      <c r="B277" s="353">
        <v>1214442</v>
      </c>
      <c r="C277" s="232">
        <v>78.63</v>
      </c>
      <c r="D277" s="233">
        <f t="shared" ref="D277:D292" si="177">+$C$13/C277</f>
        <v>1.0555767518758745</v>
      </c>
      <c r="E277" s="231">
        <f t="shared" ref="E277:E292" si="178">INT(B277*D277)</f>
        <v>1281936</v>
      </c>
      <c r="G277" s="229">
        <f t="shared" ref="G277:G286" si="179">+B277*0.04</f>
        <v>48577.68</v>
      </c>
      <c r="H277" s="229">
        <f t="shared" ref="H277:H287" si="180">+B277*0.04</f>
        <v>48577.68</v>
      </c>
      <c r="I277" s="229">
        <f t="shared" ref="I277:I287" si="181">+B277*0.085</f>
        <v>103227.57</v>
      </c>
      <c r="J277" s="229">
        <f t="shared" ref="J277:J287" si="182">+B277*0.12</f>
        <v>145733.04</v>
      </c>
      <c r="K277" s="229">
        <f t="shared" ref="K277:K287" si="183">+G277+I277</f>
        <v>151805.25</v>
      </c>
      <c r="L277" s="229">
        <f t="shared" ref="L277:L287" si="184">+J277+H277</f>
        <v>194310.72</v>
      </c>
      <c r="N277" s="367">
        <v>41334</v>
      </c>
      <c r="O277" s="367">
        <v>44469</v>
      </c>
      <c r="P277" s="216">
        <f t="shared" si="176"/>
        <v>3135</v>
      </c>
      <c r="Q277" s="442">
        <f>20.75*1.5%</f>
        <v>0.31124999999999997</v>
      </c>
      <c r="R277" s="245">
        <f t="shared" ref="R277:R287" si="185">((1+Q277)^(1/365))-1</f>
        <v>7.4268902887886235E-4</v>
      </c>
      <c r="S277" s="229">
        <f t="shared" ref="S277:S287" si="186">+K277</f>
        <v>151805.25</v>
      </c>
      <c r="T277" s="368">
        <f t="shared" ref="T277:T287" si="187">+S277*R277*P277</f>
        <v>353452.73375330248</v>
      </c>
      <c r="U277" s="229">
        <f t="shared" ref="U277:U287" si="188">+L277</f>
        <v>194310.72</v>
      </c>
      <c r="V277" s="368">
        <f t="shared" ref="V277:V287" si="189">+U277*R277*P277</f>
        <v>452419.49920422724</v>
      </c>
      <c r="W277" s="246">
        <f t="shared" ref="W277:W287" si="190">+T277+V277</f>
        <v>805872.23295752972</v>
      </c>
    </row>
    <row r="278" spans="1:24">
      <c r="A278" s="233" t="s">
        <v>19</v>
      </c>
      <c r="B278" s="353">
        <v>1214442</v>
      </c>
      <c r="C278" s="232">
        <v>78.790000000000006</v>
      </c>
      <c r="D278" s="233">
        <f t="shared" si="177"/>
        <v>1.0534331767990861</v>
      </c>
      <c r="E278" s="231">
        <f t="shared" si="178"/>
        <v>1279333</v>
      </c>
      <c r="G278" s="229">
        <f t="shared" si="179"/>
        <v>48577.68</v>
      </c>
      <c r="H278" s="229">
        <f t="shared" si="180"/>
        <v>48577.68</v>
      </c>
      <c r="I278" s="229">
        <f t="shared" si="181"/>
        <v>103227.57</v>
      </c>
      <c r="J278" s="229">
        <f t="shared" si="182"/>
        <v>145733.04</v>
      </c>
      <c r="K278" s="229">
        <f t="shared" si="183"/>
        <v>151805.25</v>
      </c>
      <c r="L278" s="229">
        <f t="shared" si="184"/>
        <v>194310.72</v>
      </c>
      <c r="N278" s="367">
        <v>41365</v>
      </c>
      <c r="O278" s="367">
        <v>44469</v>
      </c>
      <c r="P278" s="216">
        <f t="shared" si="176"/>
        <v>3104</v>
      </c>
      <c r="Q278" s="442">
        <f>20.83*1.5%</f>
        <v>0.31244999999999995</v>
      </c>
      <c r="R278" s="245">
        <f t="shared" si="185"/>
        <v>7.4519702697495305E-4</v>
      </c>
      <c r="S278" s="229">
        <f t="shared" si="186"/>
        <v>151805.25</v>
      </c>
      <c r="T278" s="368">
        <f t="shared" si="187"/>
        <v>351139.4443194042</v>
      </c>
      <c r="U278" s="229">
        <f t="shared" si="188"/>
        <v>194310.72</v>
      </c>
      <c r="V278" s="368">
        <f t="shared" si="189"/>
        <v>449458.4887288374</v>
      </c>
      <c r="W278" s="246">
        <f t="shared" si="190"/>
        <v>800597.93304824154</v>
      </c>
    </row>
    <row r="279" spans="1:24">
      <c r="A279" s="233" t="s">
        <v>21</v>
      </c>
      <c r="B279" s="353">
        <v>1214442</v>
      </c>
      <c r="C279" s="232">
        <v>78.989999999999995</v>
      </c>
      <c r="D279" s="233">
        <f t="shared" si="177"/>
        <v>1.0507659197366757</v>
      </c>
      <c r="E279" s="231">
        <f t="shared" si="178"/>
        <v>1276094</v>
      </c>
      <c r="G279" s="229">
        <f t="shared" si="179"/>
        <v>48577.68</v>
      </c>
      <c r="H279" s="229">
        <f t="shared" si="180"/>
        <v>48577.68</v>
      </c>
      <c r="I279" s="229">
        <f t="shared" si="181"/>
        <v>103227.57</v>
      </c>
      <c r="J279" s="229">
        <f t="shared" si="182"/>
        <v>145733.04</v>
      </c>
      <c r="K279" s="229">
        <f t="shared" si="183"/>
        <v>151805.25</v>
      </c>
      <c r="L279" s="229">
        <f t="shared" si="184"/>
        <v>194310.72</v>
      </c>
      <c r="N279" s="367">
        <v>41395</v>
      </c>
      <c r="O279" s="367">
        <v>44469</v>
      </c>
      <c r="P279" s="216">
        <f t="shared" si="176"/>
        <v>3074</v>
      </c>
      <c r="Q279" s="442">
        <f>20.83*1.5%</f>
        <v>0.31244999999999995</v>
      </c>
      <c r="R279" s="245">
        <f t="shared" si="185"/>
        <v>7.4519702697495305E-4</v>
      </c>
      <c r="S279" s="229">
        <f t="shared" si="186"/>
        <v>151805.25</v>
      </c>
      <c r="T279" s="368">
        <f t="shared" si="187"/>
        <v>347745.6996900285</v>
      </c>
      <c r="U279" s="229">
        <f t="shared" si="188"/>
        <v>194310.72</v>
      </c>
      <c r="V279" s="368">
        <f t="shared" si="189"/>
        <v>445114.49560323649</v>
      </c>
      <c r="W279" s="246">
        <f t="shared" si="190"/>
        <v>792860.19529326493</v>
      </c>
    </row>
    <row r="280" spans="1:24">
      <c r="A280" s="233" t="s">
        <v>23</v>
      </c>
      <c r="B280" s="353">
        <v>1214442</v>
      </c>
      <c r="C280" s="232">
        <v>79.209999999999994</v>
      </c>
      <c r="D280" s="233">
        <f t="shared" si="177"/>
        <v>1.0478474940032825</v>
      </c>
      <c r="E280" s="231">
        <f t="shared" si="178"/>
        <v>1272550</v>
      </c>
      <c r="G280" s="229">
        <f t="shared" si="179"/>
        <v>48577.68</v>
      </c>
      <c r="H280" s="229">
        <f t="shared" si="180"/>
        <v>48577.68</v>
      </c>
      <c r="I280" s="229">
        <f t="shared" si="181"/>
        <v>103227.57</v>
      </c>
      <c r="J280" s="229">
        <f t="shared" si="182"/>
        <v>145733.04</v>
      </c>
      <c r="K280" s="229">
        <f t="shared" si="183"/>
        <v>151805.25</v>
      </c>
      <c r="L280" s="229">
        <f t="shared" si="184"/>
        <v>194310.72</v>
      </c>
      <c r="N280" s="367">
        <v>41426</v>
      </c>
      <c r="O280" s="367">
        <v>44469</v>
      </c>
      <c r="P280" s="216">
        <f t="shared" si="176"/>
        <v>3043</v>
      </c>
      <c r="Q280" s="442">
        <f>20.83*1.5%</f>
        <v>0.31244999999999995</v>
      </c>
      <c r="R280" s="245">
        <f t="shared" si="185"/>
        <v>7.4519702697495305E-4</v>
      </c>
      <c r="S280" s="229">
        <f t="shared" si="186"/>
        <v>151805.25</v>
      </c>
      <c r="T280" s="368">
        <f t="shared" si="187"/>
        <v>344238.83023967361</v>
      </c>
      <c r="U280" s="229">
        <f t="shared" si="188"/>
        <v>194310.72</v>
      </c>
      <c r="V280" s="368">
        <f t="shared" si="189"/>
        <v>440625.70270678226</v>
      </c>
      <c r="W280" s="246">
        <f t="shared" si="190"/>
        <v>784864.53294645587</v>
      </c>
    </row>
    <row r="281" spans="1:24">
      <c r="A281" s="233" t="s">
        <v>25</v>
      </c>
      <c r="B281" s="353">
        <v>1214442</v>
      </c>
      <c r="C281" s="232">
        <v>79.39</v>
      </c>
      <c r="D281" s="233">
        <f t="shared" si="177"/>
        <v>1.0454717218793299</v>
      </c>
      <c r="E281" s="231">
        <f t="shared" si="178"/>
        <v>1269664</v>
      </c>
      <c r="G281" s="229">
        <f t="shared" si="179"/>
        <v>48577.68</v>
      </c>
      <c r="H281" s="229">
        <f t="shared" si="180"/>
        <v>48577.68</v>
      </c>
      <c r="I281" s="229">
        <f t="shared" si="181"/>
        <v>103227.57</v>
      </c>
      <c r="J281" s="229">
        <f t="shared" si="182"/>
        <v>145733.04</v>
      </c>
      <c r="K281" s="229">
        <f t="shared" si="183"/>
        <v>151805.25</v>
      </c>
      <c r="L281" s="229">
        <f t="shared" si="184"/>
        <v>194310.72</v>
      </c>
      <c r="N281" s="367">
        <v>41456</v>
      </c>
      <c r="O281" s="367">
        <v>44469</v>
      </c>
      <c r="P281" s="216">
        <f t="shared" si="176"/>
        <v>3013</v>
      </c>
      <c r="Q281" s="442">
        <f>20.34*1.5%</f>
        <v>0.30509999999999998</v>
      </c>
      <c r="R281" s="245">
        <f t="shared" si="185"/>
        <v>7.29799506196116E-4</v>
      </c>
      <c r="S281" s="229">
        <f t="shared" si="186"/>
        <v>151805.25</v>
      </c>
      <c r="T281" s="368">
        <f t="shared" si="187"/>
        <v>333802.42561827757</v>
      </c>
      <c r="U281" s="229">
        <f t="shared" si="188"/>
        <v>194310.72</v>
      </c>
      <c r="V281" s="368">
        <f t="shared" si="189"/>
        <v>427267.10479139519</v>
      </c>
      <c r="W281" s="246">
        <f t="shared" si="190"/>
        <v>761069.53040967276</v>
      </c>
    </row>
    <row r="282" spans="1:24">
      <c r="A282" s="233" t="s">
        <v>27</v>
      </c>
      <c r="B282" s="353">
        <v>1214442</v>
      </c>
      <c r="C282" s="232">
        <v>79.430000000000007</v>
      </c>
      <c r="D282" s="233">
        <f t="shared" si="177"/>
        <v>1.0449452347979351</v>
      </c>
      <c r="E282" s="231">
        <f t="shared" si="178"/>
        <v>1269025</v>
      </c>
      <c r="G282" s="229">
        <f t="shared" si="179"/>
        <v>48577.68</v>
      </c>
      <c r="H282" s="229">
        <f t="shared" si="180"/>
        <v>48577.68</v>
      </c>
      <c r="I282" s="229">
        <f t="shared" si="181"/>
        <v>103227.57</v>
      </c>
      <c r="J282" s="229">
        <f t="shared" si="182"/>
        <v>145733.04</v>
      </c>
      <c r="K282" s="229">
        <f t="shared" si="183"/>
        <v>151805.25</v>
      </c>
      <c r="L282" s="229">
        <f t="shared" si="184"/>
        <v>194310.72</v>
      </c>
      <c r="N282" s="367">
        <v>41487</v>
      </c>
      <c r="O282" s="367">
        <v>44469</v>
      </c>
      <c r="P282" s="216">
        <f t="shared" si="176"/>
        <v>2982</v>
      </c>
      <c r="Q282" s="442">
        <f>20.34*1.5%</f>
        <v>0.30509999999999998</v>
      </c>
      <c r="R282" s="245">
        <f t="shared" si="185"/>
        <v>7.29799506196116E-4</v>
      </c>
      <c r="S282" s="229">
        <f t="shared" si="186"/>
        <v>151805.25</v>
      </c>
      <c r="T282" s="368">
        <f t="shared" si="187"/>
        <v>330368.01632715022</v>
      </c>
      <c r="U282" s="229">
        <f t="shared" si="188"/>
        <v>194310.72</v>
      </c>
      <c r="V282" s="368">
        <f t="shared" si="189"/>
        <v>422871.06089875224</v>
      </c>
      <c r="W282" s="246">
        <f t="shared" si="190"/>
        <v>753239.07722590247</v>
      </c>
    </row>
    <row r="283" spans="1:24">
      <c r="A283" s="233" t="s">
        <v>29</v>
      </c>
      <c r="B283" s="353">
        <v>1214442</v>
      </c>
      <c r="C283" s="232">
        <v>79.5</v>
      </c>
      <c r="D283" s="233">
        <f t="shared" si="177"/>
        <v>1.0440251572327044</v>
      </c>
      <c r="E283" s="231">
        <f t="shared" si="178"/>
        <v>1267908</v>
      </c>
      <c r="G283" s="229">
        <f t="shared" si="179"/>
        <v>48577.68</v>
      </c>
      <c r="H283" s="229">
        <f t="shared" si="180"/>
        <v>48577.68</v>
      </c>
      <c r="I283" s="229">
        <f t="shared" si="181"/>
        <v>103227.57</v>
      </c>
      <c r="J283" s="229">
        <f t="shared" si="182"/>
        <v>145733.04</v>
      </c>
      <c r="K283" s="229">
        <f t="shared" si="183"/>
        <v>151805.25</v>
      </c>
      <c r="L283" s="229">
        <f t="shared" si="184"/>
        <v>194310.72</v>
      </c>
      <c r="N283" s="367">
        <v>41518</v>
      </c>
      <c r="O283" s="367">
        <v>44469</v>
      </c>
      <c r="P283" s="216">
        <f t="shared" si="176"/>
        <v>2951</v>
      </c>
      <c r="Q283" s="442">
        <f>20.34*1.5%</f>
        <v>0.30509999999999998</v>
      </c>
      <c r="R283" s="245">
        <f t="shared" si="185"/>
        <v>7.29799506196116E-4</v>
      </c>
      <c r="S283" s="229">
        <f t="shared" si="186"/>
        <v>151805.25</v>
      </c>
      <c r="T283" s="368">
        <f t="shared" si="187"/>
        <v>326933.60703602294</v>
      </c>
      <c r="U283" s="229">
        <f t="shared" si="188"/>
        <v>194310.72</v>
      </c>
      <c r="V283" s="368">
        <f t="shared" si="189"/>
        <v>418475.01700610929</v>
      </c>
      <c r="W283" s="246">
        <f t="shared" si="190"/>
        <v>745408.62404213217</v>
      </c>
    </row>
    <row r="284" spans="1:24">
      <c r="A284" s="233" t="s">
        <v>31</v>
      </c>
      <c r="B284" s="353">
        <v>1214442</v>
      </c>
      <c r="C284" s="232">
        <v>79.73</v>
      </c>
      <c r="D284" s="233">
        <f t="shared" si="177"/>
        <v>1.0410134202934904</v>
      </c>
      <c r="E284" s="231">
        <f t="shared" si="178"/>
        <v>1264250</v>
      </c>
      <c r="G284" s="229">
        <f t="shared" si="179"/>
        <v>48577.68</v>
      </c>
      <c r="H284" s="229">
        <f t="shared" si="180"/>
        <v>48577.68</v>
      </c>
      <c r="I284" s="229">
        <f t="shared" si="181"/>
        <v>103227.57</v>
      </c>
      <c r="J284" s="229">
        <f t="shared" si="182"/>
        <v>145733.04</v>
      </c>
      <c r="K284" s="229">
        <f t="shared" si="183"/>
        <v>151805.25</v>
      </c>
      <c r="L284" s="229">
        <f t="shared" si="184"/>
        <v>194310.72</v>
      </c>
      <c r="N284" s="367">
        <v>41548</v>
      </c>
      <c r="O284" s="367">
        <v>44469</v>
      </c>
      <c r="P284" s="216">
        <f t="shared" si="176"/>
        <v>2921</v>
      </c>
      <c r="Q284" s="442">
        <f>19.85*1.5%</f>
        <v>0.29775000000000001</v>
      </c>
      <c r="R284" s="245">
        <f t="shared" si="185"/>
        <v>7.1431526398191281E-4</v>
      </c>
      <c r="S284" s="229">
        <f t="shared" si="186"/>
        <v>151805.25</v>
      </c>
      <c r="T284" s="368">
        <f t="shared" si="187"/>
        <v>316743.91391179117</v>
      </c>
      <c r="U284" s="229">
        <f t="shared" si="188"/>
        <v>194310.72</v>
      </c>
      <c r="V284" s="368">
        <f t="shared" si="189"/>
        <v>405432.20980709267</v>
      </c>
      <c r="W284" s="246">
        <f t="shared" si="190"/>
        <v>722176.12371888384</v>
      </c>
    </row>
    <row r="285" spans="1:24">
      <c r="A285" s="233" t="s">
        <v>33</v>
      </c>
      <c r="B285" s="353">
        <v>1214442</v>
      </c>
      <c r="C285" s="232">
        <v>79.52</v>
      </c>
      <c r="D285" s="233">
        <f t="shared" si="177"/>
        <v>1.0437625754527164</v>
      </c>
      <c r="E285" s="231">
        <f t="shared" si="178"/>
        <v>1267589</v>
      </c>
      <c r="G285" s="229">
        <f t="shared" si="179"/>
        <v>48577.68</v>
      </c>
      <c r="H285" s="229">
        <f t="shared" si="180"/>
        <v>48577.68</v>
      </c>
      <c r="I285" s="229">
        <f t="shared" si="181"/>
        <v>103227.57</v>
      </c>
      <c r="J285" s="229">
        <f t="shared" si="182"/>
        <v>145733.04</v>
      </c>
      <c r="K285" s="229">
        <f t="shared" si="183"/>
        <v>151805.25</v>
      </c>
      <c r="L285" s="229">
        <f t="shared" si="184"/>
        <v>194310.72</v>
      </c>
      <c r="N285" s="367">
        <v>41579</v>
      </c>
      <c r="O285" s="367">
        <v>44469</v>
      </c>
      <c r="P285" s="216">
        <f t="shared" si="176"/>
        <v>2890</v>
      </c>
      <c r="Q285" s="442">
        <f>19.85*1.5%</f>
        <v>0.29775000000000001</v>
      </c>
      <c r="R285" s="245">
        <f t="shared" si="185"/>
        <v>7.1431526398191281E-4</v>
      </c>
      <c r="S285" s="229">
        <f t="shared" si="186"/>
        <v>151805.25</v>
      </c>
      <c r="T285" s="368">
        <f t="shared" si="187"/>
        <v>313382.37288773584</v>
      </c>
      <c r="U285" s="229">
        <f t="shared" si="188"/>
        <v>194310.72</v>
      </c>
      <c r="V285" s="368">
        <f t="shared" si="189"/>
        <v>401129.43729630188</v>
      </c>
      <c r="W285" s="246">
        <f t="shared" si="190"/>
        <v>714511.81018403778</v>
      </c>
    </row>
    <row r="286" spans="1:24">
      <c r="A286" s="233" t="s">
        <v>34</v>
      </c>
      <c r="B286" s="353">
        <v>1214442</v>
      </c>
      <c r="C286" s="232">
        <v>79.349999999999994</v>
      </c>
      <c r="D286" s="233">
        <f t="shared" si="177"/>
        <v>1.0459987397605546</v>
      </c>
      <c r="E286" s="231">
        <f t="shared" si="178"/>
        <v>1270304</v>
      </c>
      <c r="G286" s="229">
        <f t="shared" si="179"/>
        <v>48577.68</v>
      </c>
      <c r="H286" s="229">
        <f t="shared" si="180"/>
        <v>48577.68</v>
      </c>
      <c r="I286" s="229">
        <f t="shared" si="181"/>
        <v>103227.57</v>
      </c>
      <c r="J286" s="229">
        <f t="shared" si="182"/>
        <v>145733.04</v>
      </c>
      <c r="K286" s="229">
        <f t="shared" si="183"/>
        <v>151805.25</v>
      </c>
      <c r="L286" s="229">
        <f t="shared" si="184"/>
        <v>194310.72</v>
      </c>
      <c r="N286" s="367">
        <v>41609</v>
      </c>
      <c r="O286" s="367">
        <v>44469</v>
      </c>
      <c r="P286" s="216">
        <f t="shared" si="176"/>
        <v>2860</v>
      </c>
      <c r="Q286" s="442">
        <f>19.85*1.5%</f>
        <v>0.29775000000000001</v>
      </c>
      <c r="R286" s="245">
        <f t="shared" si="185"/>
        <v>7.1431526398191281E-4</v>
      </c>
      <c r="S286" s="229">
        <f t="shared" si="186"/>
        <v>151805.25</v>
      </c>
      <c r="T286" s="368">
        <f t="shared" si="187"/>
        <v>310129.26867090818</v>
      </c>
      <c r="U286" s="229">
        <f t="shared" si="188"/>
        <v>194310.72</v>
      </c>
      <c r="V286" s="368">
        <f t="shared" si="189"/>
        <v>396965.46389876242</v>
      </c>
      <c r="W286" s="246">
        <f t="shared" si="190"/>
        <v>707094.73256967054</v>
      </c>
    </row>
    <row r="287" spans="1:24">
      <c r="A287" s="233" t="s">
        <v>35</v>
      </c>
      <c r="B287" s="353">
        <v>1214442</v>
      </c>
      <c r="C287" s="232">
        <v>79.56</v>
      </c>
      <c r="D287" s="233">
        <f t="shared" si="177"/>
        <v>1.0432378079436904</v>
      </c>
      <c r="E287" s="231">
        <f t="shared" si="178"/>
        <v>1266951</v>
      </c>
      <c r="G287" s="229">
        <f>+B287*0.04</f>
        <v>48577.68</v>
      </c>
      <c r="H287" s="229">
        <f t="shared" si="180"/>
        <v>48577.68</v>
      </c>
      <c r="I287" s="229">
        <f t="shared" si="181"/>
        <v>103227.57</v>
      </c>
      <c r="J287" s="229">
        <f t="shared" si="182"/>
        <v>145733.04</v>
      </c>
      <c r="K287" s="229">
        <f t="shared" si="183"/>
        <v>151805.25</v>
      </c>
      <c r="L287" s="229">
        <f t="shared" si="184"/>
        <v>194310.72</v>
      </c>
      <c r="N287" s="367">
        <v>41640</v>
      </c>
      <c r="O287" s="367">
        <v>44469</v>
      </c>
      <c r="P287" s="216">
        <f t="shared" si="176"/>
        <v>2829</v>
      </c>
      <c r="Q287" s="442">
        <f>19.65*1.5%</f>
        <v>0.29474999999999996</v>
      </c>
      <c r="R287" s="245">
        <f t="shared" si="185"/>
        <v>7.079700167211822E-4</v>
      </c>
      <c r="S287" s="229">
        <f t="shared" si="186"/>
        <v>151805.25</v>
      </c>
      <c r="T287" s="368">
        <f t="shared" si="187"/>
        <v>304042.71646246215</v>
      </c>
      <c r="U287" s="229">
        <f t="shared" si="188"/>
        <v>194310.72</v>
      </c>
      <c r="V287" s="368">
        <f t="shared" si="189"/>
        <v>389174.67707195156</v>
      </c>
      <c r="W287" s="246">
        <f t="shared" si="190"/>
        <v>693217.39353441377</v>
      </c>
    </row>
    <row r="288" spans="1:24">
      <c r="A288" s="233" t="s">
        <v>101</v>
      </c>
      <c r="B288" s="353">
        <v>571971</v>
      </c>
      <c r="C288" s="232">
        <f>+C282</f>
        <v>79.430000000000007</v>
      </c>
      <c r="D288" s="233">
        <f t="shared" si="177"/>
        <v>1.0449452347979351</v>
      </c>
      <c r="E288" s="231">
        <f t="shared" si="178"/>
        <v>597678</v>
      </c>
      <c r="G288" s="229"/>
      <c r="H288" s="229"/>
      <c r="I288" s="229"/>
      <c r="J288" s="229"/>
      <c r="K288" s="229"/>
      <c r="L288" s="444"/>
      <c r="N288" s="2546" t="s">
        <v>97</v>
      </c>
      <c r="O288" s="2547"/>
      <c r="P288" s="2547"/>
      <c r="Q288" s="2547"/>
      <c r="R288" s="2548"/>
      <c r="S288" s="444">
        <f>SUM(S276:S287)</f>
        <v>1821663</v>
      </c>
      <c r="U288" s="444">
        <f>SUM(U276:U287)</f>
        <v>2331728.64</v>
      </c>
      <c r="V288" s="154" t="s">
        <v>97</v>
      </c>
      <c r="W288" s="246">
        <f>SUM(W276:W287)</f>
        <v>9093982.0018296205</v>
      </c>
      <c r="X288" s="224">
        <f>+S288+U288+W288</f>
        <v>13247373.641829621</v>
      </c>
    </row>
    <row r="289" spans="1:23">
      <c r="A289" s="233" t="s">
        <v>102</v>
      </c>
      <c r="B289" s="353">
        <v>631053</v>
      </c>
      <c r="C289" s="232">
        <f>+C286</f>
        <v>79.349999999999994</v>
      </c>
      <c r="D289" s="233">
        <f t="shared" si="177"/>
        <v>1.0459987397605546</v>
      </c>
      <c r="E289" s="231">
        <f t="shared" si="178"/>
        <v>660080</v>
      </c>
      <c r="G289" s="229">
        <f t="shared" ref="G289:L289" si="191">SUM(G276:G288)</f>
        <v>582932.16</v>
      </c>
      <c r="H289" s="229">
        <f t="shared" si="191"/>
        <v>582932.16</v>
      </c>
      <c r="I289" s="229">
        <f t="shared" si="191"/>
        <v>1238730.8400000003</v>
      </c>
      <c r="J289" s="229">
        <f t="shared" si="191"/>
        <v>1748796.4800000002</v>
      </c>
      <c r="K289" s="229">
        <f t="shared" si="191"/>
        <v>1821663</v>
      </c>
      <c r="L289" s="229">
        <f t="shared" si="191"/>
        <v>2331728.64</v>
      </c>
    </row>
    <row r="290" spans="1:23">
      <c r="A290" s="233" t="s">
        <v>103</v>
      </c>
      <c r="B290" s="353">
        <v>571971</v>
      </c>
      <c r="C290" s="232">
        <f>+C282</f>
        <v>79.430000000000007</v>
      </c>
      <c r="D290" s="233">
        <f t="shared" si="177"/>
        <v>1.0449452347979351</v>
      </c>
      <c r="E290" s="231">
        <f t="shared" si="178"/>
        <v>597678</v>
      </c>
    </row>
    <row r="291" spans="1:23">
      <c r="A291" s="233" t="s">
        <v>104</v>
      </c>
      <c r="B291" s="353">
        <v>883474</v>
      </c>
      <c r="C291" s="232">
        <f>+C286</f>
        <v>79.349999999999994</v>
      </c>
      <c r="D291" s="233">
        <f t="shared" si="177"/>
        <v>1.0459987397605546</v>
      </c>
      <c r="E291" s="231">
        <f t="shared" si="178"/>
        <v>924112</v>
      </c>
    </row>
    <row r="292" spans="1:23">
      <c r="A292" s="233" t="s">
        <v>95</v>
      </c>
      <c r="B292" s="353">
        <v>1314694</v>
      </c>
      <c r="C292" s="232">
        <f>+C287</f>
        <v>79.56</v>
      </c>
      <c r="D292" s="233">
        <f t="shared" si="177"/>
        <v>1.0432378079436904</v>
      </c>
      <c r="E292" s="231">
        <f t="shared" si="178"/>
        <v>1371538</v>
      </c>
    </row>
    <row r="293" spans="1:23">
      <c r="A293" s="233" t="s">
        <v>96</v>
      </c>
      <c r="B293" s="353"/>
      <c r="C293" s="216"/>
      <c r="D293" s="216"/>
      <c r="E293" s="231">
        <f>SUM(E276:E292)</f>
        <v>19424358</v>
      </c>
    </row>
    <row r="294" spans="1:23">
      <c r="A294" s="233" t="s">
        <v>98</v>
      </c>
      <c r="B294" s="216"/>
      <c r="C294" s="216"/>
      <c r="D294" s="216"/>
      <c r="E294" s="231">
        <f>+G289+H289</f>
        <v>1165864.32</v>
      </c>
    </row>
    <row r="295" spans="1:23">
      <c r="A295" s="233" t="s">
        <v>99</v>
      </c>
      <c r="B295" s="216"/>
      <c r="C295" s="216"/>
      <c r="D295" s="216"/>
      <c r="E295" s="231">
        <f>+E293-E294</f>
        <v>18258493.68</v>
      </c>
    </row>
    <row r="297" spans="1:23">
      <c r="N297" s="2543" t="s">
        <v>84</v>
      </c>
      <c r="O297" s="2544"/>
      <c r="P297" s="2544"/>
      <c r="Q297" s="2544"/>
      <c r="R297" s="2544"/>
      <c r="S297" s="2544"/>
      <c r="T297" s="2544"/>
      <c r="U297" s="2544"/>
      <c r="V297" s="2544"/>
      <c r="W297" s="2545"/>
    </row>
    <row r="298" spans="1:23" ht="33.75">
      <c r="A298" s="226" t="s">
        <v>11</v>
      </c>
      <c r="B298" s="351" t="s">
        <v>12</v>
      </c>
      <c r="C298" s="228" t="s">
        <v>76</v>
      </c>
      <c r="D298" s="228" t="s">
        <v>77</v>
      </c>
      <c r="E298" s="229" t="s">
        <v>57</v>
      </c>
      <c r="G298" s="229" t="s">
        <v>78</v>
      </c>
      <c r="H298" s="229" t="s">
        <v>79</v>
      </c>
      <c r="I298" s="229" t="s">
        <v>80</v>
      </c>
      <c r="J298" s="229" t="s">
        <v>81</v>
      </c>
      <c r="K298" s="229" t="s">
        <v>82</v>
      </c>
      <c r="L298" s="229" t="s">
        <v>83</v>
      </c>
      <c r="N298" s="381" t="s">
        <v>85</v>
      </c>
      <c r="O298" s="381" t="s">
        <v>10</v>
      </c>
      <c r="P298" s="381" t="s">
        <v>86</v>
      </c>
      <c r="Q298" s="381" t="s">
        <v>87</v>
      </c>
      <c r="R298" s="381" t="s">
        <v>88</v>
      </c>
      <c r="S298" s="381" t="s">
        <v>89</v>
      </c>
      <c r="T298" s="381" t="s">
        <v>90</v>
      </c>
      <c r="U298" s="381" t="s">
        <v>91</v>
      </c>
      <c r="V298" s="381" t="s">
        <v>92</v>
      </c>
      <c r="W298" s="381" t="s">
        <v>93</v>
      </c>
    </row>
    <row r="299" spans="1:23">
      <c r="A299" s="233" t="s">
        <v>16</v>
      </c>
      <c r="B299" s="353">
        <v>1278858</v>
      </c>
      <c r="C299" s="232">
        <v>79.95</v>
      </c>
      <c r="D299" s="233">
        <f>+$C$13/C299</f>
        <v>1.0381488430268917</v>
      </c>
      <c r="E299" s="231">
        <f>INT(B299*D299)</f>
        <v>1327644</v>
      </c>
      <c r="G299" s="229">
        <f>+B299*0.04</f>
        <v>51154.32</v>
      </c>
      <c r="H299" s="229">
        <f>+B299*0.04</f>
        <v>51154.32</v>
      </c>
      <c r="I299" s="229">
        <f>+B299*0.085</f>
        <v>108702.93000000001</v>
      </c>
      <c r="J299" s="229">
        <f>+B299*0.12</f>
        <v>153462.96</v>
      </c>
      <c r="K299" s="229">
        <f>+G299+I299</f>
        <v>159857.25</v>
      </c>
      <c r="L299" s="229">
        <f>+J299+H299</f>
        <v>204617.28</v>
      </c>
      <c r="N299" s="367">
        <v>41671</v>
      </c>
      <c r="O299" s="367">
        <v>44469</v>
      </c>
      <c r="P299" s="216">
        <f t="shared" ref="P299:P305" si="192">_xlfn.DAYS(O299,N299)</f>
        <v>2798</v>
      </c>
      <c r="Q299" s="442">
        <f>19.65*1.5%</f>
        <v>0.29474999999999996</v>
      </c>
      <c r="R299" s="245">
        <f>((1+Q299)^(1/365))-1</f>
        <v>7.079700167211822E-4</v>
      </c>
      <c r="S299" s="229">
        <f>+K299</f>
        <v>159857.25</v>
      </c>
      <c r="T299" s="368">
        <f>+S299*R299*P299</f>
        <v>316661.24359549518</v>
      </c>
      <c r="U299" s="229">
        <f>+L299</f>
        <v>204617.28</v>
      </c>
      <c r="V299" s="368">
        <f>+U299*R299*P299</f>
        <v>405326.39180223382</v>
      </c>
      <c r="W299" s="246">
        <f>+T299+V299</f>
        <v>721987.635397729</v>
      </c>
    </row>
    <row r="300" spans="1:23">
      <c r="A300" s="233" t="s">
        <v>17</v>
      </c>
      <c r="B300" s="353">
        <v>1278858</v>
      </c>
      <c r="C300" s="232">
        <v>80.45</v>
      </c>
      <c r="D300" s="233">
        <f t="shared" ref="D300:D315" si="193">+$C$13/C300</f>
        <v>1.0316967060285891</v>
      </c>
      <c r="E300" s="231">
        <f t="shared" ref="E300:E315" si="194">INT(B300*D300)</f>
        <v>1319393</v>
      </c>
      <c r="G300" s="229">
        <f t="shared" ref="G300:G310" si="195">+B300*0.04</f>
        <v>51154.32</v>
      </c>
      <c r="H300" s="229">
        <f t="shared" ref="H300:H310" si="196">+B300*0.04</f>
        <v>51154.32</v>
      </c>
      <c r="I300" s="229">
        <f t="shared" ref="I300:I310" si="197">+B300*0.085</f>
        <v>108702.93000000001</v>
      </c>
      <c r="J300" s="229">
        <f t="shared" ref="J300:J310" si="198">+B300*0.12</f>
        <v>153462.96</v>
      </c>
      <c r="K300" s="229">
        <f t="shared" ref="K300:K310" si="199">+G300+I300</f>
        <v>159857.25</v>
      </c>
      <c r="L300" s="229">
        <f t="shared" ref="L300:L310" si="200">+J300+H300</f>
        <v>204617.28</v>
      </c>
      <c r="N300" s="367">
        <v>41699</v>
      </c>
      <c r="O300" s="367">
        <v>44469</v>
      </c>
      <c r="P300" s="216">
        <f t="shared" si="192"/>
        <v>2770</v>
      </c>
      <c r="Q300" s="442">
        <f>19.65*1.5%</f>
        <v>0.29474999999999996</v>
      </c>
      <c r="R300" s="245">
        <f t="shared" ref="R300:R312" si="201">((1+Q300)^(1/365))-1</f>
        <v>7.079700167211822E-4</v>
      </c>
      <c r="S300" s="229">
        <f t="shared" ref="S300:S310" si="202">+K300</f>
        <v>159857.25</v>
      </c>
      <c r="T300" s="368">
        <f t="shared" ref="T300:T312" si="203">+S300*R300*P300</f>
        <v>313492.36767674109</v>
      </c>
      <c r="U300" s="229">
        <f t="shared" ref="U300:U310" si="204">+L300</f>
        <v>204617.28</v>
      </c>
      <c r="V300" s="368">
        <f t="shared" ref="V300:V312" si="205">+U300*R300*P300</f>
        <v>401270.23062622861</v>
      </c>
      <c r="W300" s="246">
        <f t="shared" ref="W300:W312" si="206">+T300+V300</f>
        <v>714762.59830296971</v>
      </c>
    </row>
    <row r="301" spans="1:23">
      <c r="A301" s="233" t="s">
        <v>19</v>
      </c>
      <c r="B301" s="353">
        <v>1278858</v>
      </c>
      <c r="C301" s="232">
        <v>80.77</v>
      </c>
      <c r="D301" s="233">
        <f t="shared" si="193"/>
        <v>1.0276092608641823</v>
      </c>
      <c r="E301" s="231">
        <f t="shared" si="194"/>
        <v>1314166</v>
      </c>
      <c r="G301" s="229">
        <f t="shared" si="195"/>
        <v>51154.32</v>
      </c>
      <c r="H301" s="229">
        <f t="shared" si="196"/>
        <v>51154.32</v>
      </c>
      <c r="I301" s="229">
        <f t="shared" si="197"/>
        <v>108702.93000000001</v>
      </c>
      <c r="J301" s="229">
        <f t="shared" si="198"/>
        <v>153462.96</v>
      </c>
      <c r="K301" s="229">
        <f t="shared" si="199"/>
        <v>159857.25</v>
      </c>
      <c r="L301" s="229">
        <f t="shared" si="200"/>
        <v>204617.28</v>
      </c>
      <c r="N301" s="367">
        <v>41730</v>
      </c>
      <c r="O301" s="367">
        <v>44469</v>
      </c>
      <c r="P301" s="216">
        <f t="shared" si="192"/>
        <v>2739</v>
      </c>
      <c r="Q301" s="442">
        <f>19.63*1.5%</f>
        <v>0.29444999999999999</v>
      </c>
      <c r="R301" s="245">
        <f t="shared" si="201"/>
        <v>7.073346857742191E-4</v>
      </c>
      <c r="S301" s="229">
        <f t="shared" si="202"/>
        <v>159857.25</v>
      </c>
      <c r="T301" s="368">
        <f t="shared" si="203"/>
        <v>309705.79031339986</v>
      </c>
      <c r="U301" s="229">
        <f t="shared" si="204"/>
        <v>204617.28</v>
      </c>
      <c r="V301" s="368">
        <f t="shared" si="205"/>
        <v>396423.41160115181</v>
      </c>
      <c r="W301" s="246">
        <f t="shared" si="206"/>
        <v>706129.20191455167</v>
      </c>
    </row>
    <row r="302" spans="1:23">
      <c r="A302" s="233" t="s">
        <v>21</v>
      </c>
      <c r="B302" s="353">
        <v>1278858</v>
      </c>
      <c r="C302" s="232">
        <v>81.14</v>
      </c>
      <c r="D302" s="233">
        <f t="shared" si="193"/>
        <v>1.0229233423712103</v>
      </c>
      <c r="E302" s="231">
        <f t="shared" si="194"/>
        <v>1308173</v>
      </c>
      <c r="G302" s="229">
        <f t="shared" si="195"/>
        <v>51154.32</v>
      </c>
      <c r="H302" s="229">
        <f t="shared" si="196"/>
        <v>51154.32</v>
      </c>
      <c r="I302" s="229">
        <f t="shared" si="197"/>
        <v>108702.93000000001</v>
      </c>
      <c r="J302" s="229">
        <f t="shared" si="198"/>
        <v>153462.96</v>
      </c>
      <c r="K302" s="229">
        <f t="shared" si="199"/>
        <v>159857.25</v>
      </c>
      <c r="L302" s="229">
        <f t="shared" si="200"/>
        <v>204617.28</v>
      </c>
      <c r="N302" s="367">
        <v>41760</v>
      </c>
      <c r="O302" s="367">
        <v>44469</v>
      </c>
      <c r="P302" s="216">
        <f t="shared" si="192"/>
        <v>2709</v>
      </c>
      <c r="Q302" s="442">
        <f>19.63*1.5%</f>
        <v>0.29444999999999999</v>
      </c>
      <c r="R302" s="245">
        <f t="shared" si="201"/>
        <v>7.073346857742191E-4</v>
      </c>
      <c r="S302" s="229">
        <f t="shared" si="202"/>
        <v>159857.25</v>
      </c>
      <c r="T302" s="368">
        <f t="shared" si="203"/>
        <v>306313.61298247543</v>
      </c>
      <c r="U302" s="229">
        <f t="shared" si="204"/>
        <v>204617.28</v>
      </c>
      <c r="V302" s="368">
        <f t="shared" si="205"/>
        <v>392081.42461756855</v>
      </c>
      <c r="W302" s="246">
        <f t="shared" si="206"/>
        <v>698395.03760004393</v>
      </c>
    </row>
    <row r="303" spans="1:23">
      <c r="A303" s="233" t="s">
        <v>23</v>
      </c>
      <c r="B303" s="353">
        <v>1278858</v>
      </c>
      <c r="C303" s="232">
        <v>81.53</v>
      </c>
      <c r="D303" s="233">
        <f t="shared" si="193"/>
        <v>1.0180301729424752</v>
      </c>
      <c r="E303" s="231">
        <f t="shared" si="194"/>
        <v>1301916</v>
      </c>
      <c r="G303" s="229">
        <f t="shared" si="195"/>
        <v>51154.32</v>
      </c>
      <c r="H303" s="229">
        <f t="shared" si="196"/>
        <v>51154.32</v>
      </c>
      <c r="I303" s="229">
        <f t="shared" si="197"/>
        <v>108702.93000000001</v>
      </c>
      <c r="J303" s="229">
        <f t="shared" si="198"/>
        <v>153462.96</v>
      </c>
      <c r="K303" s="229">
        <f t="shared" si="199"/>
        <v>159857.25</v>
      </c>
      <c r="L303" s="229">
        <f t="shared" si="200"/>
        <v>204617.28</v>
      </c>
      <c r="N303" s="367">
        <v>41791</v>
      </c>
      <c r="O303" s="367">
        <v>44469</v>
      </c>
      <c r="P303" s="216">
        <f t="shared" si="192"/>
        <v>2678</v>
      </c>
      <c r="Q303" s="442">
        <f>19.63*1.5%</f>
        <v>0.29444999999999999</v>
      </c>
      <c r="R303" s="245">
        <f t="shared" si="201"/>
        <v>7.073346857742191E-4</v>
      </c>
      <c r="S303" s="229">
        <f t="shared" si="202"/>
        <v>159857.25</v>
      </c>
      <c r="T303" s="368">
        <f t="shared" si="203"/>
        <v>302808.36307385354</v>
      </c>
      <c r="U303" s="229">
        <f t="shared" si="204"/>
        <v>204617.28</v>
      </c>
      <c r="V303" s="368">
        <f t="shared" si="205"/>
        <v>387594.70473453251</v>
      </c>
      <c r="W303" s="246">
        <f t="shared" si="206"/>
        <v>690403.06780838605</v>
      </c>
    </row>
    <row r="304" spans="1:23">
      <c r="A304" s="233" t="s">
        <v>25</v>
      </c>
      <c r="B304" s="353">
        <v>1278858</v>
      </c>
      <c r="C304" s="232">
        <v>81.61</v>
      </c>
      <c r="D304" s="233">
        <f t="shared" si="193"/>
        <v>1.017032226442838</v>
      </c>
      <c r="E304" s="231">
        <f t="shared" si="194"/>
        <v>1300639</v>
      </c>
      <c r="G304" s="229">
        <f t="shared" si="195"/>
        <v>51154.32</v>
      </c>
      <c r="H304" s="229">
        <f t="shared" si="196"/>
        <v>51154.32</v>
      </c>
      <c r="I304" s="229">
        <f t="shared" si="197"/>
        <v>108702.93000000001</v>
      </c>
      <c r="J304" s="229">
        <f t="shared" si="198"/>
        <v>153462.96</v>
      </c>
      <c r="K304" s="229">
        <f t="shared" si="199"/>
        <v>159857.25</v>
      </c>
      <c r="L304" s="229">
        <f t="shared" si="200"/>
        <v>204617.28</v>
      </c>
      <c r="N304" s="367">
        <v>41821</v>
      </c>
      <c r="O304" s="367">
        <v>44469</v>
      </c>
      <c r="P304" s="216">
        <f t="shared" si="192"/>
        <v>2648</v>
      </c>
      <c r="Q304" s="442">
        <f>19.33*1.5%</f>
        <v>0.28994999999999999</v>
      </c>
      <c r="R304" s="245">
        <f t="shared" si="201"/>
        <v>6.9778706056067286E-4</v>
      </c>
      <c r="S304" s="229">
        <f t="shared" si="202"/>
        <v>159857.25</v>
      </c>
      <c r="T304" s="368">
        <f t="shared" si="203"/>
        <v>295374.65691387985</v>
      </c>
      <c r="U304" s="229">
        <f t="shared" si="204"/>
        <v>204617.28</v>
      </c>
      <c r="V304" s="368">
        <f t="shared" si="205"/>
        <v>378079.56084976619</v>
      </c>
      <c r="W304" s="246">
        <f t="shared" si="206"/>
        <v>673454.21776364604</v>
      </c>
    </row>
    <row r="305" spans="1:24">
      <c r="A305" s="233" t="s">
        <v>27</v>
      </c>
      <c r="B305" s="353">
        <v>1278858</v>
      </c>
      <c r="C305" s="232">
        <v>81.73</v>
      </c>
      <c r="D305" s="233">
        <f t="shared" si="193"/>
        <v>1.0155389697785391</v>
      </c>
      <c r="E305" s="231">
        <f t="shared" si="194"/>
        <v>1298730</v>
      </c>
      <c r="G305" s="229">
        <f t="shared" si="195"/>
        <v>51154.32</v>
      </c>
      <c r="H305" s="229">
        <f t="shared" si="196"/>
        <v>51154.32</v>
      </c>
      <c r="I305" s="229">
        <f t="shared" si="197"/>
        <v>108702.93000000001</v>
      </c>
      <c r="J305" s="229">
        <f t="shared" si="198"/>
        <v>153462.96</v>
      </c>
      <c r="K305" s="229">
        <f t="shared" si="199"/>
        <v>159857.25</v>
      </c>
      <c r="L305" s="229">
        <f t="shared" si="200"/>
        <v>204617.28</v>
      </c>
      <c r="N305" s="367">
        <v>41852</v>
      </c>
      <c r="O305" s="367">
        <v>44469</v>
      </c>
      <c r="P305" s="216">
        <f t="shared" si="192"/>
        <v>2617</v>
      </c>
      <c r="Q305" s="442">
        <f>19.33*1.5%</f>
        <v>0.28994999999999999</v>
      </c>
      <c r="R305" s="245">
        <f t="shared" si="201"/>
        <v>6.9778706056067286E-4</v>
      </c>
      <c r="S305" s="229">
        <f t="shared" si="202"/>
        <v>159857.25</v>
      </c>
      <c r="T305" s="368">
        <f t="shared" si="203"/>
        <v>291916.72097568866</v>
      </c>
      <c r="U305" s="229">
        <f t="shared" si="204"/>
        <v>204617.28</v>
      </c>
      <c r="V305" s="368">
        <f t="shared" si="205"/>
        <v>373653.40284888144</v>
      </c>
      <c r="W305" s="246">
        <f t="shared" si="206"/>
        <v>665570.1238245701</v>
      </c>
    </row>
    <row r="306" spans="1:24">
      <c r="A306" s="233" t="s">
        <v>29</v>
      </c>
      <c r="B306" s="353">
        <v>1278858</v>
      </c>
      <c r="C306" s="232">
        <v>81.900000000000006</v>
      </c>
      <c r="D306" s="233">
        <f t="shared" si="193"/>
        <v>1.0134310134310134</v>
      </c>
      <c r="E306" s="231">
        <f t="shared" si="194"/>
        <v>1296034</v>
      </c>
      <c r="G306" s="229">
        <f t="shared" si="195"/>
        <v>51154.32</v>
      </c>
      <c r="H306" s="229">
        <f t="shared" si="196"/>
        <v>51154.32</v>
      </c>
      <c r="I306" s="229">
        <f t="shared" si="197"/>
        <v>108702.93000000001</v>
      </c>
      <c r="J306" s="229">
        <f t="shared" si="198"/>
        <v>153462.96</v>
      </c>
      <c r="K306" s="229">
        <f t="shared" si="199"/>
        <v>159857.25</v>
      </c>
      <c r="L306" s="229">
        <f t="shared" si="200"/>
        <v>204617.28</v>
      </c>
      <c r="N306" s="367">
        <v>41883</v>
      </c>
      <c r="O306" s="367">
        <v>44469</v>
      </c>
      <c r="P306" s="216">
        <f t="shared" ref="P306:P312" si="207">_xlfn.DAYS(O306,N306)</f>
        <v>2586</v>
      </c>
      <c r="Q306" s="442">
        <f>19.33*1.5%</f>
        <v>0.28994999999999999</v>
      </c>
      <c r="R306" s="245">
        <f t="shared" si="201"/>
        <v>6.9778706056067286E-4</v>
      </c>
      <c r="S306" s="229">
        <f t="shared" si="202"/>
        <v>159857.25</v>
      </c>
      <c r="T306" s="368">
        <f t="shared" si="203"/>
        <v>288458.78503749747</v>
      </c>
      <c r="U306" s="229">
        <f t="shared" si="204"/>
        <v>204617.28</v>
      </c>
      <c r="V306" s="368">
        <f t="shared" si="205"/>
        <v>369227.24484799674</v>
      </c>
      <c r="W306" s="246">
        <f t="shared" si="206"/>
        <v>657686.02988549415</v>
      </c>
    </row>
    <row r="307" spans="1:24">
      <c r="A307" s="233" t="s">
        <v>31</v>
      </c>
      <c r="B307" s="353">
        <v>1278858</v>
      </c>
      <c r="C307" s="232">
        <v>82.01</v>
      </c>
      <c r="D307" s="233">
        <f t="shared" si="193"/>
        <v>1.0120716985733447</v>
      </c>
      <c r="E307" s="231">
        <f t="shared" si="194"/>
        <v>1294295</v>
      </c>
      <c r="G307" s="229">
        <f t="shared" si="195"/>
        <v>51154.32</v>
      </c>
      <c r="H307" s="229">
        <f t="shared" si="196"/>
        <v>51154.32</v>
      </c>
      <c r="I307" s="229">
        <f t="shared" si="197"/>
        <v>108702.93000000001</v>
      </c>
      <c r="J307" s="229">
        <f t="shared" si="198"/>
        <v>153462.96</v>
      </c>
      <c r="K307" s="229">
        <f t="shared" si="199"/>
        <v>159857.25</v>
      </c>
      <c r="L307" s="229">
        <f t="shared" si="200"/>
        <v>204617.28</v>
      </c>
      <c r="N307" s="367">
        <v>41913</v>
      </c>
      <c r="O307" s="367">
        <v>44469</v>
      </c>
      <c r="P307" s="216">
        <f t="shared" si="207"/>
        <v>2556</v>
      </c>
      <c r="Q307" s="442">
        <f>19.17*1.5%</f>
        <v>0.28755000000000003</v>
      </c>
      <c r="R307" s="245">
        <f t="shared" si="201"/>
        <v>6.9268140331879557E-4</v>
      </c>
      <c r="S307" s="229">
        <f t="shared" si="202"/>
        <v>159857.25</v>
      </c>
      <c r="T307" s="368">
        <f t="shared" si="203"/>
        <v>283026.2487303071</v>
      </c>
      <c r="U307" s="229">
        <f t="shared" si="204"/>
        <v>204617.28</v>
      </c>
      <c r="V307" s="368">
        <f t="shared" si="205"/>
        <v>362273.59837479307</v>
      </c>
      <c r="W307" s="246">
        <f t="shared" si="206"/>
        <v>645299.84710510017</v>
      </c>
    </row>
    <row r="308" spans="1:24">
      <c r="A308" s="233" t="s">
        <v>33</v>
      </c>
      <c r="B308" s="353">
        <v>1278858</v>
      </c>
      <c r="C308" s="232">
        <v>82.14</v>
      </c>
      <c r="D308" s="233">
        <f t="shared" si="193"/>
        <v>1.0104699293888484</v>
      </c>
      <c r="E308" s="231">
        <f t="shared" si="194"/>
        <v>1292247</v>
      </c>
      <c r="G308" s="229">
        <f t="shared" si="195"/>
        <v>51154.32</v>
      </c>
      <c r="H308" s="229">
        <f t="shared" si="196"/>
        <v>51154.32</v>
      </c>
      <c r="I308" s="229">
        <f t="shared" si="197"/>
        <v>108702.93000000001</v>
      </c>
      <c r="J308" s="229">
        <f t="shared" si="198"/>
        <v>153462.96</v>
      </c>
      <c r="K308" s="229">
        <f t="shared" si="199"/>
        <v>159857.25</v>
      </c>
      <c r="L308" s="229">
        <f t="shared" si="200"/>
        <v>204617.28</v>
      </c>
      <c r="N308" s="367">
        <v>41944</v>
      </c>
      <c r="O308" s="367">
        <v>44469</v>
      </c>
      <c r="P308" s="216">
        <f t="shared" si="207"/>
        <v>2525</v>
      </c>
      <c r="Q308" s="442">
        <f>19.17*1.5%</f>
        <v>0.28755000000000003</v>
      </c>
      <c r="R308" s="245">
        <f t="shared" si="201"/>
        <v>6.9268140331879557E-4</v>
      </c>
      <c r="S308" s="229">
        <f t="shared" si="202"/>
        <v>159857.25</v>
      </c>
      <c r="T308" s="368">
        <f t="shared" si="203"/>
        <v>279593.61425822589</v>
      </c>
      <c r="U308" s="229">
        <f t="shared" si="204"/>
        <v>204617.28</v>
      </c>
      <c r="V308" s="368">
        <f t="shared" si="205"/>
        <v>357879.82625052915</v>
      </c>
      <c r="W308" s="246">
        <f t="shared" si="206"/>
        <v>637473.44050875504</v>
      </c>
    </row>
    <row r="309" spans="1:24">
      <c r="A309" s="233" t="s">
        <v>34</v>
      </c>
      <c r="B309" s="353">
        <v>1278858</v>
      </c>
      <c r="C309" s="232">
        <v>82.25</v>
      </c>
      <c r="D309" s="233">
        <f t="shared" si="193"/>
        <v>1.0091185410334347</v>
      </c>
      <c r="E309" s="231">
        <f t="shared" si="194"/>
        <v>1290519</v>
      </c>
      <c r="G309" s="229">
        <f t="shared" si="195"/>
        <v>51154.32</v>
      </c>
      <c r="H309" s="229">
        <f t="shared" si="196"/>
        <v>51154.32</v>
      </c>
      <c r="I309" s="229">
        <f t="shared" si="197"/>
        <v>108702.93000000001</v>
      </c>
      <c r="J309" s="229">
        <f t="shared" si="198"/>
        <v>153462.96</v>
      </c>
      <c r="K309" s="229">
        <f t="shared" si="199"/>
        <v>159857.25</v>
      </c>
      <c r="L309" s="229">
        <f t="shared" si="200"/>
        <v>204617.28</v>
      </c>
      <c r="N309" s="367">
        <v>41974</v>
      </c>
      <c r="O309" s="367">
        <v>44469</v>
      </c>
      <c r="P309" s="216">
        <f t="shared" si="207"/>
        <v>2495</v>
      </c>
      <c r="Q309" s="442">
        <f>19.17*1.5%</f>
        <v>0.28755000000000003</v>
      </c>
      <c r="R309" s="245">
        <f t="shared" si="201"/>
        <v>6.9268140331879557E-4</v>
      </c>
      <c r="S309" s="229">
        <f t="shared" si="202"/>
        <v>159857.25</v>
      </c>
      <c r="T309" s="368">
        <f t="shared" si="203"/>
        <v>276271.70993040543</v>
      </c>
      <c r="U309" s="229">
        <f t="shared" si="204"/>
        <v>204617.28</v>
      </c>
      <c r="V309" s="368">
        <f t="shared" si="205"/>
        <v>353627.78871091892</v>
      </c>
      <c r="W309" s="246">
        <f t="shared" si="206"/>
        <v>629899.49864132435</v>
      </c>
    </row>
    <row r="310" spans="1:24">
      <c r="A310" s="233" t="s">
        <v>35</v>
      </c>
      <c r="B310" s="353">
        <v>1278858</v>
      </c>
      <c r="C310" s="232">
        <v>82.47</v>
      </c>
      <c r="D310" s="233">
        <f t="shared" si="193"/>
        <v>1.0064265793621923</v>
      </c>
      <c r="E310" s="231">
        <f t="shared" si="194"/>
        <v>1287076</v>
      </c>
      <c r="G310" s="229">
        <f t="shared" si="195"/>
        <v>51154.32</v>
      </c>
      <c r="H310" s="229">
        <f t="shared" si="196"/>
        <v>51154.32</v>
      </c>
      <c r="I310" s="229">
        <f t="shared" si="197"/>
        <v>108702.93000000001</v>
      </c>
      <c r="J310" s="229">
        <f t="shared" si="198"/>
        <v>153462.96</v>
      </c>
      <c r="K310" s="229">
        <f t="shared" si="199"/>
        <v>159857.25</v>
      </c>
      <c r="L310" s="229">
        <f t="shared" si="200"/>
        <v>204617.28</v>
      </c>
      <c r="N310" s="367">
        <v>42005</v>
      </c>
      <c r="O310" s="367">
        <v>44469</v>
      </c>
      <c r="P310" s="216">
        <f t="shared" si="207"/>
        <v>2464</v>
      </c>
      <c r="Q310" s="442">
        <f>19.21*1.5%</f>
        <v>0.28815000000000002</v>
      </c>
      <c r="R310" s="245">
        <f t="shared" si="201"/>
        <v>6.9395870684818561E-4</v>
      </c>
      <c r="S310" s="229">
        <f t="shared" si="202"/>
        <v>159857.25</v>
      </c>
      <c r="T310" s="368">
        <f t="shared" si="203"/>
        <v>273342.19032811676</v>
      </c>
      <c r="U310" s="229">
        <f t="shared" si="204"/>
        <v>204617.28</v>
      </c>
      <c r="V310" s="368">
        <f t="shared" si="205"/>
        <v>349878.00361998944</v>
      </c>
      <c r="W310" s="246">
        <f t="shared" si="206"/>
        <v>623220.19394810614</v>
      </c>
    </row>
    <row r="311" spans="1:24">
      <c r="A311" s="233" t="s">
        <v>101</v>
      </c>
      <c r="B311" s="353">
        <v>603429</v>
      </c>
      <c r="C311" s="232">
        <f>+C305</f>
        <v>81.73</v>
      </c>
      <c r="D311" s="233">
        <f t="shared" si="193"/>
        <v>1.0155389697785391</v>
      </c>
      <c r="E311" s="231">
        <f t="shared" si="194"/>
        <v>612805</v>
      </c>
      <c r="G311" s="229"/>
      <c r="H311" s="229"/>
      <c r="I311" s="229"/>
      <c r="J311" s="229"/>
      <c r="K311" s="229"/>
      <c r="L311" s="444"/>
      <c r="N311" s="367">
        <v>42005</v>
      </c>
      <c r="O311" s="367">
        <v>44469</v>
      </c>
      <c r="P311" s="216">
        <f t="shared" si="207"/>
        <v>2464</v>
      </c>
      <c r="Q311" s="442">
        <f>19.21*1.5%</f>
        <v>0.28815000000000002</v>
      </c>
      <c r="R311" s="245">
        <f t="shared" si="201"/>
        <v>6.9395870684818561E-4</v>
      </c>
      <c r="S311" s="229">
        <f>+K310</f>
        <v>159857.25</v>
      </c>
      <c r="T311" s="368">
        <f t="shared" si="203"/>
        <v>273342.19032811676</v>
      </c>
      <c r="U311" s="229">
        <f>+L310</f>
        <v>204617.28</v>
      </c>
      <c r="V311" s="368">
        <f t="shared" si="205"/>
        <v>349878.00361998944</v>
      </c>
      <c r="W311" s="246">
        <f t="shared" si="206"/>
        <v>623220.19394810614</v>
      </c>
    </row>
    <row r="312" spans="1:24">
      <c r="A312" s="233" t="s">
        <v>102</v>
      </c>
      <c r="B312" s="353">
        <v>664572</v>
      </c>
      <c r="C312" s="232">
        <f>+C309</f>
        <v>82.25</v>
      </c>
      <c r="D312" s="233">
        <f t="shared" si="193"/>
        <v>1.0091185410334347</v>
      </c>
      <c r="E312" s="231">
        <f t="shared" si="194"/>
        <v>670631</v>
      </c>
      <c r="G312" s="229">
        <f t="shared" ref="G312:L312" si="208">SUM(G299:G311)</f>
        <v>613851.84</v>
      </c>
      <c r="H312" s="229">
        <f t="shared" si="208"/>
        <v>613851.84</v>
      </c>
      <c r="I312" s="229">
        <f t="shared" si="208"/>
        <v>1304435.1600000001</v>
      </c>
      <c r="J312" s="229">
        <f t="shared" si="208"/>
        <v>1841555.5199999998</v>
      </c>
      <c r="K312" s="229">
        <f t="shared" si="208"/>
        <v>1918287</v>
      </c>
      <c r="L312" s="229">
        <f t="shared" si="208"/>
        <v>2455407.36</v>
      </c>
      <c r="N312" s="367">
        <v>42005</v>
      </c>
      <c r="O312" s="367">
        <v>44469</v>
      </c>
      <c r="P312" s="216">
        <f t="shared" si="207"/>
        <v>2464</v>
      </c>
      <c r="Q312" s="442">
        <f>19.21*1.5%</f>
        <v>0.28815000000000002</v>
      </c>
      <c r="R312" s="245">
        <f t="shared" si="201"/>
        <v>6.9395870684818561E-4</v>
      </c>
      <c r="S312" s="229">
        <f>+K310</f>
        <v>159857.25</v>
      </c>
      <c r="T312" s="368">
        <f t="shared" si="203"/>
        <v>273342.19032811676</v>
      </c>
      <c r="U312" s="229">
        <f>+L310</f>
        <v>204617.28</v>
      </c>
      <c r="V312" s="368">
        <f t="shared" si="205"/>
        <v>349878.00361998944</v>
      </c>
      <c r="W312" s="246">
        <f t="shared" si="206"/>
        <v>623220.19394810614</v>
      </c>
    </row>
    <row r="313" spans="1:24">
      <c r="A313" s="233" t="s">
        <v>103</v>
      </c>
      <c r="B313" s="353">
        <v>80457</v>
      </c>
      <c r="C313" s="232">
        <f>+C305</f>
        <v>81.73</v>
      </c>
      <c r="D313" s="233">
        <f t="shared" si="193"/>
        <v>1.0155389697785391</v>
      </c>
      <c r="E313" s="231">
        <f t="shared" si="194"/>
        <v>81707</v>
      </c>
      <c r="N313" s="2546" t="s">
        <v>97</v>
      </c>
      <c r="O313" s="2547"/>
      <c r="P313" s="2547"/>
      <c r="Q313" s="2547"/>
      <c r="R313" s="2548"/>
      <c r="S313" s="348">
        <f>SUM(S299:S312)</f>
        <v>2238001.5</v>
      </c>
      <c r="U313" s="348">
        <f>SUM(U299:U312)</f>
        <v>2864641.9199999995</v>
      </c>
      <c r="V313" s="154" t="s">
        <v>97</v>
      </c>
      <c r="W313" s="246">
        <f>SUM(W299:W312)</f>
        <v>9310721.2805968896</v>
      </c>
      <c r="X313" s="224">
        <f>+S313+U313+W313</f>
        <v>14413364.700596889</v>
      </c>
    </row>
    <row r="314" spans="1:24">
      <c r="A314" s="233" t="s">
        <v>104</v>
      </c>
      <c r="B314" s="353">
        <v>930401</v>
      </c>
      <c r="C314" s="232">
        <f>+C309</f>
        <v>82.25</v>
      </c>
      <c r="D314" s="233">
        <f t="shared" si="193"/>
        <v>1.0091185410334347</v>
      </c>
      <c r="E314" s="231">
        <f t="shared" si="194"/>
        <v>938884</v>
      </c>
    </row>
    <row r="315" spans="1:24" ht="13.5" thickBot="1">
      <c r="A315" s="233" t="s">
        <v>95</v>
      </c>
      <c r="B315" s="353">
        <v>1384525</v>
      </c>
      <c r="C315" s="232">
        <f>+C310</f>
        <v>82.47</v>
      </c>
      <c r="D315" s="233">
        <f t="shared" si="193"/>
        <v>1.0064265793621923</v>
      </c>
      <c r="E315" s="231">
        <f t="shared" si="194"/>
        <v>1393422</v>
      </c>
      <c r="P315" s="217" t="s">
        <v>116</v>
      </c>
      <c r="R315" s="103">
        <f>+S21+S38+S61+S83+S105+S128+S151+S175+S198+S221+S243+S265+S288+S313</f>
        <v>17748833.640000001</v>
      </c>
      <c r="V315" s="366" t="s">
        <v>117</v>
      </c>
      <c r="W315" s="445">
        <f>+W21+W38+W61+W83+W105+W128+W151+W175+W198+W221+W243+W265+W288+W313</f>
        <v>123456809.96519271</v>
      </c>
    </row>
    <row r="316" spans="1:24" ht="13.5" thickTop="1">
      <c r="A316" s="233" t="s">
        <v>96</v>
      </c>
      <c r="B316" s="353"/>
      <c r="E316" s="231">
        <f>SUM(E299:E315)</f>
        <v>19328281</v>
      </c>
      <c r="P316" s="217" t="s">
        <v>118</v>
      </c>
      <c r="R316" s="103">
        <f>+U21+U38+U61+U83+U105+U128+U151+U175+U198+U221+U265+U288+U313+U243</f>
        <v>22273465.170299996</v>
      </c>
    </row>
    <row r="317" spans="1:24">
      <c r="A317" s="233" t="s">
        <v>98</v>
      </c>
      <c r="B317" s="216"/>
      <c r="E317" s="231">
        <f>+G312+H312</f>
        <v>1227703.68</v>
      </c>
      <c r="P317" s="446" t="s">
        <v>119</v>
      </c>
      <c r="Q317" s="446"/>
      <c r="R317" s="447">
        <f>+W315</f>
        <v>123456809.96519271</v>
      </c>
      <c r="W317" s="438"/>
    </row>
    <row r="318" spans="1:24">
      <c r="A318" s="233" t="s">
        <v>99</v>
      </c>
      <c r="B318" s="216"/>
      <c r="E318" s="231">
        <f>+E316-E317</f>
        <v>18100577.32</v>
      </c>
      <c r="P318" s="221" t="s">
        <v>120</v>
      </c>
      <c r="R318" s="438">
        <f>SUM(R315:R317)</f>
        <v>163479108.7754927</v>
      </c>
    </row>
    <row r="319" spans="1:24">
      <c r="R319" s="593"/>
    </row>
    <row r="320" spans="1:24">
      <c r="R320" s="595">
        <v>174296500</v>
      </c>
    </row>
    <row r="321" spans="18:18">
      <c r="R321" s="595">
        <f>+R320-R318</f>
        <v>10817391.224507302</v>
      </c>
    </row>
    <row r="322" spans="18:18">
      <c r="R322" s="595"/>
    </row>
  </sheetData>
  <mergeCells count="28">
    <mergeCell ref="N61:R61"/>
    <mergeCell ref="N15:W15"/>
    <mergeCell ref="N21:R21"/>
    <mergeCell ref="N24:W24"/>
    <mergeCell ref="N38:R38"/>
    <mergeCell ref="N47:W47"/>
    <mergeCell ref="N198:R198"/>
    <mergeCell ref="N69:W69"/>
    <mergeCell ref="N83:R83"/>
    <mergeCell ref="N91:W91"/>
    <mergeCell ref="N105:R105"/>
    <mergeCell ref="N114:W114"/>
    <mergeCell ref="N128:R128"/>
    <mergeCell ref="N137:W137"/>
    <mergeCell ref="N151:R151"/>
    <mergeCell ref="N161:W161"/>
    <mergeCell ref="N175:R175"/>
    <mergeCell ref="N184:W184"/>
    <mergeCell ref="N274:W274"/>
    <mergeCell ref="N288:R288"/>
    <mergeCell ref="N297:W297"/>
    <mergeCell ref="N313:R313"/>
    <mergeCell ref="N207:W207"/>
    <mergeCell ref="N221:R221"/>
    <mergeCell ref="N229:W229"/>
    <mergeCell ref="N243:R243"/>
    <mergeCell ref="N251:W251"/>
    <mergeCell ref="N265:R265"/>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A5817-C406-4488-8C74-578052405A03}">
  <sheetPr codeName="Hoja37"/>
  <dimension ref="A1:Q216"/>
  <sheetViews>
    <sheetView topLeftCell="A146" zoomScale="94" zoomScaleNormal="101" workbookViewId="0">
      <selection activeCell="D152" sqref="D152"/>
    </sheetView>
  </sheetViews>
  <sheetFormatPr defaultColWidth="9.140625" defaultRowHeight="12.75"/>
  <cols>
    <col min="1" max="1" width="3.5703125" customWidth="1"/>
    <col min="2" max="2" width="19.85546875" customWidth="1"/>
    <col min="3" max="3" width="16.5703125" customWidth="1"/>
    <col min="4" max="4" width="15.85546875" customWidth="1"/>
    <col min="5" max="5" width="15.42578125" style="8" bestFit="1" customWidth="1"/>
    <col min="6" max="6" width="14.85546875" customWidth="1"/>
    <col min="7" max="7" width="10.5703125" style="32" customWidth="1"/>
    <col min="8" max="8" width="13.5703125" style="32" bestFit="1" customWidth="1"/>
    <col min="9" max="9" width="16.85546875" customWidth="1"/>
    <col min="10" max="10" width="17.5703125" customWidth="1"/>
    <col min="11" max="11" width="15.7109375" style="8" customWidth="1"/>
    <col min="12" max="12" width="12.42578125" style="8" customWidth="1"/>
    <col min="13" max="13" width="14.7109375" bestFit="1" customWidth="1"/>
    <col min="14" max="15" width="12" bestFit="1" customWidth="1"/>
    <col min="16" max="16" width="15.42578125" customWidth="1"/>
    <col min="17" max="257" width="11.42578125" customWidth="1"/>
  </cols>
  <sheetData>
    <row r="1" spans="2:13" ht="13.5">
      <c r="B1" s="1084" t="s">
        <v>538</v>
      </c>
      <c r="C1" s="948" t="s">
        <v>539</v>
      </c>
      <c r="D1" s="948"/>
      <c r="E1" s="1085"/>
      <c r="F1" s="1086"/>
      <c r="G1" s="1087"/>
      <c r="H1" s="1087"/>
      <c r="I1" s="1086"/>
      <c r="J1" s="1086"/>
      <c r="K1" s="1085"/>
      <c r="L1" s="1085"/>
      <c r="M1" s="1086"/>
    </row>
    <row r="2" spans="2:13" ht="13.5">
      <c r="B2" s="1084" t="s">
        <v>540</v>
      </c>
      <c r="C2" s="1088">
        <v>45694413</v>
      </c>
      <c r="D2" s="1086"/>
      <c r="E2" s="1085"/>
      <c r="F2" s="1086"/>
      <c r="G2" s="1087"/>
      <c r="H2" s="1087"/>
      <c r="I2" s="1086"/>
      <c r="J2" s="1086"/>
      <c r="K2" s="1085"/>
      <c r="L2" s="1085"/>
      <c r="M2" s="1086"/>
    </row>
    <row r="3" spans="2:13" ht="13.5">
      <c r="B3" s="951" t="s">
        <v>541</v>
      </c>
      <c r="C3" s="821">
        <v>41501</v>
      </c>
      <c r="D3" s="1086"/>
      <c r="E3" s="1085"/>
      <c r="F3" s="1086"/>
      <c r="G3" s="1087"/>
      <c r="H3" s="1087"/>
      <c r="I3" s="1086"/>
      <c r="J3" s="1086"/>
      <c r="K3" s="1085"/>
      <c r="L3" s="1085"/>
      <c r="M3" s="1086"/>
    </row>
    <row r="4" spans="2:13" ht="13.5">
      <c r="B4" s="951" t="s">
        <v>287</v>
      </c>
      <c r="C4" s="821">
        <v>43070</v>
      </c>
      <c r="D4" s="1086"/>
      <c r="E4" s="1085"/>
      <c r="F4" s="1086"/>
      <c r="G4" s="1087"/>
      <c r="H4" s="1087"/>
      <c r="I4" s="1086"/>
      <c r="J4" s="1086"/>
      <c r="K4" s="1085"/>
      <c r="L4" s="1085"/>
      <c r="M4" s="1086"/>
    </row>
    <row r="5" spans="2:13" ht="13.5">
      <c r="B5" s="1084" t="s">
        <v>290</v>
      </c>
      <c r="C5" s="1089">
        <v>43236</v>
      </c>
      <c r="D5" s="1090"/>
      <c r="E5" s="1085"/>
      <c r="F5" s="1086"/>
      <c r="G5" s="1087"/>
      <c r="H5" s="1087"/>
      <c r="I5" s="1086"/>
      <c r="J5" s="1086"/>
      <c r="K5" s="1085"/>
      <c r="L5" s="1085"/>
      <c r="M5" s="1086"/>
    </row>
    <row r="6" spans="2:13" ht="13.5">
      <c r="B6" s="951" t="s">
        <v>351</v>
      </c>
      <c r="C6" s="948" t="s">
        <v>542</v>
      </c>
      <c r="D6" s="1086"/>
      <c r="E6" s="1085"/>
      <c r="F6" s="1086"/>
      <c r="G6" s="1087"/>
      <c r="H6" s="1087"/>
      <c r="I6" s="1086"/>
      <c r="J6" s="1086"/>
      <c r="K6" s="1085"/>
      <c r="L6" s="1085"/>
      <c r="M6" s="1086"/>
    </row>
    <row r="7" spans="2:13" ht="13.5">
      <c r="B7" s="951" t="s">
        <v>124</v>
      </c>
      <c r="C7" s="948" t="s">
        <v>543</v>
      </c>
      <c r="D7" s="948"/>
      <c r="E7" s="1085"/>
      <c r="F7" s="1086"/>
      <c r="G7" s="1087"/>
      <c r="H7" s="1087"/>
      <c r="I7" s="1086"/>
      <c r="J7" s="1086"/>
      <c r="K7" s="1085"/>
      <c r="L7" s="1085"/>
      <c r="M7" s="1086"/>
    </row>
    <row r="8" spans="2:13" ht="13.5">
      <c r="B8" s="951" t="s">
        <v>2</v>
      </c>
      <c r="C8" s="948" t="s">
        <v>544</v>
      </c>
      <c r="D8" s="1086"/>
      <c r="E8" s="1085"/>
      <c r="F8" s="1086"/>
      <c r="G8" s="1087"/>
      <c r="H8" s="1087"/>
      <c r="I8" s="1086"/>
      <c r="J8" s="1086"/>
      <c r="K8" s="1085"/>
      <c r="L8" s="1085"/>
      <c r="M8" s="1086"/>
    </row>
    <row r="9" spans="2:13" ht="13.5">
      <c r="B9" s="1091" t="s">
        <v>545</v>
      </c>
      <c r="C9" s="821">
        <v>41501</v>
      </c>
      <c r="D9" s="1086"/>
      <c r="E9" s="1085"/>
      <c r="F9" s="1086"/>
      <c r="G9" s="1087"/>
      <c r="H9" s="1087"/>
      <c r="I9" s="1086"/>
      <c r="J9" s="1086"/>
      <c r="K9" s="1085"/>
      <c r="L9" s="1085"/>
      <c r="M9" s="1086"/>
    </row>
    <row r="10" spans="2:13" ht="13.5">
      <c r="B10" s="951"/>
      <c r="C10" s="821"/>
      <c r="D10" s="948"/>
      <c r="E10" s="1092"/>
      <c r="F10" s="1088"/>
      <c r="G10" s="1087"/>
      <c r="H10" s="1087"/>
      <c r="I10" s="1086"/>
      <c r="J10" s="1086"/>
      <c r="K10" s="1085"/>
      <c r="L10" s="1085"/>
      <c r="M10" s="1086"/>
    </row>
    <row r="11" spans="2:13" ht="13.5">
      <c r="B11" s="951" t="s">
        <v>546</v>
      </c>
      <c r="C11" s="1240">
        <v>96.92</v>
      </c>
      <c r="D11" s="951"/>
      <c r="E11" s="1092"/>
      <c r="F11" s="1088"/>
      <c r="G11" s="1087"/>
      <c r="H11" s="2631" t="s">
        <v>547</v>
      </c>
      <c r="I11" s="2632"/>
      <c r="J11" s="2632"/>
      <c r="K11" s="2632"/>
      <c r="L11" s="2632"/>
      <c r="M11" s="2633"/>
    </row>
    <row r="12" spans="2:13" ht="13.5">
      <c r="B12" s="1093" t="s">
        <v>11</v>
      </c>
      <c r="C12" s="1093" t="s">
        <v>115</v>
      </c>
      <c r="D12" s="1093" t="s">
        <v>76</v>
      </c>
      <c r="E12" s="1093" t="s">
        <v>77</v>
      </c>
      <c r="F12" s="1093" t="s">
        <v>57</v>
      </c>
      <c r="G12" s="1087"/>
      <c r="H12" s="1093" t="s">
        <v>78</v>
      </c>
      <c r="I12" s="1093" t="s">
        <v>79</v>
      </c>
      <c r="J12" s="1093" t="s">
        <v>186</v>
      </c>
      <c r="K12" s="1093" t="s">
        <v>187</v>
      </c>
      <c r="L12" s="1093" t="s">
        <v>82</v>
      </c>
      <c r="M12" s="1093" t="s">
        <v>83</v>
      </c>
    </row>
    <row r="13" spans="2:13" ht="13.5">
      <c r="B13" s="1094" t="s">
        <v>548</v>
      </c>
      <c r="C13" s="1088">
        <v>788143</v>
      </c>
      <c r="D13" s="1095">
        <v>79.5</v>
      </c>
      <c r="E13" s="1095">
        <f t="shared" ref="E13:E18" si="0">$C$11/D13</f>
        <v>1.219119496855346</v>
      </c>
      <c r="F13" s="1088">
        <f t="shared" ref="F13:F18" si="1">+C13*E13</f>
        <v>960840.49761006294</v>
      </c>
      <c r="G13" s="1087"/>
      <c r="H13" s="1088">
        <f>+C13*0.04</f>
        <v>31525.72</v>
      </c>
      <c r="I13" s="1088">
        <f>+C13*0.04</f>
        <v>31525.72</v>
      </c>
      <c r="J13" s="1088">
        <f>+C13*0.085</f>
        <v>66992.154999999999</v>
      </c>
      <c r="K13" s="1088">
        <f>+C13*0.12</f>
        <v>94577.16</v>
      </c>
      <c r="L13" s="1088">
        <f>SUM(H13+J13)+82</f>
        <v>98599.875</v>
      </c>
      <c r="M13" s="1088">
        <f>SUM(I13+K13)+97</f>
        <v>126199.88</v>
      </c>
    </row>
    <row r="14" spans="2:13" ht="13.5">
      <c r="B14" s="1094" t="s">
        <v>549</v>
      </c>
      <c r="C14" s="1088">
        <v>1477768</v>
      </c>
      <c r="D14" s="1095">
        <v>79.73</v>
      </c>
      <c r="E14" s="1095">
        <f t="shared" si="0"/>
        <v>1.2156026589740374</v>
      </c>
      <c r="F14" s="1088">
        <f t="shared" si="1"/>
        <v>1796378.7101467452</v>
      </c>
      <c r="G14" s="1087"/>
      <c r="H14" s="1088">
        <f>+C14*0.04</f>
        <v>59110.720000000001</v>
      </c>
      <c r="I14" s="1088">
        <f>+C14*0.04</f>
        <v>59110.720000000001</v>
      </c>
      <c r="J14" s="1088">
        <f>+C14*0.085</f>
        <v>125610.28000000001</v>
      </c>
      <c r="K14" s="1088">
        <f>+C14*0.12</f>
        <v>177332.16</v>
      </c>
      <c r="L14" s="1088">
        <f>SUM(H14+J14)+79</f>
        <v>184800</v>
      </c>
      <c r="M14" s="1088">
        <f>SUM(I14+K14)+57</f>
        <v>236499.88</v>
      </c>
    </row>
    <row r="15" spans="2:13" ht="13.5">
      <c r="B15" s="1094" t="s">
        <v>550</v>
      </c>
      <c r="C15" s="1088">
        <v>1477768</v>
      </c>
      <c r="D15" s="1095">
        <v>79.52</v>
      </c>
      <c r="E15" s="1095">
        <f t="shared" si="0"/>
        <v>1.2188128772635816</v>
      </c>
      <c r="F15" s="1088">
        <f t="shared" si="1"/>
        <v>1801122.6680080483</v>
      </c>
      <c r="G15" s="1087"/>
      <c r="H15" s="1088">
        <f>+C15*0.04</f>
        <v>59110.720000000001</v>
      </c>
      <c r="I15" s="1088">
        <f>+C15*0.04</f>
        <v>59110.720000000001</v>
      </c>
      <c r="J15" s="1088">
        <f>+C15*0.085</f>
        <v>125610.28000000001</v>
      </c>
      <c r="K15" s="1088">
        <f>+C15*0.12</f>
        <v>177332.16</v>
      </c>
      <c r="L15" s="1088">
        <f>SUM(H15+J15)+79</f>
        <v>184800</v>
      </c>
      <c r="M15" s="1088">
        <f>SUM(I15+K15)+57</f>
        <v>236499.88</v>
      </c>
    </row>
    <row r="16" spans="2:13" ht="13.5">
      <c r="B16" s="1094" t="s">
        <v>551</v>
      </c>
      <c r="C16" s="1088">
        <v>1477768</v>
      </c>
      <c r="D16" s="1095">
        <v>79.349999999999994</v>
      </c>
      <c r="E16" s="1095">
        <f t="shared" si="0"/>
        <v>1.221424070573409</v>
      </c>
      <c r="F16" s="1088">
        <f t="shared" si="1"/>
        <v>1804981.4059231253</v>
      </c>
      <c r="G16" s="1087"/>
      <c r="H16" s="1088">
        <f>+C16*0.04</f>
        <v>59110.720000000001</v>
      </c>
      <c r="I16" s="1088">
        <f>+C16*0.04</f>
        <v>59110.720000000001</v>
      </c>
      <c r="J16" s="1088">
        <f>+C16*0.085</f>
        <v>125610.28000000001</v>
      </c>
      <c r="K16" s="1088">
        <f>+C16*0.12</f>
        <v>177332.16</v>
      </c>
      <c r="L16" s="1088">
        <f>SUM(H16+J16)+79</f>
        <v>184800</v>
      </c>
      <c r="M16" s="1088">
        <f>SUM(I16+K16)+57</f>
        <v>236499.88</v>
      </c>
    </row>
    <row r="17" spans="2:13" ht="13.5">
      <c r="B17" s="1094" t="s">
        <v>552</v>
      </c>
      <c r="C17" s="1088">
        <v>1477768</v>
      </c>
      <c r="D17" s="1095">
        <v>79.56</v>
      </c>
      <c r="E17" s="1095">
        <f t="shared" si="0"/>
        <v>1.2182001005530416</v>
      </c>
      <c r="F17" s="1088">
        <f t="shared" si="1"/>
        <v>1800217.1261940673</v>
      </c>
      <c r="G17" s="1087"/>
      <c r="H17" s="1088">
        <f>+C17*0.04</f>
        <v>59110.720000000001</v>
      </c>
      <c r="I17" s="1088">
        <f>+C17*0.04</f>
        <v>59110.720000000001</v>
      </c>
      <c r="J17" s="1088">
        <f>+C17*0.085</f>
        <v>125610.28000000001</v>
      </c>
      <c r="K17" s="1088">
        <f>+C17*0.12</f>
        <v>177332.16</v>
      </c>
      <c r="L17" s="1088">
        <f>SUM(H17+J17)+79</f>
        <v>184800</v>
      </c>
      <c r="M17" s="1088">
        <f>SUM(I17+K17)+57</f>
        <v>236499.88</v>
      </c>
    </row>
    <row r="18" spans="2:13" ht="13.5">
      <c r="B18" s="1094" t="s">
        <v>553</v>
      </c>
      <c r="C18" s="1088">
        <v>1539342</v>
      </c>
      <c r="D18" s="1095">
        <v>79.56</v>
      </c>
      <c r="E18" s="1095">
        <f t="shared" si="0"/>
        <v>1.2182001005530416</v>
      </c>
      <c r="F18" s="1088">
        <f t="shared" si="1"/>
        <v>1875226.5791855203</v>
      </c>
      <c r="G18" s="1087"/>
      <c r="H18" s="1088"/>
      <c r="I18" s="1088"/>
      <c r="J18" s="1088"/>
      <c r="K18" s="1088"/>
      <c r="L18" s="1088"/>
      <c r="M18" s="1088"/>
    </row>
    <row r="19" spans="2:13" ht="13.5">
      <c r="B19" s="1094" t="s">
        <v>554</v>
      </c>
      <c r="C19" s="1088"/>
      <c r="D19" s="948"/>
      <c r="E19" s="1092"/>
      <c r="F19" s="1088">
        <f>SUM(F13:F18)</f>
        <v>10038766.987067569</v>
      </c>
      <c r="G19" s="1087"/>
      <c r="H19" s="1088"/>
      <c r="I19" s="1088"/>
      <c r="J19" s="1088"/>
      <c r="K19" s="1088"/>
      <c r="L19" s="1088"/>
      <c r="M19" s="1088"/>
    </row>
    <row r="20" spans="2:13" ht="13.5">
      <c r="B20" s="1094" t="s">
        <v>555</v>
      </c>
      <c r="C20" s="1088"/>
      <c r="D20" s="948"/>
      <c r="E20" s="1092"/>
      <c r="F20" s="1088">
        <f>+H20+I20</f>
        <v>535937.19999999995</v>
      </c>
      <c r="G20" s="1087"/>
      <c r="H20" s="1088">
        <f>SUM(H13:H19)</f>
        <v>267968.59999999998</v>
      </c>
      <c r="I20" s="1088">
        <f>SUM(I13:I19)</f>
        <v>267968.59999999998</v>
      </c>
      <c r="J20" s="1088">
        <f>SUM(J13:J19)</f>
        <v>569433.27500000002</v>
      </c>
      <c r="K20" s="1088">
        <f>SUM(K13:K19)</f>
        <v>803905.8</v>
      </c>
      <c r="L20" s="1088">
        <f>SUM(L13:L19)</f>
        <v>837799.875</v>
      </c>
      <c r="M20" s="1088">
        <f>SUM(M13:M19)+1</f>
        <v>1072200.3999999999</v>
      </c>
    </row>
    <row r="21" spans="2:13" ht="13.5">
      <c r="B21" s="1094" t="s">
        <v>556</v>
      </c>
      <c r="C21" s="1088"/>
      <c r="D21" s="948"/>
      <c r="E21" s="1092"/>
      <c r="F21" s="1088">
        <f>+F19-F20</f>
        <v>9502829.7870675698</v>
      </c>
      <c r="G21" s="1087"/>
      <c r="H21" s="1087"/>
      <c r="I21" s="1087"/>
      <c r="J21" s="1087"/>
      <c r="K21" s="1087"/>
      <c r="L21" s="1087"/>
      <c r="M21" s="1087"/>
    </row>
    <row r="22" spans="2:13" ht="13.5">
      <c r="B22" s="1086"/>
      <c r="C22" s="1086"/>
      <c r="D22" s="1086"/>
      <c r="E22" s="1085"/>
      <c r="F22" s="1086"/>
      <c r="G22" s="1087"/>
      <c r="H22" s="2631" t="s">
        <v>557</v>
      </c>
      <c r="I22" s="2632"/>
      <c r="J22" s="2632"/>
      <c r="K22" s="2632"/>
      <c r="L22" s="2632"/>
      <c r="M22" s="2633"/>
    </row>
    <row r="23" spans="2:13" ht="13.5">
      <c r="B23" s="1093" t="s">
        <v>11</v>
      </c>
      <c r="C23" s="1093">
        <v>2014</v>
      </c>
      <c r="D23" s="1093" t="s">
        <v>76</v>
      </c>
      <c r="E23" s="1093" t="s">
        <v>77</v>
      </c>
      <c r="F23" s="1093" t="s">
        <v>57</v>
      </c>
      <c r="G23" s="1087"/>
      <c r="H23" s="1093" t="s">
        <v>78</v>
      </c>
      <c r="I23" s="1093" t="s">
        <v>79</v>
      </c>
      <c r="J23" s="1093" t="s">
        <v>186</v>
      </c>
      <c r="K23" s="1093" t="s">
        <v>187</v>
      </c>
      <c r="L23" s="1093" t="s">
        <v>82</v>
      </c>
      <c r="M23" s="1093" t="s">
        <v>83</v>
      </c>
    </row>
    <row r="24" spans="2:13" ht="13.5">
      <c r="B24" s="1094" t="s">
        <v>558</v>
      </c>
      <c r="C24" s="1088">
        <v>1559045</v>
      </c>
      <c r="D24" s="1095">
        <v>79.95</v>
      </c>
      <c r="E24" s="1095">
        <f>$C$11/D24</f>
        <v>1.2122576610381488</v>
      </c>
      <c r="F24" s="1088">
        <f>+C24*E24</f>
        <v>1889964.2451532206</v>
      </c>
      <c r="G24" s="1087"/>
      <c r="H24" s="1088">
        <f>+C24*0.04</f>
        <v>62361.8</v>
      </c>
      <c r="I24" s="1088">
        <f>+C24*0.04</f>
        <v>62361.8</v>
      </c>
      <c r="J24" s="1088">
        <f>+C24*0.085</f>
        <v>132518.82500000001</v>
      </c>
      <c r="K24" s="1088">
        <f>+C24*0.12</f>
        <v>187085.4</v>
      </c>
      <c r="L24" s="1088">
        <f>SUM(H24+J24)+19</f>
        <v>194899.625</v>
      </c>
      <c r="M24" s="1088">
        <f>SUM(I24+K24)+53</f>
        <v>249500.2</v>
      </c>
    </row>
    <row r="25" spans="2:13" ht="13.5">
      <c r="B25" s="1094" t="s">
        <v>559</v>
      </c>
      <c r="C25" s="1088">
        <v>1559045</v>
      </c>
      <c r="D25" s="1095">
        <v>80.45</v>
      </c>
      <c r="E25" s="1095">
        <f t="shared" ref="E25:E41" si="2">$C$11/D25</f>
        <v>1.2047234307022996</v>
      </c>
      <c r="F25" s="1088">
        <f t="shared" ref="F25:F41" si="3">+C25*E25</f>
        <v>1878218.0410192667</v>
      </c>
      <c r="G25" s="1087"/>
      <c r="H25" s="1088">
        <f t="shared" ref="H25:H34" si="4">+C25*0.04</f>
        <v>62361.8</v>
      </c>
      <c r="I25" s="1088">
        <f t="shared" ref="I25:I35" si="5">+C25*0.04</f>
        <v>62361.8</v>
      </c>
      <c r="J25" s="1088">
        <f t="shared" ref="J25:J35" si="6">+C25*0.085</f>
        <v>132518.82500000001</v>
      </c>
      <c r="K25" s="1088">
        <f t="shared" ref="K25:K35" si="7">+C25*0.12</f>
        <v>187085.4</v>
      </c>
      <c r="L25" s="1088">
        <f t="shared" ref="L25:L35" si="8">SUM(H25+J25)+19</f>
        <v>194899.625</v>
      </c>
      <c r="M25" s="1088">
        <f t="shared" ref="M25:M35" si="9">SUM(I25+K25)+53</f>
        <v>249500.2</v>
      </c>
    </row>
    <row r="26" spans="2:13" ht="13.5">
      <c r="B26" s="1094" t="s">
        <v>560</v>
      </c>
      <c r="C26" s="1088">
        <v>1559045</v>
      </c>
      <c r="D26" s="1095">
        <v>80.77</v>
      </c>
      <c r="E26" s="1095">
        <f t="shared" si="2"/>
        <v>1.1999504766621272</v>
      </c>
      <c r="F26" s="1088">
        <f t="shared" si="3"/>
        <v>1870776.790887706</v>
      </c>
      <c r="G26" s="1087"/>
      <c r="H26" s="1088">
        <f t="shared" si="4"/>
        <v>62361.8</v>
      </c>
      <c r="I26" s="1088">
        <f t="shared" si="5"/>
        <v>62361.8</v>
      </c>
      <c r="J26" s="1088">
        <f t="shared" si="6"/>
        <v>132518.82500000001</v>
      </c>
      <c r="K26" s="1088">
        <f t="shared" si="7"/>
        <v>187085.4</v>
      </c>
      <c r="L26" s="1088">
        <f t="shared" si="8"/>
        <v>194899.625</v>
      </c>
      <c r="M26" s="1088">
        <f t="shared" si="9"/>
        <v>249500.2</v>
      </c>
    </row>
    <row r="27" spans="2:13" ht="13.5">
      <c r="B27" s="1094" t="s">
        <v>561</v>
      </c>
      <c r="C27" s="1088">
        <v>1559045</v>
      </c>
      <c r="D27" s="1095">
        <v>81.14</v>
      </c>
      <c r="E27" s="1095">
        <f t="shared" si="2"/>
        <v>1.1944786788267192</v>
      </c>
      <c r="F27" s="1088">
        <f t="shared" si="3"/>
        <v>1862246.0118314025</v>
      </c>
      <c r="G27" s="1087"/>
      <c r="H27" s="1088">
        <f t="shared" si="4"/>
        <v>62361.8</v>
      </c>
      <c r="I27" s="1088">
        <f t="shared" si="5"/>
        <v>62361.8</v>
      </c>
      <c r="J27" s="1088">
        <f t="shared" si="6"/>
        <v>132518.82500000001</v>
      </c>
      <c r="K27" s="1088">
        <f t="shared" si="7"/>
        <v>187085.4</v>
      </c>
      <c r="L27" s="1088">
        <f t="shared" si="8"/>
        <v>194899.625</v>
      </c>
      <c r="M27" s="1088">
        <f t="shared" si="9"/>
        <v>249500.2</v>
      </c>
    </row>
    <row r="28" spans="2:13" ht="13.5">
      <c r="B28" s="1094" t="s">
        <v>562</v>
      </c>
      <c r="C28" s="1088">
        <v>1559045</v>
      </c>
      <c r="D28" s="1095">
        <v>81.53</v>
      </c>
      <c r="E28" s="1095">
        <f t="shared" si="2"/>
        <v>1.1887648718263215</v>
      </c>
      <c r="F28" s="1088">
        <f t="shared" si="3"/>
        <v>1853337.9295964674</v>
      </c>
      <c r="G28" s="1087"/>
      <c r="H28" s="1088">
        <f t="shared" si="4"/>
        <v>62361.8</v>
      </c>
      <c r="I28" s="1088">
        <f t="shared" si="5"/>
        <v>62361.8</v>
      </c>
      <c r="J28" s="1088">
        <f t="shared" si="6"/>
        <v>132518.82500000001</v>
      </c>
      <c r="K28" s="1088">
        <f t="shared" si="7"/>
        <v>187085.4</v>
      </c>
      <c r="L28" s="1088">
        <f t="shared" si="8"/>
        <v>194899.625</v>
      </c>
      <c r="M28" s="1088">
        <f t="shared" si="9"/>
        <v>249500.2</v>
      </c>
    </row>
    <row r="29" spans="2:13" ht="13.5">
      <c r="B29" s="1094" t="s">
        <v>563</v>
      </c>
      <c r="C29" s="1088">
        <v>1559045</v>
      </c>
      <c r="D29" s="1095">
        <v>81.61</v>
      </c>
      <c r="E29" s="1095">
        <f t="shared" si="2"/>
        <v>1.1875995588775885</v>
      </c>
      <c r="F29" s="1088">
        <f t="shared" si="3"/>
        <v>1851521.15427031</v>
      </c>
      <c r="G29" s="1087"/>
      <c r="H29" s="1088">
        <f t="shared" si="4"/>
        <v>62361.8</v>
      </c>
      <c r="I29" s="1088">
        <f t="shared" si="5"/>
        <v>62361.8</v>
      </c>
      <c r="J29" s="1088">
        <f t="shared" si="6"/>
        <v>132518.82500000001</v>
      </c>
      <c r="K29" s="1088">
        <f t="shared" si="7"/>
        <v>187085.4</v>
      </c>
      <c r="L29" s="1088">
        <f t="shared" si="8"/>
        <v>194899.625</v>
      </c>
      <c r="M29" s="1088">
        <f t="shared" si="9"/>
        <v>249500.2</v>
      </c>
    </row>
    <row r="30" spans="2:13" ht="13.5">
      <c r="B30" s="1094" t="s">
        <v>564</v>
      </c>
      <c r="C30" s="1088">
        <v>1559045</v>
      </c>
      <c r="D30" s="1095">
        <v>81.73</v>
      </c>
      <c r="E30" s="1095">
        <f t="shared" si="2"/>
        <v>1.1858558668787471</v>
      </c>
      <c r="F30" s="1088">
        <f t="shared" si="3"/>
        <v>1848802.6599779762</v>
      </c>
      <c r="G30" s="1087"/>
      <c r="H30" s="1088">
        <f t="shared" si="4"/>
        <v>62361.8</v>
      </c>
      <c r="I30" s="1088">
        <f t="shared" si="5"/>
        <v>62361.8</v>
      </c>
      <c r="J30" s="1088">
        <f t="shared" si="6"/>
        <v>132518.82500000001</v>
      </c>
      <c r="K30" s="1088">
        <f t="shared" si="7"/>
        <v>187085.4</v>
      </c>
      <c r="L30" s="1088">
        <f t="shared" si="8"/>
        <v>194899.625</v>
      </c>
      <c r="M30" s="1088">
        <f t="shared" si="9"/>
        <v>249500.2</v>
      </c>
    </row>
    <row r="31" spans="2:13" ht="13.5">
      <c r="B31" s="1094" t="s">
        <v>548</v>
      </c>
      <c r="C31" s="1088">
        <v>1559045</v>
      </c>
      <c r="D31" s="1095">
        <v>81.900000000000006</v>
      </c>
      <c r="E31" s="1095">
        <f t="shared" si="2"/>
        <v>1.1833943833943834</v>
      </c>
      <c r="F31" s="1088">
        <f>+C31*E31</f>
        <v>1844965.0964590965</v>
      </c>
      <c r="G31" s="1087"/>
      <c r="H31" s="1088">
        <f t="shared" si="4"/>
        <v>62361.8</v>
      </c>
      <c r="I31" s="1088">
        <f t="shared" si="5"/>
        <v>62361.8</v>
      </c>
      <c r="J31" s="1088">
        <f t="shared" si="6"/>
        <v>132518.82500000001</v>
      </c>
      <c r="K31" s="1088">
        <f t="shared" si="7"/>
        <v>187085.4</v>
      </c>
      <c r="L31" s="1088">
        <f t="shared" si="8"/>
        <v>194899.625</v>
      </c>
      <c r="M31" s="1088">
        <f t="shared" si="9"/>
        <v>249500.2</v>
      </c>
    </row>
    <row r="32" spans="2:13" ht="13.5">
      <c r="B32" s="1094" t="s">
        <v>549</v>
      </c>
      <c r="C32" s="1088">
        <v>1559045</v>
      </c>
      <c r="D32" s="1095">
        <v>82.01</v>
      </c>
      <c r="E32" s="1095">
        <f t="shared" si="2"/>
        <v>1.181807096695525</v>
      </c>
      <c r="F32" s="1088">
        <f t="shared" si="3"/>
        <v>1842490.4450676746</v>
      </c>
      <c r="G32" s="1087"/>
      <c r="H32" s="1088">
        <f t="shared" si="4"/>
        <v>62361.8</v>
      </c>
      <c r="I32" s="1088">
        <f t="shared" si="5"/>
        <v>62361.8</v>
      </c>
      <c r="J32" s="1088">
        <f t="shared" si="6"/>
        <v>132518.82500000001</v>
      </c>
      <c r="K32" s="1088">
        <f t="shared" si="7"/>
        <v>187085.4</v>
      </c>
      <c r="L32" s="1088">
        <f t="shared" si="8"/>
        <v>194899.625</v>
      </c>
      <c r="M32" s="1088">
        <f t="shared" si="9"/>
        <v>249500.2</v>
      </c>
    </row>
    <row r="33" spans="2:13" ht="13.5">
      <c r="B33" s="1094" t="s">
        <v>550</v>
      </c>
      <c r="C33" s="1088">
        <v>1559045</v>
      </c>
      <c r="D33" s="1095">
        <v>82.14</v>
      </c>
      <c r="E33" s="1095">
        <f t="shared" si="2"/>
        <v>1.1799366934502069</v>
      </c>
      <c r="F33" s="1088">
        <f t="shared" si="3"/>
        <v>1839574.4022400777</v>
      </c>
      <c r="G33" s="1087"/>
      <c r="H33" s="1088">
        <f t="shared" si="4"/>
        <v>62361.8</v>
      </c>
      <c r="I33" s="1088">
        <f t="shared" si="5"/>
        <v>62361.8</v>
      </c>
      <c r="J33" s="1088">
        <f t="shared" si="6"/>
        <v>132518.82500000001</v>
      </c>
      <c r="K33" s="1088">
        <f t="shared" si="7"/>
        <v>187085.4</v>
      </c>
      <c r="L33" s="1088">
        <f t="shared" si="8"/>
        <v>194899.625</v>
      </c>
      <c r="M33" s="1088">
        <f t="shared" si="9"/>
        <v>249500.2</v>
      </c>
    </row>
    <row r="34" spans="2:13" ht="13.5">
      <c r="B34" s="1094" t="s">
        <v>551</v>
      </c>
      <c r="C34" s="1088">
        <v>1559045</v>
      </c>
      <c r="D34" s="1095">
        <v>82.25</v>
      </c>
      <c r="E34" s="1095">
        <f t="shared" si="2"/>
        <v>1.1783586626139817</v>
      </c>
      <c r="F34" s="1088">
        <f t="shared" si="3"/>
        <v>1837114.181155015</v>
      </c>
      <c r="G34" s="1087"/>
      <c r="H34" s="1088">
        <f t="shared" si="4"/>
        <v>62361.8</v>
      </c>
      <c r="I34" s="1088">
        <f t="shared" si="5"/>
        <v>62361.8</v>
      </c>
      <c r="J34" s="1088">
        <f t="shared" si="6"/>
        <v>132518.82500000001</v>
      </c>
      <c r="K34" s="1088">
        <f t="shared" si="7"/>
        <v>187085.4</v>
      </c>
      <c r="L34" s="1088">
        <f t="shared" si="8"/>
        <v>194899.625</v>
      </c>
      <c r="M34" s="1088">
        <f t="shared" si="9"/>
        <v>249500.2</v>
      </c>
    </row>
    <row r="35" spans="2:13" ht="13.5">
      <c r="B35" s="1094" t="s">
        <v>552</v>
      </c>
      <c r="C35" s="1088">
        <v>1559045</v>
      </c>
      <c r="D35" s="1095">
        <v>82.47</v>
      </c>
      <c r="E35" s="1095">
        <f t="shared" si="2"/>
        <v>1.1752152297805263</v>
      </c>
      <c r="F35" s="1088">
        <f t="shared" si="3"/>
        <v>1832213.4279131806</v>
      </c>
      <c r="G35" s="1087"/>
      <c r="H35" s="1088">
        <f>+C35*0.04</f>
        <v>62361.8</v>
      </c>
      <c r="I35" s="1088">
        <f t="shared" si="5"/>
        <v>62361.8</v>
      </c>
      <c r="J35" s="1088">
        <f t="shared" si="6"/>
        <v>132518.82500000001</v>
      </c>
      <c r="K35" s="1088">
        <f t="shared" si="7"/>
        <v>187085.4</v>
      </c>
      <c r="L35" s="1088">
        <f t="shared" si="8"/>
        <v>194899.625</v>
      </c>
      <c r="M35" s="1088">
        <f t="shared" si="9"/>
        <v>249500.2</v>
      </c>
    </row>
    <row r="36" spans="2:13" ht="13.5">
      <c r="B36" s="1094" t="s">
        <v>565</v>
      </c>
      <c r="C36" s="1088">
        <v>779523</v>
      </c>
      <c r="D36" s="1095">
        <f>+D29</f>
        <v>81.61</v>
      </c>
      <c r="E36" s="1095">
        <f t="shared" si="2"/>
        <v>1.1875995588775885</v>
      </c>
      <c r="F36" s="1088">
        <f t="shared" si="3"/>
        <v>925761.1709349344</v>
      </c>
      <c r="G36" s="1087"/>
      <c r="H36" s="1087"/>
      <c r="I36" s="1086"/>
      <c r="J36" s="1086"/>
      <c r="K36" s="1085"/>
      <c r="L36" s="1085"/>
      <c r="M36" s="1086"/>
    </row>
    <row r="37" spans="2:13" ht="13.5">
      <c r="B37" s="1094" t="s">
        <v>566</v>
      </c>
      <c r="C37" s="1088">
        <v>812005</v>
      </c>
      <c r="D37" s="1095">
        <f>+D29</f>
        <v>81.61</v>
      </c>
      <c r="E37" s="1095">
        <f t="shared" si="2"/>
        <v>1.1875995588775885</v>
      </c>
      <c r="F37" s="1088">
        <f t="shared" si="3"/>
        <v>964336.77980639623</v>
      </c>
      <c r="G37" s="1087"/>
      <c r="H37" s="1088">
        <f t="shared" ref="H37:M37" si="10">SUM(H24:H36)</f>
        <v>748341.60000000009</v>
      </c>
      <c r="I37" s="1088">
        <f t="shared" si="10"/>
        <v>748341.60000000009</v>
      </c>
      <c r="J37" s="1088">
        <f t="shared" si="10"/>
        <v>1590225.8999999997</v>
      </c>
      <c r="K37" s="1088">
        <f t="shared" si="10"/>
        <v>2245024.7999999993</v>
      </c>
      <c r="L37" s="1088">
        <f t="shared" si="10"/>
        <v>2338795.5</v>
      </c>
      <c r="M37" s="1088">
        <f t="shared" si="10"/>
        <v>2994002.4000000004</v>
      </c>
    </row>
    <row r="38" spans="2:13" ht="13.5">
      <c r="B38" s="1094" t="s">
        <v>567</v>
      </c>
      <c r="C38" s="1088">
        <v>103936</v>
      </c>
      <c r="D38" s="1095">
        <f>+D31</f>
        <v>81.900000000000006</v>
      </c>
      <c r="E38" s="1095">
        <f t="shared" si="2"/>
        <v>1.1833943833943834</v>
      </c>
      <c r="F38" s="1088">
        <f t="shared" si="3"/>
        <v>122997.27863247863</v>
      </c>
      <c r="G38" s="1087"/>
      <c r="H38" s="1087"/>
      <c r="I38" s="1086"/>
      <c r="J38" s="1086"/>
      <c r="K38" s="1085"/>
      <c r="L38" s="1085"/>
      <c r="M38" s="1086"/>
    </row>
    <row r="39" spans="2:13" ht="13.5">
      <c r="B39" s="1094" t="s">
        <v>568</v>
      </c>
      <c r="C39" s="1088">
        <v>103936</v>
      </c>
      <c r="D39" s="1095">
        <f>+D38</f>
        <v>81.900000000000006</v>
      </c>
      <c r="E39" s="1095">
        <f t="shared" si="2"/>
        <v>1.1833943833943834</v>
      </c>
      <c r="F39" s="1088">
        <f t="shared" si="3"/>
        <v>122997.27863247863</v>
      </c>
      <c r="G39" s="1087"/>
      <c r="H39" s="1087"/>
      <c r="I39" s="1086"/>
      <c r="J39" s="1086"/>
      <c r="K39" s="1085"/>
      <c r="L39" s="1085"/>
      <c r="M39" s="1086"/>
    </row>
    <row r="40" spans="2:13" ht="13.5">
      <c r="B40" s="1094" t="s">
        <v>22</v>
      </c>
      <c r="C40" s="1088">
        <v>1136803</v>
      </c>
      <c r="D40" s="1095">
        <f>+D31</f>
        <v>81.900000000000006</v>
      </c>
      <c r="E40" s="1095">
        <f t="shared" si="2"/>
        <v>1.1833943833943834</v>
      </c>
      <c r="F40" s="1088">
        <f t="shared" si="3"/>
        <v>1345286.2852258852</v>
      </c>
      <c r="G40" s="1087"/>
      <c r="H40" s="1087"/>
      <c r="I40" s="1086"/>
      <c r="J40" s="1086"/>
      <c r="K40" s="1085"/>
      <c r="L40" s="1085"/>
      <c r="M40" s="1086"/>
    </row>
    <row r="41" spans="2:13" ht="13.5">
      <c r="B41" s="1094" t="s">
        <v>553</v>
      </c>
      <c r="C41" s="1088">
        <v>1691672</v>
      </c>
      <c r="D41" s="1095">
        <f>+D35</f>
        <v>82.47</v>
      </c>
      <c r="E41" s="1095">
        <f t="shared" si="2"/>
        <v>1.1752152297805263</v>
      </c>
      <c r="F41" s="1088">
        <f t="shared" si="3"/>
        <v>1988078.6981932824</v>
      </c>
      <c r="G41" s="1087"/>
      <c r="H41" s="1087"/>
      <c r="I41" s="1086"/>
      <c r="J41" s="1086"/>
      <c r="K41" s="1085"/>
      <c r="L41" s="1085"/>
      <c r="M41" s="1086"/>
    </row>
    <row r="42" spans="2:13" ht="13.5">
      <c r="B42" s="1094" t="s">
        <v>554</v>
      </c>
      <c r="C42" s="1088"/>
      <c r="D42" s="1095"/>
      <c r="E42" s="1092"/>
      <c r="F42" s="1088">
        <f>SUM(F24:F41)</f>
        <v>27720681.876996849</v>
      </c>
      <c r="G42" s="1087"/>
      <c r="H42" s="1087"/>
      <c r="I42" s="1086"/>
      <c r="J42" s="1086"/>
      <c r="K42" s="1085"/>
      <c r="L42" s="1085"/>
      <c r="M42" s="1086"/>
    </row>
    <row r="43" spans="2:13" ht="13.5">
      <c r="B43" s="1094" t="s">
        <v>555</v>
      </c>
      <c r="C43" s="1088"/>
      <c r="D43" s="948"/>
      <c r="E43" s="1092"/>
      <c r="F43" s="1088">
        <f>+H37+I37</f>
        <v>1496683.2000000002</v>
      </c>
      <c r="G43" s="1087"/>
      <c r="H43" s="1087"/>
      <c r="I43" s="1086"/>
      <c r="J43" s="1086"/>
      <c r="K43" s="1085"/>
      <c r="L43" s="1085"/>
      <c r="M43" s="1086"/>
    </row>
    <row r="44" spans="2:13" ht="13.5">
      <c r="B44" s="1094" t="s">
        <v>556</v>
      </c>
      <c r="C44" s="1088"/>
      <c r="D44" s="948"/>
      <c r="E44" s="1092"/>
      <c r="F44" s="1088">
        <f>+F42-F43</f>
        <v>26223998.676996849</v>
      </c>
      <c r="G44" s="1087"/>
      <c r="H44" s="1087"/>
      <c r="I44" s="1086"/>
      <c r="J44" s="1086"/>
      <c r="K44" s="1085"/>
      <c r="L44" s="1085"/>
      <c r="M44" s="1086"/>
    </row>
    <row r="45" spans="2:13" ht="13.5">
      <c r="B45" s="1087"/>
      <c r="C45" s="1087"/>
      <c r="D45" s="1087"/>
      <c r="E45" s="1087"/>
      <c r="F45" s="1087"/>
      <c r="G45" s="1087"/>
      <c r="H45" s="2631" t="s">
        <v>569</v>
      </c>
      <c r="I45" s="2632"/>
      <c r="J45" s="2632"/>
      <c r="K45" s="2632"/>
      <c r="L45" s="2632"/>
      <c r="M45" s="2633"/>
    </row>
    <row r="46" spans="2:13" ht="13.5">
      <c r="B46" s="1093" t="s">
        <v>11</v>
      </c>
      <c r="C46" s="1093">
        <v>2015</v>
      </c>
      <c r="D46" s="1093" t="s">
        <v>76</v>
      </c>
      <c r="E46" s="1093" t="s">
        <v>77</v>
      </c>
      <c r="F46" s="1093" t="s">
        <v>57</v>
      </c>
      <c r="G46" s="1087"/>
      <c r="H46" s="1093" t="s">
        <v>78</v>
      </c>
      <c r="I46" s="1093" t="s">
        <v>79</v>
      </c>
      <c r="J46" s="1093" t="s">
        <v>186</v>
      </c>
      <c r="K46" s="1093" t="s">
        <v>187</v>
      </c>
      <c r="L46" s="1093" t="s">
        <v>82</v>
      </c>
      <c r="M46" s="1093" t="s">
        <v>83</v>
      </c>
    </row>
    <row r="47" spans="2:13" ht="13.5">
      <c r="B47" s="1094" t="s">
        <v>558</v>
      </c>
      <c r="C47" s="1088">
        <v>1652587</v>
      </c>
      <c r="D47" s="1095">
        <v>83</v>
      </c>
      <c r="E47" s="1095">
        <f>$C$11/D47</f>
        <v>1.167710843373494</v>
      </c>
      <c r="F47" s="1088">
        <f>+C47*E47</f>
        <v>1929743.7595180722</v>
      </c>
      <c r="G47" s="1087"/>
      <c r="H47" s="1088">
        <f>+C47*0.04</f>
        <v>66103.48</v>
      </c>
      <c r="I47" s="1088">
        <f>+C47*0.04</f>
        <v>66103.48</v>
      </c>
      <c r="J47" s="1088">
        <f>+C47*0.085</f>
        <v>140469.89500000002</v>
      </c>
      <c r="K47" s="1088">
        <f>+C47*0.12</f>
        <v>198310.44</v>
      </c>
      <c r="L47" s="1088">
        <f>SUM(H47+J47)+27</f>
        <v>206600.375</v>
      </c>
      <c r="M47" s="1088">
        <f>SUM(I47+K47)+86</f>
        <v>264499.92</v>
      </c>
    </row>
    <row r="48" spans="2:13" ht="13.5">
      <c r="B48" s="1094" t="s">
        <v>559</v>
      </c>
      <c r="C48" s="1088">
        <v>1652587</v>
      </c>
      <c r="D48" s="1095">
        <v>83.96</v>
      </c>
      <c r="E48" s="1095">
        <f t="shared" ref="E48:E64" si="11">$C$11/D48</f>
        <v>1.1543592186755598</v>
      </c>
      <c r="F48" s="1088">
        <f t="shared" ref="F48:F53" si="12">+C48*E48</f>
        <v>1907679.0381133873</v>
      </c>
      <c r="G48" s="1087"/>
      <c r="H48" s="1088">
        <f t="shared" ref="H48:H58" si="13">+C48*0.04</f>
        <v>66103.48</v>
      </c>
      <c r="I48" s="1088">
        <f t="shared" ref="I48:I58" si="14">+C48*0.04</f>
        <v>66103.48</v>
      </c>
      <c r="J48" s="1088">
        <f t="shared" ref="J48:J58" si="15">+C48*0.085</f>
        <v>140469.89500000002</v>
      </c>
      <c r="K48" s="1088">
        <f t="shared" ref="K48:K58" si="16">+C48*0.12</f>
        <v>198310.44</v>
      </c>
      <c r="L48" s="1088">
        <f t="shared" ref="L48:M58" si="17">SUM(H48+J48)</f>
        <v>206573.375</v>
      </c>
      <c r="M48" s="1088">
        <f t="shared" ref="M48:M54" si="18">SUM(I48+K48)+86</f>
        <v>264499.92</v>
      </c>
    </row>
    <row r="49" spans="2:13" ht="13.5">
      <c r="B49" s="1094" t="s">
        <v>560</v>
      </c>
      <c r="C49" s="1088">
        <v>1652587</v>
      </c>
      <c r="D49" s="1095">
        <v>84.45</v>
      </c>
      <c r="E49" s="1095">
        <f t="shared" si="11"/>
        <v>1.1476613380698637</v>
      </c>
      <c r="F49" s="1088">
        <f t="shared" si="12"/>
        <v>1896610.2076968618</v>
      </c>
      <c r="G49" s="1087"/>
      <c r="H49" s="1088">
        <f t="shared" si="13"/>
        <v>66103.48</v>
      </c>
      <c r="I49" s="1088">
        <f t="shared" si="14"/>
        <v>66103.48</v>
      </c>
      <c r="J49" s="1088">
        <f t="shared" si="15"/>
        <v>140469.89500000002</v>
      </c>
      <c r="K49" s="1088">
        <f t="shared" si="16"/>
        <v>198310.44</v>
      </c>
      <c r="L49" s="1088">
        <f t="shared" si="17"/>
        <v>206573.375</v>
      </c>
      <c r="M49" s="1088">
        <f t="shared" si="18"/>
        <v>264499.92</v>
      </c>
    </row>
    <row r="50" spans="2:13" ht="13.5">
      <c r="B50" s="1094" t="s">
        <v>561</v>
      </c>
      <c r="C50" s="1088">
        <v>1652587</v>
      </c>
      <c r="D50" s="1095">
        <v>84.9</v>
      </c>
      <c r="E50" s="1095">
        <f t="shared" si="11"/>
        <v>1.1415783274440519</v>
      </c>
      <c r="F50" s="1088">
        <f t="shared" si="12"/>
        <v>1886557.5034157834</v>
      </c>
      <c r="G50" s="1087"/>
      <c r="H50" s="1088">
        <f t="shared" si="13"/>
        <v>66103.48</v>
      </c>
      <c r="I50" s="1088">
        <f t="shared" si="14"/>
        <v>66103.48</v>
      </c>
      <c r="J50" s="1088">
        <f t="shared" si="15"/>
        <v>140469.89500000002</v>
      </c>
      <c r="K50" s="1088">
        <f t="shared" si="16"/>
        <v>198310.44</v>
      </c>
      <c r="L50" s="1088">
        <f t="shared" si="17"/>
        <v>206573.375</v>
      </c>
      <c r="M50" s="1088">
        <f t="shared" si="18"/>
        <v>264499.92</v>
      </c>
    </row>
    <row r="51" spans="2:13" ht="13.5">
      <c r="B51" s="1094" t="s">
        <v>562</v>
      </c>
      <c r="C51" s="1088">
        <v>1652587</v>
      </c>
      <c r="D51" s="1095">
        <v>85.12</v>
      </c>
      <c r="E51" s="1095">
        <f t="shared" si="11"/>
        <v>1.1386278195488722</v>
      </c>
      <c r="F51" s="1088">
        <f t="shared" si="12"/>
        <v>1881681.532424812</v>
      </c>
      <c r="G51" s="1087"/>
      <c r="H51" s="1088">
        <f t="shared" si="13"/>
        <v>66103.48</v>
      </c>
      <c r="I51" s="1088">
        <f t="shared" si="14"/>
        <v>66103.48</v>
      </c>
      <c r="J51" s="1088">
        <f t="shared" si="15"/>
        <v>140469.89500000002</v>
      </c>
      <c r="K51" s="1088">
        <f t="shared" si="16"/>
        <v>198310.44</v>
      </c>
      <c r="L51" s="1088">
        <f t="shared" si="17"/>
        <v>206573.375</v>
      </c>
      <c r="M51" s="1088">
        <f t="shared" si="18"/>
        <v>264499.92</v>
      </c>
    </row>
    <row r="52" spans="2:13" ht="13.5">
      <c r="B52" s="1094" t="s">
        <v>563</v>
      </c>
      <c r="C52" s="1088">
        <v>1652587</v>
      </c>
      <c r="D52" s="1095">
        <v>85.21</v>
      </c>
      <c r="E52" s="1095">
        <f t="shared" si="11"/>
        <v>1.1374251848374606</v>
      </c>
      <c r="F52" s="1088">
        <f t="shared" si="12"/>
        <v>1879694.0739349844</v>
      </c>
      <c r="G52" s="1087"/>
      <c r="H52" s="1088">
        <f t="shared" si="13"/>
        <v>66103.48</v>
      </c>
      <c r="I52" s="1088">
        <f t="shared" si="14"/>
        <v>66103.48</v>
      </c>
      <c r="J52" s="1088">
        <f t="shared" si="15"/>
        <v>140469.89500000002</v>
      </c>
      <c r="K52" s="1088">
        <f t="shared" si="16"/>
        <v>198310.44</v>
      </c>
      <c r="L52" s="1088">
        <f t="shared" si="17"/>
        <v>206573.375</v>
      </c>
      <c r="M52" s="1088">
        <f t="shared" si="18"/>
        <v>264499.92</v>
      </c>
    </row>
    <row r="53" spans="2:13" ht="13.5">
      <c r="B53" s="1094" t="s">
        <v>564</v>
      </c>
      <c r="C53" s="1088">
        <v>1652587</v>
      </c>
      <c r="D53" s="1095">
        <v>85.37</v>
      </c>
      <c r="E53" s="1095">
        <f t="shared" si="11"/>
        <v>1.1352934286048963</v>
      </c>
      <c r="F53" s="1088">
        <f t="shared" si="12"/>
        <v>1876171.1612978799</v>
      </c>
      <c r="G53" s="1087"/>
      <c r="H53" s="1088">
        <f t="shared" si="13"/>
        <v>66103.48</v>
      </c>
      <c r="I53" s="1088">
        <f t="shared" si="14"/>
        <v>66103.48</v>
      </c>
      <c r="J53" s="1088">
        <f t="shared" si="15"/>
        <v>140469.89500000002</v>
      </c>
      <c r="K53" s="1088">
        <f t="shared" si="16"/>
        <v>198310.44</v>
      </c>
      <c r="L53" s="1088">
        <f t="shared" si="17"/>
        <v>206573.375</v>
      </c>
      <c r="M53" s="1088">
        <f t="shared" si="18"/>
        <v>264499.92</v>
      </c>
    </row>
    <row r="54" spans="2:13" ht="13.5">
      <c r="B54" s="1094" t="s">
        <v>548</v>
      </c>
      <c r="C54" s="1088">
        <v>1652587</v>
      </c>
      <c r="D54" s="1095">
        <v>85.78</v>
      </c>
      <c r="E54" s="1095">
        <f t="shared" si="11"/>
        <v>1.1298671018885522</v>
      </c>
      <c r="F54" s="1088">
        <f>+C54*E54</f>
        <v>1867203.6843086968</v>
      </c>
      <c r="G54" s="1087"/>
      <c r="H54" s="1088">
        <f t="shared" si="13"/>
        <v>66103.48</v>
      </c>
      <c r="I54" s="1088">
        <f t="shared" si="14"/>
        <v>66103.48</v>
      </c>
      <c r="J54" s="1088">
        <f t="shared" si="15"/>
        <v>140469.89500000002</v>
      </c>
      <c r="K54" s="1088">
        <f t="shared" si="16"/>
        <v>198310.44</v>
      </c>
      <c r="L54" s="1088">
        <f t="shared" si="17"/>
        <v>206573.375</v>
      </c>
      <c r="M54" s="1088">
        <f t="shared" si="18"/>
        <v>264499.92</v>
      </c>
    </row>
    <row r="55" spans="2:13" ht="13.5">
      <c r="B55" s="1094" t="s">
        <v>549</v>
      </c>
      <c r="C55" s="1088">
        <v>0</v>
      </c>
      <c r="D55" s="1095">
        <v>86.39</v>
      </c>
      <c r="E55" s="1095">
        <f t="shared" si="11"/>
        <v>1.1218891075355943</v>
      </c>
      <c r="F55" s="1088">
        <f>+C55*E55</f>
        <v>0</v>
      </c>
      <c r="G55" s="1087"/>
      <c r="H55" s="1088">
        <f t="shared" si="13"/>
        <v>0</v>
      </c>
      <c r="I55" s="1088">
        <f t="shared" si="14"/>
        <v>0</v>
      </c>
      <c r="J55" s="1088">
        <f t="shared" si="15"/>
        <v>0</v>
      </c>
      <c r="K55" s="1088">
        <f t="shared" si="16"/>
        <v>0</v>
      </c>
      <c r="L55" s="1088">
        <f t="shared" si="17"/>
        <v>0</v>
      </c>
      <c r="M55" s="1088">
        <f t="shared" si="17"/>
        <v>0</v>
      </c>
    </row>
    <row r="56" spans="2:13" ht="13.5">
      <c r="B56" s="1094" t="s">
        <v>550</v>
      </c>
      <c r="C56" s="1088">
        <v>0</v>
      </c>
      <c r="D56" s="1095">
        <v>86.98</v>
      </c>
      <c r="E56" s="1095">
        <f t="shared" si="11"/>
        <v>1.1142791446309497</v>
      </c>
      <c r="F56" s="1088">
        <f>+C56*E56</f>
        <v>0</v>
      </c>
      <c r="G56" s="1087"/>
      <c r="H56" s="1088">
        <f t="shared" si="13"/>
        <v>0</v>
      </c>
      <c r="I56" s="1088">
        <f t="shared" si="14"/>
        <v>0</v>
      </c>
      <c r="J56" s="1088">
        <f t="shared" si="15"/>
        <v>0</v>
      </c>
      <c r="K56" s="1088">
        <f t="shared" si="16"/>
        <v>0</v>
      </c>
      <c r="L56" s="1088">
        <f t="shared" si="17"/>
        <v>0</v>
      </c>
      <c r="M56" s="1088">
        <f t="shared" si="17"/>
        <v>0</v>
      </c>
    </row>
    <row r="57" spans="2:13" ht="13.5">
      <c r="B57" s="1094" t="s">
        <v>551</v>
      </c>
      <c r="C57" s="1088">
        <v>0</v>
      </c>
      <c r="D57" s="1095">
        <v>87.51</v>
      </c>
      <c r="E57" s="1095">
        <f t="shared" si="11"/>
        <v>1.1075305679350931</v>
      </c>
      <c r="F57" s="1088">
        <f>+C57*E57</f>
        <v>0</v>
      </c>
      <c r="G57" s="1087"/>
      <c r="H57" s="1088">
        <f t="shared" si="13"/>
        <v>0</v>
      </c>
      <c r="I57" s="1088">
        <f t="shared" si="14"/>
        <v>0</v>
      </c>
      <c r="J57" s="1088">
        <f t="shared" si="15"/>
        <v>0</v>
      </c>
      <c r="K57" s="1088">
        <f t="shared" si="16"/>
        <v>0</v>
      </c>
      <c r="L57" s="1088">
        <f t="shared" si="17"/>
        <v>0</v>
      </c>
      <c r="M57" s="1088">
        <f t="shared" si="17"/>
        <v>0</v>
      </c>
    </row>
    <row r="58" spans="2:13" ht="13.5">
      <c r="B58" s="1094" t="s">
        <v>552</v>
      </c>
      <c r="C58" s="1088">
        <v>0</v>
      </c>
      <c r="D58" s="1095">
        <v>88.05</v>
      </c>
      <c r="E58" s="1095">
        <f t="shared" si="11"/>
        <v>1.1007382169222033</v>
      </c>
      <c r="F58" s="1088">
        <f>+C58*E58</f>
        <v>0</v>
      </c>
      <c r="G58" s="1087"/>
      <c r="H58" s="1088">
        <f t="shared" si="13"/>
        <v>0</v>
      </c>
      <c r="I58" s="1088">
        <f t="shared" si="14"/>
        <v>0</v>
      </c>
      <c r="J58" s="1088">
        <f t="shared" si="15"/>
        <v>0</v>
      </c>
      <c r="K58" s="1088">
        <f t="shared" si="16"/>
        <v>0</v>
      </c>
      <c r="L58" s="1088">
        <f t="shared" si="17"/>
        <v>0</v>
      </c>
      <c r="M58" s="1088">
        <f t="shared" si="17"/>
        <v>0</v>
      </c>
    </row>
    <row r="59" spans="2:13" ht="13.5">
      <c r="B59" s="1096" t="s">
        <v>565</v>
      </c>
      <c r="C59" s="1088">
        <v>826294</v>
      </c>
      <c r="D59" s="1095">
        <v>85.21</v>
      </c>
      <c r="E59" s="1095">
        <f t="shared" si="11"/>
        <v>1.1374251848374606</v>
      </c>
      <c r="F59" s="1088">
        <f t="shared" ref="F59:F64" si="19">+C59*E59</f>
        <v>939847.60568008467</v>
      </c>
      <c r="G59" s="1087"/>
      <c r="H59" s="1087"/>
      <c r="I59" s="1086"/>
      <c r="J59" s="1086"/>
      <c r="K59" s="1085"/>
      <c r="L59" s="1085"/>
      <c r="M59" s="1086"/>
    </row>
    <row r="60" spans="2:13" ht="13.5">
      <c r="B60" s="1096" t="s">
        <v>566</v>
      </c>
      <c r="C60" s="1088">
        <v>812005</v>
      </c>
      <c r="D60" s="1095">
        <v>85.78</v>
      </c>
      <c r="E60" s="1095">
        <f t="shared" si="11"/>
        <v>1.1298671018885522</v>
      </c>
      <c r="F60" s="1088">
        <f t="shared" si="19"/>
        <v>917457.73606901383</v>
      </c>
      <c r="G60" s="1087"/>
      <c r="H60" s="1088">
        <f>SUM(H47:H59)</f>
        <v>528827.84</v>
      </c>
      <c r="I60" s="1088">
        <f>SUM(I47:I59)</f>
        <v>528827.84</v>
      </c>
      <c r="J60" s="1088">
        <f>SUM(J47:J59)</f>
        <v>1123759.1600000001</v>
      </c>
      <c r="K60" s="1088">
        <f>SUM(K47:K59)</f>
        <v>1586483.5199999998</v>
      </c>
      <c r="L60" s="1088">
        <f>SUM(L47:L59)</f>
        <v>1652614</v>
      </c>
      <c r="M60" s="1088">
        <f>SUM(M47:M59)+1</f>
        <v>2116000.36</v>
      </c>
    </row>
    <row r="61" spans="2:13" ht="13.5">
      <c r="B61" s="1096" t="s">
        <v>567</v>
      </c>
      <c r="C61" s="1088">
        <v>860723</v>
      </c>
      <c r="D61" s="1095">
        <v>85.78</v>
      </c>
      <c r="E61" s="1095">
        <f t="shared" si="11"/>
        <v>1.1298671018885522</v>
      </c>
      <c r="F61" s="1088">
        <f t="shared" si="19"/>
        <v>972502.60153882031</v>
      </c>
      <c r="G61" s="1087"/>
      <c r="H61" s="1087"/>
      <c r="I61" s="1086"/>
      <c r="J61" s="1086"/>
      <c r="K61" s="1085"/>
      <c r="L61" s="1085"/>
      <c r="M61" s="1086"/>
    </row>
    <row r="62" spans="2:13" ht="13.5">
      <c r="B62" s="1096" t="s">
        <v>568</v>
      </c>
      <c r="C62" s="1088">
        <v>110172</v>
      </c>
      <c r="D62" s="1095">
        <v>85.78</v>
      </c>
      <c r="E62" s="1095">
        <f t="shared" si="11"/>
        <v>1.1298671018885522</v>
      </c>
      <c r="F62" s="1088">
        <f t="shared" si="19"/>
        <v>124479.71834926557</v>
      </c>
      <c r="G62" s="1087"/>
      <c r="H62" s="1087"/>
      <c r="I62" s="1086"/>
      <c r="J62" s="1086"/>
      <c r="K62" s="1085"/>
      <c r="L62" s="1085"/>
      <c r="M62" s="1086"/>
    </row>
    <row r="63" spans="2:13" ht="13.5">
      <c r="B63" s="1096" t="s">
        <v>22</v>
      </c>
      <c r="C63" s="1088">
        <v>1205012</v>
      </c>
      <c r="D63" s="1095">
        <v>85.78</v>
      </c>
      <c r="E63" s="1095">
        <f t="shared" si="11"/>
        <v>1.1298671018885522</v>
      </c>
      <c r="F63" s="1088">
        <f t="shared" si="19"/>
        <v>1361503.416180928</v>
      </c>
      <c r="G63" s="1087"/>
      <c r="H63" s="1087"/>
      <c r="I63" s="1086"/>
      <c r="J63" s="1086"/>
      <c r="K63" s="1085"/>
      <c r="L63" s="1085"/>
      <c r="M63" s="1086"/>
    </row>
    <row r="64" spans="2:13" ht="13.5">
      <c r="B64" s="1096" t="s">
        <v>553</v>
      </c>
      <c r="C64" s="1088">
        <v>1793172</v>
      </c>
      <c r="D64" s="1095">
        <v>88.05</v>
      </c>
      <c r="E64" s="1095">
        <f t="shared" si="11"/>
        <v>1.1007382169222033</v>
      </c>
      <c r="F64" s="1088">
        <f t="shared" si="19"/>
        <v>1973812.9499148212</v>
      </c>
      <c r="G64" s="1087"/>
      <c r="H64" s="1087"/>
      <c r="I64" s="1086"/>
      <c r="J64" s="1086"/>
      <c r="K64" s="1085"/>
      <c r="L64" s="1085"/>
      <c r="M64" s="1086"/>
    </row>
    <row r="65" spans="2:14" ht="13.5">
      <c r="B65" s="1096" t="s">
        <v>554</v>
      </c>
      <c r="C65" s="1088"/>
      <c r="D65" s="948"/>
      <c r="E65" s="1092"/>
      <c r="F65" s="1088">
        <f>SUM(F47:F64)</f>
        <v>21414944.988443412</v>
      </c>
      <c r="G65" s="1087"/>
      <c r="H65" s="1087"/>
      <c r="I65" s="1086"/>
      <c r="J65" s="1086"/>
      <c r="K65" s="1085"/>
      <c r="L65" s="1085"/>
      <c r="M65" s="1086"/>
    </row>
    <row r="66" spans="2:14" ht="13.5">
      <c r="B66" s="1096" t="s">
        <v>555</v>
      </c>
      <c r="C66" s="1088"/>
      <c r="D66" s="948"/>
      <c r="E66" s="1092"/>
      <c r="F66" s="1088">
        <f>+H60+I60</f>
        <v>1057655.68</v>
      </c>
      <c r="G66" s="1087"/>
      <c r="H66" s="1087"/>
      <c r="I66" s="1086"/>
      <c r="J66" s="1086"/>
      <c r="K66" s="1085"/>
      <c r="L66" s="1085"/>
      <c r="M66" s="1086"/>
    </row>
    <row r="67" spans="2:14" ht="13.5">
      <c r="B67" s="1096" t="s">
        <v>556</v>
      </c>
      <c r="C67" s="1088"/>
      <c r="D67" s="948"/>
      <c r="E67" s="1092"/>
      <c r="F67" s="1088">
        <f>+F65-F66</f>
        <v>20357289.308443412</v>
      </c>
      <c r="G67" s="1087"/>
      <c r="H67" s="1087"/>
      <c r="I67" s="1086"/>
      <c r="J67" s="1086"/>
      <c r="K67" s="1085"/>
      <c r="L67" s="1085"/>
      <c r="M67" s="1086"/>
    </row>
    <row r="68" spans="2:14" ht="13.5">
      <c r="B68" s="1086"/>
      <c r="C68" s="1086"/>
      <c r="D68" s="1086"/>
      <c r="E68" s="1085"/>
      <c r="F68" s="1086"/>
      <c r="G68" s="1087"/>
      <c r="H68" s="1087"/>
      <c r="I68" s="1086"/>
      <c r="J68" s="1086"/>
      <c r="K68" s="1085"/>
      <c r="L68" s="1085"/>
      <c r="M68" s="1086"/>
    </row>
    <row r="69" spans="2:14" ht="13.5">
      <c r="B69" s="1086"/>
      <c r="C69" s="1086"/>
      <c r="D69" s="1086"/>
      <c r="E69" s="1085"/>
      <c r="F69" s="1086"/>
      <c r="G69" s="1087"/>
      <c r="H69" s="1087"/>
      <c r="I69" s="1086"/>
      <c r="J69" s="1086"/>
      <c r="K69" s="1085"/>
      <c r="L69" s="1085"/>
      <c r="M69" s="1086"/>
    </row>
    <row r="70" spans="2:14" ht="26.25" customHeight="1">
      <c r="B70" s="1101" t="s">
        <v>192</v>
      </c>
      <c r="C70" s="1777">
        <f>+F19+F42+F65</f>
        <v>59174393.85250783</v>
      </c>
      <c r="D70" s="1086"/>
      <c r="E70" s="1085"/>
      <c r="F70" s="1086"/>
      <c r="G70" s="2634" t="s">
        <v>472</v>
      </c>
      <c r="H70" s="2634"/>
      <c r="I70" s="2634"/>
      <c r="J70" s="2634"/>
      <c r="K70" s="2634"/>
      <c r="L70" s="1085"/>
      <c r="M70" s="1086"/>
    </row>
    <row r="71" spans="2:14" ht="13.5">
      <c r="B71" s="1096" t="s">
        <v>570</v>
      </c>
      <c r="C71" s="1777">
        <f>+F20+F43+F66</f>
        <v>3090276.08</v>
      </c>
      <c r="D71" s="1086"/>
      <c r="E71" s="1085"/>
      <c r="F71" s="1086"/>
      <c r="G71" s="1088"/>
      <c r="H71" s="1087"/>
      <c r="I71" s="1088" t="s">
        <v>76</v>
      </c>
      <c r="J71" s="948" t="s">
        <v>77</v>
      </c>
      <c r="K71" s="1092" t="s">
        <v>57</v>
      </c>
      <c r="L71" s="1085"/>
      <c r="M71" s="1086"/>
    </row>
    <row r="72" spans="2:14" ht="25.5" customHeight="1">
      <c r="B72" s="1776" t="s">
        <v>192</v>
      </c>
      <c r="C72" s="1777">
        <f>+C70-C71</f>
        <v>56084117.772507831</v>
      </c>
      <c r="E72" s="1085"/>
      <c r="F72" s="1086"/>
      <c r="G72" s="1088"/>
      <c r="H72" s="1088"/>
      <c r="I72" s="1097">
        <v>96.92</v>
      </c>
      <c r="J72" s="948"/>
      <c r="K72" s="1092"/>
      <c r="L72" s="1085"/>
      <c r="M72" s="1086"/>
    </row>
    <row r="73" spans="2:14" ht="13.5">
      <c r="B73" s="1096" t="s">
        <v>30</v>
      </c>
      <c r="C73" s="1088">
        <f>+K76</f>
        <v>5025732.6153487349</v>
      </c>
      <c r="D73" s="1086"/>
      <c r="E73" s="1085"/>
      <c r="F73" s="1086"/>
      <c r="G73" s="1088">
        <v>2013</v>
      </c>
      <c r="H73" s="1088">
        <v>602268</v>
      </c>
      <c r="I73" s="1097">
        <v>79.56</v>
      </c>
      <c r="J73" s="948">
        <f>+$I$72/I73</f>
        <v>1.2182001005530416</v>
      </c>
      <c r="K73" s="1088">
        <f>+H73*J73</f>
        <v>733682.9381598793</v>
      </c>
      <c r="L73" s="1085"/>
      <c r="M73" s="1086"/>
      <c r="N73" s="1103">
        <f>++F21+F67+F44</f>
        <v>56084117.772507831</v>
      </c>
    </row>
    <row r="74" spans="2:14" ht="14.25" thickBot="1">
      <c r="B74" s="1774" t="s">
        <v>575</v>
      </c>
      <c r="C74" s="1775">
        <f>+K84</f>
        <v>548060.75403600116</v>
      </c>
      <c r="D74" s="1087"/>
      <c r="E74" s="1085"/>
      <c r="F74" s="1086"/>
      <c r="G74" s="1088">
        <v>2014</v>
      </c>
      <c r="H74" s="1088">
        <v>1832645</v>
      </c>
      <c r="I74" s="1097">
        <v>82.47</v>
      </c>
      <c r="J74" s="948">
        <f>+$I$72/I74</f>
        <v>1.1752152297805263</v>
      </c>
      <c r="K74" s="1088">
        <f>+H74*J74</f>
        <v>2153752.3147811326</v>
      </c>
      <c r="L74" s="1085"/>
      <c r="M74" s="1086"/>
    </row>
    <row r="75" spans="2:14" ht="25.5">
      <c r="B75" s="1772" t="s">
        <v>576</v>
      </c>
      <c r="C75" s="1773">
        <f>+C72+C73+C74</f>
        <v>61657911.141892567</v>
      </c>
      <c r="D75" s="1087"/>
      <c r="E75" s="1085"/>
      <c r="F75" s="1086"/>
      <c r="G75" s="1088">
        <v>2015</v>
      </c>
      <c r="H75" s="1088">
        <v>1942603</v>
      </c>
      <c r="I75" s="1097">
        <v>88.05</v>
      </c>
      <c r="J75" s="948">
        <f>+$I$72/I75</f>
        <v>1.1007382169222033</v>
      </c>
      <c r="K75" s="1088">
        <f>+H75*J75</f>
        <v>2138297.362407723</v>
      </c>
      <c r="L75" s="1085"/>
      <c r="M75" s="1086"/>
    </row>
    <row r="76" spans="2:14" ht="13.5">
      <c r="B76" s="1096"/>
      <c r="C76" s="1088"/>
      <c r="D76" s="1087"/>
      <c r="E76" s="1085"/>
      <c r="F76" s="1086"/>
      <c r="G76" s="1088"/>
      <c r="H76" s="1088"/>
      <c r="I76" s="1097"/>
      <c r="J76" s="948" t="s">
        <v>97</v>
      </c>
      <c r="K76" s="899">
        <f>SUM(K73:K75)</f>
        <v>5025732.6153487349</v>
      </c>
      <c r="L76" s="1085"/>
      <c r="M76" s="1086"/>
    </row>
    <row r="77" spans="2:14" ht="13.5">
      <c r="B77" s="1096"/>
      <c r="C77" s="1088"/>
      <c r="D77" s="1087"/>
      <c r="E77" s="1085"/>
      <c r="F77" s="1086"/>
      <c r="G77" s="1087"/>
      <c r="H77" s="1087"/>
      <c r="I77" s="1087"/>
      <c r="J77" s="1087"/>
      <c r="K77" s="1087"/>
      <c r="L77" s="1085"/>
      <c r="M77" s="1086"/>
    </row>
    <row r="78" spans="2:14" ht="13.5">
      <c r="B78" s="1099" t="s">
        <v>577</v>
      </c>
      <c r="C78" s="1088"/>
      <c r="D78" s="1087"/>
      <c r="E78" s="1085"/>
      <c r="F78" s="1086"/>
      <c r="G78" s="1087"/>
      <c r="H78" s="1087"/>
      <c r="I78" s="1087"/>
      <c r="J78" s="1087"/>
      <c r="K78" s="1087"/>
      <c r="L78" s="1085"/>
      <c r="M78" s="1086"/>
    </row>
    <row r="79" spans="2:14" ht="13.5">
      <c r="B79" s="1096" t="s">
        <v>578</v>
      </c>
      <c r="C79" s="1088">
        <v>8800000</v>
      </c>
      <c r="D79" s="1087"/>
      <c r="E79" s="1085"/>
      <c r="F79" s="1086"/>
      <c r="G79" s="2634" t="s">
        <v>475</v>
      </c>
      <c r="H79" s="2634"/>
      <c r="I79" s="2634"/>
      <c r="J79" s="2634"/>
      <c r="K79" s="2634"/>
      <c r="L79" s="1085"/>
      <c r="M79" s="1086"/>
    </row>
    <row r="80" spans="2:14" ht="25.5">
      <c r="B80" s="1100" t="s">
        <v>579</v>
      </c>
      <c r="C80" s="1098">
        <v>4878003</v>
      </c>
      <c r="D80" s="1087"/>
      <c r="E80" s="1085"/>
      <c r="F80" s="1086"/>
      <c r="G80" s="1088"/>
      <c r="H80" s="1088" t="s">
        <v>76</v>
      </c>
      <c r="I80" s="1097">
        <f>+I72</f>
        <v>96.92</v>
      </c>
      <c r="J80" s="948"/>
      <c r="K80" s="1092"/>
      <c r="L80" s="1085"/>
      <c r="M80" s="1086"/>
    </row>
    <row r="81" spans="1:13" ht="38.25">
      <c r="B81" s="1101" t="s">
        <v>581</v>
      </c>
      <c r="C81" s="1102">
        <f>+C75-C79-C80</f>
        <v>47979908.141892567</v>
      </c>
      <c r="D81" s="1103"/>
      <c r="E81" s="1085"/>
      <c r="F81" s="1086"/>
      <c r="G81" s="1088">
        <v>2013</v>
      </c>
      <c r="H81" s="1088">
        <v>27102</v>
      </c>
      <c r="I81" s="1097">
        <v>79.56</v>
      </c>
      <c r="J81" s="948">
        <f>+$I$72/I81</f>
        <v>1.2182001005530416</v>
      </c>
      <c r="K81" s="1088">
        <f>+H81*J81</f>
        <v>33015.659125188533</v>
      </c>
      <c r="L81" s="1085"/>
      <c r="M81" s="1086"/>
    </row>
    <row r="82" spans="1:13" ht="13.5">
      <c r="B82" s="1086"/>
      <c r="C82" s="1086"/>
      <c r="D82" s="1086"/>
      <c r="E82" s="1086"/>
      <c r="F82" s="1086"/>
      <c r="G82" s="1088">
        <v>2014</v>
      </c>
      <c r="H82" s="1088">
        <v>219917</v>
      </c>
      <c r="I82" s="1097">
        <v>82.47</v>
      </c>
      <c r="J82" s="948">
        <f>+$I$72/I82</f>
        <v>1.1752152297805263</v>
      </c>
      <c r="K82" s="1088">
        <f>+H82*J82</f>
        <v>258449.807687644</v>
      </c>
      <c r="L82" s="1085"/>
      <c r="M82" s="1086"/>
    </row>
    <row r="83" spans="1:13" ht="13.5">
      <c r="B83" s="1086"/>
      <c r="C83" s="1086"/>
      <c r="D83" s="1086"/>
      <c r="E83" s="1086"/>
      <c r="F83" s="1086"/>
      <c r="G83" s="1088">
        <v>2015</v>
      </c>
      <c r="H83" s="1088">
        <v>233112</v>
      </c>
      <c r="I83" s="1097">
        <v>88.05</v>
      </c>
      <c r="J83" s="948">
        <f>+$I$72/I83</f>
        <v>1.1007382169222033</v>
      </c>
      <c r="K83" s="1088">
        <f>+H83*J83</f>
        <v>256595.28722316865</v>
      </c>
      <c r="L83" s="1104"/>
      <c r="M83" s="1086"/>
    </row>
    <row r="84" spans="1:13" ht="13.5">
      <c r="B84" s="1086"/>
      <c r="C84" s="1086"/>
      <c r="D84" s="1086"/>
      <c r="E84" s="1086"/>
      <c r="F84" s="1086"/>
      <c r="G84" s="1088"/>
      <c r="H84" s="1088"/>
      <c r="I84" s="1097"/>
      <c r="J84" s="948"/>
      <c r="K84" s="899">
        <f>SUM(K81:K83)</f>
        <v>548060.75403600116</v>
      </c>
      <c r="L84" s="1105"/>
      <c r="M84" s="1086"/>
    </row>
    <row r="85" spans="1:13" ht="13.5">
      <c r="B85" s="1086"/>
      <c r="C85" s="1086"/>
      <c r="D85" s="1086"/>
      <c r="E85" s="1086"/>
      <c r="F85" s="1086"/>
      <c r="G85" s="1087"/>
      <c r="H85" s="1087"/>
      <c r="I85" s="1086"/>
      <c r="J85" s="1086"/>
      <c r="K85" s="1085"/>
      <c r="L85" s="1105"/>
      <c r="M85" s="1086"/>
    </row>
    <row r="86" spans="1:13" ht="13.5">
      <c r="B86" s="1086"/>
      <c r="C86" s="1086"/>
      <c r="D86" s="1086"/>
      <c r="E86" s="1086"/>
      <c r="F86" s="1086"/>
      <c r="G86" s="1086"/>
      <c r="H86" s="1086"/>
      <c r="I86" s="1086"/>
      <c r="J86" s="1086"/>
      <c r="K86" s="1086"/>
      <c r="L86" s="1082"/>
      <c r="M86" s="1086"/>
    </row>
    <row r="87" spans="1:13" ht="13.5">
      <c r="A87" s="1" t="s">
        <v>582</v>
      </c>
      <c r="B87" s="1087"/>
      <c r="C87" s="1086"/>
      <c r="D87" s="1106">
        <f>+C81</f>
        <v>47979908.141892567</v>
      </c>
      <c r="E87" s="1087"/>
      <c r="F87" s="1086"/>
      <c r="G87" s="1086"/>
      <c r="H87" s="1086"/>
      <c r="I87" s="1086"/>
      <c r="J87" s="1086"/>
      <c r="K87" s="1086"/>
      <c r="L87" s="1082"/>
      <c r="M87" s="1086"/>
    </row>
    <row r="88" spans="1:13" ht="25.5">
      <c r="A88" s="2"/>
      <c r="B88" s="828" t="s">
        <v>337</v>
      </c>
      <c r="C88" s="828" t="s">
        <v>40</v>
      </c>
      <c r="D88" s="2635" t="s">
        <v>583</v>
      </c>
      <c r="E88" s="2636"/>
      <c r="F88" s="1107" t="s">
        <v>129</v>
      </c>
      <c r="G88" s="1107" t="s">
        <v>47</v>
      </c>
      <c r="H88" s="1107" t="s">
        <v>48</v>
      </c>
      <c r="I88" s="1086"/>
      <c r="J88" s="1086"/>
      <c r="K88" s="1085"/>
      <c r="L88" s="1082"/>
      <c r="M88" s="1086"/>
    </row>
    <row r="89" spans="1:13" ht="13.5">
      <c r="A89" s="2">
        <v>1</v>
      </c>
      <c r="B89" s="821">
        <v>43071</v>
      </c>
      <c r="C89" s="821">
        <v>43100</v>
      </c>
      <c r="D89" s="937">
        <v>5.28E-2</v>
      </c>
      <c r="E89" s="1108">
        <f>((1+D89)^(1/365)-1)</f>
        <v>1.4097783120470275E-4</v>
      </c>
      <c r="F89" s="1088">
        <f>+$D$87</f>
        <v>47979908.141892567</v>
      </c>
      <c r="G89" s="939">
        <f>_xlfn.DAYS(C89,B89)+1</f>
        <v>30</v>
      </c>
      <c r="H89" s="1088">
        <f>+F89*G89*E89</f>
        <v>202923.10173734621</v>
      </c>
      <c r="I89" s="1086"/>
      <c r="J89" s="1086"/>
      <c r="K89" s="1085"/>
      <c r="L89" s="1082"/>
      <c r="M89" s="1086"/>
    </row>
    <row r="90" spans="1:13" ht="13.5">
      <c r="A90" s="2">
        <v>2</v>
      </c>
      <c r="B90" s="821">
        <v>43101</v>
      </c>
      <c r="C90" s="821">
        <v>43131</v>
      </c>
      <c r="D90" s="937">
        <v>5.21E-2</v>
      </c>
      <c r="E90" s="1108">
        <f t="shared" ref="E90:E136" si="20">((1+D90)^(1/365)-1)</f>
        <v>1.3915534376041094E-4</v>
      </c>
      <c r="F90" s="1088">
        <f t="shared" ref="F90:F140" si="21">+$D$87</f>
        <v>47979908.141892567</v>
      </c>
      <c r="G90" s="939">
        <f t="shared" ref="G90:G140" si="22">_xlfn.DAYS(C90,B90)+1</f>
        <v>31</v>
      </c>
      <c r="H90" s="1088">
        <f t="shared" ref="H90:H137" si="23">+F90*G90*E90</f>
        <v>206976.47894341798</v>
      </c>
      <c r="I90" s="1086"/>
      <c r="J90" s="1086"/>
      <c r="K90" s="1085"/>
      <c r="L90" s="1082"/>
      <c r="M90" s="1086"/>
    </row>
    <row r="91" spans="1:13" ht="13.5">
      <c r="A91" s="2">
        <v>3</v>
      </c>
      <c r="B91" s="821">
        <v>43132</v>
      </c>
      <c r="C91" s="821">
        <v>43159</v>
      </c>
      <c r="D91" s="937">
        <v>5.0700000000000002E-2</v>
      </c>
      <c r="E91" s="1108">
        <f t="shared" si="20"/>
        <v>1.3550673832551929E-4</v>
      </c>
      <c r="F91" s="1088">
        <f t="shared" si="21"/>
        <v>47979908.141892567</v>
      </c>
      <c r="G91" s="939">
        <f t="shared" si="22"/>
        <v>28</v>
      </c>
      <c r="H91" s="1088">
        <f t="shared" si="23"/>
        <v>182044.82400904488</v>
      </c>
      <c r="I91" s="1086"/>
      <c r="J91" s="1086"/>
      <c r="K91" s="1085"/>
      <c r="L91" s="1082"/>
      <c r="M91" s="1086"/>
    </row>
    <row r="92" spans="1:13" ht="13.5">
      <c r="A92" s="2">
        <v>4</v>
      </c>
      <c r="B92" s="821">
        <v>43160</v>
      </c>
      <c r="C92" s="821">
        <v>43161</v>
      </c>
      <c r="D92" s="937">
        <v>5.0099999999999999E-2</v>
      </c>
      <c r="E92" s="1108">
        <f t="shared" si="20"/>
        <v>1.3394156589074946E-4</v>
      </c>
      <c r="F92" s="1088">
        <f t="shared" si="21"/>
        <v>47979908.141892567</v>
      </c>
      <c r="G92" s="939">
        <f t="shared" si="22"/>
        <v>2</v>
      </c>
      <c r="H92" s="1088">
        <f t="shared" si="23"/>
        <v>12853.00805563882</v>
      </c>
      <c r="I92" s="1086"/>
      <c r="J92" s="1086"/>
      <c r="K92" s="1085"/>
      <c r="L92" s="1083"/>
      <c r="M92" s="1086"/>
    </row>
    <row r="93" spans="1:13" ht="13.5">
      <c r="A93" s="2">
        <v>5</v>
      </c>
      <c r="B93" s="821">
        <v>43162</v>
      </c>
      <c r="C93" s="821">
        <v>43190</v>
      </c>
      <c r="D93" s="937">
        <v>0</v>
      </c>
      <c r="E93" s="1108">
        <f t="shared" si="20"/>
        <v>0</v>
      </c>
      <c r="F93" s="1088">
        <f t="shared" si="21"/>
        <v>47979908.141892567</v>
      </c>
      <c r="G93" s="939">
        <v>0</v>
      </c>
      <c r="H93" s="1088">
        <f t="shared" si="23"/>
        <v>0</v>
      </c>
      <c r="I93" s="1086"/>
      <c r="J93" s="1086"/>
      <c r="K93" s="1085"/>
      <c r="L93" s="1083"/>
      <c r="M93" s="1086"/>
    </row>
    <row r="94" spans="1:13" ht="13.5">
      <c r="A94" s="2">
        <v>6</v>
      </c>
      <c r="B94" s="821">
        <v>43191</v>
      </c>
      <c r="C94" s="821">
        <v>43220</v>
      </c>
      <c r="D94" s="937">
        <v>0</v>
      </c>
      <c r="E94" s="1108">
        <f t="shared" si="20"/>
        <v>0</v>
      </c>
      <c r="F94" s="1088">
        <f t="shared" si="21"/>
        <v>47979908.141892567</v>
      </c>
      <c r="G94" s="939">
        <v>0</v>
      </c>
      <c r="H94" s="1088">
        <f t="shared" si="23"/>
        <v>0</v>
      </c>
      <c r="I94" s="1086"/>
      <c r="J94" s="1086"/>
      <c r="K94" s="1085"/>
      <c r="L94" s="1083"/>
      <c r="M94" s="1086"/>
    </row>
    <row r="95" spans="1:13" ht="13.5">
      <c r="A95" s="2">
        <v>7</v>
      </c>
      <c r="B95" s="821">
        <v>43221</v>
      </c>
      <c r="C95" s="821">
        <v>43235</v>
      </c>
      <c r="D95" s="937">
        <v>0</v>
      </c>
      <c r="E95" s="1108">
        <f t="shared" si="20"/>
        <v>0</v>
      </c>
      <c r="F95" s="1088">
        <f t="shared" si="21"/>
        <v>47979908.141892567</v>
      </c>
      <c r="G95" s="939">
        <v>0</v>
      </c>
      <c r="H95" s="1088">
        <f t="shared" si="23"/>
        <v>0</v>
      </c>
      <c r="I95" s="1086"/>
      <c r="J95" s="1086"/>
      <c r="K95" s="1085"/>
      <c r="L95" s="1083"/>
      <c r="M95" s="1086"/>
    </row>
    <row r="96" spans="1:13" ht="13.5">
      <c r="A96" s="2">
        <v>8</v>
      </c>
      <c r="B96" s="821">
        <v>43236</v>
      </c>
      <c r="C96" s="821">
        <v>43251</v>
      </c>
      <c r="D96" s="937">
        <v>4.7E-2</v>
      </c>
      <c r="E96" s="1108">
        <f t="shared" si="20"/>
        <v>1.2584060737030889E-4</v>
      </c>
      <c r="F96" s="1088">
        <f t="shared" si="21"/>
        <v>47979908.141892567</v>
      </c>
      <c r="G96" s="939">
        <f>_xlfn.DAYS(C96,B96)+1</f>
        <v>16</v>
      </c>
      <c r="H96" s="1088">
        <f>+F96*G96*E96</f>
        <v>96605.132514358222</v>
      </c>
      <c r="I96" s="1086"/>
      <c r="J96" s="1086"/>
      <c r="K96" s="1085"/>
      <c r="L96" s="1083"/>
      <c r="M96" s="1086"/>
    </row>
    <row r="97" spans="1:13" ht="13.5">
      <c r="A97" s="2">
        <v>9</v>
      </c>
      <c r="B97" s="821">
        <v>43252</v>
      </c>
      <c r="C97" s="821">
        <v>43281</v>
      </c>
      <c r="D97" s="937">
        <v>4.5999999999999999E-2</v>
      </c>
      <c r="E97" s="1108">
        <f t="shared" si="20"/>
        <v>1.2322229163408416E-4</v>
      </c>
      <c r="F97" s="1088">
        <f t="shared" si="21"/>
        <v>47979908.141892567</v>
      </c>
      <c r="G97" s="939">
        <f t="shared" si="22"/>
        <v>30</v>
      </c>
      <c r="H97" s="1088">
        <f t="shared" si="23"/>
        <v>177365.82700910565</v>
      </c>
      <c r="I97" s="1086"/>
      <c r="J97" s="1086"/>
      <c r="K97" s="1085"/>
      <c r="L97" s="1083"/>
      <c r="M97" s="1086"/>
    </row>
    <row r="98" spans="1:13" ht="13.5">
      <c r="A98" s="2">
        <v>10</v>
      </c>
      <c r="B98" s="821">
        <v>43282</v>
      </c>
      <c r="C98" s="821">
        <v>43312</v>
      </c>
      <c r="D98" s="937">
        <v>4.5699999999999998E-2</v>
      </c>
      <c r="E98" s="1108">
        <f t="shared" si="20"/>
        <v>1.2243631011710221E-4</v>
      </c>
      <c r="F98" s="1088">
        <f t="shared" si="21"/>
        <v>47979908.141892567</v>
      </c>
      <c r="G98" s="939">
        <f t="shared" si="22"/>
        <v>31</v>
      </c>
      <c r="H98" s="1088">
        <f t="shared" si="23"/>
        <v>182108.97029217589</v>
      </c>
      <c r="I98" s="1086"/>
      <c r="J98" s="1086"/>
      <c r="K98" s="1085"/>
      <c r="L98" s="1083"/>
      <c r="M98" s="1086"/>
    </row>
    <row r="99" spans="1:13" ht="13.5">
      <c r="A99" s="2">
        <v>11</v>
      </c>
      <c r="B99" s="821">
        <v>43313</v>
      </c>
      <c r="C99" s="821">
        <v>43343</v>
      </c>
      <c r="D99" s="937">
        <v>4.53E-2</v>
      </c>
      <c r="E99" s="1108">
        <f t="shared" si="20"/>
        <v>1.2138798488825486E-4</v>
      </c>
      <c r="F99" s="1088">
        <f t="shared" si="21"/>
        <v>47979908.141892567</v>
      </c>
      <c r="G99" s="939">
        <f t="shared" si="22"/>
        <v>31</v>
      </c>
      <c r="H99" s="1088">
        <f t="shared" si="23"/>
        <v>180549.71529850524</v>
      </c>
      <c r="I99" s="1086"/>
      <c r="J99" s="1086"/>
      <c r="K99" s="1085"/>
      <c r="L99" s="1083"/>
      <c r="M99" s="1086"/>
    </row>
    <row r="100" spans="1:13" ht="13.5">
      <c r="A100" s="2">
        <v>12</v>
      </c>
      <c r="B100" s="821">
        <v>43344</v>
      </c>
      <c r="C100" s="821">
        <v>43373</v>
      </c>
      <c r="D100" s="937">
        <v>4.53E-2</v>
      </c>
      <c r="E100" s="1108">
        <f t="shared" si="20"/>
        <v>1.2138798488825486E-4</v>
      </c>
      <c r="F100" s="1088">
        <f t="shared" si="21"/>
        <v>47979908.141892567</v>
      </c>
      <c r="G100" s="939">
        <f t="shared" si="22"/>
        <v>30</v>
      </c>
      <c r="H100" s="1088">
        <f t="shared" si="23"/>
        <v>174725.53093403735</v>
      </c>
      <c r="I100" s="1086"/>
      <c r="J100" s="1086"/>
      <c r="K100" s="1085"/>
      <c r="L100" s="1083"/>
      <c r="M100" s="1086"/>
    </row>
    <row r="101" spans="1:13" ht="13.5">
      <c r="A101" s="2">
        <v>13</v>
      </c>
      <c r="B101" s="821">
        <v>43374</v>
      </c>
      <c r="C101" s="821">
        <v>43375</v>
      </c>
      <c r="D101" s="937">
        <v>4.4299999999999999E-2</v>
      </c>
      <c r="E101" s="1108">
        <f t="shared" si="20"/>
        <v>1.187654205565547E-4</v>
      </c>
      <c r="F101" s="1088">
        <f t="shared" si="21"/>
        <v>47979908.141892567</v>
      </c>
      <c r="G101" s="939">
        <f t="shared" si="22"/>
        <v>2</v>
      </c>
      <c r="H101" s="1088">
        <f t="shared" si="23"/>
        <v>11396.707937473468</v>
      </c>
      <c r="I101" s="1086"/>
      <c r="J101" s="1086"/>
      <c r="K101" s="1085"/>
      <c r="L101" s="1083"/>
      <c r="M101" s="1086"/>
    </row>
    <row r="102" spans="1:13" ht="13.5">
      <c r="A102" s="2">
        <v>14</v>
      </c>
      <c r="B102" s="821">
        <v>43376</v>
      </c>
      <c r="C102" s="821">
        <v>43404</v>
      </c>
      <c r="D102" s="937">
        <v>0.29444999999999999</v>
      </c>
      <c r="E102" s="1108">
        <f t="shared" si="20"/>
        <v>7.073346857742191E-4</v>
      </c>
      <c r="F102" s="1088">
        <f t="shared" si="21"/>
        <v>47979908.141892567</v>
      </c>
      <c r="G102" s="939">
        <f t="shared" si="22"/>
        <v>29</v>
      </c>
      <c r="H102" s="1088">
        <f t="shared" si="23"/>
        <v>984197.74422162271</v>
      </c>
      <c r="I102" s="1086"/>
      <c r="J102" s="1086"/>
      <c r="K102" s="1085"/>
      <c r="L102" s="1083"/>
      <c r="M102" s="1086"/>
    </row>
    <row r="103" spans="1:13" ht="13.5">
      <c r="A103" s="2">
        <v>15</v>
      </c>
      <c r="B103" s="821">
        <v>43405</v>
      </c>
      <c r="C103" s="821">
        <v>43434</v>
      </c>
      <c r="D103" s="937">
        <v>0.29235</v>
      </c>
      <c r="E103" s="1108">
        <f t="shared" si="20"/>
        <v>7.0288325333756063E-4</v>
      </c>
      <c r="F103" s="1088">
        <f t="shared" si="21"/>
        <v>47979908.141892567</v>
      </c>
      <c r="G103" s="939">
        <f t="shared" si="22"/>
        <v>30</v>
      </c>
      <c r="H103" s="1088">
        <f t="shared" si="23"/>
        <v>1011728.2178883229</v>
      </c>
      <c r="I103" s="1086"/>
      <c r="J103" s="1086"/>
      <c r="K103" s="1085"/>
      <c r="L103" s="1083"/>
      <c r="M103" s="1086"/>
    </row>
    <row r="104" spans="1:13" ht="13.5">
      <c r="A104" s="2">
        <v>16</v>
      </c>
      <c r="B104" s="821">
        <v>43435</v>
      </c>
      <c r="C104" s="821">
        <v>43465</v>
      </c>
      <c r="D104" s="937">
        <v>0.29100000000000004</v>
      </c>
      <c r="E104" s="1108">
        <f t="shared" si="20"/>
        <v>7.0001780740103214E-4</v>
      </c>
      <c r="F104" s="1088">
        <f t="shared" si="21"/>
        <v>47979908.141892567</v>
      </c>
      <c r="G104" s="939">
        <f t="shared" si="22"/>
        <v>31</v>
      </c>
      <c r="H104" s="1088">
        <f t="shared" si="23"/>
        <v>1041190.4930005075</v>
      </c>
      <c r="I104" s="1086"/>
      <c r="J104" s="1086"/>
      <c r="K104" s="1085"/>
      <c r="L104" s="1083"/>
      <c r="M104" s="1086"/>
    </row>
    <row r="105" spans="1:13" ht="13.5">
      <c r="A105" s="2">
        <v>17</v>
      </c>
      <c r="B105" s="821">
        <v>43466</v>
      </c>
      <c r="C105" s="821">
        <v>43496</v>
      </c>
      <c r="D105" s="937">
        <v>0.28739999999999999</v>
      </c>
      <c r="E105" s="1108">
        <f t="shared" si="20"/>
        <v>6.9236198468725085E-4</v>
      </c>
      <c r="F105" s="1088">
        <f t="shared" si="21"/>
        <v>47979908.141892567</v>
      </c>
      <c r="G105" s="939">
        <f t="shared" si="22"/>
        <v>31</v>
      </c>
      <c r="H105" s="1088">
        <f t="shared" si="23"/>
        <v>1029803.3972132144</v>
      </c>
      <c r="I105" s="1086"/>
      <c r="J105" s="1086"/>
      <c r="K105" s="1085"/>
      <c r="L105" s="1083"/>
      <c r="M105" s="1086"/>
    </row>
    <row r="106" spans="1:13" ht="13.5">
      <c r="A106" s="2">
        <v>18</v>
      </c>
      <c r="B106" s="821">
        <v>43497</v>
      </c>
      <c r="C106" s="821">
        <v>43524</v>
      </c>
      <c r="D106" s="937">
        <v>0.29549999999999998</v>
      </c>
      <c r="E106" s="1108">
        <f t="shared" si="20"/>
        <v>7.0955770203506852E-4</v>
      </c>
      <c r="F106" s="1088">
        <f t="shared" si="21"/>
        <v>47979908.141892567</v>
      </c>
      <c r="G106" s="939">
        <f t="shared" si="22"/>
        <v>28</v>
      </c>
      <c r="H106" s="1088">
        <f t="shared" si="23"/>
        <v>953246.37422041909</v>
      </c>
      <c r="I106" s="1086"/>
      <c r="J106" s="1086"/>
      <c r="K106" s="1085"/>
      <c r="L106" s="1083"/>
      <c r="M106" s="1086"/>
    </row>
    <row r="107" spans="1:13" ht="13.5">
      <c r="A107" s="2">
        <v>19</v>
      </c>
      <c r="B107" s="821">
        <v>43525</v>
      </c>
      <c r="C107" s="821">
        <v>43555</v>
      </c>
      <c r="D107" s="937">
        <v>0.29055000000000003</v>
      </c>
      <c r="E107" s="1108">
        <f t="shared" si="20"/>
        <v>6.9906199467517638E-4</v>
      </c>
      <c r="F107" s="1088">
        <f t="shared" si="21"/>
        <v>47979908.141892567</v>
      </c>
      <c r="G107" s="939">
        <f t="shared" si="22"/>
        <v>31</v>
      </c>
      <c r="H107" s="1088">
        <f t="shared" si="23"/>
        <v>1039768.8389900976</v>
      </c>
      <c r="I107" s="1086"/>
      <c r="J107" s="1086"/>
      <c r="K107" s="1085"/>
      <c r="L107" s="1083"/>
      <c r="M107" s="1086"/>
    </row>
    <row r="108" spans="1:13" ht="13.5">
      <c r="A108" s="2">
        <v>20</v>
      </c>
      <c r="B108" s="821">
        <v>43556</v>
      </c>
      <c r="C108" s="821">
        <v>43585</v>
      </c>
      <c r="D108" s="937">
        <v>0.2898</v>
      </c>
      <c r="E108" s="1108">
        <f t="shared" si="20"/>
        <v>6.9746823462724095E-4</v>
      </c>
      <c r="F108" s="1088">
        <f t="shared" si="21"/>
        <v>47979908.141892567</v>
      </c>
      <c r="G108" s="939">
        <f t="shared" si="22"/>
        <v>30</v>
      </c>
      <c r="H108" s="1088">
        <f t="shared" si="23"/>
        <v>1003933.8548790899</v>
      </c>
      <c r="I108" s="1086"/>
      <c r="J108" s="1086"/>
      <c r="K108" s="1085"/>
      <c r="L108" s="1085"/>
      <c r="M108" s="1086"/>
    </row>
    <row r="109" spans="1:13" ht="13.5">
      <c r="A109" s="2">
        <v>21</v>
      </c>
      <c r="B109" s="821">
        <v>43586</v>
      </c>
      <c r="C109" s="821">
        <v>43616</v>
      </c>
      <c r="D109" s="937">
        <v>0.29009999999999997</v>
      </c>
      <c r="E109" s="1108">
        <f t="shared" si="20"/>
        <v>6.9810584952367805E-4</v>
      </c>
      <c r="F109" s="1088">
        <f t="shared" si="21"/>
        <v>47979908.141892567</v>
      </c>
      <c r="G109" s="939">
        <f t="shared" si="22"/>
        <v>31</v>
      </c>
      <c r="H109" s="1088">
        <f t="shared" si="23"/>
        <v>1038346.6905373823</v>
      </c>
      <c r="I109" s="1086"/>
      <c r="J109" s="1086"/>
      <c r="K109" s="1085"/>
      <c r="L109" s="1085"/>
      <c r="M109" s="1086"/>
    </row>
    <row r="110" spans="1:13" ht="13.5">
      <c r="A110" s="2">
        <v>22</v>
      </c>
      <c r="B110" s="821">
        <v>43617</v>
      </c>
      <c r="C110" s="821">
        <v>43646</v>
      </c>
      <c r="D110" s="937">
        <v>0.28949999999999998</v>
      </c>
      <c r="E110" s="1108">
        <f t="shared" si="20"/>
        <v>6.9683047181468005E-4</v>
      </c>
      <c r="F110" s="1088">
        <f t="shared" si="21"/>
        <v>47979908.141892567</v>
      </c>
      <c r="G110" s="939">
        <f t="shared" si="22"/>
        <v>30</v>
      </c>
      <c r="H110" s="1088">
        <f t="shared" si="23"/>
        <v>1003015.8608442002</v>
      </c>
      <c r="I110" s="1086"/>
      <c r="J110" s="1086"/>
      <c r="K110" s="1085"/>
      <c r="L110" s="1104"/>
      <c r="M110" s="1086"/>
    </row>
    <row r="111" spans="1:13" ht="13.5">
      <c r="A111" s="2">
        <v>23</v>
      </c>
      <c r="B111" s="821">
        <v>43647</v>
      </c>
      <c r="C111" s="821">
        <v>43677</v>
      </c>
      <c r="D111" s="937">
        <v>0.28920000000000001</v>
      </c>
      <c r="E111" s="1108">
        <f t="shared" si="20"/>
        <v>6.9619256101671745E-4</v>
      </c>
      <c r="F111" s="1088">
        <f t="shared" si="21"/>
        <v>47979908.141892567</v>
      </c>
      <c r="G111" s="939">
        <f t="shared" si="22"/>
        <v>31</v>
      </c>
      <c r="H111" s="1088">
        <f t="shared" si="23"/>
        <v>1035500.9089261822</v>
      </c>
      <c r="I111" s="1086"/>
      <c r="J111" s="1086"/>
      <c r="K111" s="1085"/>
      <c r="L111" s="1105"/>
      <c r="M111" s="1086"/>
    </row>
    <row r="112" spans="1:13" ht="13.5">
      <c r="A112" s="2">
        <v>24</v>
      </c>
      <c r="B112" s="821">
        <v>43678</v>
      </c>
      <c r="C112" s="821">
        <v>43708</v>
      </c>
      <c r="D112" s="937">
        <v>0.2898</v>
      </c>
      <c r="E112" s="1108">
        <f t="shared" si="20"/>
        <v>6.9746823462724095E-4</v>
      </c>
      <c r="F112" s="1088">
        <f t="shared" si="21"/>
        <v>47979908.141892567</v>
      </c>
      <c r="G112" s="939">
        <f t="shared" si="22"/>
        <v>31</v>
      </c>
      <c r="H112" s="1088">
        <f t="shared" si="23"/>
        <v>1037398.3167083927</v>
      </c>
      <c r="I112" s="1086"/>
      <c r="J112" s="1086"/>
      <c r="K112" s="1085"/>
      <c r="L112" s="1105"/>
      <c r="M112" s="1086"/>
    </row>
    <row r="113" spans="1:13" ht="13.5">
      <c r="A113" s="2">
        <v>25</v>
      </c>
      <c r="B113" s="821">
        <v>43709</v>
      </c>
      <c r="C113" s="821">
        <v>43738</v>
      </c>
      <c r="D113" s="937">
        <v>0.2898</v>
      </c>
      <c r="E113" s="1108">
        <f t="shared" si="20"/>
        <v>6.9746823462724095E-4</v>
      </c>
      <c r="F113" s="1088">
        <f t="shared" si="21"/>
        <v>47979908.141892567</v>
      </c>
      <c r="G113" s="939">
        <f t="shared" si="22"/>
        <v>30</v>
      </c>
      <c r="H113" s="1088">
        <f t="shared" si="23"/>
        <v>1003933.8548790899</v>
      </c>
      <c r="I113" s="1086"/>
      <c r="J113" s="1086"/>
      <c r="K113" s="1085"/>
      <c r="L113" s="1105"/>
      <c r="M113" s="1086"/>
    </row>
    <row r="114" spans="1:13" ht="13.5">
      <c r="A114" s="2">
        <v>26</v>
      </c>
      <c r="B114" s="821">
        <v>43739</v>
      </c>
      <c r="C114" s="821">
        <v>43769</v>
      </c>
      <c r="D114" s="937">
        <v>0.28649999999999998</v>
      </c>
      <c r="E114" s="1108">
        <f t="shared" si="20"/>
        <v>6.9044469314105683E-4</v>
      </c>
      <c r="F114" s="1088">
        <f t="shared" si="21"/>
        <v>47979908.141892567</v>
      </c>
      <c r="G114" s="939">
        <f t="shared" si="22"/>
        <v>31</v>
      </c>
      <c r="H114" s="1088">
        <f t="shared" si="23"/>
        <v>1026951.6615729183</v>
      </c>
      <c r="I114" s="1086"/>
      <c r="J114" s="1086"/>
      <c r="K114" s="1085"/>
      <c r="L114" s="1105"/>
      <c r="M114" s="1086"/>
    </row>
    <row r="115" spans="1:13" ht="13.5">
      <c r="A115" s="2">
        <v>27</v>
      </c>
      <c r="B115" s="821">
        <v>43770</v>
      </c>
      <c r="C115" s="821">
        <v>43799</v>
      </c>
      <c r="D115" s="937">
        <v>0.28544999999999998</v>
      </c>
      <c r="E115" s="1108">
        <f t="shared" si="20"/>
        <v>6.8820616169262827E-4</v>
      </c>
      <c r="F115" s="1088">
        <f t="shared" si="21"/>
        <v>47979908.141892567</v>
      </c>
      <c r="G115" s="939">
        <f t="shared" si="22"/>
        <v>30</v>
      </c>
      <c r="H115" s="1088">
        <f t="shared" si="23"/>
        <v>990602.05262090301</v>
      </c>
      <c r="I115" s="1086"/>
      <c r="J115" s="1086"/>
      <c r="K115" s="1085"/>
      <c r="L115" s="1105"/>
      <c r="M115" s="1086"/>
    </row>
    <row r="116" spans="1:13" ht="13.5">
      <c r="A116" s="2">
        <v>28</v>
      </c>
      <c r="B116" s="821">
        <v>43800</v>
      </c>
      <c r="C116" s="821">
        <v>43830</v>
      </c>
      <c r="D116" s="937">
        <v>0.28364999999999996</v>
      </c>
      <c r="E116" s="1108">
        <f t="shared" si="20"/>
        <v>6.8436443340047504E-4</v>
      </c>
      <c r="F116" s="1088">
        <f t="shared" si="21"/>
        <v>47979908.141892567</v>
      </c>
      <c r="G116" s="939">
        <f t="shared" si="22"/>
        <v>31</v>
      </c>
      <c r="H116" s="1088">
        <f t="shared" si="23"/>
        <v>1017908.0221541275</v>
      </c>
      <c r="I116" s="1086"/>
      <c r="J116" s="1086"/>
      <c r="K116" s="1085"/>
      <c r="L116" s="1105"/>
      <c r="M116" s="1086"/>
    </row>
    <row r="117" spans="1:13" ht="13.5">
      <c r="A117" s="2">
        <v>29</v>
      </c>
      <c r="B117" s="821">
        <v>43831</v>
      </c>
      <c r="C117" s="821">
        <v>43861</v>
      </c>
      <c r="D117" s="937">
        <v>0.28155000000000002</v>
      </c>
      <c r="E117" s="1108">
        <f t="shared" si="20"/>
        <v>6.7987562124560696E-4</v>
      </c>
      <c r="F117" s="1088">
        <f t="shared" si="21"/>
        <v>47979908.141892567</v>
      </c>
      <c r="G117" s="939">
        <f t="shared" si="22"/>
        <v>31</v>
      </c>
      <c r="H117" s="1088">
        <f t="shared" si="23"/>
        <v>1011231.4655135672</v>
      </c>
      <c r="I117" s="1086"/>
      <c r="J117" s="1086"/>
      <c r="K117" s="1085"/>
      <c r="L117" s="1105"/>
      <c r="M117" s="1086"/>
    </row>
    <row r="118" spans="1:13" ht="13.5">
      <c r="A118" s="2">
        <v>30</v>
      </c>
      <c r="B118" s="821">
        <v>43862</v>
      </c>
      <c r="C118" s="821">
        <v>43890</v>
      </c>
      <c r="D118" s="937">
        <v>0.28589999999999999</v>
      </c>
      <c r="E118" s="1108">
        <f t="shared" si="20"/>
        <v>6.8916575551658532E-4</v>
      </c>
      <c r="F118" s="1088">
        <f t="shared" si="21"/>
        <v>47979908.141892567</v>
      </c>
      <c r="G118" s="939">
        <f t="shared" si="22"/>
        <v>29</v>
      </c>
      <c r="H118" s="1088">
        <f t="shared" si="23"/>
        <v>958917.17968248879</v>
      </c>
      <c r="I118" s="1086"/>
      <c r="J118" s="1086"/>
      <c r="K118" s="1085"/>
      <c r="L118" s="1105"/>
      <c r="M118" s="1086"/>
    </row>
    <row r="119" spans="1:13" ht="13.5">
      <c r="A119" s="2">
        <v>31</v>
      </c>
      <c r="B119" s="821">
        <v>43891</v>
      </c>
      <c r="C119" s="821">
        <v>43921</v>
      </c>
      <c r="D119" s="937">
        <v>0.28425</v>
      </c>
      <c r="E119" s="1108">
        <f t="shared" si="20"/>
        <v>6.8564560609574166E-4</v>
      </c>
      <c r="F119" s="1088">
        <f t="shared" si="21"/>
        <v>47979908.141892567</v>
      </c>
      <c r="G119" s="939">
        <f t="shared" si="22"/>
        <v>31</v>
      </c>
      <c r="H119" s="1088">
        <f t="shared" si="23"/>
        <v>1019813.609149344</v>
      </c>
      <c r="I119" s="1086"/>
      <c r="J119" s="1086"/>
      <c r="K119" s="1085"/>
      <c r="L119" s="1105"/>
      <c r="M119" s="1086"/>
    </row>
    <row r="120" spans="1:13" ht="13.5">
      <c r="A120" s="2">
        <v>32</v>
      </c>
      <c r="B120" s="821">
        <v>43922</v>
      </c>
      <c r="C120" s="821">
        <v>43951</v>
      </c>
      <c r="D120" s="937">
        <v>0.28034999999999999</v>
      </c>
      <c r="E120" s="1108">
        <f t="shared" si="20"/>
        <v>6.7730729113191224E-4</v>
      </c>
      <c r="F120" s="1088">
        <f t="shared" si="21"/>
        <v>47979908.141892567</v>
      </c>
      <c r="G120" s="939">
        <f t="shared" si="22"/>
        <v>30</v>
      </c>
      <c r="H120" s="1088">
        <f t="shared" si="23"/>
        <v>974914.24837029714</v>
      </c>
      <c r="I120" s="1086"/>
      <c r="J120" s="1086"/>
      <c r="K120" s="1085"/>
      <c r="L120" s="1105"/>
      <c r="M120" s="1086"/>
    </row>
    <row r="121" spans="1:13" ht="13.5">
      <c r="A121" s="2">
        <v>33</v>
      </c>
      <c r="B121" s="821">
        <v>43952</v>
      </c>
      <c r="C121" s="821">
        <v>43982</v>
      </c>
      <c r="D121" s="937">
        <v>0.27285000000000004</v>
      </c>
      <c r="E121" s="1108">
        <f t="shared" si="20"/>
        <v>6.6120063584418354E-4</v>
      </c>
      <c r="F121" s="1088">
        <f t="shared" si="21"/>
        <v>47979908.141892567</v>
      </c>
      <c r="G121" s="939">
        <f t="shared" si="22"/>
        <v>31</v>
      </c>
      <c r="H121" s="1088">
        <f t="shared" si="23"/>
        <v>983454.71890611132</v>
      </c>
      <c r="I121" s="1086"/>
      <c r="J121" s="1086"/>
      <c r="K121" s="1085"/>
      <c r="L121" s="1105"/>
      <c r="M121" s="1086"/>
    </row>
    <row r="122" spans="1:13" ht="13.5">
      <c r="A122" s="2">
        <v>34</v>
      </c>
      <c r="B122" s="821">
        <v>43983</v>
      </c>
      <c r="C122" s="821">
        <v>44012</v>
      </c>
      <c r="D122" s="937">
        <v>0.27179999999999999</v>
      </c>
      <c r="E122" s="1108">
        <f t="shared" si="20"/>
        <v>6.5893815469997286E-4</v>
      </c>
      <c r="F122" s="1088">
        <f t="shared" si="21"/>
        <v>47979908.141892567</v>
      </c>
      <c r="G122" s="939">
        <f t="shared" si="22"/>
        <v>30</v>
      </c>
      <c r="H122" s="1088">
        <f t="shared" si="23"/>
        <v>948473.76401078678</v>
      </c>
      <c r="I122" s="1086"/>
      <c r="J122" s="1086"/>
      <c r="K122" s="1085"/>
      <c r="L122" s="1105"/>
      <c r="M122" s="1086"/>
    </row>
    <row r="123" spans="1:13" ht="13.5">
      <c r="A123" s="2">
        <v>35</v>
      </c>
      <c r="B123" s="821">
        <v>44013</v>
      </c>
      <c r="C123" s="821">
        <v>44043</v>
      </c>
      <c r="D123" s="937">
        <v>0.27179999999999999</v>
      </c>
      <c r="E123" s="1108">
        <f t="shared" si="20"/>
        <v>6.5893815469997286E-4</v>
      </c>
      <c r="F123" s="1088">
        <f t="shared" si="21"/>
        <v>47979908.141892567</v>
      </c>
      <c r="G123" s="939">
        <f t="shared" si="22"/>
        <v>31</v>
      </c>
      <c r="H123" s="1088">
        <f t="shared" si="23"/>
        <v>980089.55614447955</v>
      </c>
      <c r="I123" s="1086"/>
      <c r="J123" s="1086"/>
      <c r="K123" s="1085"/>
      <c r="L123" s="1105"/>
      <c r="M123" s="1086"/>
    </row>
    <row r="124" spans="1:13" ht="13.5">
      <c r="A124" s="2">
        <v>36</v>
      </c>
      <c r="B124" s="821">
        <v>44044</v>
      </c>
      <c r="C124" s="821">
        <v>44074</v>
      </c>
      <c r="D124" s="937">
        <v>0.27434999999999998</v>
      </c>
      <c r="E124" s="1108">
        <f t="shared" si="20"/>
        <v>6.6442952514544906E-4</v>
      </c>
      <c r="F124" s="1088">
        <f t="shared" si="21"/>
        <v>47979908.141892567</v>
      </c>
      <c r="G124" s="939">
        <f t="shared" si="22"/>
        <v>31</v>
      </c>
      <c r="H124" s="1088">
        <f t="shared" si="23"/>
        <v>988257.29508043814</v>
      </c>
      <c r="I124" s="1086"/>
      <c r="J124" s="1086"/>
      <c r="K124" s="1085"/>
      <c r="L124" s="1105"/>
      <c r="M124" s="1086"/>
    </row>
    <row r="125" spans="1:13" ht="13.5">
      <c r="A125" s="2">
        <v>37</v>
      </c>
      <c r="B125" s="821">
        <v>44075</v>
      </c>
      <c r="C125" s="821">
        <v>44104</v>
      </c>
      <c r="D125" s="937">
        <v>0.27524999999999999</v>
      </c>
      <c r="E125" s="1108">
        <f t="shared" si="20"/>
        <v>6.6636503991857055E-4</v>
      </c>
      <c r="F125" s="1088">
        <f t="shared" si="21"/>
        <v>47979908.141892567</v>
      </c>
      <c r="G125" s="939">
        <f t="shared" si="22"/>
        <v>30</v>
      </c>
      <c r="H125" s="1088">
        <f t="shared" si="23"/>
        <v>959164.00212784763</v>
      </c>
      <c r="I125" s="1086"/>
      <c r="J125" s="1086"/>
      <c r="K125" s="1085"/>
      <c r="L125" s="1105"/>
      <c r="M125" s="1086"/>
    </row>
    <row r="126" spans="1:13" ht="13.5">
      <c r="A126" s="2">
        <v>38</v>
      </c>
      <c r="B126" s="821">
        <v>44105</v>
      </c>
      <c r="C126" s="821">
        <v>44135</v>
      </c>
      <c r="D126" s="937">
        <v>0.27134999999999998</v>
      </c>
      <c r="E126" s="1108">
        <f t="shared" si="20"/>
        <v>6.5796794962613703E-4</v>
      </c>
      <c r="F126" s="1088">
        <f t="shared" si="21"/>
        <v>47979908.141892567</v>
      </c>
      <c r="G126" s="939">
        <f t="shared" si="22"/>
        <v>31</v>
      </c>
      <c r="H126" s="1088">
        <f t="shared" si="23"/>
        <v>978646.49528451485</v>
      </c>
      <c r="I126" s="1086"/>
      <c r="J126" s="1086"/>
      <c r="K126" s="1085"/>
      <c r="L126" s="1105"/>
      <c r="M126" s="1086"/>
    </row>
    <row r="127" spans="1:13" ht="13.5">
      <c r="A127" s="2">
        <v>39</v>
      </c>
      <c r="B127" s="821">
        <v>44136</v>
      </c>
      <c r="C127" s="821">
        <v>44165</v>
      </c>
      <c r="D127" s="937">
        <v>0.2676</v>
      </c>
      <c r="E127" s="1108">
        <f t="shared" si="20"/>
        <v>6.4986956374091243E-4</v>
      </c>
      <c r="F127" s="1088">
        <f t="shared" si="21"/>
        <v>47979908.141892567</v>
      </c>
      <c r="G127" s="939">
        <f t="shared" si="22"/>
        <v>30</v>
      </c>
      <c r="H127" s="1088">
        <f t="shared" si="23"/>
        <v>935420.45917502325</v>
      </c>
      <c r="I127" s="1086"/>
      <c r="J127" s="1086"/>
      <c r="K127" s="1085"/>
      <c r="L127" s="1105"/>
      <c r="M127" s="1086"/>
    </row>
    <row r="128" spans="1:13" ht="13.5">
      <c r="A128" s="2">
        <v>40</v>
      </c>
      <c r="B128" s="821">
        <v>44166</v>
      </c>
      <c r="C128" s="821">
        <v>44196</v>
      </c>
      <c r="D128" s="937">
        <v>0.26190000000000002</v>
      </c>
      <c r="E128" s="1108">
        <f t="shared" si="20"/>
        <v>6.3751414410861962E-4</v>
      </c>
      <c r="F128" s="1088">
        <f t="shared" si="21"/>
        <v>47979908.141892567</v>
      </c>
      <c r="G128" s="939">
        <f t="shared" si="22"/>
        <v>31</v>
      </c>
      <c r="H128" s="1088">
        <f t="shared" si="23"/>
        <v>948223.97227815364</v>
      </c>
      <c r="I128" s="1086"/>
      <c r="J128" s="1086"/>
      <c r="K128" s="1085"/>
      <c r="L128" s="1105"/>
      <c r="M128" s="1086"/>
    </row>
    <row r="129" spans="1:13" ht="13.5">
      <c r="A129" s="2">
        <v>41</v>
      </c>
      <c r="B129" s="821">
        <v>44197</v>
      </c>
      <c r="C129" s="821">
        <v>44227</v>
      </c>
      <c r="D129" s="937">
        <v>0.25979999999999998</v>
      </c>
      <c r="E129" s="1108">
        <f t="shared" si="20"/>
        <v>6.3294811266723094E-4</v>
      </c>
      <c r="F129" s="1088">
        <f t="shared" si="21"/>
        <v>47979908.141892567</v>
      </c>
      <c r="G129" s="939">
        <f t="shared" si="22"/>
        <v>31</v>
      </c>
      <c r="H129" s="1088">
        <f t="shared" si="23"/>
        <v>941432.56143509818</v>
      </c>
      <c r="I129" s="1086"/>
      <c r="J129" s="1086"/>
      <c r="K129" s="1085"/>
      <c r="L129" s="1105"/>
      <c r="M129" s="1086"/>
    </row>
    <row r="130" spans="1:13" ht="13.5">
      <c r="A130" s="2">
        <v>42</v>
      </c>
      <c r="B130" s="821">
        <v>44228</v>
      </c>
      <c r="C130" s="821">
        <v>44255</v>
      </c>
      <c r="D130" s="937">
        <v>0.2631</v>
      </c>
      <c r="E130" s="1108">
        <f t="shared" si="20"/>
        <v>6.4011990387169426E-4</v>
      </c>
      <c r="F130" s="1088">
        <f t="shared" si="21"/>
        <v>47979908.141892567</v>
      </c>
      <c r="G130" s="939">
        <f t="shared" si="22"/>
        <v>28</v>
      </c>
      <c r="H130" s="1088">
        <f t="shared" si="23"/>
        <v>859961.03725170775</v>
      </c>
      <c r="I130" s="1086"/>
      <c r="J130" s="1086"/>
      <c r="K130" s="1085"/>
      <c r="L130" s="1105"/>
      <c r="M130" s="1086"/>
    </row>
    <row r="131" spans="1:13" ht="13.5">
      <c r="A131" s="2">
        <v>43</v>
      </c>
      <c r="B131" s="821">
        <v>44256</v>
      </c>
      <c r="C131" s="821">
        <v>44286</v>
      </c>
      <c r="D131" s="937">
        <v>0.26114999999999999</v>
      </c>
      <c r="E131" s="1108">
        <f t="shared" si="20"/>
        <v>6.3588428907812578E-4</v>
      </c>
      <c r="F131" s="1088">
        <f t="shared" si="21"/>
        <v>47979908.141892567</v>
      </c>
      <c r="G131" s="939">
        <f t="shared" si="22"/>
        <v>31</v>
      </c>
      <c r="H131" s="1088">
        <f t="shared" si="23"/>
        <v>945799.76314407506</v>
      </c>
      <c r="I131" s="1086"/>
      <c r="J131" s="1086"/>
      <c r="K131" s="1085"/>
      <c r="L131" s="1105"/>
      <c r="M131" s="1086"/>
    </row>
    <row r="132" spans="1:13" ht="13.5">
      <c r="A132" s="2">
        <v>44</v>
      </c>
      <c r="B132" s="821">
        <v>44287</v>
      </c>
      <c r="C132" s="821">
        <v>44316</v>
      </c>
      <c r="D132" s="937">
        <v>0.25964999999999999</v>
      </c>
      <c r="E132" s="1108">
        <f t="shared" si="20"/>
        <v>6.326216771728177E-4</v>
      </c>
      <c r="F132" s="1088">
        <f t="shared" si="21"/>
        <v>47979908.141892567</v>
      </c>
      <c r="G132" s="939">
        <f t="shared" si="22"/>
        <v>30</v>
      </c>
      <c r="H132" s="1088">
        <f t="shared" si="23"/>
        <v>910593.89877965418</v>
      </c>
      <c r="I132" s="1086"/>
      <c r="J132" s="1086"/>
      <c r="K132" s="1085"/>
      <c r="L132" s="1105"/>
      <c r="M132" s="1086"/>
    </row>
    <row r="133" spans="1:13" ht="13.5">
      <c r="A133" s="2">
        <v>45</v>
      </c>
      <c r="B133" s="821">
        <v>44317</v>
      </c>
      <c r="C133" s="821">
        <v>44347</v>
      </c>
      <c r="D133" s="937">
        <v>0.25829999999999997</v>
      </c>
      <c r="E133" s="1108">
        <f t="shared" si="20"/>
        <v>6.2968201205726437E-4</v>
      </c>
      <c r="F133" s="1088">
        <f t="shared" si="21"/>
        <v>47979908.141892567</v>
      </c>
      <c r="G133" s="939">
        <f t="shared" si="22"/>
        <v>31</v>
      </c>
      <c r="H133" s="1088">
        <f t="shared" si="23"/>
        <v>936574.6380103986</v>
      </c>
      <c r="I133" s="1086"/>
      <c r="J133" s="1086"/>
      <c r="K133" s="1085"/>
      <c r="L133" s="1105"/>
      <c r="M133" s="1086"/>
    </row>
    <row r="134" spans="1:13" ht="13.5">
      <c r="A134" s="2">
        <v>46</v>
      </c>
      <c r="B134" s="821">
        <v>44348</v>
      </c>
      <c r="C134" s="821">
        <v>44377</v>
      </c>
      <c r="D134" s="937">
        <v>0.25814999999999999</v>
      </c>
      <c r="E134" s="1108">
        <f t="shared" si="20"/>
        <v>6.2935518846773952E-4</v>
      </c>
      <c r="F134" s="1088">
        <f t="shared" si="21"/>
        <v>47979908.141892567</v>
      </c>
      <c r="G134" s="939">
        <f t="shared" si="22"/>
        <v>30</v>
      </c>
      <c r="H134" s="1088">
        <f t="shared" si="23"/>
        <v>905892.12393916887</v>
      </c>
      <c r="I134" s="1086"/>
      <c r="J134" s="1086"/>
      <c r="K134" s="1085"/>
      <c r="L134" s="1105"/>
      <c r="M134" s="1086"/>
    </row>
    <row r="135" spans="1:13" ht="13.5">
      <c r="A135" s="2">
        <v>47</v>
      </c>
      <c r="B135" s="821">
        <v>44378</v>
      </c>
      <c r="C135" s="821">
        <v>44408</v>
      </c>
      <c r="D135" s="937">
        <f>17.18%*1.5</f>
        <v>0.25770000000000004</v>
      </c>
      <c r="E135" s="1108">
        <f t="shared" si="20"/>
        <v>6.2837448450037137E-4</v>
      </c>
      <c r="F135" s="1088">
        <f t="shared" si="21"/>
        <v>47979908.141892567</v>
      </c>
      <c r="G135" s="939">
        <f t="shared" si="22"/>
        <v>31</v>
      </c>
      <c r="H135" s="1088">
        <f t="shared" si="23"/>
        <v>934629.85139614425</v>
      </c>
      <c r="I135" s="1086"/>
      <c r="J135" s="1086"/>
      <c r="K135" s="1085"/>
      <c r="L135" s="1105"/>
      <c r="M135" s="1086"/>
    </row>
    <row r="136" spans="1:13" s="188" customFormat="1" ht="13.5">
      <c r="A136" s="2">
        <v>48</v>
      </c>
      <c r="B136" s="821">
        <v>44409</v>
      </c>
      <c r="C136" s="821">
        <v>44439</v>
      </c>
      <c r="D136" s="937">
        <f>17.24%*1.5</f>
        <v>0.2586</v>
      </c>
      <c r="E136" s="1108">
        <f t="shared" si="20"/>
        <v>6.3033554269220637E-4</v>
      </c>
      <c r="F136" s="1088">
        <f t="shared" si="21"/>
        <v>47979908.141892567</v>
      </c>
      <c r="G136" s="939">
        <f t="shared" si="22"/>
        <v>31</v>
      </c>
      <c r="H136" s="1088">
        <f t="shared" si="23"/>
        <v>937546.68454520393</v>
      </c>
      <c r="I136" s="1086"/>
      <c r="J136" s="1086"/>
      <c r="K136" s="1085"/>
      <c r="L136" s="1105"/>
      <c r="M136" s="1086"/>
    </row>
    <row r="137" spans="1:13" s="188" customFormat="1" ht="13.5">
      <c r="A137" s="2">
        <v>49</v>
      </c>
      <c r="B137" s="821">
        <v>44440</v>
      </c>
      <c r="C137" s="821">
        <v>44469</v>
      </c>
      <c r="D137" s="937">
        <f>17.19%*1.5</f>
        <v>0.25785000000000002</v>
      </c>
      <c r="E137" s="1108">
        <f>((1+D137)^(1/365)-1)</f>
        <v>6.2870142469861889E-4</v>
      </c>
      <c r="F137" s="1088">
        <f t="shared" si="21"/>
        <v>47979908.141892567</v>
      </c>
      <c r="G137" s="939">
        <f t="shared" si="22"/>
        <v>30</v>
      </c>
      <c r="H137" s="1088">
        <f t="shared" si="23"/>
        <v>904951.09817150165</v>
      </c>
      <c r="I137" s="1086"/>
      <c r="J137" s="1086"/>
      <c r="K137" s="1085"/>
      <c r="L137" s="1105"/>
      <c r="M137" s="1086"/>
    </row>
    <row r="138" spans="1:13" s="188" customFormat="1" ht="13.5">
      <c r="A138" s="2">
        <v>50</v>
      </c>
      <c r="B138" s="821">
        <v>44470</v>
      </c>
      <c r="C138" s="821">
        <v>44500</v>
      </c>
      <c r="D138" s="937">
        <f>17.08%*1.5</f>
        <v>0.25619999999999998</v>
      </c>
      <c r="E138" s="1108">
        <f>((1+D138)^(1/365)-1)</f>
        <v>6.2510294214179751E-4</v>
      </c>
      <c r="F138" s="1088">
        <f t="shared" si="21"/>
        <v>47979908.141892567</v>
      </c>
      <c r="G138" s="939">
        <f t="shared" si="22"/>
        <v>31</v>
      </c>
      <c r="H138" s="1088">
        <f>+F138*G138*E138</f>
        <v>929763.83403889707</v>
      </c>
      <c r="I138" s="1086"/>
      <c r="J138" s="1086"/>
      <c r="K138" s="1085"/>
      <c r="L138" s="1105"/>
      <c r="M138" s="1086"/>
    </row>
    <row r="139" spans="1:13" s="188" customFormat="1" ht="13.5">
      <c r="A139" s="2">
        <v>51</v>
      </c>
      <c r="B139" s="821">
        <v>44501</v>
      </c>
      <c r="C139" s="821">
        <v>44530</v>
      </c>
      <c r="D139" s="937">
        <f>17.27%*1.5</f>
        <v>0.25905</v>
      </c>
      <c r="E139" s="1108">
        <f>((1+D139)^(1/365)-1)</f>
        <v>6.3131554742335005E-4</v>
      </c>
      <c r="F139" s="1088">
        <f t="shared" si="21"/>
        <v>47979908.141892567</v>
      </c>
      <c r="G139" s="939">
        <f t="shared" si="22"/>
        <v>30</v>
      </c>
      <c r="H139" s="1088">
        <f>+F139*G139*E139</f>
        <v>908713.85921762872</v>
      </c>
      <c r="I139" s="1086"/>
      <c r="J139" s="1086"/>
      <c r="K139" s="1085"/>
      <c r="L139" s="1105"/>
      <c r="M139" s="1086"/>
    </row>
    <row r="140" spans="1:13" s="188" customFormat="1" ht="13.5">
      <c r="A140" s="2">
        <v>52</v>
      </c>
      <c r="B140" s="821">
        <v>44531</v>
      </c>
      <c r="C140" s="821">
        <v>44543</v>
      </c>
      <c r="D140" s="937">
        <f>17.46%*1.5</f>
        <v>0.26190000000000002</v>
      </c>
      <c r="E140" s="1108">
        <f>((1+D140)^(1/365)-1)</f>
        <v>6.3751414410861962E-4</v>
      </c>
      <c r="F140" s="1088">
        <f t="shared" si="21"/>
        <v>47979908.141892567</v>
      </c>
      <c r="G140" s="939">
        <f t="shared" si="22"/>
        <v>13</v>
      </c>
      <c r="H140" s="1088">
        <f>+F140*G140*E140</f>
        <v>397642.31095535483</v>
      </c>
      <c r="I140" s="1086"/>
      <c r="J140" s="1086"/>
      <c r="K140" s="1085"/>
      <c r="L140" s="1105"/>
      <c r="M140" s="1086"/>
    </row>
    <row r="141" spans="1:13" ht="13.5">
      <c r="B141" s="1086"/>
      <c r="C141" s="1086"/>
      <c r="D141" s="1086"/>
      <c r="E141" s="1085"/>
      <c r="F141" s="2627" t="s">
        <v>584</v>
      </c>
      <c r="G141" s="2627"/>
      <c r="H141" s="1109">
        <f>SUM(H89:H140)</f>
        <v>38845184.011995465</v>
      </c>
      <c r="I141" s="1086"/>
      <c r="J141" s="1086"/>
      <c r="K141" s="1085"/>
      <c r="L141" s="1105"/>
      <c r="M141" s="1086"/>
    </row>
    <row r="142" spans="1:13" ht="13.5">
      <c r="B142" s="1086"/>
      <c r="C142" s="1086"/>
      <c r="D142" s="1086"/>
      <c r="E142" s="1085"/>
      <c r="F142" s="1782"/>
      <c r="G142" s="1782"/>
      <c r="H142" s="1783"/>
      <c r="I142" s="1086"/>
      <c r="J142" s="1086"/>
      <c r="K142" s="1085"/>
      <c r="L142" s="1105"/>
      <c r="M142" s="1086"/>
    </row>
    <row r="143" spans="1:13" ht="13.5">
      <c r="B143" s="1086"/>
      <c r="C143" s="1086"/>
      <c r="D143" s="1086"/>
      <c r="E143" s="1085"/>
      <c r="F143" s="1782"/>
      <c r="G143" s="1782"/>
      <c r="H143" s="1783"/>
      <c r="I143" s="1086"/>
      <c r="J143" s="1086"/>
      <c r="K143" s="1085"/>
      <c r="L143" s="1105"/>
      <c r="M143" s="1086"/>
    </row>
    <row r="144" spans="1:13" ht="13.5">
      <c r="B144" s="1086"/>
      <c r="C144" s="1086"/>
      <c r="D144" s="1086"/>
      <c r="E144" s="1085"/>
      <c r="F144" s="1086"/>
      <c r="G144" s="1087"/>
      <c r="H144" s="1087"/>
      <c r="I144" s="1086"/>
      <c r="J144" s="1086"/>
      <c r="K144" s="1085"/>
      <c r="L144" s="1105"/>
      <c r="M144" s="1086"/>
    </row>
    <row r="145" spans="2:17" ht="13.5">
      <c r="B145" s="2628" t="s">
        <v>55</v>
      </c>
      <c r="C145" s="2628"/>
      <c r="D145" s="2628"/>
      <c r="E145" s="1085"/>
      <c r="F145" s="1086"/>
      <c r="G145" s="1087"/>
      <c r="H145" s="1087"/>
      <c r="I145" s="1086"/>
      <c r="J145" s="1086"/>
      <c r="K145" s="1085"/>
      <c r="L145" s="1105"/>
      <c r="M145" s="1086"/>
    </row>
    <row r="146" spans="2:17" ht="25.5">
      <c r="B146" s="1110" t="s">
        <v>585</v>
      </c>
      <c r="C146" s="948"/>
      <c r="D146" s="938">
        <f>+C81</f>
        <v>47979908.141892567</v>
      </c>
      <c r="E146"/>
      <c r="G146"/>
      <c r="H146"/>
      <c r="I146" s="1086"/>
      <c r="J146" s="1086"/>
      <c r="K146" s="1085"/>
      <c r="L146" s="1105"/>
      <c r="M146" s="1086"/>
    </row>
    <row r="147" spans="2:17" ht="13.5">
      <c r="B147" s="948" t="s">
        <v>586</v>
      </c>
      <c r="C147" s="948"/>
      <c r="D147" s="938">
        <f>+H141</f>
        <v>38845184.011995465</v>
      </c>
      <c r="E147"/>
      <c r="G147"/>
      <c r="H147"/>
      <c r="K147" s="1085"/>
      <c r="L147" s="1105"/>
      <c r="M147" s="1086"/>
    </row>
    <row r="148" spans="2:17" ht="13.5">
      <c r="B148" s="948" t="s">
        <v>587</v>
      </c>
      <c r="C148" s="1111"/>
      <c r="D148" s="1247">
        <v>14700</v>
      </c>
      <c r="E148"/>
      <c r="G148"/>
      <c r="H148"/>
      <c r="K148" s="1085"/>
      <c r="L148" s="1105"/>
      <c r="M148" s="1086"/>
    </row>
    <row r="149" spans="2:17" ht="13.5">
      <c r="B149" s="1111" t="s">
        <v>588</v>
      </c>
      <c r="C149" s="1111"/>
      <c r="D149" s="1247">
        <v>73889</v>
      </c>
      <c r="E149"/>
      <c r="G149"/>
      <c r="H149"/>
      <c r="K149" s="1085"/>
      <c r="L149" s="1105"/>
      <c r="M149" s="1086"/>
    </row>
    <row r="150" spans="2:17" ht="13.5">
      <c r="B150" s="1111" t="s">
        <v>589</v>
      </c>
      <c r="C150" s="1111"/>
      <c r="D150" s="1247">
        <v>198000</v>
      </c>
      <c r="E150"/>
      <c r="G150"/>
      <c r="H150"/>
      <c r="J150" s="8">
        <f>+'Ibeth Jimenez'!D150-'Ibeth Jimenez Correccion'!D151</f>
        <v>11184410.96775189</v>
      </c>
      <c r="K150" s="1085"/>
      <c r="L150" s="1105"/>
      <c r="M150" s="1086"/>
    </row>
    <row r="151" spans="2:17" ht="14.25" thickBot="1">
      <c r="B151" s="891" t="s">
        <v>120</v>
      </c>
      <c r="C151" s="891"/>
      <c r="D151" s="892">
        <f>SUM(D146:D150)</f>
        <v>87111681.153888032</v>
      </c>
      <c r="E151"/>
      <c r="F151" s="8"/>
      <c r="G151"/>
      <c r="H151"/>
      <c r="I151" s="1086"/>
      <c r="J151" s="1086"/>
      <c r="N151" s="1105"/>
      <c r="O151" s="1086"/>
    </row>
    <row r="152" spans="2:17" ht="13.5" thickTop="1">
      <c r="B152" s="236" t="s">
        <v>62</v>
      </c>
      <c r="C152" s="147"/>
      <c r="D152" s="147"/>
      <c r="E152"/>
      <c r="F152" s="51"/>
      <c r="N152" s="104"/>
      <c r="O152" s="46">
        <f>+D151-'Ibeth Jimenez'!D150</f>
        <v>-11184410.96775189</v>
      </c>
    </row>
    <row r="153" spans="2:17">
      <c r="B153" s="234"/>
      <c r="C153" s="147"/>
      <c r="D153" s="1781"/>
      <c r="E153"/>
      <c r="F153" s="8"/>
      <c r="M153" s="8"/>
      <c r="N153" s="104"/>
      <c r="O153" s="8"/>
    </row>
    <row r="154" spans="2:17">
      <c r="B154" s="234"/>
      <c r="C154" s="147"/>
      <c r="D154" s="147"/>
      <c r="E154"/>
      <c r="O154" s="8"/>
      <c r="P154" s="104"/>
    </row>
    <row r="155" spans="2:17">
      <c r="B155" s="476" t="s">
        <v>63</v>
      </c>
      <c r="C155" s="147"/>
      <c r="D155" s="147"/>
      <c r="O155" s="8">
        <v>54160460</v>
      </c>
      <c r="P155" s="104"/>
    </row>
    <row r="156" spans="2:17">
      <c r="B156" s="476" t="s">
        <v>64</v>
      </c>
      <c r="C156" s="147"/>
      <c r="D156" s="147"/>
      <c r="E156"/>
      <c r="O156" s="8">
        <v>43849043</v>
      </c>
      <c r="P156" s="32">
        <f>+D147+D146+D148</f>
        <v>86839792.153888032</v>
      </c>
      <c r="Q156" s="32">
        <f>+P156*0.3</f>
        <v>26051937.64616641</v>
      </c>
    </row>
    <row r="157" spans="2:17">
      <c r="B157" s="236" t="s">
        <v>65</v>
      </c>
      <c r="C157" s="147"/>
      <c r="D157" s="147"/>
      <c r="O157" s="8">
        <f>+O155+O156</f>
        <v>98009503</v>
      </c>
      <c r="Q157" s="32">
        <f>(P156*0.7)+D148+D149+D150</f>
        <v>61074443.507721618</v>
      </c>
    </row>
    <row r="158" spans="2:17">
      <c r="B158" s="221"/>
      <c r="O158" s="8"/>
      <c r="Q158" s="32">
        <f>SUM(Q156:Q157)</f>
        <v>87126381.153888032</v>
      </c>
    </row>
    <row r="159" spans="2:17">
      <c r="B159" s="221"/>
      <c r="E159"/>
      <c r="O159" s="8"/>
      <c r="P159" s="104"/>
    </row>
    <row r="160" spans="2:17">
      <c r="B160" t="s">
        <v>590</v>
      </c>
      <c r="L160" s="104"/>
    </row>
    <row r="161" spans="2:12">
      <c r="B161" s="189" t="s">
        <v>591</v>
      </c>
      <c r="C161" s="189" t="s">
        <v>592</v>
      </c>
      <c r="L161" s="104"/>
    </row>
    <row r="162" spans="2:12">
      <c r="G162"/>
      <c r="H162"/>
      <c r="L162" s="104"/>
    </row>
    <row r="163" spans="2:12">
      <c r="G163"/>
      <c r="H163"/>
      <c r="L163" s="104"/>
    </row>
    <row r="164" spans="2:12" ht="13.5">
      <c r="B164" s="2629" t="s">
        <v>593</v>
      </c>
      <c r="C164" s="2630"/>
      <c r="F164" s="1111" t="s">
        <v>594</v>
      </c>
      <c r="G164" s="1111"/>
      <c r="H164" s="1247">
        <v>33129400</v>
      </c>
      <c r="I164" s="46">
        <f>+D151+H164</f>
        <v>120241081.15388803</v>
      </c>
      <c r="L164" s="104"/>
    </row>
    <row r="165" spans="2:12" ht="26.25">
      <c r="B165" s="901" t="str">
        <f>+B146</f>
        <v>Valor a Pagar Salarios y prestaciones</v>
      </c>
      <c r="C165" s="1092">
        <f>+D146</f>
        <v>47979908.141892567</v>
      </c>
      <c r="L165" s="104"/>
    </row>
    <row r="166" spans="2:12" ht="13.5">
      <c r="B166" s="723" t="str">
        <f>+B147</f>
        <v>Intereses de mora</v>
      </c>
      <c r="C166" s="1092">
        <f>+D147</f>
        <v>38845184.011995465</v>
      </c>
      <c r="L166" s="104"/>
    </row>
    <row r="167" spans="2:12" ht="13.5">
      <c r="B167" s="723" t="s">
        <v>595</v>
      </c>
      <c r="C167" s="1092">
        <f>+C165+C166</f>
        <v>86825092.153888032</v>
      </c>
      <c r="L167" s="104"/>
    </row>
    <row r="168" spans="2:12" ht="13.5">
      <c r="B168" s="723" t="s">
        <v>596</v>
      </c>
      <c r="C168" s="1092">
        <f>+C167*70%</f>
        <v>60777564.507721618</v>
      </c>
      <c r="L168" s="104"/>
    </row>
    <row r="169" spans="2:12" ht="13.5">
      <c r="B169" s="1088" t="s">
        <v>597</v>
      </c>
      <c r="C169" s="1092">
        <f>+C167*30%</f>
        <v>26047527.64616641</v>
      </c>
      <c r="L169" s="104"/>
    </row>
    <row r="170" spans="2:12">
      <c r="L170" s="104"/>
    </row>
    <row r="171" spans="2:12">
      <c r="L171" s="104"/>
    </row>
    <row r="172" spans="2:12">
      <c r="L172" s="104"/>
    </row>
    <row r="173" spans="2:12">
      <c r="L173" s="104"/>
    </row>
    <row r="174" spans="2:12">
      <c r="L174" s="104"/>
    </row>
    <row r="175" spans="2:12">
      <c r="L175" s="104"/>
    </row>
    <row r="176" spans="2:12">
      <c r="B176" s="1" t="s">
        <v>185</v>
      </c>
      <c r="C176" s="1" t="s">
        <v>598</v>
      </c>
      <c r="D176" s="1" t="s">
        <v>599</v>
      </c>
      <c r="L176" s="104"/>
    </row>
    <row r="177" spans="2:12">
      <c r="B177" s="107">
        <v>43070</v>
      </c>
      <c r="C177" s="2">
        <v>5.28</v>
      </c>
      <c r="D177" s="108">
        <f t="shared" ref="D177:D186" si="24">+C177*$C$93/100</f>
        <v>2280.4320000000002</v>
      </c>
      <c r="L177" s="105"/>
    </row>
    <row r="178" spans="2:12">
      <c r="B178" s="107">
        <v>43101</v>
      </c>
      <c r="C178" s="2">
        <v>5.22</v>
      </c>
      <c r="D178" s="108">
        <f t="shared" si="24"/>
        <v>2254.518</v>
      </c>
      <c r="L178" s="105"/>
    </row>
    <row r="179" spans="2:12">
      <c r="B179" s="107">
        <v>43132</v>
      </c>
      <c r="C179" s="2">
        <v>5.13</v>
      </c>
      <c r="D179" s="108">
        <f t="shared" si="24"/>
        <v>2215.6469999999999</v>
      </c>
      <c r="L179" s="105"/>
    </row>
    <row r="180" spans="2:12">
      <c r="B180" s="107">
        <v>43160</v>
      </c>
      <c r="C180" s="2">
        <v>5.04</v>
      </c>
      <c r="D180" s="108">
        <f t="shared" si="24"/>
        <v>2176.7759999999998</v>
      </c>
      <c r="L180" s="105"/>
    </row>
    <row r="181" spans="2:12">
      <c r="B181" s="107">
        <v>43191</v>
      </c>
      <c r="C181" s="2">
        <v>4.92</v>
      </c>
      <c r="D181" s="108">
        <f t="shared" si="24"/>
        <v>2124.9479999999999</v>
      </c>
      <c r="L181" s="105"/>
    </row>
    <row r="182" spans="2:12">
      <c r="B182" s="107">
        <v>43221</v>
      </c>
      <c r="C182" s="2">
        <v>4.79</v>
      </c>
      <c r="D182" s="108">
        <f t="shared" si="24"/>
        <v>2068.8009999999999</v>
      </c>
      <c r="L182" s="105"/>
    </row>
    <row r="183" spans="2:12">
      <c r="B183" s="107">
        <v>43252</v>
      </c>
      <c r="C183" s="2">
        <v>4.62</v>
      </c>
      <c r="D183" s="108">
        <f t="shared" si="24"/>
        <v>1995.3780000000002</v>
      </c>
      <c r="L183" s="103"/>
    </row>
    <row r="184" spans="2:12">
      <c r="B184" s="107">
        <v>43282</v>
      </c>
      <c r="C184" s="2">
        <v>4.58</v>
      </c>
      <c r="D184" s="108">
        <f t="shared" si="24"/>
        <v>1978.1020000000001</v>
      </c>
    </row>
    <row r="185" spans="2:12">
      <c r="B185" s="107">
        <v>43313</v>
      </c>
      <c r="C185" s="2">
        <v>4.54</v>
      </c>
      <c r="D185" s="108">
        <f t="shared" si="24"/>
        <v>1960.826</v>
      </c>
    </row>
    <row r="186" spans="2:12">
      <c r="B186" s="107">
        <v>43344</v>
      </c>
      <c r="C186" s="2">
        <v>4.53</v>
      </c>
      <c r="D186" s="108">
        <f t="shared" si="24"/>
        <v>1956.5070000000001</v>
      </c>
    </row>
    <row r="187" spans="2:12">
      <c r="B187" s="109" t="s">
        <v>96</v>
      </c>
      <c r="C187" s="2"/>
      <c r="D187" s="108">
        <f>SUM(D177:D186)</f>
        <v>21011.935000000001</v>
      </c>
    </row>
    <row r="188" spans="2:12">
      <c r="B188" s="106" t="s">
        <v>185</v>
      </c>
      <c r="C188" s="1" t="s">
        <v>600</v>
      </c>
      <c r="E188" s="112" t="s">
        <v>601</v>
      </c>
    </row>
    <row r="189" spans="2:12">
      <c r="B189" s="107">
        <v>43374</v>
      </c>
      <c r="C189" s="58">
        <v>0.29449999999999998</v>
      </c>
      <c r="D189" s="102">
        <v>1496441</v>
      </c>
      <c r="E189" s="113">
        <f>+D189/C189</f>
        <v>5081293.7181663839</v>
      </c>
    </row>
    <row r="190" spans="2:12">
      <c r="B190" s="107">
        <v>43405</v>
      </c>
      <c r="C190" s="58">
        <v>0.29235</v>
      </c>
      <c r="D190" s="102">
        <f>+$E$189*C190</f>
        <v>1485516.2185059423</v>
      </c>
      <c r="E190" s="102"/>
    </row>
    <row r="191" spans="2:12">
      <c r="B191" s="107">
        <v>43435</v>
      </c>
      <c r="C191" s="58">
        <v>0.29100000000000004</v>
      </c>
      <c r="D191" s="102">
        <f t="shared" ref="D191:D215" si="25">+$E$189*C191</f>
        <v>1478656.4719864179</v>
      </c>
      <c r="E191" s="102"/>
    </row>
    <row r="192" spans="2:12">
      <c r="B192" s="107">
        <v>43466</v>
      </c>
      <c r="C192" s="58">
        <v>0.28739999999999999</v>
      </c>
      <c r="D192" s="102">
        <f t="shared" si="25"/>
        <v>1460363.8146010188</v>
      </c>
      <c r="E192" s="102"/>
    </row>
    <row r="193" spans="2:5">
      <c r="B193" s="107">
        <v>43497</v>
      </c>
      <c r="C193" s="58">
        <v>0.29549999999999998</v>
      </c>
      <c r="D193" s="102">
        <f t="shared" si="25"/>
        <v>1501522.2937181664</v>
      </c>
      <c r="E193" s="102"/>
    </row>
    <row r="194" spans="2:5">
      <c r="B194" s="107">
        <v>43525</v>
      </c>
      <c r="C194" s="58">
        <v>0.29055000000000003</v>
      </c>
      <c r="D194" s="102">
        <f t="shared" si="25"/>
        <v>1476369.8898132429</v>
      </c>
      <c r="E194" s="102"/>
    </row>
    <row r="195" spans="2:5">
      <c r="B195" s="107">
        <v>43556</v>
      </c>
      <c r="C195" s="58">
        <v>0.2898</v>
      </c>
      <c r="D195" s="102">
        <f t="shared" si="25"/>
        <v>1472558.919524618</v>
      </c>
      <c r="E195" s="102"/>
    </row>
    <row r="196" spans="2:5">
      <c r="B196" s="107">
        <v>43586</v>
      </c>
      <c r="C196" s="58">
        <v>0.29009999999999997</v>
      </c>
      <c r="D196" s="102">
        <f t="shared" si="25"/>
        <v>1474083.3076400678</v>
      </c>
      <c r="E196" s="102"/>
    </row>
    <row r="197" spans="2:5">
      <c r="B197" s="107">
        <v>43617</v>
      </c>
      <c r="C197" s="58">
        <v>0.28949999999999998</v>
      </c>
      <c r="D197" s="102">
        <f t="shared" si="25"/>
        <v>1471034.5314091682</v>
      </c>
      <c r="E197" s="102"/>
    </row>
    <row r="198" spans="2:5">
      <c r="B198" s="107">
        <v>43647</v>
      </c>
      <c r="C198" s="58">
        <v>0.28920000000000001</v>
      </c>
      <c r="D198" s="102">
        <f t="shared" si="25"/>
        <v>1469510.1432937183</v>
      </c>
      <c r="E198" s="102"/>
    </row>
    <row r="199" spans="2:5">
      <c r="B199" s="107">
        <v>43678</v>
      </c>
      <c r="C199" s="58">
        <v>0.2898</v>
      </c>
      <c r="D199" s="102">
        <f t="shared" si="25"/>
        <v>1472558.919524618</v>
      </c>
      <c r="E199" s="102"/>
    </row>
    <row r="200" spans="2:5">
      <c r="B200" s="107">
        <v>43709</v>
      </c>
      <c r="C200" s="58">
        <v>0.2898</v>
      </c>
      <c r="D200" s="102">
        <f t="shared" si="25"/>
        <v>1472558.919524618</v>
      </c>
      <c r="E200" s="102"/>
    </row>
    <row r="201" spans="2:5">
      <c r="B201" s="107">
        <v>43739</v>
      </c>
      <c r="C201" s="58">
        <v>0.28649999999999998</v>
      </c>
      <c r="D201" s="102">
        <f t="shared" si="25"/>
        <v>1455790.6502546689</v>
      </c>
      <c r="E201" s="102"/>
    </row>
    <row r="202" spans="2:5">
      <c r="B202" s="107">
        <v>43770</v>
      </c>
      <c r="C202" s="58">
        <v>0.28544999999999998</v>
      </c>
      <c r="D202" s="102">
        <f t="shared" si="25"/>
        <v>1450455.2918505941</v>
      </c>
      <c r="E202" s="102"/>
    </row>
    <row r="203" spans="2:5">
      <c r="B203" s="107">
        <v>43800</v>
      </c>
      <c r="C203" s="58">
        <v>0.28364999999999996</v>
      </c>
      <c r="D203" s="102">
        <f t="shared" si="25"/>
        <v>1441308.9631578946</v>
      </c>
      <c r="E203" s="102"/>
    </row>
    <row r="204" spans="2:5">
      <c r="B204" s="107">
        <v>43831</v>
      </c>
      <c r="C204" s="58">
        <v>0.28155000000000002</v>
      </c>
      <c r="D204" s="102">
        <f t="shared" si="25"/>
        <v>1430638.2463497454</v>
      </c>
      <c r="E204" s="102"/>
    </row>
    <row r="205" spans="2:5">
      <c r="B205" s="107">
        <v>43862</v>
      </c>
      <c r="C205" s="58">
        <v>0.28589999999999999</v>
      </c>
      <c r="D205" s="102">
        <f t="shared" si="25"/>
        <v>1452741.8740237691</v>
      </c>
      <c r="E205" s="102"/>
    </row>
    <row r="206" spans="2:5">
      <c r="B206" s="107">
        <v>43891</v>
      </c>
      <c r="C206" s="58">
        <v>0.28425</v>
      </c>
      <c r="D206" s="102">
        <f t="shared" si="25"/>
        <v>1444357.7393887946</v>
      </c>
      <c r="E206" s="102"/>
    </row>
    <row r="207" spans="2:5">
      <c r="B207" s="107">
        <v>43922</v>
      </c>
      <c r="C207" s="58">
        <v>0.28034999999999999</v>
      </c>
      <c r="D207" s="102">
        <f t="shared" si="25"/>
        <v>1424540.6938879457</v>
      </c>
      <c r="E207" s="102"/>
    </row>
    <row r="208" spans="2:5">
      <c r="B208" s="107">
        <v>43952</v>
      </c>
      <c r="C208" s="58">
        <v>0.27285000000000004</v>
      </c>
      <c r="D208" s="102">
        <f t="shared" si="25"/>
        <v>1386430.991001698</v>
      </c>
      <c r="E208" s="102"/>
    </row>
    <row r="209" spans="2:5">
      <c r="B209" s="107">
        <v>43983</v>
      </c>
      <c r="C209" s="58">
        <v>0.27179999999999999</v>
      </c>
      <c r="D209" s="102">
        <f t="shared" si="25"/>
        <v>1381095.6325976232</v>
      </c>
      <c r="E209" s="102"/>
    </row>
    <row r="210" spans="2:5">
      <c r="B210" s="107">
        <v>44013</v>
      </c>
      <c r="C210" s="58">
        <v>0.27179999999999999</v>
      </c>
      <c r="D210" s="102">
        <f t="shared" si="25"/>
        <v>1381095.6325976232</v>
      </c>
      <c r="E210" s="102"/>
    </row>
    <row r="211" spans="2:5">
      <c r="B211" s="107">
        <v>44044</v>
      </c>
      <c r="C211" s="58">
        <v>0.27434999999999998</v>
      </c>
      <c r="D211" s="102">
        <f t="shared" si="25"/>
        <v>1394052.9315789472</v>
      </c>
      <c r="E211" s="102"/>
    </row>
    <row r="212" spans="2:5">
      <c r="B212" s="107">
        <v>44075</v>
      </c>
      <c r="C212" s="58">
        <v>0.27524999999999999</v>
      </c>
      <c r="D212" s="102">
        <f t="shared" si="25"/>
        <v>1398626.0959252971</v>
      </c>
      <c r="E212" s="102"/>
    </row>
    <row r="213" spans="2:5">
      <c r="B213" s="107">
        <v>44105</v>
      </c>
      <c r="C213" s="58">
        <v>0.18090000000000001</v>
      </c>
      <c r="D213" s="102">
        <f t="shared" si="25"/>
        <v>919206.03361629893</v>
      </c>
      <c r="E213" s="110">
        <f>+D213*1.5</f>
        <v>1378809.0504244484</v>
      </c>
    </row>
    <row r="214" spans="2:5">
      <c r="B214" s="107">
        <v>44136</v>
      </c>
      <c r="C214" s="58">
        <v>0.1784</v>
      </c>
      <c r="D214" s="102">
        <f t="shared" si="25"/>
        <v>906502.79932088288</v>
      </c>
      <c r="E214" s="110">
        <f>+D214*1.5</f>
        <v>1359754.1989813242</v>
      </c>
    </row>
    <row r="215" spans="2:5">
      <c r="B215" s="107">
        <v>44166</v>
      </c>
      <c r="C215" s="58">
        <v>0.17460000000000001</v>
      </c>
      <c r="D215" s="102">
        <f t="shared" si="25"/>
        <v>887193.88319185062</v>
      </c>
      <c r="E215" s="110">
        <f>+D215*1.5</f>
        <v>1330790.824787776</v>
      </c>
    </row>
    <row r="216" spans="2:5">
      <c r="B216" s="109" t="str">
        <f>+B187</f>
        <v>Subtotal</v>
      </c>
      <c r="C216" s="2"/>
      <c r="D216" s="111">
        <f>SUM(D189:D215)</f>
        <v>37485211.888285227</v>
      </c>
      <c r="E216" s="102"/>
    </row>
  </sheetData>
  <mergeCells count="9">
    <mergeCell ref="F141:G141"/>
    <mergeCell ref="B145:D145"/>
    <mergeCell ref="B164:C164"/>
    <mergeCell ref="H11:M11"/>
    <mergeCell ref="H22:M22"/>
    <mergeCell ref="H45:M45"/>
    <mergeCell ref="G70:K70"/>
    <mergeCell ref="G79:K79"/>
    <mergeCell ref="D88:E88"/>
  </mergeCells>
  <conditionalFormatting sqref="B88:C88">
    <cfRule type="duplicateValues" dxfId="57" priority="1"/>
  </conditionalFormatting>
  <pageMargins left="0.7" right="0.7" top="0.75" bottom="0.75" header="0.3" footer="0.3"/>
  <pageSetup paperSize="9" scale="5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16"/>
  <dimension ref="A1:M215"/>
  <sheetViews>
    <sheetView zoomScale="94" zoomScaleNormal="101" workbookViewId="0">
      <selection activeCell="E152" sqref="E152"/>
    </sheetView>
  </sheetViews>
  <sheetFormatPr defaultColWidth="9.140625" defaultRowHeight="12.75"/>
  <cols>
    <col min="1" max="1" width="3.5703125" customWidth="1"/>
    <col min="2" max="2" width="18.85546875" customWidth="1"/>
    <col min="3" max="3" width="16" customWidth="1"/>
    <col min="4" max="4" width="14.140625" customWidth="1"/>
    <col min="5" max="5" width="17.42578125" style="8" customWidth="1"/>
    <col min="6" max="6" width="15.7109375" customWidth="1"/>
    <col min="7" max="7" width="10.5703125" style="32" customWidth="1"/>
    <col min="8" max="8" width="13.5703125" style="32" bestFit="1" customWidth="1"/>
    <col min="9" max="9" width="16.85546875" customWidth="1"/>
    <col min="10" max="10" width="14.28515625" customWidth="1"/>
    <col min="11" max="11" width="15.7109375" style="8" customWidth="1"/>
    <col min="12" max="12" width="10.5703125" style="8" customWidth="1"/>
    <col min="13" max="13" width="12.85546875" bestFit="1" customWidth="1"/>
    <col min="14" max="15" width="11.42578125" customWidth="1"/>
    <col min="16" max="16" width="15.42578125" bestFit="1" customWidth="1"/>
    <col min="17" max="257" width="11.42578125" customWidth="1"/>
  </cols>
  <sheetData>
    <row r="1" spans="2:13" ht="13.5">
      <c r="B1" s="1084" t="s">
        <v>538</v>
      </c>
      <c r="C1" s="948" t="s">
        <v>539</v>
      </c>
      <c r="D1" s="948"/>
      <c r="E1" s="1085"/>
      <c r="F1" s="1086"/>
      <c r="G1" s="1087"/>
      <c r="H1" s="1087"/>
      <c r="I1" s="1086"/>
      <c r="J1" s="1086"/>
      <c r="K1" s="1085"/>
      <c r="L1" s="1085"/>
      <c r="M1" s="1086"/>
    </row>
    <row r="2" spans="2:13" ht="13.5">
      <c r="B2" s="1084" t="s">
        <v>540</v>
      </c>
      <c r="C2" s="1088">
        <v>45694413</v>
      </c>
      <c r="D2" s="1086"/>
      <c r="E2" s="1085"/>
      <c r="F2" s="1086"/>
      <c r="G2" s="1087"/>
      <c r="H2" s="1087"/>
      <c r="I2" s="1086"/>
      <c r="J2" s="1086"/>
      <c r="K2" s="1085"/>
      <c r="L2" s="1085"/>
      <c r="M2" s="1086"/>
    </row>
    <row r="3" spans="2:13" ht="13.5">
      <c r="B3" s="951" t="s">
        <v>67</v>
      </c>
      <c r="C3" s="899">
        <v>100983071</v>
      </c>
      <c r="D3" s="1086"/>
      <c r="E3" s="1085"/>
      <c r="F3" s="1086"/>
      <c r="G3" s="1087"/>
      <c r="H3" s="1087"/>
      <c r="I3" s="1086"/>
      <c r="J3" s="1086"/>
      <c r="K3" s="1085"/>
      <c r="L3" s="1085"/>
      <c r="M3" s="1086"/>
    </row>
    <row r="4" spans="2:13" ht="13.5">
      <c r="B4" s="951" t="s">
        <v>541</v>
      </c>
      <c r="C4" s="821">
        <v>41501</v>
      </c>
      <c r="D4" s="1086"/>
      <c r="E4" s="1085"/>
      <c r="F4" s="1086"/>
      <c r="G4" s="1087"/>
      <c r="H4" s="1087"/>
      <c r="I4" s="1086"/>
      <c r="J4" s="1086"/>
      <c r="K4" s="1085"/>
      <c r="L4" s="1085"/>
      <c r="M4" s="1086"/>
    </row>
    <row r="5" spans="2:13" ht="13.5">
      <c r="B5" s="951" t="s">
        <v>287</v>
      </c>
      <c r="C5" s="821">
        <v>43070</v>
      </c>
      <c r="D5" s="1086"/>
      <c r="E5" s="1085"/>
      <c r="F5" s="1086"/>
      <c r="G5" s="1087"/>
      <c r="H5" s="1087"/>
      <c r="I5" s="1086"/>
      <c r="J5" s="1086"/>
      <c r="K5" s="1085"/>
      <c r="L5" s="1085"/>
      <c r="M5" s="1086"/>
    </row>
    <row r="6" spans="2:13" ht="13.5">
      <c r="B6" s="1084" t="s">
        <v>290</v>
      </c>
      <c r="C6" s="1089">
        <v>43236</v>
      </c>
      <c r="D6" s="1090"/>
      <c r="E6" s="1085"/>
      <c r="F6" s="1086"/>
      <c r="G6" s="1087"/>
      <c r="H6" s="1087"/>
      <c r="I6" s="1086"/>
      <c r="J6" s="1086"/>
      <c r="K6" s="1085"/>
      <c r="L6" s="1085"/>
      <c r="M6" s="1086"/>
    </row>
    <row r="7" spans="2:13" ht="13.5">
      <c r="B7" s="951" t="s">
        <v>351</v>
      </c>
      <c r="C7" s="948" t="s">
        <v>542</v>
      </c>
      <c r="D7" s="1086"/>
      <c r="E7" s="1085"/>
      <c r="F7" s="1086"/>
      <c r="G7" s="1087"/>
      <c r="H7" s="1087"/>
      <c r="I7" s="1086"/>
      <c r="J7" s="1086"/>
      <c r="K7" s="1085"/>
      <c r="L7" s="1085"/>
      <c r="M7" s="1086"/>
    </row>
    <row r="8" spans="2:13" ht="13.5">
      <c r="B8" s="951" t="s">
        <v>124</v>
      </c>
      <c r="C8" s="948" t="s">
        <v>543</v>
      </c>
      <c r="D8" s="948"/>
      <c r="E8" s="1085"/>
      <c r="F8" s="1086"/>
      <c r="G8" s="1087"/>
      <c r="H8" s="1087"/>
      <c r="I8" s="1086"/>
      <c r="J8" s="1086"/>
      <c r="K8" s="1085"/>
      <c r="L8" s="1085"/>
      <c r="M8" s="1086"/>
    </row>
    <row r="9" spans="2:13" ht="13.5">
      <c r="B9" s="951" t="s">
        <v>2</v>
      </c>
      <c r="C9" s="948" t="s">
        <v>544</v>
      </c>
      <c r="D9" s="1086"/>
      <c r="E9" s="1085"/>
      <c r="F9" s="1086"/>
      <c r="G9" s="1087"/>
      <c r="H9" s="1087"/>
      <c r="I9" s="1086"/>
      <c r="J9" s="1086"/>
      <c r="K9" s="1085"/>
      <c r="L9" s="1085"/>
      <c r="M9" s="1086"/>
    </row>
    <row r="10" spans="2:13" ht="13.5">
      <c r="B10" s="1091" t="s">
        <v>545</v>
      </c>
      <c r="C10" s="821">
        <v>41501</v>
      </c>
      <c r="D10" s="1086"/>
      <c r="E10" s="1085"/>
      <c r="F10" s="1086"/>
      <c r="G10" s="1087"/>
      <c r="H10" s="1087"/>
      <c r="I10" s="1086"/>
      <c r="J10" s="1086"/>
      <c r="K10" s="1085"/>
      <c r="L10" s="1085"/>
      <c r="M10" s="1086"/>
    </row>
    <row r="11" spans="2:13" ht="13.5">
      <c r="B11" s="951"/>
      <c r="C11" s="821"/>
      <c r="D11" s="948"/>
      <c r="E11" s="1092"/>
      <c r="F11" s="1088"/>
      <c r="G11" s="1087"/>
      <c r="H11" s="1087"/>
      <c r="I11" s="1086"/>
      <c r="J11" s="1086"/>
      <c r="K11" s="1085"/>
      <c r="L11" s="1085"/>
      <c r="M11" s="1086"/>
    </row>
    <row r="12" spans="2:13" ht="13.5">
      <c r="B12" s="951" t="s">
        <v>546</v>
      </c>
      <c r="C12" s="1240">
        <v>96.92</v>
      </c>
      <c r="D12" s="951"/>
      <c r="E12" s="1092"/>
      <c r="F12" s="1088"/>
      <c r="G12" s="1087"/>
      <c r="H12" s="2631" t="s">
        <v>547</v>
      </c>
      <c r="I12" s="2632"/>
      <c r="J12" s="2632"/>
      <c r="K12" s="2632"/>
      <c r="L12" s="2632"/>
      <c r="M12" s="2633"/>
    </row>
    <row r="13" spans="2:13" ht="13.5">
      <c r="B13" s="1093" t="s">
        <v>11</v>
      </c>
      <c r="C13" s="1093" t="s">
        <v>115</v>
      </c>
      <c r="D13" s="1093" t="s">
        <v>76</v>
      </c>
      <c r="E13" s="1093" t="s">
        <v>77</v>
      </c>
      <c r="F13" s="1093" t="s">
        <v>57</v>
      </c>
      <c r="G13" s="1087"/>
      <c r="H13" s="1093" t="s">
        <v>78</v>
      </c>
      <c r="I13" s="1093" t="s">
        <v>79</v>
      </c>
      <c r="J13" s="1093" t="s">
        <v>186</v>
      </c>
      <c r="K13" s="1093" t="s">
        <v>187</v>
      </c>
      <c r="L13" s="1093" t="s">
        <v>82</v>
      </c>
      <c r="M13" s="1093" t="s">
        <v>83</v>
      </c>
    </row>
    <row r="14" spans="2:13" ht="13.5">
      <c r="B14" s="1094" t="s">
        <v>548</v>
      </c>
      <c r="C14" s="1088">
        <v>788143</v>
      </c>
      <c r="D14" s="1095">
        <v>79.5</v>
      </c>
      <c r="E14" s="1095">
        <f t="shared" ref="E14:E19" si="0">$C$12/D14</f>
        <v>1.219119496855346</v>
      </c>
      <c r="F14" s="1088">
        <f t="shared" ref="F14:F19" si="1">+C14*E14</f>
        <v>960840.49761006294</v>
      </c>
      <c r="G14" s="1087"/>
      <c r="H14" s="1088">
        <f>+C14*0.04</f>
        <v>31525.72</v>
      </c>
      <c r="I14" s="1088">
        <f>+C14*0.04</f>
        <v>31525.72</v>
      </c>
      <c r="J14" s="1088">
        <f>+C14*0.085</f>
        <v>66992.154999999999</v>
      </c>
      <c r="K14" s="1088">
        <f>+C14*0.12</f>
        <v>94577.16</v>
      </c>
      <c r="L14" s="1088">
        <f>SUM(H14+J14)+82</f>
        <v>98599.875</v>
      </c>
      <c r="M14" s="1088">
        <f>SUM(I14+K14)+97</f>
        <v>126199.88</v>
      </c>
    </row>
    <row r="15" spans="2:13" ht="13.5">
      <c r="B15" s="1094" t="s">
        <v>549</v>
      </c>
      <c r="C15" s="1088">
        <v>1477768</v>
      </c>
      <c r="D15" s="1095">
        <v>79.73</v>
      </c>
      <c r="E15" s="1095">
        <f t="shared" si="0"/>
        <v>1.2156026589740374</v>
      </c>
      <c r="F15" s="1088">
        <f t="shared" si="1"/>
        <v>1796378.7101467452</v>
      </c>
      <c r="G15" s="1087"/>
      <c r="H15" s="1088">
        <f>+C15*0.04</f>
        <v>59110.720000000001</v>
      </c>
      <c r="I15" s="1088">
        <f>+C15*0.04</f>
        <v>59110.720000000001</v>
      </c>
      <c r="J15" s="1088">
        <f>+C15*0.085</f>
        <v>125610.28000000001</v>
      </c>
      <c r="K15" s="1088">
        <f>+C15*0.12</f>
        <v>177332.16</v>
      </c>
      <c r="L15" s="1088">
        <f>SUM(H15+J15)+79</f>
        <v>184800</v>
      </c>
      <c r="M15" s="1088">
        <f>SUM(I15+K15)+57</f>
        <v>236499.88</v>
      </c>
    </row>
    <row r="16" spans="2:13" ht="13.5">
      <c r="B16" s="1094" t="s">
        <v>550</v>
      </c>
      <c r="C16" s="1088">
        <v>1477768</v>
      </c>
      <c r="D16" s="1095">
        <v>79.52</v>
      </c>
      <c r="E16" s="1095">
        <f t="shared" si="0"/>
        <v>1.2188128772635816</v>
      </c>
      <c r="F16" s="1088">
        <f t="shared" si="1"/>
        <v>1801122.6680080483</v>
      </c>
      <c r="G16" s="1087"/>
      <c r="H16" s="1088">
        <f>+C16*0.04</f>
        <v>59110.720000000001</v>
      </c>
      <c r="I16" s="1088">
        <f>+C16*0.04</f>
        <v>59110.720000000001</v>
      </c>
      <c r="J16" s="1088">
        <f>+C16*0.085</f>
        <v>125610.28000000001</v>
      </c>
      <c r="K16" s="1088">
        <f>+C16*0.12</f>
        <v>177332.16</v>
      </c>
      <c r="L16" s="1088">
        <f>SUM(H16+J16)+79</f>
        <v>184800</v>
      </c>
      <c r="M16" s="1088">
        <f>SUM(I16+K16)+57</f>
        <v>236499.88</v>
      </c>
    </row>
    <row r="17" spans="2:13" ht="13.5">
      <c r="B17" s="1094" t="s">
        <v>551</v>
      </c>
      <c r="C17" s="1088">
        <v>1477768</v>
      </c>
      <c r="D17" s="1095">
        <v>79.349999999999994</v>
      </c>
      <c r="E17" s="1095">
        <f t="shared" si="0"/>
        <v>1.221424070573409</v>
      </c>
      <c r="F17" s="1088">
        <f t="shared" si="1"/>
        <v>1804981.4059231253</v>
      </c>
      <c r="G17" s="1087"/>
      <c r="H17" s="1088">
        <f>+C17*0.04</f>
        <v>59110.720000000001</v>
      </c>
      <c r="I17" s="1088">
        <f>+C17*0.04</f>
        <v>59110.720000000001</v>
      </c>
      <c r="J17" s="1088">
        <f>+C17*0.085</f>
        <v>125610.28000000001</v>
      </c>
      <c r="K17" s="1088">
        <f>+C17*0.12</f>
        <v>177332.16</v>
      </c>
      <c r="L17" s="1088">
        <f>SUM(H17+J17)+79</f>
        <v>184800</v>
      </c>
      <c r="M17" s="1088">
        <f>SUM(I17+K17)+57</f>
        <v>236499.88</v>
      </c>
    </row>
    <row r="18" spans="2:13" ht="13.5">
      <c r="B18" s="1094" t="s">
        <v>552</v>
      </c>
      <c r="C18" s="1088">
        <v>1477768</v>
      </c>
      <c r="D18" s="1095">
        <v>79.56</v>
      </c>
      <c r="E18" s="1095">
        <f t="shared" si="0"/>
        <v>1.2182001005530416</v>
      </c>
      <c r="F18" s="1088">
        <f t="shared" si="1"/>
        <v>1800217.1261940673</v>
      </c>
      <c r="G18" s="1087"/>
      <c r="H18" s="1088">
        <f>+C18*0.04</f>
        <v>59110.720000000001</v>
      </c>
      <c r="I18" s="1088">
        <f>+C18*0.04</f>
        <v>59110.720000000001</v>
      </c>
      <c r="J18" s="1088">
        <f>+C18*0.085</f>
        <v>125610.28000000001</v>
      </c>
      <c r="K18" s="1088">
        <f>+C18*0.12</f>
        <v>177332.16</v>
      </c>
      <c r="L18" s="1088">
        <f>SUM(H18+J18)+79</f>
        <v>184800</v>
      </c>
      <c r="M18" s="1088">
        <f>SUM(I18+K18)+57</f>
        <v>236499.88</v>
      </c>
    </row>
    <row r="19" spans="2:13" ht="13.5">
      <c r="B19" s="1094" t="s">
        <v>553</v>
      </c>
      <c r="C19" s="1088">
        <v>1539342</v>
      </c>
      <c r="D19" s="1095">
        <v>79.56</v>
      </c>
      <c r="E19" s="1095">
        <f t="shared" si="0"/>
        <v>1.2182001005530416</v>
      </c>
      <c r="F19" s="1088">
        <f t="shared" si="1"/>
        <v>1875226.5791855203</v>
      </c>
      <c r="G19" s="1087"/>
      <c r="H19" s="1088"/>
      <c r="I19" s="1088"/>
      <c r="J19" s="1088"/>
      <c r="K19" s="1088"/>
      <c r="L19" s="1088"/>
      <c r="M19" s="1088"/>
    </row>
    <row r="20" spans="2:13" ht="13.5">
      <c r="B20" s="1094" t="s">
        <v>554</v>
      </c>
      <c r="C20" s="1088"/>
      <c r="D20" s="948"/>
      <c r="E20" s="1092"/>
      <c r="F20" s="1088">
        <f>SUM(F14:F19)</f>
        <v>10038766.987067569</v>
      </c>
      <c r="G20" s="1087"/>
      <c r="H20" s="1088"/>
      <c r="I20" s="1088"/>
      <c r="J20" s="1088"/>
      <c r="K20" s="1088"/>
      <c r="L20" s="1088"/>
      <c r="M20" s="1088"/>
    </row>
    <row r="21" spans="2:13" ht="13.5">
      <c r="B21" s="1094" t="s">
        <v>555</v>
      </c>
      <c r="C21" s="1088"/>
      <c r="D21" s="948"/>
      <c r="E21" s="1092"/>
      <c r="F21" s="1088">
        <f>+H21+I21</f>
        <v>535937.19999999995</v>
      </c>
      <c r="G21" s="1087"/>
      <c r="H21" s="1088">
        <f>SUM(H14:H20)</f>
        <v>267968.59999999998</v>
      </c>
      <c r="I21" s="1088">
        <f>SUM(I14:I20)</f>
        <v>267968.59999999998</v>
      </c>
      <c r="J21" s="1088">
        <f>SUM(J14:J20)</f>
        <v>569433.27500000002</v>
      </c>
      <c r="K21" s="1088">
        <f>SUM(K14:K20)</f>
        <v>803905.8</v>
      </c>
      <c r="L21" s="1088">
        <f>SUM(L14:L20)</f>
        <v>837799.875</v>
      </c>
      <c r="M21" s="1088">
        <f>SUM(M14:M20)+1</f>
        <v>1072200.3999999999</v>
      </c>
    </row>
    <row r="22" spans="2:13" ht="13.5">
      <c r="B22" s="1094" t="s">
        <v>556</v>
      </c>
      <c r="C22" s="1088"/>
      <c r="D22" s="948"/>
      <c r="E22" s="1092"/>
      <c r="F22" s="1088">
        <f>+F20-F21</f>
        <v>9502829.7870675698</v>
      </c>
      <c r="G22" s="1087"/>
      <c r="H22" s="1087"/>
      <c r="I22" s="1087"/>
      <c r="J22" s="1087"/>
      <c r="K22" s="1087"/>
      <c r="L22" s="1087"/>
      <c r="M22" s="1087"/>
    </row>
    <row r="23" spans="2:13" ht="13.5">
      <c r="B23" s="1086"/>
      <c r="C23" s="1086"/>
      <c r="D23" s="1086"/>
      <c r="E23" s="1085"/>
      <c r="F23" s="1086"/>
      <c r="G23" s="1087"/>
      <c r="H23" s="2631" t="s">
        <v>557</v>
      </c>
      <c r="I23" s="2632"/>
      <c r="J23" s="2632"/>
      <c r="K23" s="2632"/>
      <c r="L23" s="2632"/>
      <c r="M23" s="2633"/>
    </row>
    <row r="24" spans="2:13" ht="13.5">
      <c r="B24" s="1093" t="s">
        <v>11</v>
      </c>
      <c r="C24" s="1093">
        <v>2014</v>
      </c>
      <c r="D24" s="1093" t="s">
        <v>76</v>
      </c>
      <c r="E24" s="1093" t="s">
        <v>77</v>
      </c>
      <c r="F24" s="1093" t="s">
        <v>57</v>
      </c>
      <c r="G24" s="1087"/>
      <c r="H24" s="1093" t="s">
        <v>78</v>
      </c>
      <c r="I24" s="1093" t="s">
        <v>79</v>
      </c>
      <c r="J24" s="1093" t="s">
        <v>186</v>
      </c>
      <c r="K24" s="1093" t="s">
        <v>187</v>
      </c>
      <c r="L24" s="1093" t="s">
        <v>82</v>
      </c>
      <c r="M24" s="1093" t="s">
        <v>83</v>
      </c>
    </row>
    <row r="25" spans="2:13" ht="13.5">
      <c r="B25" s="1094" t="s">
        <v>558</v>
      </c>
      <c r="C25" s="1088">
        <v>1559045</v>
      </c>
      <c r="D25" s="1095">
        <v>79.95</v>
      </c>
      <c r="E25" s="1095">
        <f>$C$12/D25</f>
        <v>1.2122576610381488</v>
      </c>
      <c r="F25" s="1088">
        <f>+C25*E25</f>
        <v>1889964.2451532206</v>
      </c>
      <c r="G25" s="1087"/>
      <c r="H25" s="1088">
        <f>+C25*0.04</f>
        <v>62361.8</v>
      </c>
      <c r="I25" s="1088">
        <f>+C25*0.04</f>
        <v>62361.8</v>
      </c>
      <c r="J25" s="1088">
        <f t="shared" ref="J25:J30" si="2">+C25*0.085</f>
        <v>132518.82500000001</v>
      </c>
      <c r="K25" s="1088">
        <f t="shared" ref="K25:K30" si="3">+C25*0.12</f>
        <v>187085.4</v>
      </c>
      <c r="L25" s="1088">
        <f>SUM(H25+J25)+19</f>
        <v>194899.625</v>
      </c>
      <c r="M25" s="1088">
        <f>SUM(I25+K25)+53</f>
        <v>249500.2</v>
      </c>
    </row>
    <row r="26" spans="2:13" ht="13.5">
      <c r="B26" s="1094" t="s">
        <v>559</v>
      </c>
      <c r="C26" s="1088">
        <v>1559045</v>
      </c>
      <c r="D26" s="1095">
        <v>80.45</v>
      </c>
      <c r="E26" s="1095">
        <f t="shared" ref="E26:E42" si="4">$C$12/D26</f>
        <v>1.2047234307022996</v>
      </c>
      <c r="F26" s="1088">
        <f t="shared" ref="F26:F36" si="5">+C26*E26</f>
        <v>1878218.0410192667</v>
      </c>
      <c r="G26" s="1087"/>
      <c r="H26" s="1088">
        <f t="shared" ref="H26:H35" si="6">+C26*0.04</f>
        <v>62361.8</v>
      </c>
      <c r="I26" s="1088">
        <f t="shared" ref="I26:I36" si="7">+C26*0.04</f>
        <v>62361.8</v>
      </c>
      <c r="J26" s="1088">
        <f t="shared" si="2"/>
        <v>132518.82500000001</v>
      </c>
      <c r="K26" s="1088">
        <f t="shared" si="3"/>
        <v>187085.4</v>
      </c>
      <c r="L26" s="1088">
        <f t="shared" ref="L26:L36" si="8">SUM(H26+J26)+19</f>
        <v>194899.625</v>
      </c>
      <c r="M26" s="1088">
        <f t="shared" ref="M26:M36" si="9">SUM(I26+K26)+53</f>
        <v>249500.2</v>
      </c>
    </row>
    <row r="27" spans="2:13" ht="13.5">
      <c r="B27" s="1094" t="s">
        <v>560</v>
      </c>
      <c r="C27" s="1088">
        <v>1559045</v>
      </c>
      <c r="D27" s="1095">
        <v>80.77</v>
      </c>
      <c r="E27" s="1095">
        <f t="shared" si="4"/>
        <v>1.1999504766621272</v>
      </c>
      <c r="F27" s="1088">
        <f t="shared" si="5"/>
        <v>1870776.790887706</v>
      </c>
      <c r="G27" s="1087"/>
      <c r="H27" s="1088">
        <f t="shared" si="6"/>
        <v>62361.8</v>
      </c>
      <c r="I27" s="1088">
        <f t="shared" si="7"/>
        <v>62361.8</v>
      </c>
      <c r="J27" s="1088">
        <f t="shared" si="2"/>
        <v>132518.82500000001</v>
      </c>
      <c r="K27" s="1088">
        <f t="shared" si="3"/>
        <v>187085.4</v>
      </c>
      <c r="L27" s="1088">
        <f t="shared" si="8"/>
        <v>194899.625</v>
      </c>
      <c r="M27" s="1088">
        <f t="shared" si="9"/>
        <v>249500.2</v>
      </c>
    </row>
    <row r="28" spans="2:13" ht="13.5">
      <c r="B28" s="1094" t="s">
        <v>561</v>
      </c>
      <c r="C28" s="1088">
        <v>1559045</v>
      </c>
      <c r="D28" s="1095">
        <v>81.14</v>
      </c>
      <c r="E28" s="1095">
        <f t="shared" si="4"/>
        <v>1.1944786788267192</v>
      </c>
      <c r="F28" s="1088">
        <f t="shared" si="5"/>
        <v>1862246.0118314025</v>
      </c>
      <c r="G28" s="1087"/>
      <c r="H28" s="1088">
        <f t="shared" si="6"/>
        <v>62361.8</v>
      </c>
      <c r="I28" s="1088">
        <f t="shared" si="7"/>
        <v>62361.8</v>
      </c>
      <c r="J28" s="1088">
        <f t="shared" si="2"/>
        <v>132518.82500000001</v>
      </c>
      <c r="K28" s="1088">
        <f t="shared" si="3"/>
        <v>187085.4</v>
      </c>
      <c r="L28" s="1088">
        <f t="shared" si="8"/>
        <v>194899.625</v>
      </c>
      <c r="M28" s="1088">
        <f t="shared" si="9"/>
        <v>249500.2</v>
      </c>
    </row>
    <row r="29" spans="2:13" ht="13.5">
      <c r="B29" s="1094" t="s">
        <v>562</v>
      </c>
      <c r="C29" s="1088">
        <v>1559045</v>
      </c>
      <c r="D29" s="1095">
        <v>81.53</v>
      </c>
      <c r="E29" s="1095">
        <f t="shared" si="4"/>
        <v>1.1887648718263215</v>
      </c>
      <c r="F29" s="1088">
        <f t="shared" si="5"/>
        <v>1853337.9295964674</v>
      </c>
      <c r="G29" s="1087"/>
      <c r="H29" s="1088">
        <f t="shared" si="6"/>
        <v>62361.8</v>
      </c>
      <c r="I29" s="1088">
        <f t="shared" si="7"/>
        <v>62361.8</v>
      </c>
      <c r="J29" s="1088">
        <f t="shared" si="2"/>
        <v>132518.82500000001</v>
      </c>
      <c r="K29" s="1088">
        <f t="shared" si="3"/>
        <v>187085.4</v>
      </c>
      <c r="L29" s="1088">
        <f t="shared" si="8"/>
        <v>194899.625</v>
      </c>
      <c r="M29" s="1088">
        <f t="shared" si="9"/>
        <v>249500.2</v>
      </c>
    </row>
    <row r="30" spans="2:13" ht="13.5">
      <c r="B30" s="1094" t="s">
        <v>563</v>
      </c>
      <c r="C30" s="1088">
        <v>1559045</v>
      </c>
      <c r="D30" s="1095">
        <v>81.61</v>
      </c>
      <c r="E30" s="1095">
        <f t="shared" si="4"/>
        <v>1.1875995588775885</v>
      </c>
      <c r="F30" s="1088">
        <f t="shared" si="5"/>
        <v>1851521.15427031</v>
      </c>
      <c r="G30" s="1087"/>
      <c r="H30" s="1088">
        <f t="shared" si="6"/>
        <v>62361.8</v>
      </c>
      <c r="I30" s="1088">
        <f t="shared" si="7"/>
        <v>62361.8</v>
      </c>
      <c r="J30" s="1088">
        <f t="shared" si="2"/>
        <v>132518.82500000001</v>
      </c>
      <c r="K30" s="1088">
        <f t="shared" si="3"/>
        <v>187085.4</v>
      </c>
      <c r="L30" s="1088">
        <f t="shared" si="8"/>
        <v>194899.625</v>
      </c>
      <c r="M30" s="1088">
        <f t="shared" si="9"/>
        <v>249500.2</v>
      </c>
    </row>
    <row r="31" spans="2:13" ht="13.5">
      <c r="B31" s="1094" t="s">
        <v>564</v>
      </c>
      <c r="C31" s="1088">
        <v>1559045</v>
      </c>
      <c r="D31" s="1095">
        <v>81.73</v>
      </c>
      <c r="E31" s="1095">
        <f t="shared" si="4"/>
        <v>1.1858558668787471</v>
      </c>
      <c r="F31" s="1088">
        <f t="shared" si="5"/>
        <v>1848802.6599779762</v>
      </c>
      <c r="G31" s="1087"/>
      <c r="H31" s="1088">
        <f t="shared" si="6"/>
        <v>62361.8</v>
      </c>
      <c r="I31" s="1088">
        <f t="shared" si="7"/>
        <v>62361.8</v>
      </c>
      <c r="J31" s="1088">
        <f t="shared" ref="J31:J36" si="10">+C31*0.085</f>
        <v>132518.82500000001</v>
      </c>
      <c r="K31" s="1088">
        <f t="shared" ref="K31:K36" si="11">+C31*0.12</f>
        <v>187085.4</v>
      </c>
      <c r="L31" s="1088">
        <f t="shared" si="8"/>
        <v>194899.625</v>
      </c>
      <c r="M31" s="1088">
        <f t="shared" si="9"/>
        <v>249500.2</v>
      </c>
    </row>
    <row r="32" spans="2:13" ht="13.5">
      <c r="B32" s="1094" t="s">
        <v>548</v>
      </c>
      <c r="C32" s="1088">
        <v>1559045</v>
      </c>
      <c r="D32" s="1095">
        <v>81.900000000000006</v>
      </c>
      <c r="E32" s="1095">
        <f t="shared" si="4"/>
        <v>1.1833943833943834</v>
      </c>
      <c r="F32" s="1088">
        <f>+C32*E32</f>
        <v>1844965.0964590965</v>
      </c>
      <c r="G32" s="1087"/>
      <c r="H32" s="1088">
        <f t="shared" si="6"/>
        <v>62361.8</v>
      </c>
      <c r="I32" s="1088">
        <f t="shared" si="7"/>
        <v>62361.8</v>
      </c>
      <c r="J32" s="1088">
        <f t="shared" si="10"/>
        <v>132518.82500000001</v>
      </c>
      <c r="K32" s="1088">
        <f t="shared" si="11"/>
        <v>187085.4</v>
      </c>
      <c r="L32" s="1088">
        <f t="shared" si="8"/>
        <v>194899.625</v>
      </c>
      <c r="M32" s="1088">
        <f t="shared" si="9"/>
        <v>249500.2</v>
      </c>
    </row>
    <row r="33" spans="2:13" ht="13.5">
      <c r="B33" s="1094" t="s">
        <v>549</v>
      </c>
      <c r="C33" s="1088">
        <v>1559045</v>
      </c>
      <c r="D33" s="1095">
        <v>82.01</v>
      </c>
      <c r="E33" s="1095">
        <f t="shared" si="4"/>
        <v>1.181807096695525</v>
      </c>
      <c r="F33" s="1088">
        <f t="shared" si="5"/>
        <v>1842490.4450676746</v>
      </c>
      <c r="G33" s="1087"/>
      <c r="H33" s="1088">
        <f t="shared" si="6"/>
        <v>62361.8</v>
      </c>
      <c r="I33" s="1088">
        <f t="shared" si="7"/>
        <v>62361.8</v>
      </c>
      <c r="J33" s="1088">
        <f t="shared" si="10"/>
        <v>132518.82500000001</v>
      </c>
      <c r="K33" s="1088">
        <f t="shared" si="11"/>
        <v>187085.4</v>
      </c>
      <c r="L33" s="1088">
        <f t="shared" si="8"/>
        <v>194899.625</v>
      </c>
      <c r="M33" s="1088">
        <f t="shared" si="9"/>
        <v>249500.2</v>
      </c>
    </row>
    <row r="34" spans="2:13" ht="13.5">
      <c r="B34" s="1094" t="s">
        <v>550</v>
      </c>
      <c r="C34" s="1088">
        <v>1559045</v>
      </c>
      <c r="D34" s="1095">
        <v>82.14</v>
      </c>
      <c r="E34" s="1095">
        <f t="shared" si="4"/>
        <v>1.1799366934502069</v>
      </c>
      <c r="F34" s="1088">
        <f t="shared" si="5"/>
        <v>1839574.4022400777</v>
      </c>
      <c r="G34" s="1087"/>
      <c r="H34" s="1088">
        <f t="shared" si="6"/>
        <v>62361.8</v>
      </c>
      <c r="I34" s="1088">
        <f t="shared" si="7"/>
        <v>62361.8</v>
      </c>
      <c r="J34" s="1088">
        <f t="shared" si="10"/>
        <v>132518.82500000001</v>
      </c>
      <c r="K34" s="1088">
        <f t="shared" si="11"/>
        <v>187085.4</v>
      </c>
      <c r="L34" s="1088">
        <f t="shared" si="8"/>
        <v>194899.625</v>
      </c>
      <c r="M34" s="1088">
        <f t="shared" si="9"/>
        <v>249500.2</v>
      </c>
    </row>
    <row r="35" spans="2:13" ht="13.5">
      <c r="B35" s="1094" t="s">
        <v>551</v>
      </c>
      <c r="C35" s="1088">
        <v>1559045</v>
      </c>
      <c r="D35" s="1095">
        <v>82.25</v>
      </c>
      <c r="E35" s="1095">
        <f t="shared" si="4"/>
        <v>1.1783586626139817</v>
      </c>
      <c r="F35" s="1088">
        <f t="shared" si="5"/>
        <v>1837114.181155015</v>
      </c>
      <c r="G35" s="1087"/>
      <c r="H35" s="1088">
        <f t="shared" si="6"/>
        <v>62361.8</v>
      </c>
      <c r="I35" s="1088">
        <f t="shared" si="7"/>
        <v>62361.8</v>
      </c>
      <c r="J35" s="1088">
        <f t="shared" si="10"/>
        <v>132518.82500000001</v>
      </c>
      <c r="K35" s="1088">
        <f t="shared" si="11"/>
        <v>187085.4</v>
      </c>
      <c r="L35" s="1088">
        <f t="shared" si="8"/>
        <v>194899.625</v>
      </c>
      <c r="M35" s="1088">
        <f t="shared" si="9"/>
        <v>249500.2</v>
      </c>
    </row>
    <row r="36" spans="2:13" ht="13.5">
      <c r="B36" s="1094" t="s">
        <v>552</v>
      </c>
      <c r="C36" s="1088">
        <v>1559045</v>
      </c>
      <c r="D36" s="1095">
        <v>82.47</v>
      </c>
      <c r="E36" s="1095">
        <f t="shared" si="4"/>
        <v>1.1752152297805263</v>
      </c>
      <c r="F36" s="1088">
        <f t="shared" si="5"/>
        <v>1832213.4279131806</v>
      </c>
      <c r="G36" s="1087"/>
      <c r="H36" s="1088">
        <f>+C36*0.04</f>
        <v>62361.8</v>
      </c>
      <c r="I36" s="1088">
        <f t="shared" si="7"/>
        <v>62361.8</v>
      </c>
      <c r="J36" s="1088">
        <f t="shared" si="10"/>
        <v>132518.82500000001</v>
      </c>
      <c r="K36" s="1088">
        <f t="shared" si="11"/>
        <v>187085.4</v>
      </c>
      <c r="L36" s="1088">
        <f t="shared" si="8"/>
        <v>194899.625</v>
      </c>
      <c r="M36" s="1088">
        <f t="shared" si="9"/>
        <v>249500.2</v>
      </c>
    </row>
    <row r="37" spans="2:13" ht="13.5">
      <c r="B37" s="1094" t="s">
        <v>565</v>
      </c>
      <c r="C37" s="1088">
        <v>779523</v>
      </c>
      <c r="D37" s="1095">
        <f>+D30</f>
        <v>81.61</v>
      </c>
      <c r="E37" s="1095">
        <f t="shared" si="4"/>
        <v>1.1875995588775885</v>
      </c>
      <c r="F37" s="1088">
        <f t="shared" ref="F37:F42" si="12">+C37*E37</f>
        <v>925761.1709349344</v>
      </c>
      <c r="G37" s="1087"/>
      <c r="H37" s="1087"/>
      <c r="I37" s="1086"/>
      <c r="J37" s="1086"/>
      <c r="K37" s="1085"/>
      <c r="L37" s="1085"/>
      <c r="M37" s="1086"/>
    </row>
    <row r="38" spans="2:13" ht="13.5">
      <c r="B38" s="1094" t="s">
        <v>566</v>
      </c>
      <c r="C38" s="1088">
        <v>812005</v>
      </c>
      <c r="D38" s="1095">
        <f>+D30</f>
        <v>81.61</v>
      </c>
      <c r="E38" s="1095">
        <f t="shared" si="4"/>
        <v>1.1875995588775885</v>
      </c>
      <c r="F38" s="1088">
        <f t="shared" si="12"/>
        <v>964336.77980639623</v>
      </c>
      <c r="G38" s="1087"/>
      <c r="H38" s="1088">
        <f t="shared" ref="H38:M38" si="13">SUM(H25:H37)</f>
        <v>748341.60000000009</v>
      </c>
      <c r="I38" s="1088">
        <f t="shared" si="13"/>
        <v>748341.60000000009</v>
      </c>
      <c r="J38" s="1088">
        <f t="shared" si="13"/>
        <v>1590225.8999999997</v>
      </c>
      <c r="K38" s="1088">
        <f t="shared" si="13"/>
        <v>2245024.7999999993</v>
      </c>
      <c r="L38" s="1088">
        <f t="shared" si="13"/>
        <v>2338795.5</v>
      </c>
      <c r="M38" s="1088">
        <f t="shared" si="13"/>
        <v>2994002.4000000004</v>
      </c>
    </row>
    <row r="39" spans="2:13" ht="13.5">
      <c r="B39" s="1094" t="s">
        <v>567</v>
      </c>
      <c r="C39" s="1088">
        <v>103936</v>
      </c>
      <c r="D39" s="1095">
        <f>+D32</f>
        <v>81.900000000000006</v>
      </c>
      <c r="E39" s="1095">
        <f t="shared" si="4"/>
        <v>1.1833943833943834</v>
      </c>
      <c r="F39" s="1088">
        <f t="shared" si="12"/>
        <v>122997.27863247863</v>
      </c>
      <c r="G39" s="1087"/>
      <c r="H39" s="1087"/>
      <c r="I39" s="1086"/>
      <c r="J39" s="1086"/>
      <c r="K39" s="1085"/>
      <c r="L39" s="1085"/>
      <c r="M39" s="1086"/>
    </row>
    <row r="40" spans="2:13" ht="13.5">
      <c r="B40" s="1094" t="s">
        <v>568</v>
      </c>
      <c r="C40" s="1088">
        <v>103936</v>
      </c>
      <c r="D40" s="1095">
        <f>+D39</f>
        <v>81.900000000000006</v>
      </c>
      <c r="E40" s="1095">
        <f t="shared" si="4"/>
        <v>1.1833943833943834</v>
      </c>
      <c r="F40" s="1088">
        <f t="shared" si="12"/>
        <v>122997.27863247863</v>
      </c>
      <c r="G40" s="1087"/>
      <c r="H40" s="1087"/>
      <c r="I40" s="1086"/>
      <c r="J40" s="1086"/>
      <c r="K40" s="1085"/>
      <c r="L40" s="1085"/>
      <c r="M40" s="1086"/>
    </row>
    <row r="41" spans="2:13" ht="13.5">
      <c r="B41" s="1094" t="s">
        <v>22</v>
      </c>
      <c r="C41" s="1088">
        <v>1136803</v>
      </c>
      <c r="D41" s="1095">
        <f>+D32</f>
        <v>81.900000000000006</v>
      </c>
      <c r="E41" s="1095">
        <f t="shared" si="4"/>
        <v>1.1833943833943834</v>
      </c>
      <c r="F41" s="1088">
        <f t="shared" si="12"/>
        <v>1345286.2852258852</v>
      </c>
      <c r="G41" s="1087"/>
      <c r="H41" s="1087"/>
      <c r="I41" s="1086"/>
      <c r="J41" s="1086"/>
      <c r="K41" s="1085"/>
      <c r="L41" s="1085"/>
      <c r="M41" s="1086"/>
    </row>
    <row r="42" spans="2:13" ht="13.5">
      <c r="B42" s="1094" t="s">
        <v>553</v>
      </c>
      <c r="C42" s="1088">
        <v>1691672</v>
      </c>
      <c r="D42" s="1095">
        <f>+D36</f>
        <v>82.47</v>
      </c>
      <c r="E42" s="1095">
        <f t="shared" si="4"/>
        <v>1.1752152297805263</v>
      </c>
      <c r="F42" s="1088">
        <f t="shared" si="12"/>
        <v>1988078.6981932824</v>
      </c>
      <c r="G42" s="1087"/>
      <c r="H42" s="1087"/>
      <c r="I42" s="1086"/>
      <c r="J42" s="1086"/>
      <c r="K42" s="1085"/>
      <c r="L42" s="1085"/>
      <c r="M42" s="1086"/>
    </row>
    <row r="43" spans="2:13" ht="13.5">
      <c r="B43" s="1094" t="s">
        <v>554</v>
      </c>
      <c r="C43" s="1088"/>
      <c r="D43" s="1095"/>
      <c r="E43" s="1092"/>
      <c r="F43" s="1088">
        <f>SUM(F25:F42)</f>
        <v>27720681.876996849</v>
      </c>
      <c r="G43" s="1087"/>
      <c r="H43" s="1087"/>
      <c r="I43" s="1086"/>
      <c r="J43" s="1086"/>
      <c r="K43" s="1085"/>
      <c r="L43" s="1085"/>
      <c r="M43" s="1086"/>
    </row>
    <row r="44" spans="2:13" ht="13.5">
      <c r="B44" s="1094" t="s">
        <v>555</v>
      </c>
      <c r="C44" s="1088"/>
      <c r="D44" s="948"/>
      <c r="E44" s="1092"/>
      <c r="F44" s="1088">
        <f>+H38+I38</f>
        <v>1496683.2000000002</v>
      </c>
      <c r="G44" s="1087"/>
      <c r="H44" s="1087"/>
      <c r="I44" s="1086"/>
      <c r="J44" s="1086"/>
      <c r="K44" s="1085"/>
      <c r="L44" s="1085"/>
      <c r="M44" s="1086"/>
    </row>
    <row r="45" spans="2:13" ht="13.5">
      <c r="B45" s="1094" t="s">
        <v>556</v>
      </c>
      <c r="C45" s="1088"/>
      <c r="D45" s="948"/>
      <c r="E45" s="1092"/>
      <c r="F45" s="1088">
        <f>+F43-F44</f>
        <v>26223998.676996849</v>
      </c>
      <c r="G45" s="1087"/>
      <c r="H45" s="1087"/>
      <c r="I45" s="1086"/>
      <c r="J45" s="1086"/>
      <c r="K45" s="1085"/>
      <c r="L45" s="1085">
        <f>100-14</f>
        <v>86</v>
      </c>
      <c r="M45" s="1086"/>
    </row>
    <row r="46" spans="2:13" ht="13.5">
      <c r="B46" s="1087"/>
      <c r="C46" s="1087"/>
      <c r="D46" s="1087"/>
      <c r="E46" s="1087"/>
      <c r="F46" s="1087"/>
      <c r="G46" s="1087"/>
      <c r="H46" s="2631" t="s">
        <v>569</v>
      </c>
      <c r="I46" s="2632"/>
      <c r="J46" s="2632"/>
      <c r="K46" s="2632"/>
      <c r="L46" s="2632"/>
      <c r="M46" s="2633"/>
    </row>
    <row r="47" spans="2:13" ht="13.5">
      <c r="B47" s="1093" t="s">
        <v>11</v>
      </c>
      <c r="C47" s="1093">
        <v>2015</v>
      </c>
      <c r="D47" s="1093" t="s">
        <v>76</v>
      </c>
      <c r="E47" s="1093" t="s">
        <v>77</v>
      </c>
      <c r="F47" s="1093" t="s">
        <v>57</v>
      </c>
      <c r="G47" s="1087"/>
      <c r="H47" s="1093" t="s">
        <v>78</v>
      </c>
      <c r="I47" s="1093" t="s">
        <v>79</v>
      </c>
      <c r="J47" s="1093" t="s">
        <v>186</v>
      </c>
      <c r="K47" s="1093" t="s">
        <v>187</v>
      </c>
      <c r="L47" s="1093" t="s">
        <v>82</v>
      </c>
      <c r="M47" s="1093" t="s">
        <v>83</v>
      </c>
    </row>
    <row r="48" spans="2:13" ht="13.5">
      <c r="B48" s="1094" t="s">
        <v>558</v>
      </c>
      <c r="C48" s="1088">
        <v>1652587</v>
      </c>
      <c r="D48" s="1095">
        <v>83</v>
      </c>
      <c r="E48" s="1095">
        <f>$C$12/D48</f>
        <v>1.167710843373494</v>
      </c>
      <c r="F48" s="1088">
        <f>+C48*E48</f>
        <v>1929743.7595180722</v>
      </c>
      <c r="G48" s="1087"/>
      <c r="H48" s="1088">
        <f>+C48*0.04</f>
        <v>66103.48</v>
      </c>
      <c r="I48" s="1088">
        <f>+C48*0.04</f>
        <v>66103.48</v>
      </c>
      <c r="J48" s="1088">
        <f>+C48*0.085</f>
        <v>140469.89500000002</v>
      </c>
      <c r="K48" s="1088">
        <f>+C48*0.12</f>
        <v>198310.44</v>
      </c>
      <c r="L48" s="1088">
        <f>SUM(H48+J48)+27</f>
        <v>206600.375</v>
      </c>
      <c r="M48" s="1088">
        <f>SUM(I48+K48)+86</f>
        <v>264499.92</v>
      </c>
    </row>
    <row r="49" spans="2:13" ht="13.5">
      <c r="B49" s="1094" t="s">
        <v>559</v>
      </c>
      <c r="C49" s="1088">
        <v>1652587</v>
      </c>
      <c r="D49" s="1095">
        <v>83.96</v>
      </c>
      <c r="E49" s="1095">
        <f t="shared" ref="E49:E65" si="14">$C$12/D49</f>
        <v>1.1543592186755598</v>
      </c>
      <c r="F49" s="1088">
        <f t="shared" ref="F49:F54" si="15">+C49*E49</f>
        <v>1907679.0381133873</v>
      </c>
      <c r="G49" s="1087"/>
      <c r="H49" s="1088">
        <f t="shared" ref="H49:H59" si="16">+C49*0.04</f>
        <v>66103.48</v>
      </c>
      <c r="I49" s="1088">
        <f t="shared" ref="I49:I59" si="17">+C49*0.04</f>
        <v>66103.48</v>
      </c>
      <c r="J49" s="1088">
        <f t="shared" ref="J49:J59" si="18">+C49*0.085</f>
        <v>140469.89500000002</v>
      </c>
      <c r="K49" s="1088">
        <f t="shared" ref="K49:K59" si="19">+C49*0.12</f>
        <v>198310.44</v>
      </c>
      <c r="L49" s="1088">
        <f t="shared" ref="L49:L59" si="20">SUM(H49+J49)</f>
        <v>206573.375</v>
      </c>
      <c r="M49" s="1088">
        <f t="shared" ref="M49:M55" si="21">SUM(I49+K49)+86</f>
        <v>264499.92</v>
      </c>
    </row>
    <row r="50" spans="2:13" ht="13.5">
      <c r="B50" s="1094" t="s">
        <v>560</v>
      </c>
      <c r="C50" s="1088">
        <v>1652587</v>
      </c>
      <c r="D50" s="1095">
        <v>84.45</v>
      </c>
      <c r="E50" s="1095">
        <f t="shared" si="14"/>
        <v>1.1476613380698637</v>
      </c>
      <c r="F50" s="1088">
        <f t="shared" si="15"/>
        <v>1896610.2076968618</v>
      </c>
      <c r="G50" s="1087"/>
      <c r="H50" s="1088">
        <f t="shared" si="16"/>
        <v>66103.48</v>
      </c>
      <c r="I50" s="1088">
        <f t="shared" si="17"/>
        <v>66103.48</v>
      </c>
      <c r="J50" s="1088">
        <f t="shared" si="18"/>
        <v>140469.89500000002</v>
      </c>
      <c r="K50" s="1088">
        <f t="shared" si="19"/>
        <v>198310.44</v>
      </c>
      <c r="L50" s="1088">
        <f t="shared" si="20"/>
        <v>206573.375</v>
      </c>
      <c r="M50" s="1088">
        <f t="shared" si="21"/>
        <v>264499.92</v>
      </c>
    </row>
    <row r="51" spans="2:13" ht="13.5">
      <c r="B51" s="1094" t="s">
        <v>561</v>
      </c>
      <c r="C51" s="1088">
        <v>1652587</v>
      </c>
      <c r="D51" s="1095">
        <v>84.9</v>
      </c>
      <c r="E51" s="1095">
        <f t="shared" si="14"/>
        <v>1.1415783274440519</v>
      </c>
      <c r="F51" s="1088">
        <f t="shared" si="15"/>
        <v>1886557.5034157834</v>
      </c>
      <c r="G51" s="1087"/>
      <c r="H51" s="1088">
        <f t="shared" si="16"/>
        <v>66103.48</v>
      </c>
      <c r="I51" s="1088">
        <f t="shared" si="17"/>
        <v>66103.48</v>
      </c>
      <c r="J51" s="1088">
        <f t="shared" si="18"/>
        <v>140469.89500000002</v>
      </c>
      <c r="K51" s="1088">
        <f t="shared" si="19"/>
        <v>198310.44</v>
      </c>
      <c r="L51" s="1088">
        <f t="shared" si="20"/>
        <v>206573.375</v>
      </c>
      <c r="M51" s="1088">
        <f t="shared" si="21"/>
        <v>264499.92</v>
      </c>
    </row>
    <row r="52" spans="2:13" ht="13.5">
      <c r="B52" s="1094" t="s">
        <v>562</v>
      </c>
      <c r="C52" s="1088">
        <v>1652587</v>
      </c>
      <c r="D52" s="1095">
        <v>85.12</v>
      </c>
      <c r="E52" s="1095">
        <f t="shared" si="14"/>
        <v>1.1386278195488722</v>
      </c>
      <c r="F52" s="1088">
        <f t="shared" si="15"/>
        <v>1881681.532424812</v>
      </c>
      <c r="G52" s="1087"/>
      <c r="H52" s="1088">
        <f t="shared" si="16"/>
        <v>66103.48</v>
      </c>
      <c r="I52" s="1088">
        <f t="shared" si="17"/>
        <v>66103.48</v>
      </c>
      <c r="J52" s="1088">
        <f t="shared" si="18"/>
        <v>140469.89500000002</v>
      </c>
      <c r="K52" s="1088">
        <f t="shared" si="19"/>
        <v>198310.44</v>
      </c>
      <c r="L52" s="1088">
        <f t="shared" si="20"/>
        <v>206573.375</v>
      </c>
      <c r="M52" s="1088">
        <f t="shared" si="21"/>
        <v>264499.92</v>
      </c>
    </row>
    <row r="53" spans="2:13" ht="13.5">
      <c r="B53" s="1094" t="s">
        <v>563</v>
      </c>
      <c r="C53" s="1088">
        <v>1652587</v>
      </c>
      <c r="D53" s="1095">
        <v>85.21</v>
      </c>
      <c r="E53" s="1095">
        <f t="shared" si="14"/>
        <v>1.1374251848374606</v>
      </c>
      <c r="F53" s="1088">
        <f t="shared" si="15"/>
        <v>1879694.0739349844</v>
      </c>
      <c r="G53" s="1087"/>
      <c r="H53" s="1088">
        <f t="shared" si="16"/>
        <v>66103.48</v>
      </c>
      <c r="I53" s="1088">
        <f t="shared" si="17"/>
        <v>66103.48</v>
      </c>
      <c r="J53" s="1088">
        <f t="shared" si="18"/>
        <v>140469.89500000002</v>
      </c>
      <c r="K53" s="1088">
        <f t="shared" si="19"/>
        <v>198310.44</v>
      </c>
      <c r="L53" s="1088">
        <f t="shared" si="20"/>
        <v>206573.375</v>
      </c>
      <c r="M53" s="1088">
        <f t="shared" si="21"/>
        <v>264499.92</v>
      </c>
    </row>
    <row r="54" spans="2:13" ht="13.5">
      <c r="B54" s="1094" t="s">
        <v>564</v>
      </c>
      <c r="C54" s="1088">
        <v>1652587</v>
      </c>
      <c r="D54" s="1095">
        <v>85.37</v>
      </c>
      <c r="E54" s="1095">
        <f t="shared" si="14"/>
        <v>1.1352934286048963</v>
      </c>
      <c r="F54" s="1088">
        <f t="shared" si="15"/>
        <v>1876171.1612978799</v>
      </c>
      <c r="G54" s="1087"/>
      <c r="H54" s="1088">
        <f t="shared" si="16"/>
        <v>66103.48</v>
      </c>
      <c r="I54" s="1088">
        <f t="shared" si="17"/>
        <v>66103.48</v>
      </c>
      <c r="J54" s="1088">
        <f t="shared" si="18"/>
        <v>140469.89500000002</v>
      </c>
      <c r="K54" s="1088">
        <f t="shared" si="19"/>
        <v>198310.44</v>
      </c>
      <c r="L54" s="1088">
        <f t="shared" si="20"/>
        <v>206573.375</v>
      </c>
      <c r="M54" s="1088">
        <f t="shared" si="21"/>
        <v>264499.92</v>
      </c>
    </row>
    <row r="55" spans="2:13" ht="13.5">
      <c r="B55" s="1094" t="s">
        <v>548</v>
      </c>
      <c r="C55" s="1088">
        <v>1652587</v>
      </c>
      <c r="D55" s="1095">
        <v>85.78</v>
      </c>
      <c r="E55" s="1095">
        <f t="shared" si="14"/>
        <v>1.1298671018885522</v>
      </c>
      <c r="F55" s="1088">
        <f>+C55*E55</f>
        <v>1867203.6843086968</v>
      </c>
      <c r="G55" s="1087"/>
      <c r="H55" s="1088">
        <f t="shared" si="16"/>
        <v>66103.48</v>
      </c>
      <c r="I55" s="1088">
        <f t="shared" si="17"/>
        <v>66103.48</v>
      </c>
      <c r="J55" s="1088">
        <f t="shared" si="18"/>
        <v>140469.89500000002</v>
      </c>
      <c r="K55" s="1088">
        <f t="shared" si="19"/>
        <v>198310.44</v>
      </c>
      <c r="L55" s="1088">
        <f t="shared" si="20"/>
        <v>206573.375</v>
      </c>
      <c r="M55" s="1088">
        <f t="shared" si="21"/>
        <v>264499.92</v>
      </c>
    </row>
    <row r="56" spans="2:13" ht="13.5">
      <c r="B56" s="1094" t="s">
        <v>549</v>
      </c>
      <c r="C56" s="1088">
        <v>0</v>
      </c>
      <c r="D56" s="1095">
        <v>86.39</v>
      </c>
      <c r="E56" s="1095">
        <f t="shared" si="14"/>
        <v>1.1218891075355943</v>
      </c>
      <c r="F56" s="1088">
        <f>+C56*E56</f>
        <v>0</v>
      </c>
      <c r="G56" s="1087"/>
      <c r="H56" s="1088">
        <f t="shared" si="16"/>
        <v>0</v>
      </c>
      <c r="I56" s="1088">
        <f t="shared" si="17"/>
        <v>0</v>
      </c>
      <c r="J56" s="1088">
        <f t="shared" si="18"/>
        <v>0</v>
      </c>
      <c r="K56" s="1088">
        <f t="shared" si="19"/>
        <v>0</v>
      </c>
      <c r="L56" s="1088">
        <f t="shared" si="20"/>
        <v>0</v>
      </c>
      <c r="M56" s="1088">
        <f>SUM(I56+K56)</f>
        <v>0</v>
      </c>
    </row>
    <row r="57" spans="2:13" ht="13.5">
      <c r="B57" s="1094" t="s">
        <v>550</v>
      </c>
      <c r="C57" s="1088">
        <v>0</v>
      </c>
      <c r="D57" s="1095">
        <v>86.98</v>
      </c>
      <c r="E57" s="1095">
        <f t="shared" si="14"/>
        <v>1.1142791446309497</v>
      </c>
      <c r="F57" s="1088">
        <f>+C57*E57</f>
        <v>0</v>
      </c>
      <c r="G57" s="1087"/>
      <c r="H57" s="1088">
        <f t="shared" si="16"/>
        <v>0</v>
      </c>
      <c r="I57" s="1088">
        <f t="shared" si="17"/>
        <v>0</v>
      </c>
      <c r="J57" s="1088">
        <f t="shared" si="18"/>
        <v>0</v>
      </c>
      <c r="K57" s="1088">
        <f t="shared" si="19"/>
        <v>0</v>
      </c>
      <c r="L57" s="1088">
        <f t="shared" si="20"/>
        <v>0</v>
      </c>
      <c r="M57" s="1088">
        <f>SUM(I57+K57)</f>
        <v>0</v>
      </c>
    </row>
    <row r="58" spans="2:13" ht="13.5">
      <c r="B58" s="1094" t="s">
        <v>551</v>
      </c>
      <c r="C58" s="1088">
        <v>0</v>
      </c>
      <c r="D58" s="1095">
        <v>87.51</v>
      </c>
      <c r="E58" s="1095">
        <f t="shared" si="14"/>
        <v>1.1075305679350931</v>
      </c>
      <c r="F58" s="1088">
        <f>+C58*E58</f>
        <v>0</v>
      </c>
      <c r="G58" s="1087"/>
      <c r="H58" s="1088">
        <f t="shared" si="16"/>
        <v>0</v>
      </c>
      <c r="I58" s="1088">
        <f t="shared" si="17"/>
        <v>0</v>
      </c>
      <c r="J58" s="1088">
        <f t="shared" si="18"/>
        <v>0</v>
      </c>
      <c r="K58" s="1088">
        <f t="shared" si="19"/>
        <v>0</v>
      </c>
      <c r="L58" s="1088">
        <f t="shared" si="20"/>
        <v>0</v>
      </c>
      <c r="M58" s="1088">
        <f>SUM(I58+K58)</f>
        <v>0</v>
      </c>
    </row>
    <row r="59" spans="2:13" ht="13.5">
      <c r="B59" s="1094" t="s">
        <v>552</v>
      </c>
      <c r="C59" s="1088">
        <v>0</v>
      </c>
      <c r="D59" s="1095">
        <v>88.05</v>
      </c>
      <c r="E59" s="1095">
        <f t="shared" si="14"/>
        <v>1.1007382169222033</v>
      </c>
      <c r="F59" s="1088">
        <f>+C59*E59</f>
        <v>0</v>
      </c>
      <c r="G59" s="1087"/>
      <c r="H59" s="1088">
        <f t="shared" si="16"/>
        <v>0</v>
      </c>
      <c r="I59" s="1088">
        <f t="shared" si="17"/>
        <v>0</v>
      </c>
      <c r="J59" s="1088">
        <f t="shared" si="18"/>
        <v>0</v>
      </c>
      <c r="K59" s="1088">
        <f t="shared" si="19"/>
        <v>0</v>
      </c>
      <c r="L59" s="1088">
        <f t="shared" si="20"/>
        <v>0</v>
      </c>
      <c r="M59" s="1088">
        <f>SUM(I59+K59)</f>
        <v>0</v>
      </c>
    </row>
    <row r="60" spans="2:13" ht="13.5">
      <c r="B60" s="1096" t="s">
        <v>565</v>
      </c>
      <c r="C60" s="1088">
        <v>826294</v>
      </c>
      <c r="D60" s="1095">
        <v>85.21</v>
      </c>
      <c r="E60" s="1095">
        <f t="shared" si="14"/>
        <v>1.1374251848374606</v>
      </c>
      <c r="F60" s="1088">
        <f t="shared" ref="F60:F65" si="22">+C60*E60</f>
        <v>939847.60568008467</v>
      </c>
      <c r="G60" s="1087"/>
      <c r="H60" s="1087"/>
      <c r="I60" s="1086"/>
      <c r="J60" s="1086"/>
      <c r="K60" s="1085"/>
      <c r="L60" s="1085"/>
      <c r="M60" s="1086"/>
    </row>
    <row r="61" spans="2:13" ht="13.5">
      <c r="B61" s="1096" t="s">
        <v>566</v>
      </c>
      <c r="C61" s="1088">
        <v>812005</v>
      </c>
      <c r="D61" s="1095">
        <v>85.78</v>
      </c>
      <c r="E61" s="1095">
        <f t="shared" si="14"/>
        <v>1.1298671018885522</v>
      </c>
      <c r="F61" s="1088">
        <f t="shared" si="22"/>
        <v>917457.73606901383</v>
      </c>
      <c r="G61" s="1087"/>
      <c r="H61" s="1088">
        <f>SUM(H48:H60)</f>
        <v>528827.84</v>
      </c>
      <c r="I61" s="1088">
        <f>SUM(I48:I60)</f>
        <v>528827.84</v>
      </c>
      <c r="J61" s="1088">
        <f>SUM(J48:J60)</f>
        <v>1123759.1600000001</v>
      </c>
      <c r="K61" s="1088">
        <f>SUM(K48:K60)</f>
        <v>1586483.5199999998</v>
      </c>
      <c r="L61" s="1088">
        <f>SUM(L48:L60)</f>
        <v>1652614</v>
      </c>
      <c r="M61" s="1088">
        <f>SUM(M48:M60)+1</f>
        <v>2116000.36</v>
      </c>
    </row>
    <row r="62" spans="2:13" ht="13.5">
      <c r="B62" s="1096" t="s">
        <v>567</v>
      </c>
      <c r="C62" s="1088">
        <v>860723</v>
      </c>
      <c r="D62" s="1095">
        <v>85.78</v>
      </c>
      <c r="E62" s="1095">
        <f t="shared" si="14"/>
        <v>1.1298671018885522</v>
      </c>
      <c r="F62" s="1088">
        <f t="shared" si="22"/>
        <v>972502.60153882031</v>
      </c>
      <c r="G62" s="1087"/>
      <c r="H62" s="1087"/>
      <c r="I62" s="1086"/>
      <c r="J62" s="1086"/>
      <c r="K62" s="1085"/>
      <c r="L62" s="1085"/>
      <c r="M62" s="1086"/>
    </row>
    <row r="63" spans="2:13" ht="13.5">
      <c r="B63" s="1096" t="s">
        <v>568</v>
      </c>
      <c r="C63" s="1088">
        <v>110172</v>
      </c>
      <c r="D63" s="1095">
        <v>85.78</v>
      </c>
      <c r="E63" s="1095">
        <f t="shared" si="14"/>
        <v>1.1298671018885522</v>
      </c>
      <c r="F63" s="1088">
        <f t="shared" si="22"/>
        <v>124479.71834926557</v>
      </c>
      <c r="G63" s="1087"/>
      <c r="H63" s="1087"/>
      <c r="I63" s="1086"/>
      <c r="J63" s="1086"/>
      <c r="K63" s="1085"/>
      <c r="L63" s="1085"/>
      <c r="M63" s="1086"/>
    </row>
    <row r="64" spans="2:13" ht="13.5">
      <c r="B64" s="1096" t="s">
        <v>22</v>
      </c>
      <c r="C64" s="1088">
        <v>1205012</v>
      </c>
      <c r="D64" s="1095">
        <v>85.78</v>
      </c>
      <c r="E64" s="1095">
        <f t="shared" si="14"/>
        <v>1.1298671018885522</v>
      </c>
      <c r="F64" s="1088">
        <f t="shared" si="22"/>
        <v>1361503.416180928</v>
      </c>
      <c r="G64" s="1087"/>
      <c r="H64" s="1087"/>
      <c r="I64" s="1086"/>
      <c r="J64" s="1086"/>
      <c r="K64" s="1085"/>
      <c r="L64" s="1085"/>
      <c r="M64" s="1086"/>
    </row>
    <row r="65" spans="2:13" ht="13.5">
      <c r="B65" s="1096" t="s">
        <v>553</v>
      </c>
      <c r="C65" s="1088">
        <v>1793172</v>
      </c>
      <c r="D65" s="1095">
        <v>88.05</v>
      </c>
      <c r="E65" s="1095">
        <f t="shared" si="14"/>
        <v>1.1007382169222033</v>
      </c>
      <c r="F65" s="1088">
        <f t="shared" si="22"/>
        <v>1973812.9499148212</v>
      </c>
      <c r="G65" s="1087"/>
      <c r="H65" s="1087"/>
      <c r="I65" s="1086"/>
      <c r="J65" s="1086"/>
      <c r="K65" s="1085"/>
      <c r="L65" s="1085"/>
      <c r="M65" s="1086"/>
    </row>
    <row r="66" spans="2:13" ht="13.5">
      <c r="B66" s="1096" t="s">
        <v>554</v>
      </c>
      <c r="C66" s="1088"/>
      <c r="D66" s="948"/>
      <c r="E66" s="1092"/>
      <c r="F66" s="1088">
        <f>SUM(F48:F65)</f>
        <v>21414944.988443412</v>
      </c>
      <c r="G66" s="1087"/>
      <c r="H66" s="1087"/>
      <c r="I66" s="1086"/>
      <c r="J66" s="1086"/>
      <c r="K66" s="1085"/>
      <c r="L66" s="1085"/>
      <c r="M66" s="1086"/>
    </row>
    <row r="67" spans="2:13" ht="13.5">
      <c r="B67" s="1096" t="s">
        <v>555</v>
      </c>
      <c r="C67" s="1088"/>
      <c r="D67" s="948"/>
      <c r="E67" s="1092"/>
      <c r="F67" s="1088">
        <f>+H61+I61</f>
        <v>1057655.68</v>
      </c>
      <c r="G67" s="1087"/>
      <c r="H67" s="1087"/>
      <c r="I67" s="1086"/>
      <c r="J67" s="1086"/>
      <c r="K67" s="1085"/>
      <c r="L67" s="1085"/>
      <c r="M67" s="1086"/>
    </row>
    <row r="68" spans="2:13" ht="13.5">
      <c r="B68" s="1096" t="s">
        <v>556</v>
      </c>
      <c r="C68" s="1088"/>
      <c r="D68" s="948"/>
      <c r="E68" s="1092"/>
      <c r="F68" s="1088">
        <f>+F66-F67</f>
        <v>20357289.308443412</v>
      </c>
      <c r="G68" s="1087"/>
      <c r="H68" s="1087"/>
      <c r="I68" s="1086"/>
      <c r="J68" s="1086"/>
      <c r="K68" s="1085"/>
      <c r="L68" s="1085"/>
      <c r="M68" s="1086"/>
    </row>
    <row r="69" spans="2:13" ht="13.5">
      <c r="B69" s="1086"/>
      <c r="C69" s="1086"/>
      <c r="D69" s="1086"/>
      <c r="E69" s="1085"/>
      <c r="F69" s="1086"/>
      <c r="G69" s="1087"/>
      <c r="H69" s="1087"/>
      <c r="I69" s="1086"/>
      <c r="J69" s="1086"/>
      <c r="K69" s="1085"/>
      <c r="L69" s="1085"/>
      <c r="M69" s="1086"/>
    </row>
    <row r="70" spans="2:13" ht="13.5">
      <c r="B70" s="1086"/>
      <c r="C70" s="1086"/>
      <c r="D70" s="1086"/>
      <c r="E70" s="1085"/>
      <c r="F70" s="1086"/>
      <c r="G70" s="1087"/>
      <c r="H70" s="1087"/>
      <c r="I70" s="1086"/>
      <c r="J70" s="1086"/>
      <c r="K70" s="1085"/>
      <c r="L70" s="1085"/>
      <c r="M70" s="1086"/>
    </row>
    <row r="71" spans="2:13" ht="13.5">
      <c r="B71" s="1096" t="s">
        <v>192</v>
      </c>
      <c r="C71" s="1088">
        <f>+F20+F43+F66</f>
        <v>59174393.85250783</v>
      </c>
      <c r="D71" s="1086"/>
      <c r="E71" s="1085"/>
      <c r="F71" s="1086"/>
      <c r="G71" s="2634" t="s">
        <v>472</v>
      </c>
      <c r="H71" s="2634"/>
      <c r="I71" s="2634"/>
      <c r="J71" s="2634"/>
      <c r="K71" s="2634"/>
      <c r="L71" s="1085"/>
      <c r="M71" s="1086"/>
    </row>
    <row r="72" spans="2:13" ht="13.5">
      <c r="B72" s="1096" t="s">
        <v>570</v>
      </c>
      <c r="C72" s="1088">
        <f>+F21+F44+F67</f>
        <v>3090276.08</v>
      </c>
      <c r="D72" s="1086"/>
      <c r="E72" s="1085"/>
      <c r="F72" s="1086"/>
      <c r="G72" s="1088"/>
      <c r="H72" s="1087"/>
      <c r="I72" s="1088" t="s">
        <v>76</v>
      </c>
      <c r="J72" s="948" t="s">
        <v>77</v>
      </c>
      <c r="K72" s="1092" t="s">
        <v>57</v>
      </c>
      <c r="L72" s="1085"/>
      <c r="M72" s="1086"/>
    </row>
    <row r="73" spans="2:13" ht="13.5">
      <c r="B73" s="1096" t="s">
        <v>192</v>
      </c>
      <c r="C73" s="1088">
        <f>+C71+C72</f>
        <v>62264669.932507828</v>
      </c>
      <c r="D73" s="1086"/>
      <c r="E73" s="1085"/>
      <c r="F73" s="1086"/>
      <c r="G73" s="1088"/>
      <c r="H73" s="1088"/>
      <c r="I73" s="1097">
        <v>96.92</v>
      </c>
      <c r="J73" s="948"/>
      <c r="K73" s="1092"/>
      <c r="L73" s="1085"/>
      <c r="M73" s="1086"/>
    </row>
    <row r="74" spans="2:13" ht="13.5">
      <c r="B74" s="1096" t="s">
        <v>30</v>
      </c>
      <c r="C74" s="1088">
        <f>+K77</f>
        <v>5025732.6153487349</v>
      </c>
      <c r="D74" s="1086"/>
      <c r="E74" s="1085"/>
      <c r="F74" s="1086"/>
      <c r="G74" s="1088">
        <v>2013</v>
      </c>
      <c r="H74" s="1088">
        <v>602268</v>
      </c>
      <c r="I74" s="1097">
        <v>79.56</v>
      </c>
      <c r="J74" s="948">
        <f>+$I$73/I74</f>
        <v>1.2182001005530416</v>
      </c>
      <c r="K74" s="1088">
        <f>+H74*J74</f>
        <v>733682.9381598793</v>
      </c>
      <c r="L74" s="1085"/>
      <c r="M74" s="1086"/>
    </row>
    <row r="75" spans="2:13" ht="13.5">
      <c r="B75" s="1096" t="s">
        <v>575</v>
      </c>
      <c r="C75" s="1088">
        <f>+K85</f>
        <v>548060.75403600116</v>
      </c>
      <c r="D75" s="1087"/>
      <c r="E75" s="1085"/>
      <c r="F75" s="1086"/>
      <c r="G75" s="1088">
        <v>2014</v>
      </c>
      <c r="H75" s="1088">
        <v>1832645</v>
      </c>
      <c r="I75" s="1097">
        <v>82.47</v>
      </c>
      <c r="J75" s="948">
        <f>+$I$73/I75</f>
        <v>1.1752152297805263</v>
      </c>
      <c r="K75" s="1088">
        <f>+H75*J75</f>
        <v>2153752.3147811326</v>
      </c>
      <c r="L75" s="1085"/>
      <c r="M75" s="1086"/>
    </row>
    <row r="76" spans="2:13" ht="13.5">
      <c r="B76" s="1096" t="s">
        <v>576</v>
      </c>
      <c r="C76" s="1098">
        <f>+C73+C74+C75</f>
        <v>67838463.301892564</v>
      </c>
      <c r="D76" s="1087"/>
      <c r="E76" s="1085"/>
      <c r="F76" s="1086"/>
      <c r="G76" s="1088">
        <v>2015</v>
      </c>
      <c r="H76" s="1088">
        <v>1942603</v>
      </c>
      <c r="I76" s="1097">
        <v>88.05</v>
      </c>
      <c r="J76" s="948">
        <f>+$I$73/I76</f>
        <v>1.1007382169222033</v>
      </c>
      <c r="K76" s="1088">
        <f>+H76*J76</f>
        <v>2138297.362407723</v>
      </c>
      <c r="L76" s="1085"/>
      <c r="M76" s="1086"/>
    </row>
    <row r="77" spans="2:13" ht="13.5">
      <c r="B77" s="1778" t="s">
        <v>602</v>
      </c>
      <c r="C77" s="1779">
        <v>71546667</v>
      </c>
      <c r="D77" s="1780" t="s">
        <v>603</v>
      </c>
      <c r="E77" s="1085"/>
      <c r="F77" s="1086"/>
      <c r="G77" s="1088"/>
      <c r="H77" s="1088"/>
      <c r="I77" s="1097"/>
      <c r="J77" s="948" t="s">
        <v>97</v>
      </c>
      <c r="K77" s="995">
        <f>SUM(K74:K76)</f>
        <v>5025732.6153487349</v>
      </c>
      <c r="L77" s="1085"/>
      <c r="M77" s="1086"/>
    </row>
    <row r="78" spans="2:13" ht="13.5">
      <c r="B78" s="1096"/>
      <c r="C78" s="1088"/>
      <c r="D78" s="1087"/>
      <c r="E78" s="1085"/>
      <c r="F78" s="1086"/>
      <c r="G78" s="1087"/>
      <c r="H78" s="1087"/>
      <c r="I78" s="1087"/>
      <c r="J78" s="1087"/>
      <c r="K78" s="1087"/>
      <c r="L78" s="1085"/>
      <c r="M78" s="1086"/>
    </row>
    <row r="79" spans="2:13" ht="13.5">
      <c r="B79" s="1099" t="s">
        <v>577</v>
      </c>
      <c r="C79" s="1088"/>
      <c r="D79" s="1087"/>
      <c r="E79" s="1085"/>
      <c r="F79" s="1086"/>
      <c r="G79" s="1087"/>
      <c r="H79" s="1087"/>
      <c r="I79" s="1087"/>
      <c r="J79" s="1087"/>
      <c r="K79" s="1087"/>
      <c r="L79" s="1085"/>
      <c r="M79" s="1086"/>
    </row>
    <row r="80" spans="2:13" ht="13.5">
      <c r="B80" s="1096" t="s">
        <v>578</v>
      </c>
      <c r="C80" s="1088">
        <v>8800000</v>
      </c>
      <c r="D80" s="1087"/>
      <c r="E80" s="1085"/>
      <c r="F80" s="1086"/>
      <c r="G80" s="2634" t="s">
        <v>475</v>
      </c>
      <c r="H80" s="2634"/>
      <c r="I80" s="2634"/>
      <c r="J80" s="2634"/>
      <c r="K80" s="2634"/>
      <c r="L80" s="1085"/>
      <c r="M80" s="1086"/>
    </row>
    <row r="81" spans="1:13" ht="38.25">
      <c r="B81" s="1100" t="s">
        <v>579</v>
      </c>
      <c r="C81" s="1098">
        <v>4878003</v>
      </c>
      <c r="D81" s="1087"/>
      <c r="E81" s="1085"/>
      <c r="F81" s="1086"/>
      <c r="G81" s="1088"/>
      <c r="H81" s="1088" t="s">
        <v>76</v>
      </c>
      <c r="I81" s="1097">
        <f>+I73</f>
        <v>96.92</v>
      </c>
      <c r="J81" s="948"/>
      <c r="K81" s="1092"/>
      <c r="L81" s="1085"/>
      <c r="M81" s="1086"/>
    </row>
    <row r="82" spans="1:13" ht="38.25">
      <c r="B82" s="1101" t="s">
        <v>581</v>
      </c>
      <c r="C82" s="1102">
        <f>+C76-C80-C81</f>
        <v>54160460.301892564</v>
      </c>
      <c r="D82" s="1103"/>
      <c r="E82" s="1085"/>
      <c r="F82" s="1086"/>
      <c r="G82" s="1088">
        <v>2013</v>
      </c>
      <c r="H82" s="1088">
        <v>27102</v>
      </c>
      <c r="I82" s="1097">
        <v>79.56</v>
      </c>
      <c r="J82" s="948">
        <f>+$I$73/I82</f>
        <v>1.2182001005530416</v>
      </c>
      <c r="K82" s="1088">
        <f>+H82*J82</f>
        <v>33015.659125188533</v>
      </c>
      <c r="L82" s="1085"/>
      <c r="M82" s="1086"/>
    </row>
    <row r="83" spans="1:13" ht="13.5">
      <c r="B83" s="1086"/>
      <c r="C83" s="1086"/>
      <c r="D83" s="1086"/>
      <c r="E83" s="1086"/>
      <c r="F83" s="1086"/>
      <c r="G83" s="1088">
        <v>2014</v>
      </c>
      <c r="H83" s="1088">
        <v>219917</v>
      </c>
      <c r="I83" s="1097">
        <v>82.47</v>
      </c>
      <c r="J83" s="948">
        <f>+$I$73/I83</f>
        <v>1.1752152297805263</v>
      </c>
      <c r="K83" s="1088">
        <f>+H83*J83</f>
        <v>258449.807687644</v>
      </c>
      <c r="L83" s="1085"/>
      <c r="M83" s="1086"/>
    </row>
    <row r="84" spans="1:13" ht="13.5">
      <c r="B84" s="1086"/>
      <c r="C84" s="1086"/>
      <c r="D84" s="1086"/>
      <c r="E84" s="1086"/>
      <c r="F84" s="1086"/>
      <c r="G84" s="1088">
        <v>2015</v>
      </c>
      <c r="H84" s="1088">
        <v>233112</v>
      </c>
      <c r="I84" s="1097">
        <v>88.05</v>
      </c>
      <c r="J84" s="948">
        <f>+$I$73/I84</f>
        <v>1.1007382169222033</v>
      </c>
      <c r="K84" s="1088">
        <f>+H84*J84</f>
        <v>256595.28722316865</v>
      </c>
      <c r="L84" s="1104"/>
      <c r="M84" s="1086"/>
    </row>
    <row r="85" spans="1:13" ht="13.5">
      <c r="B85" s="1086"/>
      <c r="C85" s="1086"/>
      <c r="D85" s="1086"/>
      <c r="E85" s="1086"/>
      <c r="F85" s="1086"/>
      <c r="G85" s="1088"/>
      <c r="H85" s="1088"/>
      <c r="I85" s="1097"/>
      <c r="J85" s="948"/>
      <c r="K85" s="995">
        <f>SUM(K82:K84)</f>
        <v>548060.75403600116</v>
      </c>
      <c r="L85" s="1105"/>
      <c r="M85" s="1086"/>
    </row>
    <row r="86" spans="1:13" ht="13.5">
      <c r="B86" s="1086"/>
      <c r="C86" s="1086"/>
      <c r="D86" s="1086"/>
      <c r="E86" s="1086"/>
      <c r="F86" s="1086"/>
      <c r="G86" s="1087"/>
      <c r="H86" s="1087"/>
      <c r="I86" s="1086"/>
      <c r="J86" s="1086"/>
      <c r="K86" s="1085"/>
      <c r="L86" s="1105"/>
      <c r="M86" s="1086"/>
    </row>
    <row r="87" spans="1:13" ht="13.5">
      <c r="B87" s="1086"/>
      <c r="C87" s="1086"/>
      <c r="D87" s="1086"/>
      <c r="E87" s="1086"/>
      <c r="F87" s="1086"/>
      <c r="G87" s="1086"/>
      <c r="H87" s="1086"/>
      <c r="I87" s="1086"/>
      <c r="J87" s="1086"/>
      <c r="K87" s="1086"/>
      <c r="L87" s="1082"/>
      <c r="M87" s="1086"/>
    </row>
    <row r="88" spans="1:13" ht="13.5">
      <c r="A88" s="1" t="s">
        <v>582</v>
      </c>
      <c r="B88" s="1087"/>
      <c r="C88" s="1086"/>
      <c r="D88" s="1106">
        <f>+C82</f>
        <v>54160460.301892564</v>
      </c>
      <c r="E88" s="1087"/>
      <c r="F88" s="1086"/>
      <c r="G88" s="1086"/>
      <c r="H88" s="1086"/>
      <c r="K88"/>
      <c r="L88"/>
      <c r="M88" s="1086"/>
    </row>
    <row r="89" spans="1:13" ht="25.5">
      <c r="A89" s="2"/>
      <c r="B89" s="828" t="s">
        <v>337</v>
      </c>
      <c r="C89" s="828" t="s">
        <v>40</v>
      </c>
      <c r="D89" s="2635" t="s">
        <v>583</v>
      </c>
      <c r="E89" s="2636"/>
      <c r="F89" s="1107" t="s">
        <v>129</v>
      </c>
      <c r="G89" s="1107" t="s">
        <v>47</v>
      </c>
      <c r="H89" s="1107" t="s">
        <v>48</v>
      </c>
      <c r="K89"/>
      <c r="L89"/>
      <c r="M89" s="1086"/>
    </row>
    <row r="90" spans="1:13" ht="13.5">
      <c r="A90" s="2">
        <v>1</v>
      </c>
      <c r="B90" s="821">
        <v>43071</v>
      </c>
      <c r="C90" s="821">
        <v>43100</v>
      </c>
      <c r="D90" s="937">
        <v>5.28E-2</v>
      </c>
      <c r="E90" s="1108">
        <f>((1+D90)^(1/365)-1)</f>
        <v>1.4097783120470275E-4</v>
      </c>
      <c r="F90" s="1088">
        <f>+$D$88</f>
        <v>54160460.301892564</v>
      </c>
      <c r="G90" s="939">
        <f>_xlfn.DAYS(C90,B90)+1</f>
        <v>30</v>
      </c>
      <c r="H90" s="1088">
        <f>+F90*G90*E90</f>
        <v>229062.72691227644</v>
      </c>
      <c r="K90"/>
      <c r="L90"/>
      <c r="M90" s="1086"/>
    </row>
    <row r="91" spans="1:13" ht="13.5">
      <c r="A91" s="2">
        <v>2</v>
      </c>
      <c r="B91" s="821">
        <v>43101</v>
      </c>
      <c r="C91" s="821">
        <v>43131</v>
      </c>
      <c r="D91" s="937">
        <v>5.21E-2</v>
      </c>
      <c r="E91" s="1108">
        <f t="shared" ref="E91:E137" si="23">((1+D91)^(1/365)-1)</f>
        <v>1.3915534376041094E-4</v>
      </c>
      <c r="F91" s="1088">
        <f t="shared" ref="F91:F141" si="24">+$D$88</f>
        <v>54160460.301892564</v>
      </c>
      <c r="G91" s="939">
        <f t="shared" ref="G91:G137" si="25">_xlfn.DAYS(C91,B91)+1</f>
        <v>31</v>
      </c>
      <c r="H91" s="1088">
        <f t="shared" ref="H91:H137" si="26">+F91*G91*E91</f>
        <v>233638.24161749045</v>
      </c>
      <c r="K91"/>
      <c r="L91"/>
      <c r="M91" s="1086"/>
    </row>
    <row r="92" spans="1:13" ht="13.5">
      <c r="A92" s="2">
        <v>3</v>
      </c>
      <c r="B92" s="821">
        <v>43132</v>
      </c>
      <c r="C92" s="821">
        <v>43159</v>
      </c>
      <c r="D92" s="937">
        <v>5.0700000000000002E-2</v>
      </c>
      <c r="E92" s="1108">
        <f t="shared" si="23"/>
        <v>1.3550673832551929E-4</v>
      </c>
      <c r="F92" s="1088">
        <f t="shared" si="24"/>
        <v>54160460.301892564</v>
      </c>
      <c r="G92" s="939">
        <f t="shared" si="25"/>
        <v>28</v>
      </c>
      <c r="H92" s="1088">
        <f t="shared" si="26"/>
        <v>205495.00500811046</v>
      </c>
      <c r="K92"/>
      <c r="L92"/>
      <c r="M92" s="1086"/>
    </row>
    <row r="93" spans="1:13" ht="13.5">
      <c r="A93" s="2">
        <v>4</v>
      </c>
      <c r="B93" s="821">
        <v>43160</v>
      </c>
      <c r="C93" s="821">
        <v>43161</v>
      </c>
      <c r="D93" s="937">
        <v>5.0099999999999999E-2</v>
      </c>
      <c r="E93" s="1108">
        <f t="shared" si="23"/>
        <v>1.3394156589074946E-4</v>
      </c>
      <c r="F93" s="1088">
        <f t="shared" si="24"/>
        <v>54160460.301892564</v>
      </c>
      <c r="G93" s="939">
        <f t="shared" si="25"/>
        <v>2</v>
      </c>
      <c r="H93" s="1088">
        <f t="shared" si="26"/>
        <v>14508.673724398526</v>
      </c>
      <c r="K93"/>
      <c r="L93"/>
      <c r="M93" s="1086"/>
    </row>
    <row r="94" spans="1:13" ht="13.5">
      <c r="A94" s="2">
        <v>5</v>
      </c>
      <c r="B94" s="821">
        <v>43162</v>
      </c>
      <c r="C94" s="821">
        <v>43190</v>
      </c>
      <c r="D94" s="937">
        <v>0</v>
      </c>
      <c r="E94" s="1108">
        <f t="shared" si="23"/>
        <v>0</v>
      </c>
      <c r="F94" s="1088">
        <f t="shared" si="24"/>
        <v>54160460.301892564</v>
      </c>
      <c r="G94" s="939">
        <v>0</v>
      </c>
      <c r="H94" s="1088">
        <f t="shared" si="26"/>
        <v>0</v>
      </c>
      <c r="K94"/>
      <c r="L94"/>
      <c r="M94" s="1086"/>
    </row>
    <row r="95" spans="1:13" ht="13.5">
      <c r="A95" s="2">
        <v>6</v>
      </c>
      <c r="B95" s="821">
        <v>43191</v>
      </c>
      <c r="C95" s="821">
        <v>43220</v>
      </c>
      <c r="D95" s="937">
        <v>0</v>
      </c>
      <c r="E95" s="1108">
        <f t="shared" si="23"/>
        <v>0</v>
      </c>
      <c r="F95" s="1088">
        <f t="shared" si="24"/>
        <v>54160460.301892564</v>
      </c>
      <c r="G95" s="939">
        <v>0</v>
      </c>
      <c r="H95" s="1088">
        <f t="shared" si="26"/>
        <v>0</v>
      </c>
      <c r="K95"/>
      <c r="L95"/>
      <c r="M95" s="1086"/>
    </row>
    <row r="96" spans="1:13" ht="13.5">
      <c r="A96" s="2">
        <v>7</v>
      </c>
      <c r="B96" s="821">
        <v>43221</v>
      </c>
      <c r="C96" s="821">
        <v>43235</v>
      </c>
      <c r="D96" s="937">
        <v>0</v>
      </c>
      <c r="E96" s="1108">
        <f t="shared" si="23"/>
        <v>0</v>
      </c>
      <c r="F96" s="1088">
        <f t="shared" si="24"/>
        <v>54160460.301892564</v>
      </c>
      <c r="G96" s="939">
        <v>0</v>
      </c>
      <c r="H96" s="1088">
        <f t="shared" si="26"/>
        <v>0</v>
      </c>
      <c r="K96"/>
      <c r="L96"/>
      <c r="M96" s="1086"/>
    </row>
    <row r="97" spans="1:13" ht="13.5">
      <c r="A97" s="2">
        <v>8</v>
      </c>
      <c r="B97" s="821">
        <v>43236</v>
      </c>
      <c r="C97" s="821">
        <v>43251</v>
      </c>
      <c r="D97" s="937">
        <v>4.7E-2</v>
      </c>
      <c r="E97" s="1108">
        <f t="shared" si="23"/>
        <v>1.2584060737030889E-4</v>
      </c>
      <c r="F97" s="1088">
        <f t="shared" si="24"/>
        <v>54160460.301892564</v>
      </c>
      <c r="G97" s="939">
        <f>_xlfn.DAYS(C97,B97)+1</f>
        <v>16</v>
      </c>
      <c r="H97" s="1088">
        <f>+F97*G97*E97</f>
        <v>109049.36351753061</v>
      </c>
      <c r="K97"/>
      <c r="L97"/>
      <c r="M97" s="1086"/>
    </row>
    <row r="98" spans="1:13" ht="13.5">
      <c r="A98" s="2">
        <v>9</v>
      </c>
      <c r="B98" s="821">
        <v>43252</v>
      </c>
      <c r="C98" s="821">
        <v>43281</v>
      </c>
      <c r="D98" s="937">
        <v>4.5999999999999999E-2</v>
      </c>
      <c r="E98" s="1108">
        <f t="shared" si="23"/>
        <v>1.2322229163408416E-4</v>
      </c>
      <c r="F98" s="1088">
        <f t="shared" si="24"/>
        <v>54160460.301892564</v>
      </c>
      <c r="G98" s="939">
        <f t="shared" si="25"/>
        <v>30</v>
      </c>
      <c r="H98" s="1088">
        <f t="shared" si="26"/>
        <v>200213.2810306813</v>
      </c>
      <c r="K98"/>
      <c r="L98"/>
      <c r="M98" s="1086"/>
    </row>
    <row r="99" spans="1:13" ht="13.5">
      <c r="A99" s="2">
        <v>10</v>
      </c>
      <c r="B99" s="821">
        <v>43282</v>
      </c>
      <c r="C99" s="821">
        <v>43312</v>
      </c>
      <c r="D99" s="937">
        <v>4.5699999999999998E-2</v>
      </c>
      <c r="E99" s="1108">
        <f t="shared" si="23"/>
        <v>1.2243631011710221E-4</v>
      </c>
      <c r="F99" s="1088">
        <f t="shared" si="24"/>
        <v>54160460.301892564</v>
      </c>
      <c r="G99" s="939">
        <f t="shared" si="25"/>
        <v>31</v>
      </c>
      <c r="H99" s="1088">
        <f t="shared" si="26"/>
        <v>205567.41432183314</v>
      </c>
      <c r="K99"/>
      <c r="L99"/>
      <c r="M99" s="1086"/>
    </row>
    <row r="100" spans="1:13" ht="13.5">
      <c r="A100" s="2">
        <v>11</v>
      </c>
      <c r="B100" s="821">
        <v>43313</v>
      </c>
      <c r="C100" s="821">
        <v>43343</v>
      </c>
      <c r="D100" s="937">
        <v>4.53E-2</v>
      </c>
      <c r="E100" s="1108">
        <f t="shared" si="23"/>
        <v>1.2138798488825486E-4</v>
      </c>
      <c r="F100" s="1088">
        <f t="shared" si="24"/>
        <v>54160460.301892564</v>
      </c>
      <c r="G100" s="939">
        <f t="shared" si="25"/>
        <v>31</v>
      </c>
      <c r="H100" s="1088">
        <f t="shared" si="26"/>
        <v>203807.30323667891</v>
      </c>
      <c r="K100"/>
      <c r="L100"/>
      <c r="M100" s="1086"/>
    </row>
    <row r="101" spans="1:13" ht="13.5">
      <c r="A101" s="2">
        <v>12</v>
      </c>
      <c r="B101" s="821">
        <v>43344</v>
      </c>
      <c r="C101" s="821">
        <v>43373</v>
      </c>
      <c r="D101" s="937">
        <v>4.53E-2</v>
      </c>
      <c r="E101" s="1108">
        <f t="shared" si="23"/>
        <v>1.2138798488825486E-4</v>
      </c>
      <c r="F101" s="1088">
        <f t="shared" si="24"/>
        <v>54160460.301892564</v>
      </c>
      <c r="G101" s="939">
        <f t="shared" si="25"/>
        <v>30</v>
      </c>
      <c r="H101" s="1088">
        <f t="shared" si="26"/>
        <v>197232.87410001186</v>
      </c>
      <c r="K101"/>
      <c r="L101"/>
      <c r="M101" s="1086"/>
    </row>
    <row r="102" spans="1:13" ht="13.5">
      <c r="A102" s="2">
        <v>13</v>
      </c>
      <c r="B102" s="821">
        <v>43374</v>
      </c>
      <c r="C102" s="821">
        <v>43375</v>
      </c>
      <c r="D102" s="937">
        <v>4.4299999999999999E-2</v>
      </c>
      <c r="E102" s="1108">
        <f t="shared" si="23"/>
        <v>1.187654205565547E-4</v>
      </c>
      <c r="F102" s="1088">
        <f t="shared" si="24"/>
        <v>54160460.301892564</v>
      </c>
      <c r="G102" s="939">
        <f>_xlfn.DAYS(C102,B102)+1</f>
        <v>2</v>
      </c>
      <c r="H102" s="1088">
        <f>+F102*G102*E102</f>
        <v>12864.779690581712</v>
      </c>
      <c r="K102"/>
      <c r="L102"/>
      <c r="M102" s="1086"/>
    </row>
    <row r="103" spans="1:13" ht="13.5">
      <c r="A103" s="2">
        <v>14</v>
      </c>
      <c r="B103" s="821">
        <v>43376</v>
      </c>
      <c r="C103" s="821">
        <v>43404</v>
      </c>
      <c r="D103" s="937">
        <v>0.29444999999999999</v>
      </c>
      <c r="E103" s="1108">
        <f t="shared" si="23"/>
        <v>7.073346857742191E-4</v>
      </c>
      <c r="F103" s="1088">
        <f t="shared" si="24"/>
        <v>54160460.301892564</v>
      </c>
      <c r="G103" s="939">
        <f t="shared" si="25"/>
        <v>29</v>
      </c>
      <c r="H103" s="1088">
        <f t="shared" si="26"/>
        <v>1110977.5929017609</v>
      </c>
      <c r="K103"/>
      <c r="L103"/>
      <c r="M103" s="1086"/>
    </row>
    <row r="104" spans="1:13" ht="13.5">
      <c r="A104" s="2">
        <v>15</v>
      </c>
      <c r="B104" s="821">
        <v>43405</v>
      </c>
      <c r="C104" s="821">
        <v>43434</v>
      </c>
      <c r="D104" s="937">
        <v>0.29235</v>
      </c>
      <c r="E104" s="1108">
        <f t="shared" si="23"/>
        <v>7.0288325333756063E-4</v>
      </c>
      <c r="F104" s="1088">
        <f t="shared" si="24"/>
        <v>54160460.301892564</v>
      </c>
      <c r="G104" s="939">
        <f t="shared" si="25"/>
        <v>30</v>
      </c>
      <c r="H104" s="1088">
        <f t="shared" si="26"/>
        <v>1142054.4161776213</v>
      </c>
      <c r="K104"/>
      <c r="L104"/>
      <c r="M104" s="1086"/>
    </row>
    <row r="105" spans="1:13" ht="13.5">
      <c r="A105" s="2">
        <v>16</v>
      </c>
      <c r="B105" s="821">
        <v>43435</v>
      </c>
      <c r="C105" s="821">
        <v>43465</v>
      </c>
      <c r="D105" s="937">
        <v>0.29100000000000004</v>
      </c>
      <c r="E105" s="1108">
        <f t="shared" si="23"/>
        <v>7.0001780740103214E-4</v>
      </c>
      <c r="F105" s="1088">
        <f t="shared" si="24"/>
        <v>54160460.301892564</v>
      </c>
      <c r="G105" s="939">
        <f t="shared" si="25"/>
        <v>31</v>
      </c>
      <c r="H105" s="1088">
        <f t="shared" si="26"/>
        <v>1175311.8867192059</v>
      </c>
      <c r="K105"/>
      <c r="L105"/>
      <c r="M105" s="1086"/>
    </row>
    <row r="106" spans="1:13" ht="13.5">
      <c r="A106" s="2">
        <v>17</v>
      </c>
      <c r="B106" s="821">
        <v>43466</v>
      </c>
      <c r="C106" s="821">
        <v>43496</v>
      </c>
      <c r="D106" s="937">
        <v>0.28739999999999999</v>
      </c>
      <c r="E106" s="1108">
        <f t="shared" si="23"/>
        <v>6.9236198468725085E-4</v>
      </c>
      <c r="F106" s="1088">
        <f t="shared" si="24"/>
        <v>54160460.301892564</v>
      </c>
      <c r="G106" s="939">
        <f t="shared" si="25"/>
        <v>31</v>
      </c>
      <c r="H106" s="1088">
        <f t="shared" si="26"/>
        <v>1162457.9573719953</v>
      </c>
      <c r="K106"/>
      <c r="L106"/>
      <c r="M106" s="1086"/>
    </row>
    <row r="107" spans="1:13" ht="13.5">
      <c r="A107" s="2">
        <v>18</v>
      </c>
      <c r="B107" s="821">
        <v>43497</v>
      </c>
      <c r="C107" s="821">
        <v>43524</v>
      </c>
      <c r="D107" s="937">
        <v>0.29549999999999998</v>
      </c>
      <c r="E107" s="1108">
        <f t="shared" si="23"/>
        <v>7.0955770203506852E-4</v>
      </c>
      <c r="F107" s="1088">
        <f t="shared" si="24"/>
        <v>54160460.301892564</v>
      </c>
      <c r="G107" s="939">
        <f t="shared" si="25"/>
        <v>28</v>
      </c>
      <c r="H107" s="1088">
        <f t="shared" si="26"/>
        <v>1076039.2090832284</v>
      </c>
      <c r="K107"/>
      <c r="L107"/>
      <c r="M107" s="1086"/>
    </row>
    <row r="108" spans="1:13" ht="13.5">
      <c r="A108" s="2">
        <v>19</v>
      </c>
      <c r="B108" s="821">
        <v>43525</v>
      </c>
      <c r="C108" s="821">
        <v>43555</v>
      </c>
      <c r="D108" s="937">
        <v>0.29055000000000003</v>
      </c>
      <c r="E108" s="1108">
        <f t="shared" si="23"/>
        <v>6.9906199467517638E-4</v>
      </c>
      <c r="F108" s="1088">
        <f t="shared" si="24"/>
        <v>54160460.301892564</v>
      </c>
      <c r="G108" s="939">
        <f t="shared" si="25"/>
        <v>31</v>
      </c>
      <c r="H108" s="1088">
        <f t="shared" si="26"/>
        <v>1173707.1017461685</v>
      </c>
      <c r="K108"/>
      <c r="L108"/>
      <c r="M108" s="1086"/>
    </row>
    <row r="109" spans="1:13" ht="13.5">
      <c r="A109" s="2">
        <v>20</v>
      </c>
      <c r="B109" s="821">
        <v>43556</v>
      </c>
      <c r="C109" s="821">
        <v>43585</v>
      </c>
      <c r="D109" s="937">
        <v>0.2898</v>
      </c>
      <c r="E109" s="1108">
        <f t="shared" si="23"/>
        <v>6.9746823462724095E-4</v>
      </c>
      <c r="F109" s="1088">
        <f t="shared" si="24"/>
        <v>54160460.301892564</v>
      </c>
      <c r="G109" s="939">
        <f t="shared" si="25"/>
        <v>30</v>
      </c>
      <c r="H109" s="1088">
        <f t="shared" si="26"/>
        <v>1133256.0190007931</v>
      </c>
      <c r="K109"/>
      <c r="L109"/>
      <c r="M109" s="1086"/>
    </row>
    <row r="110" spans="1:13" ht="13.5">
      <c r="A110" s="2">
        <v>21</v>
      </c>
      <c r="B110" s="821">
        <v>43586</v>
      </c>
      <c r="C110" s="821">
        <v>43616</v>
      </c>
      <c r="D110" s="937">
        <v>0.29009999999999997</v>
      </c>
      <c r="E110" s="1108">
        <f t="shared" si="23"/>
        <v>6.9810584952367805E-4</v>
      </c>
      <c r="F110" s="1088">
        <f t="shared" si="24"/>
        <v>54160460.301892564</v>
      </c>
      <c r="G110" s="939">
        <f t="shared" si="25"/>
        <v>31</v>
      </c>
      <c r="H110" s="1088">
        <f t="shared" si="26"/>
        <v>1172101.7586390306</v>
      </c>
      <c r="K110"/>
      <c r="L110"/>
      <c r="M110" s="1086"/>
    </row>
    <row r="111" spans="1:13" ht="13.5">
      <c r="A111" s="2">
        <v>22</v>
      </c>
      <c r="B111" s="821">
        <v>43617</v>
      </c>
      <c r="C111" s="821">
        <v>43646</v>
      </c>
      <c r="D111" s="937">
        <v>0.28949999999999998</v>
      </c>
      <c r="E111" s="1108">
        <f t="shared" si="23"/>
        <v>6.9683047181468005E-4</v>
      </c>
      <c r="F111" s="1088">
        <f t="shared" si="24"/>
        <v>54160460.301892564</v>
      </c>
      <c r="G111" s="939">
        <f t="shared" si="25"/>
        <v>30</v>
      </c>
      <c r="H111" s="1088">
        <f t="shared" si="26"/>
        <v>1132219.7731760414</v>
      </c>
      <c r="K111"/>
      <c r="L111"/>
      <c r="M111" s="1086"/>
    </row>
    <row r="112" spans="1:13" ht="13.5">
      <c r="A112" s="2">
        <v>23</v>
      </c>
      <c r="B112" s="821">
        <v>43647</v>
      </c>
      <c r="C112" s="821">
        <v>43677</v>
      </c>
      <c r="D112" s="937">
        <v>0.28920000000000001</v>
      </c>
      <c r="E112" s="1108">
        <f t="shared" si="23"/>
        <v>6.9619256101671745E-4</v>
      </c>
      <c r="F112" s="1088">
        <f t="shared" si="24"/>
        <v>54160460.301892564</v>
      </c>
      <c r="G112" s="939">
        <f t="shared" si="25"/>
        <v>31</v>
      </c>
      <c r="H112" s="1088">
        <f t="shared" si="26"/>
        <v>1168889.3964659842</v>
      </c>
      <c r="K112"/>
      <c r="L112"/>
      <c r="M112" s="1086"/>
    </row>
    <row r="113" spans="1:13" ht="13.5">
      <c r="A113" s="2">
        <v>24</v>
      </c>
      <c r="B113" s="821">
        <v>43678</v>
      </c>
      <c r="C113" s="821">
        <v>43708</v>
      </c>
      <c r="D113" s="937">
        <v>0.2898</v>
      </c>
      <c r="E113" s="1108">
        <f t="shared" si="23"/>
        <v>6.9746823462724095E-4</v>
      </c>
      <c r="F113" s="1088">
        <f t="shared" si="24"/>
        <v>54160460.301892564</v>
      </c>
      <c r="G113" s="939">
        <f t="shared" si="25"/>
        <v>31</v>
      </c>
      <c r="H113" s="1088">
        <f t="shared" si="26"/>
        <v>1171031.2196341529</v>
      </c>
      <c r="K113"/>
      <c r="L113"/>
      <c r="M113" s="1086"/>
    </row>
    <row r="114" spans="1:13" ht="13.5">
      <c r="A114" s="2">
        <v>25</v>
      </c>
      <c r="B114" s="821">
        <v>43709</v>
      </c>
      <c r="C114" s="821">
        <v>43738</v>
      </c>
      <c r="D114" s="937">
        <v>0.2898</v>
      </c>
      <c r="E114" s="1108">
        <f t="shared" si="23"/>
        <v>6.9746823462724095E-4</v>
      </c>
      <c r="F114" s="1088">
        <f t="shared" si="24"/>
        <v>54160460.301892564</v>
      </c>
      <c r="G114" s="939">
        <f t="shared" si="25"/>
        <v>30</v>
      </c>
      <c r="H114" s="1088">
        <f t="shared" si="26"/>
        <v>1133256.0190007931</v>
      </c>
      <c r="K114"/>
      <c r="L114"/>
      <c r="M114" s="1086"/>
    </row>
    <row r="115" spans="1:13" ht="13.5">
      <c r="A115" s="2">
        <v>26</v>
      </c>
      <c r="B115" s="821">
        <v>43739</v>
      </c>
      <c r="C115" s="821">
        <v>43769</v>
      </c>
      <c r="D115" s="937">
        <v>0.28649999999999998</v>
      </c>
      <c r="E115" s="1108">
        <f t="shared" si="23"/>
        <v>6.9044469314105683E-4</v>
      </c>
      <c r="F115" s="1088">
        <f t="shared" si="24"/>
        <v>54160460.301892564</v>
      </c>
      <c r="G115" s="939">
        <f t="shared" si="25"/>
        <v>31</v>
      </c>
      <c r="H115" s="1088">
        <f t="shared" si="26"/>
        <v>1159238.8741990768</v>
      </c>
      <c r="K115"/>
      <c r="L115"/>
      <c r="M115" s="1086"/>
    </row>
    <row r="116" spans="1:13" ht="13.5">
      <c r="A116" s="2">
        <v>27</v>
      </c>
      <c r="B116" s="821">
        <v>43770</v>
      </c>
      <c r="C116" s="821">
        <v>43799</v>
      </c>
      <c r="D116" s="937">
        <v>0.28544999999999998</v>
      </c>
      <c r="E116" s="1108">
        <f t="shared" si="23"/>
        <v>6.8820616169262827E-4</v>
      </c>
      <c r="F116" s="1088">
        <f t="shared" si="24"/>
        <v>54160460.301892564</v>
      </c>
      <c r="G116" s="939">
        <f t="shared" si="25"/>
        <v>30</v>
      </c>
      <c r="H116" s="1088">
        <f t="shared" si="26"/>
        <v>1118206.8749961436</v>
      </c>
      <c r="K116"/>
      <c r="L116"/>
      <c r="M116" s="1086"/>
    </row>
    <row r="117" spans="1:13" ht="13.5">
      <c r="A117" s="2">
        <v>28</v>
      </c>
      <c r="B117" s="821">
        <v>43800</v>
      </c>
      <c r="C117" s="821">
        <v>43830</v>
      </c>
      <c r="D117" s="937">
        <v>0.28364999999999996</v>
      </c>
      <c r="E117" s="1108">
        <f t="shared" si="23"/>
        <v>6.8436443340047504E-4</v>
      </c>
      <c r="F117" s="1088">
        <f t="shared" si="24"/>
        <v>54160460.301892564</v>
      </c>
      <c r="G117" s="939">
        <f t="shared" si="25"/>
        <v>31</v>
      </c>
      <c r="H117" s="1088">
        <f t="shared" si="26"/>
        <v>1149030.2745436225</v>
      </c>
      <c r="K117"/>
      <c r="L117"/>
      <c r="M117" s="1086"/>
    </row>
    <row r="118" spans="1:13" ht="13.5">
      <c r="A118" s="2">
        <v>29</v>
      </c>
      <c r="B118" s="821">
        <v>43831</v>
      </c>
      <c r="C118" s="821">
        <v>43861</v>
      </c>
      <c r="D118" s="937">
        <v>0.28155000000000002</v>
      </c>
      <c r="E118" s="1108">
        <f t="shared" si="23"/>
        <v>6.7987562124560696E-4</v>
      </c>
      <c r="F118" s="1088">
        <f t="shared" si="24"/>
        <v>54160460.301892564</v>
      </c>
      <c r="G118" s="939">
        <f t="shared" si="25"/>
        <v>31</v>
      </c>
      <c r="H118" s="1088">
        <f t="shared" si="26"/>
        <v>1141493.6744356144</v>
      </c>
      <c r="K118"/>
      <c r="L118"/>
      <c r="M118" s="1086"/>
    </row>
    <row r="119" spans="1:13" ht="13.5">
      <c r="A119" s="2">
        <v>30</v>
      </c>
      <c r="B119" s="821">
        <v>43862</v>
      </c>
      <c r="C119" s="821">
        <v>43890</v>
      </c>
      <c r="D119" s="937">
        <v>0.28589999999999999</v>
      </c>
      <c r="E119" s="1108">
        <f t="shared" si="23"/>
        <v>6.8916575551658532E-4</v>
      </c>
      <c r="F119" s="1088">
        <f t="shared" si="24"/>
        <v>54160460.301892564</v>
      </c>
      <c r="G119" s="939">
        <f t="shared" si="25"/>
        <v>29</v>
      </c>
      <c r="H119" s="1088">
        <f t="shared" si="26"/>
        <v>1082440.5017493146</v>
      </c>
      <c r="K119"/>
      <c r="L119"/>
      <c r="M119" s="1086"/>
    </row>
    <row r="120" spans="1:13" ht="13.5">
      <c r="A120" s="2">
        <v>31</v>
      </c>
      <c r="B120" s="821">
        <v>43891</v>
      </c>
      <c r="C120" s="821">
        <v>43921</v>
      </c>
      <c r="D120" s="937">
        <v>0.28425</v>
      </c>
      <c r="E120" s="1108">
        <f t="shared" si="23"/>
        <v>6.8564560609574166E-4</v>
      </c>
      <c r="F120" s="1088">
        <f t="shared" si="24"/>
        <v>54160460.301892564</v>
      </c>
      <c r="G120" s="939">
        <f t="shared" si="25"/>
        <v>31</v>
      </c>
      <c r="H120" s="1088">
        <f t="shared" si="26"/>
        <v>1151181.3305335799</v>
      </c>
      <c r="K120"/>
      <c r="L120"/>
      <c r="M120" s="1086"/>
    </row>
    <row r="121" spans="1:13" ht="13.5">
      <c r="A121" s="2">
        <v>32</v>
      </c>
      <c r="B121" s="821">
        <v>43922</v>
      </c>
      <c r="C121" s="821">
        <v>43951</v>
      </c>
      <c r="D121" s="937">
        <v>0.28034999999999999</v>
      </c>
      <c r="E121" s="1108">
        <f t="shared" si="23"/>
        <v>6.7730729113191224E-4</v>
      </c>
      <c r="F121" s="1088">
        <f t="shared" si="24"/>
        <v>54160460.301892564</v>
      </c>
      <c r="G121" s="939">
        <f t="shared" si="25"/>
        <v>30</v>
      </c>
      <c r="H121" s="1088">
        <f t="shared" si="26"/>
        <v>1100498.2396059697</v>
      </c>
      <c r="K121"/>
      <c r="L121"/>
      <c r="M121" s="1086"/>
    </row>
    <row r="122" spans="1:13" ht="13.5">
      <c r="A122" s="2">
        <v>33</v>
      </c>
      <c r="B122" s="821">
        <v>43952</v>
      </c>
      <c r="C122" s="821">
        <v>43982</v>
      </c>
      <c r="D122" s="937">
        <v>0.27285000000000004</v>
      </c>
      <c r="E122" s="1108">
        <f t="shared" si="23"/>
        <v>6.6120063584418354E-4</v>
      </c>
      <c r="F122" s="1088">
        <f t="shared" si="24"/>
        <v>54160460.301892564</v>
      </c>
      <c r="G122" s="939">
        <f t="shared" si="25"/>
        <v>31</v>
      </c>
      <c r="H122" s="1088">
        <f t="shared" si="26"/>
        <v>1110138.8544659757</v>
      </c>
      <c r="K122"/>
      <c r="L122"/>
      <c r="M122" s="1086"/>
    </row>
    <row r="123" spans="1:13" ht="13.5">
      <c r="A123" s="2">
        <v>34</v>
      </c>
      <c r="B123" s="821">
        <v>43983</v>
      </c>
      <c r="C123" s="821">
        <v>44012</v>
      </c>
      <c r="D123" s="937">
        <v>0.27179999999999999</v>
      </c>
      <c r="E123" s="1108">
        <f t="shared" si="23"/>
        <v>6.5893815469997286E-4</v>
      </c>
      <c r="F123" s="1088">
        <f t="shared" si="24"/>
        <v>54160460.301892564</v>
      </c>
      <c r="G123" s="939">
        <f t="shared" si="25"/>
        <v>30</v>
      </c>
      <c r="H123" s="1088">
        <f t="shared" si="26"/>
        <v>1070651.8130709068</v>
      </c>
      <c r="K123"/>
      <c r="L123"/>
      <c r="M123" s="1086"/>
    </row>
    <row r="124" spans="1:13" ht="13.5">
      <c r="A124" s="2">
        <v>35</v>
      </c>
      <c r="B124" s="821">
        <v>44013</v>
      </c>
      <c r="C124" s="821">
        <v>44043</v>
      </c>
      <c r="D124" s="937">
        <v>0.27179999999999999</v>
      </c>
      <c r="E124" s="1108">
        <f t="shared" si="23"/>
        <v>6.5893815469997286E-4</v>
      </c>
      <c r="F124" s="1088">
        <f t="shared" si="24"/>
        <v>54160460.301892564</v>
      </c>
      <c r="G124" s="939">
        <f t="shared" si="25"/>
        <v>31</v>
      </c>
      <c r="H124" s="1088">
        <f t="shared" si="26"/>
        <v>1106340.2068399368</v>
      </c>
      <c r="K124"/>
      <c r="L124"/>
      <c r="M124" s="1086"/>
    </row>
    <row r="125" spans="1:13" ht="13.5">
      <c r="A125" s="2">
        <v>36</v>
      </c>
      <c r="B125" s="821">
        <v>44044</v>
      </c>
      <c r="C125" s="821">
        <v>44074</v>
      </c>
      <c r="D125" s="937">
        <v>0.27434999999999998</v>
      </c>
      <c r="E125" s="1108">
        <f t="shared" si="23"/>
        <v>6.6442952514544906E-4</v>
      </c>
      <c r="F125" s="1088">
        <f t="shared" si="24"/>
        <v>54160460.301892564</v>
      </c>
      <c r="G125" s="939">
        <f t="shared" si="25"/>
        <v>31</v>
      </c>
      <c r="H125" s="1088">
        <f t="shared" si="26"/>
        <v>1115560.076521408</v>
      </c>
      <c r="K125"/>
      <c r="L125"/>
      <c r="M125" s="1086"/>
    </row>
    <row r="126" spans="1:13" ht="13.5">
      <c r="A126" s="2">
        <v>37</v>
      </c>
      <c r="B126" s="821">
        <v>44075</v>
      </c>
      <c r="C126" s="821">
        <v>44104</v>
      </c>
      <c r="D126" s="937">
        <v>0.27524999999999999</v>
      </c>
      <c r="E126" s="1108">
        <f t="shared" si="23"/>
        <v>6.6636503991857055E-4</v>
      </c>
      <c r="F126" s="1088">
        <f t="shared" si="24"/>
        <v>54160460.301892564</v>
      </c>
      <c r="G126" s="939">
        <f t="shared" si="25"/>
        <v>30</v>
      </c>
      <c r="H126" s="1088">
        <f t="shared" si="26"/>
        <v>1082719.1187323639</v>
      </c>
      <c r="K126"/>
      <c r="L126"/>
      <c r="M126" s="1086"/>
    </row>
    <row r="127" spans="1:13" ht="13.5">
      <c r="A127" s="2">
        <v>38</v>
      </c>
      <c r="B127" s="821">
        <v>44105</v>
      </c>
      <c r="C127" s="821">
        <v>44135</v>
      </c>
      <c r="D127" s="937">
        <v>0.27134999999999998</v>
      </c>
      <c r="E127" s="1108">
        <f t="shared" si="23"/>
        <v>6.5796794962613703E-4</v>
      </c>
      <c r="F127" s="1088">
        <f t="shared" si="24"/>
        <v>54160460.301892564</v>
      </c>
      <c r="G127" s="939">
        <f t="shared" si="25"/>
        <v>31</v>
      </c>
      <c r="H127" s="1088">
        <f t="shared" si="26"/>
        <v>1104711.2574849653</v>
      </c>
      <c r="K127"/>
      <c r="L127"/>
      <c r="M127" s="1086"/>
    </row>
    <row r="128" spans="1:13" ht="13.5">
      <c r="A128" s="2">
        <v>39</v>
      </c>
      <c r="B128" s="821">
        <v>44136</v>
      </c>
      <c r="C128" s="821">
        <v>44165</v>
      </c>
      <c r="D128" s="937">
        <v>0.2676</v>
      </c>
      <c r="E128" s="1108">
        <f t="shared" si="23"/>
        <v>6.4986956374091243E-4</v>
      </c>
      <c r="F128" s="1088">
        <f t="shared" si="24"/>
        <v>54160460.301892564</v>
      </c>
      <c r="G128" s="939">
        <f t="shared" si="25"/>
        <v>30</v>
      </c>
      <c r="H128" s="1088">
        <f t="shared" si="26"/>
        <v>1055917.0412519379</v>
      </c>
      <c r="K128"/>
      <c r="L128"/>
      <c r="M128" s="1086"/>
    </row>
    <row r="129" spans="1:13" ht="13.5">
      <c r="A129" s="2">
        <v>40</v>
      </c>
      <c r="B129" s="821">
        <v>44166</v>
      </c>
      <c r="C129" s="821">
        <v>44196</v>
      </c>
      <c r="D129" s="937">
        <v>0.26190000000000002</v>
      </c>
      <c r="E129" s="1108">
        <f t="shared" si="23"/>
        <v>6.3751414410861962E-4</v>
      </c>
      <c r="F129" s="1088">
        <f t="shared" si="24"/>
        <v>54160460.301892564</v>
      </c>
      <c r="G129" s="939">
        <f t="shared" si="25"/>
        <v>31</v>
      </c>
      <c r="H129" s="1088">
        <f t="shared" si="26"/>
        <v>1070369.8443105873</v>
      </c>
      <c r="K129"/>
      <c r="L129"/>
      <c r="M129" s="1086"/>
    </row>
    <row r="130" spans="1:13" ht="13.5">
      <c r="A130" s="2">
        <v>41</v>
      </c>
      <c r="B130" s="821">
        <v>44197</v>
      </c>
      <c r="C130" s="821">
        <v>44227</v>
      </c>
      <c r="D130" s="937">
        <v>0.25979999999999998</v>
      </c>
      <c r="E130" s="1108">
        <f t="shared" si="23"/>
        <v>6.3294811266723094E-4</v>
      </c>
      <c r="F130" s="1088">
        <f t="shared" si="24"/>
        <v>54160460.301892564</v>
      </c>
      <c r="G130" s="939">
        <f t="shared" si="25"/>
        <v>31</v>
      </c>
      <c r="H130" s="1088">
        <f t="shared" si="26"/>
        <v>1062703.5950074128</v>
      </c>
      <c r="K130"/>
      <c r="L130"/>
      <c r="M130" s="1086"/>
    </row>
    <row r="131" spans="1:13" ht="13.5">
      <c r="A131" s="2">
        <v>42</v>
      </c>
      <c r="B131" s="821">
        <v>44228</v>
      </c>
      <c r="C131" s="821">
        <v>44255</v>
      </c>
      <c r="D131" s="937">
        <v>0.2631</v>
      </c>
      <c r="E131" s="1108">
        <f t="shared" si="23"/>
        <v>6.4011990387169426E-4</v>
      </c>
      <c r="F131" s="1088">
        <f t="shared" si="24"/>
        <v>54160460.301892564</v>
      </c>
      <c r="G131" s="939">
        <f t="shared" si="25"/>
        <v>28</v>
      </c>
      <c r="H131" s="1088">
        <f t="shared" si="26"/>
        <v>970737.28197863698</v>
      </c>
      <c r="K131"/>
      <c r="L131"/>
      <c r="M131" s="1086"/>
    </row>
    <row r="132" spans="1:13" ht="13.5">
      <c r="A132" s="2">
        <v>43</v>
      </c>
      <c r="B132" s="821">
        <v>44256</v>
      </c>
      <c r="C132" s="821">
        <v>44286</v>
      </c>
      <c r="D132" s="937">
        <v>0.26114999999999999</v>
      </c>
      <c r="E132" s="1108">
        <f t="shared" si="23"/>
        <v>6.3588428907812578E-4</v>
      </c>
      <c r="F132" s="1088">
        <f t="shared" si="24"/>
        <v>54160460.301892564</v>
      </c>
      <c r="G132" s="939">
        <f t="shared" si="25"/>
        <v>31</v>
      </c>
      <c r="H132" s="1088">
        <f t="shared" si="26"/>
        <v>1067633.3596516033</v>
      </c>
      <c r="K132"/>
      <c r="L132"/>
      <c r="M132" s="1086"/>
    </row>
    <row r="133" spans="1:13" ht="13.5">
      <c r="A133" s="2">
        <v>44</v>
      </c>
      <c r="B133" s="821">
        <v>44287</v>
      </c>
      <c r="C133" s="821">
        <v>44316</v>
      </c>
      <c r="D133" s="937">
        <v>0.25964999999999999</v>
      </c>
      <c r="E133" s="1108">
        <f t="shared" si="23"/>
        <v>6.326216771728177E-4</v>
      </c>
      <c r="F133" s="1088">
        <f t="shared" si="24"/>
        <v>54160460.301892564</v>
      </c>
      <c r="G133" s="939">
        <f t="shared" si="25"/>
        <v>30</v>
      </c>
      <c r="H133" s="1088">
        <f t="shared" si="26"/>
        <v>1027892.4369790526</v>
      </c>
      <c r="K133"/>
      <c r="L133"/>
      <c r="M133" s="1086"/>
    </row>
    <row r="134" spans="1:13" ht="13.5">
      <c r="A134" s="2">
        <v>45</v>
      </c>
      <c r="B134" s="821">
        <v>44317</v>
      </c>
      <c r="C134" s="821">
        <v>44347</v>
      </c>
      <c r="D134" s="937">
        <v>0.25829999999999997</v>
      </c>
      <c r="E134" s="1108">
        <f t="shared" si="23"/>
        <v>6.2968201205726437E-4</v>
      </c>
      <c r="F134" s="1088">
        <f t="shared" si="24"/>
        <v>54160460.301892564</v>
      </c>
      <c r="G134" s="939">
        <f t="shared" si="25"/>
        <v>31</v>
      </c>
      <c r="H134" s="1088">
        <f t="shared" si="26"/>
        <v>1057219.8961221424</v>
      </c>
      <c r="K134"/>
      <c r="L134"/>
      <c r="M134" s="1086"/>
    </row>
    <row r="135" spans="1:13" ht="13.5">
      <c r="A135" s="2">
        <v>46</v>
      </c>
      <c r="B135" s="821">
        <v>44348</v>
      </c>
      <c r="C135" s="821">
        <v>44377</v>
      </c>
      <c r="D135" s="937">
        <v>0.25814999999999999</v>
      </c>
      <c r="E135" s="1108">
        <f t="shared" si="23"/>
        <v>6.2935518846773952E-4</v>
      </c>
      <c r="F135" s="1088">
        <f t="shared" si="24"/>
        <v>54160460.301892564</v>
      </c>
      <c r="G135" s="939">
        <f t="shared" si="25"/>
        <v>30</v>
      </c>
      <c r="H135" s="1088">
        <f t="shared" si="26"/>
        <v>1022585.0010239136</v>
      </c>
      <c r="K135"/>
      <c r="L135"/>
      <c r="M135" s="1086"/>
    </row>
    <row r="136" spans="1:13" ht="13.5">
      <c r="A136" s="2">
        <v>47</v>
      </c>
      <c r="B136" s="821">
        <v>44378</v>
      </c>
      <c r="C136" s="821">
        <v>44408</v>
      </c>
      <c r="D136" s="937">
        <f>17.18%*1.5</f>
        <v>0.25770000000000004</v>
      </c>
      <c r="E136" s="1108">
        <f t="shared" si="23"/>
        <v>6.2837448450037137E-4</v>
      </c>
      <c r="F136" s="1088">
        <f t="shared" si="24"/>
        <v>54160460.301892564</v>
      </c>
      <c r="G136" s="939">
        <f t="shared" si="25"/>
        <v>31</v>
      </c>
      <c r="H136" s="1088">
        <f t="shared" si="26"/>
        <v>1055024.5909976417</v>
      </c>
      <c r="K136"/>
      <c r="L136"/>
      <c r="M136" s="1086"/>
    </row>
    <row r="137" spans="1:13" s="188" customFormat="1" ht="13.5">
      <c r="A137" s="2">
        <v>48</v>
      </c>
      <c r="B137" s="821">
        <v>44409</v>
      </c>
      <c r="C137" s="821">
        <v>44439</v>
      </c>
      <c r="D137" s="937">
        <f>17.24%*1.5</f>
        <v>0.2586</v>
      </c>
      <c r="E137" s="1108">
        <f t="shared" si="23"/>
        <v>6.3033554269220637E-4</v>
      </c>
      <c r="F137" s="1088">
        <f t="shared" si="24"/>
        <v>54160460.301892564</v>
      </c>
      <c r="G137" s="939">
        <f t="shared" si="25"/>
        <v>31</v>
      </c>
      <c r="H137" s="1088">
        <f t="shared" si="26"/>
        <v>1058317.1572424476</v>
      </c>
      <c r="I137"/>
      <c r="J137"/>
      <c r="K137"/>
      <c r="L137"/>
      <c r="M137" s="1086"/>
    </row>
    <row r="138" spans="1:13" s="188" customFormat="1" ht="13.5">
      <c r="A138" s="2">
        <v>49</v>
      </c>
      <c r="B138" s="821">
        <v>44440</v>
      </c>
      <c r="C138" s="821">
        <v>44469</v>
      </c>
      <c r="D138" s="937">
        <f>17.19%*1.5</f>
        <v>0.25785000000000002</v>
      </c>
      <c r="E138" s="1108">
        <f>((1+D138)^(1/365)-1)</f>
        <v>6.2870142469861889E-4</v>
      </c>
      <c r="F138" s="1088">
        <f t="shared" si="24"/>
        <v>54160460.301892564</v>
      </c>
      <c r="G138" s="939">
        <f>_xlfn.DAYS(C138,B138)+1</f>
        <v>30</v>
      </c>
      <c r="H138" s="1088">
        <f>+F138*G138*E138</f>
        <v>1021522.7566239855</v>
      </c>
      <c r="I138"/>
      <c r="J138"/>
      <c r="K138"/>
      <c r="L138"/>
      <c r="M138" s="1086"/>
    </row>
    <row r="139" spans="1:13" s="188" customFormat="1" ht="13.5">
      <c r="A139" s="2">
        <v>50</v>
      </c>
      <c r="B139" s="821">
        <v>44470</v>
      </c>
      <c r="C139" s="821">
        <v>44500</v>
      </c>
      <c r="D139" s="937">
        <f>17.08%*1.5</f>
        <v>0.25619999999999998</v>
      </c>
      <c r="E139" s="1108">
        <f>((1+D139)^(1/365)-1)</f>
        <v>6.2510294214179751E-4</v>
      </c>
      <c r="F139" s="1088">
        <f t="shared" si="24"/>
        <v>54160460.301892564</v>
      </c>
      <c r="G139" s="939">
        <f>_xlfn.DAYS(C139,B139)+1</f>
        <v>31</v>
      </c>
      <c r="H139" s="1088">
        <f>+F139*G139*E139</f>
        <v>1049531.7555564791</v>
      </c>
      <c r="I139"/>
      <c r="J139"/>
      <c r="K139"/>
      <c r="L139"/>
      <c r="M139" s="1086"/>
    </row>
    <row r="140" spans="1:13" s="188" customFormat="1" ht="13.5">
      <c r="A140" s="2">
        <v>51</v>
      </c>
      <c r="B140" s="821">
        <v>44501</v>
      </c>
      <c r="C140" s="821">
        <v>44530</v>
      </c>
      <c r="D140" s="937">
        <f>17.27%*1.5</f>
        <v>0.25905</v>
      </c>
      <c r="E140" s="1108">
        <f>((1+D140)^(1/365)-1)</f>
        <v>6.3131554742335005E-4</v>
      </c>
      <c r="F140" s="1088">
        <f t="shared" si="24"/>
        <v>54160460.301892564</v>
      </c>
      <c r="G140" s="939">
        <f>_xlfn.DAYS(C140,B140)+1</f>
        <v>30</v>
      </c>
      <c r="H140" s="1088">
        <f>+F140*G140*E140</f>
        <v>1025770.2193256977</v>
      </c>
      <c r="I140"/>
      <c r="J140"/>
      <c r="K140"/>
      <c r="L140"/>
      <c r="M140" s="1086"/>
    </row>
    <row r="141" spans="1:13" s="188" customFormat="1" ht="13.5">
      <c r="A141" s="2">
        <v>52</v>
      </c>
      <c r="B141" s="821">
        <v>44531</v>
      </c>
      <c r="C141" s="821">
        <v>44543</v>
      </c>
      <c r="D141" s="937">
        <f>17.46%*1.5</f>
        <v>0.26190000000000002</v>
      </c>
      <c r="E141" s="1108">
        <f>((1+D141)^(1/365)-1)</f>
        <v>6.3751414410861962E-4</v>
      </c>
      <c r="F141" s="1088">
        <f t="shared" si="24"/>
        <v>54160460.301892564</v>
      </c>
      <c r="G141" s="939">
        <f>_xlfn.DAYS(C141,B141)+1</f>
        <v>13</v>
      </c>
      <c r="H141" s="1088">
        <f>+F141*G141*E141</f>
        <v>448864.77342056879</v>
      </c>
      <c r="I141"/>
      <c r="J141"/>
      <c r="K141"/>
      <c r="L141"/>
      <c r="M141" s="1086"/>
    </row>
    <row r="142" spans="1:13" ht="13.5">
      <c r="B142" s="1086"/>
      <c r="C142" s="1086"/>
      <c r="D142" s="1086"/>
      <c r="E142" s="1085"/>
      <c r="F142" s="2627" t="s">
        <v>584</v>
      </c>
      <c r="G142" s="2627"/>
      <c r="H142" s="1109">
        <f>SUM(H90:H141)</f>
        <v>43849042.819747359</v>
      </c>
      <c r="K142"/>
      <c r="L142"/>
    </row>
    <row r="143" spans="1:13" ht="13.5">
      <c r="B143" s="1086"/>
      <c r="C143" s="1086"/>
      <c r="D143" s="1086"/>
      <c r="E143" s="1085"/>
      <c r="F143" s="1086"/>
      <c r="G143" s="1087"/>
      <c r="H143" s="1087"/>
      <c r="K143"/>
      <c r="L143"/>
    </row>
    <row r="144" spans="1:13" ht="13.5">
      <c r="B144" s="2628" t="s">
        <v>55</v>
      </c>
      <c r="C144" s="2628"/>
      <c r="D144" s="2628"/>
      <c r="E144" s="1085"/>
      <c r="F144" s="1086"/>
      <c r="G144" s="1087"/>
      <c r="H144" s="1087"/>
      <c r="K144"/>
      <c r="L144"/>
    </row>
    <row r="145" spans="2:12" ht="25.5">
      <c r="B145" s="1110" t="s">
        <v>585</v>
      </c>
      <c r="C145" s="948"/>
      <c r="D145" s="938">
        <f>+C82</f>
        <v>54160460.301892564</v>
      </c>
      <c r="E145"/>
      <c r="G145"/>
      <c r="H145"/>
      <c r="K145"/>
      <c r="L145"/>
    </row>
    <row r="146" spans="2:12" ht="13.5">
      <c r="B146" s="948" t="s">
        <v>586</v>
      </c>
      <c r="C146" s="948"/>
      <c r="D146" s="938">
        <f>+H142</f>
        <v>43849042.819747359</v>
      </c>
      <c r="E146"/>
      <c r="G146"/>
      <c r="H146"/>
      <c r="J146" s="32">
        <f>+D146+D145+D147</f>
        <v>98024203.121639922</v>
      </c>
      <c r="K146" s="32">
        <f>+J146*0.3</f>
        <v>29407260.936491977</v>
      </c>
      <c r="L146"/>
    </row>
    <row r="147" spans="2:12" ht="13.5">
      <c r="B147" s="948" t="s">
        <v>587</v>
      </c>
      <c r="C147" s="1111"/>
      <c r="D147" s="1247">
        <v>14700</v>
      </c>
      <c r="E147"/>
      <c r="G147"/>
      <c r="H147"/>
      <c r="K147" s="32">
        <f>(J146*0.7)+D147+D148+D149</f>
        <v>68903531.185147941</v>
      </c>
      <c r="L147"/>
    </row>
    <row r="148" spans="2:12" ht="13.5">
      <c r="B148" s="1111" t="s">
        <v>588</v>
      </c>
      <c r="C148" s="1111"/>
      <c r="D148" s="1247">
        <v>73889</v>
      </c>
      <c r="E148"/>
      <c r="G148"/>
      <c r="H148"/>
      <c r="K148" s="32">
        <f>SUM(K146:K147)</f>
        <v>98310792.121639922</v>
      </c>
      <c r="L148"/>
    </row>
    <row r="149" spans="2:12" ht="26.25">
      <c r="B149" s="1111" t="s">
        <v>589</v>
      </c>
      <c r="C149" s="1111"/>
      <c r="D149" s="1247">
        <v>198000</v>
      </c>
      <c r="E149" s="1795" t="s">
        <v>604</v>
      </c>
      <c r="F149" s="1796" t="s">
        <v>605</v>
      </c>
      <c r="G149"/>
      <c r="H149"/>
      <c r="K149"/>
      <c r="L149"/>
    </row>
    <row r="150" spans="2:12" ht="14.25" thickBot="1">
      <c r="B150" s="891" t="s">
        <v>120</v>
      </c>
      <c r="C150" s="891"/>
      <c r="D150" s="892">
        <f>SUM(D145:D149)</f>
        <v>98296092.121639922</v>
      </c>
      <c r="E150" s="32">
        <v>84456800.358472064</v>
      </c>
      <c r="F150" s="8">
        <v>91780399.818678498</v>
      </c>
      <c r="G150"/>
      <c r="H150"/>
      <c r="K150"/>
      <c r="L150"/>
    </row>
    <row r="151" spans="2:12" ht="13.5" thickTop="1">
      <c r="B151" s="236" t="s">
        <v>62</v>
      </c>
      <c r="C151" s="147"/>
      <c r="D151" s="1792" t="s">
        <v>606</v>
      </c>
      <c r="E151" s="1793">
        <f>+D150-E150</f>
        <v>13839291.763167858</v>
      </c>
      <c r="F151" s="1794">
        <f>+D150-F150</f>
        <v>6515692.302961424</v>
      </c>
      <c r="K151"/>
      <c r="L151"/>
    </row>
    <row r="152" spans="2:12">
      <c r="B152" s="234"/>
      <c r="C152" s="147"/>
      <c r="D152" s="147"/>
      <c r="E152" s="46"/>
      <c r="F152" s="8"/>
      <c r="K152"/>
      <c r="L152"/>
    </row>
    <row r="153" spans="2:12">
      <c r="B153" s="234"/>
      <c r="C153" s="147"/>
      <c r="D153" s="147"/>
      <c r="E153"/>
      <c r="L153" s="104"/>
    </row>
    <row r="154" spans="2:12">
      <c r="B154" s="476" t="s">
        <v>63</v>
      </c>
      <c r="C154" s="147"/>
      <c r="D154" s="147"/>
      <c r="L154" s="104"/>
    </row>
    <row r="155" spans="2:12">
      <c r="B155" s="476" t="s">
        <v>64</v>
      </c>
      <c r="C155" s="147"/>
      <c r="D155" s="147"/>
      <c r="E155"/>
      <c r="G155"/>
      <c r="H155"/>
      <c r="L155" s="104"/>
    </row>
    <row r="156" spans="2:12" ht="13.5">
      <c r="B156" s="236" t="s">
        <v>65</v>
      </c>
      <c r="C156" s="147"/>
      <c r="D156" s="147"/>
      <c r="E156" s="8">
        <v>54160460</v>
      </c>
      <c r="F156" s="1111" t="s">
        <v>594</v>
      </c>
      <c r="G156" s="1111"/>
      <c r="H156" s="1247">
        <v>33129400</v>
      </c>
      <c r="I156" s="46">
        <f>+D150+H156</f>
        <v>131425492.12163992</v>
      </c>
      <c r="L156" s="104"/>
    </row>
    <row r="157" spans="2:12">
      <c r="B157" s="221"/>
      <c r="E157" s="8">
        <v>43849043</v>
      </c>
      <c r="L157" s="104"/>
    </row>
    <row r="158" spans="2:12">
      <c r="B158" s="221"/>
      <c r="E158" s="8">
        <f>+E156+E157</f>
        <v>98009503</v>
      </c>
      <c r="L158" s="104"/>
    </row>
    <row r="159" spans="2:12">
      <c r="B159" t="s">
        <v>590</v>
      </c>
      <c r="L159" s="104"/>
    </row>
    <row r="160" spans="2:12">
      <c r="B160" s="189" t="s">
        <v>591</v>
      </c>
      <c r="C160" s="189" t="s">
        <v>592</v>
      </c>
      <c r="L160" s="104"/>
    </row>
    <row r="161" spans="2:12">
      <c r="L161" s="104"/>
    </row>
    <row r="162" spans="2:12">
      <c r="L162" s="104"/>
    </row>
    <row r="163" spans="2:12">
      <c r="B163" s="2629" t="s">
        <v>593</v>
      </c>
      <c r="C163" s="2630"/>
      <c r="L163" s="104"/>
    </row>
    <row r="164" spans="2:12" ht="26.25">
      <c r="B164" s="901" t="str">
        <f>+B145</f>
        <v>Valor a Pagar Salarios y prestaciones</v>
      </c>
      <c r="C164" s="1092">
        <f>+D145</f>
        <v>54160460.301892564</v>
      </c>
      <c r="L164" s="104"/>
    </row>
    <row r="165" spans="2:12" ht="13.5">
      <c r="B165" s="723" t="str">
        <f>+B146</f>
        <v>Intereses de mora</v>
      </c>
      <c r="C165" s="1092">
        <f>+D146</f>
        <v>43849042.819747359</v>
      </c>
      <c r="L165" s="104"/>
    </row>
    <row r="166" spans="2:12" ht="13.5">
      <c r="B166" s="723" t="s">
        <v>595</v>
      </c>
      <c r="C166" s="1092">
        <f>+C164+C165</f>
        <v>98009503.121639922</v>
      </c>
      <c r="L166" s="104"/>
    </row>
    <row r="167" spans="2:12" ht="13.5">
      <c r="B167" s="723" t="s">
        <v>596</v>
      </c>
      <c r="C167" s="1092">
        <f>+C166*70%</f>
        <v>68606652.185147941</v>
      </c>
      <c r="L167" s="104"/>
    </row>
    <row r="168" spans="2:12" ht="13.5">
      <c r="B168" s="1088" t="s">
        <v>597</v>
      </c>
      <c r="C168" s="1092">
        <f>+C166*30%</f>
        <v>29402850.936491977</v>
      </c>
      <c r="L168" s="104"/>
    </row>
    <row r="169" spans="2:12">
      <c r="L169" s="104"/>
    </row>
    <row r="170" spans="2:12">
      <c r="L170" s="104"/>
    </row>
    <row r="171" spans="2:12">
      <c r="L171" s="104"/>
    </row>
    <row r="172" spans="2:12">
      <c r="L172" s="104"/>
    </row>
    <row r="173" spans="2:12">
      <c r="L173" s="104"/>
    </row>
    <row r="174" spans="2:12">
      <c r="L174" s="104"/>
    </row>
    <row r="175" spans="2:12">
      <c r="B175" s="1" t="s">
        <v>185</v>
      </c>
      <c r="C175" s="1" t="s">
        <v>598</v>
      </c>
      <c r="D175" s="1" t="s">
        <v>599</v>
      </c>
      <c r="L175" s="104"/>
    </row>
    <row r="176" spans="2:12">
      <c r="B176" s="107">
        <v>43070</v>
      </c>
      <c r="C176" s="2">
        <v>5.28</v>
      </c>
      <c r="D176" s="108">
        <f t="shared" ref="D176:D185" si="27">+C176*$C$94/100</f>
        <v>2280.4320000000002</v>
      </c>
      <c r="L176" s="105"/>
    </row>
    <row r="177" spans="2:12">
      <c r="B177" s="107">
        <v>43101</v>
      </c>
      <c r="C177" s="2">
        <v>5.22</v>
      </c>
      <c r="D177" s="108">
        <f t="shared" si="27"/>
        <v>2254.518</v>
      </c>
      <c r="L177" s="105"/>
    </row>
    <row r="178" spans="2:12">
      <c r="B178" s="107">
        <v>43132</v>
      </c>
      <c r="C178" s="2">
        <v>5.13</v>
      </c>
      <c r="D178" s="108">
        <f t="shared" si="27"/>
        <v>2215.6469999999999</v>
      </c>
      <c r="L178" s="105"/>
    </row>
    <row r="179" spans="2:12">
      <c r="B179" s="107">
        <v>43160</v>
      </c>
      <c r="C179" s="2">
        <v>5.04</v>
      </c>
      <c r="D179" s="108">
        <f t="shared" si="27"/>
        <v>2176.7759999999998</v>
      </c>
      <c r="L179" s="105"/>
    </row>
    <row r="180" spans="2:12">
      <c r="B180" s="107">
        <v>43191</v>
      </c>
      <c r="C180" s="2">
        <v>4.92</v>
      </c>
      <c r="D180" s="108">
        <f t="shared" si="27"/>
        <v>2124.9479999999999</v>
      </c>
      <c r="L180" s="105"/>
    </row>
    <row r="181" spans="2:12">
      <c r="B181" s="107">
        <v>43221</v>
      </c>
      <c r="C181" s="2">
        <v>4.79</v>
      </c>
      <c r="D181" s="108">
        <f t="shared" si="27"/>
        <v>2068.8009999999999</v>
      </c>
      <c r="L181" s="105"/>
    </row>
    <row r="182" spans="2:12">
      <c r="B182" s="107">
        <v>43252</v>
      </c>
      <c r="C182" s="2">
        <v>4.62</v>
      </c>
      <c r="D182" s="108">
        <f t="shared" si="27"/>
        <v>1995.3780000000002</v>
      </c>
      <c r="L182" s="103"/>
    </row>
    <row r="183" spans="2:12">
      <c r="B183" s="107">
        <v>43282</v>
      </c>
      <c r="C183" s="2">
        <v>4.58</v>
      </c>
      <c r="D183" s="108">
        <f t="shared" si="27"/>
        <v>1978.1020000000001</v>
      </c>
    </row>
    <row r="184" spans="2:12">
      <c r="B184" s="107">
        <v>43313</v>
      </c>
      <c r="C184" s="2">
        <v>4.54</v>
      </c>
      <c r="D184" s="108">
        <f t="shared" si="27"/>
        <v>1960.826</v>
      </c>
    </row>
    <row r="185" spans="2:12">
      <c r="B185" s="107">
        <v>43344</v>
      </c>
      <c r="C185" s="2">
        <v>4.53</v>
      </c>
      <c r="D185" s="108">
        <f t="shared" si="27"/>
        <v>1956.5070000000001</v>
      </c>
    </row>
    <row r="186" spans="2:12">
      <c r="B186" s="109" t="s">
        <v>96</v>
      </c>
      <c r="C186" s="2"/>
      <c r="D186" s="108">
        <f>SUM(D176:D185)</f>
        <v>21011.935000000001</v>
      </c>
    </row>
    <row r="187" spans="2:12">
      <c r="B187" s="106" t="s">
        <v>185</v>
      </c>
      <c r="C187" s="1" t="s">
        <v>600</v>
      </c>
      <c r="E187" s="112" t="s">
        <v>601</v>
      </c>
    </row>
    <row r="188" spans="2:12">
      <c r="B188" s="107">
        <v>43374</v>
      </c>
      <c r="C188" s="58">
        <v>0.29449999999999998</v>
      </c>
      <c r="D188" s="102">
        <v>1496441</v>
      </c>
      <c r="E188" s="113">
        <f>+D188/C188</f>
        <v>5081293.7181663839</v>
      </c>
    </row>
    <row r="189" spans="2:12">
      <c r="B189" s="107">
        <v>43405</v>
      </c>
      <c r="C189" s="58">
        <v>0.29235</v>
      </c>
      <c r="D189" s="102">
        <f>+$E$188*C189</f>
        <v>1485516.2185059423</v>
      </c>
      <c r="E189" s="102"/>
    </row>
    <row r="190" spans="2:12">
      <c r="B190" s="107">
        <v>43435</v>
      </c>
      <c r="C190" s="58">
        <v>0.29100000000000004</v>
      </c>
      <c r="D190" s="102">
        <f t="shared" ref="D190:D214" si="28">+$E$188*C190</f>
        <v>1478656.4719864179</v>
      </c>
      <c r="E190" s="102"/>
    </row>
    <row r="191" spans="2:12">
      <c r="B191" s="107">
        <v>43466</v>
      </c>
      <c r="C191" s="58">
        <v>0.28739999999999999</v>
      </c>
      <c r="D191" s="102">
        <f t="shared" si="28"/>
        <v>1460363.8146010188</v>
      </c>
      <c r="E191" s="102"/>
    </row>
    <row r="192" spans="2:12">
      <c r="B192" s="107">
        <v>43497</v>
      </c>
      <c r="C192" s="58">
        <v>0.29549999999999998</v>
      </c>
      <c r="D192" s="102">
        <f t="shared" si="28"/>
        <v>1501522.2937181664</v>
      </c>
      <c r="E192" s="102"/>
    </row>
    <row r="193" spans="2:5">
      <c r="B193" s="107">
        <v>43525</v>
      </c>
      <c r="C193" s="58">
        <v>0.29055000000000003</v>
      </c>
      <c r="D193" s="102">
        <f t="shared" si="28"/>
        <v>1476369.8898132429</v>
      </c>
      <c r="E193" s="102"/>
    </row>
    <row r="194" spans="2:5">
      <c r="B194" s="107">
        <v>43556</v>
      </c>
      <c r="C194" s="58">
        <v>0.2898</v>
      </c>
      <c r="D194" s="102">
        <f t="shared" si="28"/>
        <v>1472558.919524618</v>
      </c>
      <c r="E194" s="102"/>
    </row>
    <row r="195" spans="2:5">
      <c r="B195" s="107">
        <v>43586</v>
      </c>
      <c r="C195" s="58">
        <v>0.29009999999999997</v>
      </c>
      <c r="D195" s="102">
        <f t="shared" si="28"/>
        <v>1474083.3076400678</v>
      </c>
      <c r="E195" s="102"/>
    </row>
    <row r="196" spans="2:5">
      <c r="B196" s="107">
        <v>43617</v>
      </c>
      <c r="C196" s="58">
        <v>0.28949999999999998</v>
      </c>
      <c r="D196" s="102">
        <f t="shared" si="28"/>
        <v>1471034.5314091682</v>
      </c>
      <c r="E196" s="102"/>
    </row>
    <row r="197" spans="2:5">
      <c r="B197" s="107">
        <v>43647</v>
      </c>
      <c r="C197" s="58">
        <v>0.28920000000000001</v>
      </c>
      <c r="D197" s="102">
        <f t="shared" si="28"/>
        <v>1469510.1432937183</v>
      </c>
      <c r="E197" s="102"/>
    </row>
    <row r="198" spans="2:5">
      <c r="B198" s="107">
        <v>43678</v>
      </c>
      <c r="C198" s="58">
        <v>0.2898</v>
      </c>
      <c r="D198" s="102">
        <f t="shared" si="28"/>
        <v>1472558.919524618</v>
      </c>
      <c r="E198" s="102"/>
    </row>
    <row r="199" spans="2:5">
      <c r="B199" s="107">
        <v>43709</v>
      </c>
      <c r="C199" s="58">
        <v>0.2898</v>
      </c>
      <c r="D199" s="102">
        <f t="shared" si="28"/>
        <v>1472558.919524618</v>
      </c>
      <c r="E199" s="102"/>
    </row>
    <row r="200" spans="2:5">
      <c r="B200" s="107">
        <v>43739</v>
      </c>
      <c r="C200" s="58">
        <v>0.28649999999999998</v>
      </c>
      <c r="D200" s="102">
        <f t="shared" si="28"/>
        <v>1455790.6502546689</v>
      </c>
      <c r="E200" s="102"/>
    </row>
    <row r="201" spans="2:5">
      <c r="B201" s="107">
        <v>43770</v>
      </c>
      <c r="C201" s="58">
        <v>0.28544999999999998</v>
      </c>
      <c r="D201" s="102">
        <f t="shared" si="28"/>
        <v>1450455.2918505941</v>
      </c>
      <c r="E201" s="102"/>
    </row>
    <row r="202" spans="2:5">
      <c r="B202" s="107">
        <v>43800</v>
      </c>
      <c r="C202" s="58">
        <v>0.28364999999999996</v>
      </c>
      <c r="D202" s="102">
        <f t="shared" si="28"/>
        <v>1441308.9631578946</v>
      </c>
      <c r="E202" s="102"/>
    </row>
    <row r="203" spans="2:5">
      <c r="B203" s="107">
        <v>43831</v>
      </c>
      <c r="C203" s="58">
        <v>0.28155000000000002</v>
      </c>
      <c r="D203" s="102">
        <f t="shared" si="28"/>
        <v>1430638.2463497454</v>
      </c>
      <c r="E203" s="102"/>
    </row>
    <row r="204" spans="2:5">
      <c r="B204" s="107">
        <v>43862</v>
      </c>
      <c r="C204" s="58">
        <v>0.28589999999999999</v>
      </c>
      <c r="D204" s="102">
        <f t="shared" si="28"/>
        <v>1452741.8740237691</v>
      </c>
      <c r="E204" s="102"/>
    </row>
    <row r="205" spans="2:5">
      <c r="B205" s="107">
        <v>43891</v>
      </c>
      <c r="C205" s="58">
        <v>0.28425</v>
      </c>
      <c r="D205" s="102">
        <f t="shared" si="28"/>
        <v>1444357.7393887946</v>
      </c>
      <c r="E205" s="102"/>
    </row>
    <row r="206" spans="2:5">
      <c r="B206" s="107">
        <v>43922</v>
      </c>
      <c r="C206" s="58">
        <v>0.28034999999999999</v>
      </c>
      <c r="D206" s="102">
        <f t="shared" si="28"/>
        <v>1424540.6938879457</v>
      </c>
      <c r="E206" s="102"/>
    </row>
    <row r="207" spans="2:5">
      <c r="B207" s="107">
        <v>43952</v>
      </c>
      <c r="C207" s="58">
        <v>0.27285000000000004</v>
      </c>
      <c r="D207" s="102">
        <f t="shared" si="28"/>
        <v>1386430.991001698</v>
      </c>
      <c r="E207" s="102"/>
    </row>
    <row r="208" spans="2:5">
      <c r="B208" s="107">
        <v>43983</v>
      </c>
      <c r="C208" s="58">
        <v>0.27179999999999999</v>
      </c>
      <c r="D208" s="102">
        <f t="shared" si="28"/>
        <v>1381095.6325976232</v>
      </c>
      <c r="E208" s="102"/>
    </row>
    <row r="209" spans="2:5">
      <c r="B209" s="107">
        <v>44013</v>
      </c>
      <c r="C209" s="58">
        <v>0.27179999999999999</v>
      </c>
      <c r="D209" s="102">
        <f t="shared" si="28"/>
        <v>1381095.6325976232</v>
      </c>
      <c r="E209" s="102"/>
    </row>
    <row r="210" spans="2:5">
      <c r="B210" s="107">
        <v>44044</v>
      </c>
      <c r="C210" s="58">
        <v>0.27434999999999998</v>
      </c>
      <c r="D210" s="102">
        <f t="shared" si="28"/>
        <v>1394052.9315789472</v>
      </c>
      <c r="E210" s="102"/>
    </row>
    <row r="211" spans="2:5">
      <c r="B211" s="107">
        <v>44075</v>
      </c>
      <c r="C211" s="58">
        <v>0.27524999999999999</v>
      </c>
      <c r="D211" s="102">
        <f t="shared" si="28"/>
        <v>1398626.0959252971</v>
      </c>
      <c r="E211" s="102"/>
    </row>
    <row r="212" spans="2:5">
      <c r="B212" s="107">
        <v>44105</v>
      </c>
      <c r="C212" s="58">
        <v>0.18090000000000001</v>
      </c>
      <c r="D212" s="102">
        <f t="shared" si="28"/>
        <v>919206.03361629893</v>
      </c>
      <c r="E212" s="110">
        <f>+D212*1.5</f>
        <v>1378809.0504244484</v>
      </c>
    </row>
    <row r="213" spans="2:5">
      <c r="B213" s="107">
        <v>44136</v>
      </c>
      <c r="C213" s="58">
        <v>0.1784</v>
      </c>
      <c r="D213" s="102">
        <f t="shared" si="28"/>
        <v>906502.79932088288</v>
      </c>
      <c r="E213" s="110">
        <f>+D213*1.5</f>
        <v>1359754.1989813242</v>
      </c>
    </row>
    <row r="214" spans="2:5">
      <c r="B214" s="107">
        <v>44166</v>
      </c>
      <c r="C214" s="58">
        <v>0.17460000000000001</v>
      </c>
      <c r="D214" s="102">
        <f t="shared" si="28"/>
        <v>887193.88319185062</v>
      </c>
      <c r="E214" s="110">
        <f>+D214*1.5</f>
        <v>1330790.824787776</v>
      </c>
    </row>
    <row r="215" spans="2:5">
      <c r="B215" s="109" t="str">
        <f>+B186</f>
        <v>Subtotal</v>
      </c>
      <c r="C215" s="2"/>
      <c r="D215" s="111">
        <f>SUM(D188:D214)</f>
        <v>37485211.888285227</v>
      </c>
      <c r="E215" s="102"/>
    </row>
  </sheetData>
  <mergeCells count="9">
    <mergeCell ref="B163:C163"/>
    <mergeCell ref="B144:D144"/>
    <mergeCell ref="G71:K71"/>
    <mergeCell ref="G80:K80"/>
    <mergeCell ref="H12:M12"/>
    <mergeCell ref="H23:M23"/>
    <mergeCell ref="H46:M46"/>
    <mergeCell ref="F142:G142"/>
    <mergeCell ref="D89:E89"/>
  </mergeCells>
  <conditionalFormatting sqref="B89:C89">
    <cfRule type="duplicateValues" dxfId="56" priority="1"/>
  </conditionalFormatting>
  <pageMargins left="0.7" right="0.7" top="0.75" bottom="0.75" header="0.3" footer="0.3"/>
  <pageSetup paperSize="9" scale="5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7"/>
  <dimension ref="B2:Q322"/>
  <sheetViews>
    <sheetView topLeftCell="A217" zoomScaleNormal="100" workbookViewId="0">
      <selection activeCell="F64" sqref="F64"/>
    </sheetView>
  </sheetViews>
  <sheetFormatPr defaultColWidth="9.140625" defaultRowHeight="12.75"/>
  <cols>
    <col min="1" max="1" width="4" customWidth="1"/>
    <col min="2" max="2" width="15.85546875" customWidth="1"/>
    <col min="3" max="3" width="15" customWidth="1"/>
    <col min="4" max="4" width="12.85546875" customWidth="1"/>
    <col min="5" max="5" width="12.28515625" customWidth="1"/>
    <col min="6" max="6" width="12" customWidth="1"/>
    <col min="7" max="7" width="8.85546875" customWidth="1"/>
    <col min="8" max="8" width="16.28515625" customWidth="1"/>
    <col min="9" max="9" width="11.42578125" customWidth="1"/>
    <col min="10" max="10" width="20.7109375" customWidth="1"/>
    <col min="11" max="11" width="20" customWidth="1"/>
    <col min="12" max="12" width="11.42578125" customWidth="1"/>
    <col min="13" max="13" width="13" customWidth="1"/>
    <col min="14" max="14" width="11.42578125" customWidth="1"/>
    <col min="15" max="15" width="16" customWidth="1"/>
    <col min="16" max="16" width="23.85546875" customWidth="1"/>
    <col min="17" max="254" width="11.42578125" customWidth="1"/>
  </cols>
  <sheetData>
    <row r="2" spans="2:11" ht="27.75" customHeight="1">
      <c r="B2" s="789" t="s">
        <v>538</v>
      </c>
      <c r="C2" s="830" t="s">
        <v>607</v>
      </c>
      <c r="D2" s="791"/>
      <c r="E2" s="791"/>
      <c r="F2" s="791"/>
      <c r="G2" s="791"/>
      <c r="H2" s="791"/>
    </row>
    <row r="3" spans="2:11" ht="13.5">
      <c r="B3" s="2644" t="s">
        <v>608</v>
      </c>
      <c r="C3" s="2645"/>
      <c r="D3" s="2645"/>
      <c r="E3" s="2645"/>
      <c r="F3" s="2645"/>
      <c r="G3" s="2645"/>
      <c r="H3" s="2646"/>
    </row>
    <row r="4" spans="2:11" ht="13.5">
      <c r="B4" s="728" t="s">
        <v>535</v>
      </c>
      <c r="C4" s="822">
        <v>302381199</v>
      </c>
      <c r="D4" s="737"/>
      <c r="E4" s="737"/>
      <c r="F4" s="737"/>
      <c r="G4" s="737"/>
      <c r="H4" s="737"/>
    </row>
    <row r="5" spans="2:11" ht="51">
      <c r="B5" s="823" t="s">
        <v>206</v>
      </c>
      <c r="C5" s="823" t="s">
        <v>10</v>
      </c>
      <c r="D5" s="794" t="s">
        <v>609</v>
      </c>
      <c r="E5" s="823" t="s">
        <v>610</v>
      </c>
      <c r="F5" s="794" t="s">
        <v>611</v>
      </c>
      <c r="G5" s="793" t="s">
        <v>529</v>
      </c>
      <c r="H5" s="794" t="s">
        <v>48</v>
      </c>
    </row>
    <row r="6" spans="2:11" ht="13.5">
      <c r="B6" s="724">
        <v>43085</v>
      </c>
      <c r="C6" s="724">
        <v>43100</v>
      </c>
      <c r="D6" s="824">
        <v>0.2077</v>
      </c>
      <c r="E6" s="824">
        <f>+D6*1.5</f>
        <v>0.31154999999999999</v>
      </c>
      <c r="F6" s="825">
        <f>((1+E6)^(1/365)-1)</f>
        <v>7.4331624292400811E-4</v>
      </c>
      <c r="G6" s="793">
        <f>_xlfn.DAYS(C6,B6)+1</f>
        <v>16</v>
      </c>
      <c r="H6" s="826">
        <f>$C$4*F6*G6</f>
        <v>3596237.7083445895</v>
      </c>
    </row>
    <row r="7" spans="2:11" ht="13.5">
      <c r="B7" s="724">
        <v>43101</v>
      </c>
      <c r="C7" s="724">
        <v>43131</v>
      </c>
      <c r="D7" s="824">
        <v>0.2069</v>
      </c>
      <c r="E7" s="824">
        <f>+D7*1.5</f>
        <v>0.31035000000000001</v>
      </c>
      <c r="F7" s="825">
        <f t="shared" ref="F7:F56" si="0">((1+E7)^(1/365)-1)</f>
        <v>7.4080652774299871E-4</v>
      </c>
      <c r="G7" s="793">
        <f t="shared" ref="G7:G12" si="1">_xlfn.DAYS(C7,B7)+1</f>
        <v>31</v>
      </c>
      <c r="H7" s="826">
        <f t="shared" ref="H7:H56" si="2">$C$4*F7*G7</f>
        <v>6944184.9486645963</v>
      </c>
    </row>
    <row r="8" spans="2:11" ht="13.5">
      <c r="B8" s="724">
        <v>43132</v>
      </c>
      <c r="C8" s="724">
        <v>43159</v>
      </c>
      <c r="D8" s="824">
        <v>0.21010000000000001</v>
      </c>
      <c r="E8" s="824">
        <f>+D8*1.5</f>
        <v>0.31515000000000004</v>
      </c>
      <c r="F8" s="825">
        <f t="shared" si="0"/>
        <v>7.5083167162115494E-4</v>
      </c>
      <c r="G8" s="793">
        <f t="shared" si="1"/>
        <v>28</v>
      </c>
      <c r="H8" s="826">
        <f t="shared" si="2"/>
        <v>6357046.6711354153</v>
      </c>
    </row>
    <row r="9" spans="2:11" ht="13.5">
      <c r="B9" s="724">
        <v>43160</v>
      </c>
      <c r="C9" s="724">
        <v>43190</v>
      </c>
      <c r="D9" s="824">
        <v>0.20680000000000001</v>
      </c>
      <c r="E9" s="824">
        <f>+D9*1.5</f>
        <v>0.31020000000000003</v>
      </c>
      <c r="F9" s="825">
        <f t="shared" si="0"/>
        <v>7.4049265219700011E-4</v>
      </c>
      <c r="G9" s="793">
        <f t="shared" si="1"/>
        <v>31</v>
      </c>
      <c r="H9" s="826">
        <f t="shared" si="2"/>
        <v>6941242.7366825845</v>
      </c>
    </row>
    <row r="10" spans="2:11" ht="13.5">
      <c r="B10" s="724">
        <v>43191</v>
      </c>
      <c r="C10" s="724">
        <v>43220</v>
      </c>
      <c r="D10" s="824">
        <v>0.20480000000000001</v>
      </c>
      <c r="E10" s="824">
        <f t="shared" ref="E10:E55" si="3">+D10*1.5</f>
        <v>0.30720000000000003</v>
      </c>
      <c r="F10" s="825">
        <f t="shared" si="0"/>
        <v>7.34207604366377E-4</v>
      </c>
      <c r="G10" s="793">
        <f t="shared" si="1"/>
        <v>30</v>
      </c>
      <c r="H10" s="826">
        <f t="shared" si="2"/>
        <v>6660317.2716966812</v>
      </c>
    </row>
    <row r="11" spans="2:11" ht="13.5">
      <c r="B11" s="724">
        <v>43221</v>
      </c>
      <c r="C11" s="724">
        <v>43251</v>
      </c>
      <c r="D11" s="824">
        <v>0.2044</v>
      </c>
      <c r="E11" s="824">
        <f t="shared" si="3"/>
        <v>0.30659999999999998</v>
      </c>
      <c r="F11" s="825">
        <f t="shared" si="0"/>
        <v>7.3294886878794152E-4</v>
      </c>
      <c r="G11" s="793">
        <f t="shared" si="1"/>
        <v>31</v>
      </c>
      <c r="H11" s="826">
        <f t="shared" si="2"/>
        <v>6870528.6902435347</v>
      </c>
    </row>
    <row r="12" spans="2:11" ht="13.5">
      <c r="B12" s="724">
        <v>43252</v>
      </c>
      <c r="C12" s="724">
        <v>43266</v>
      </c>
      <c r="D12" s="824">
        <v>0.20280000000000001</v>
      </c>
      <c r="E12" s="824">
        <f t="shared" si="3"/>
        <v>0.30420000000000003</v>
      </c>
      <c r="F12" s="825">
        <f t="shared" si="0"/>
        <v>7.2790815549184096E-4</v>
      </c>
      <c r="G12" s="793">
        <f t="shared" si="1"/>
        <v>15</v>
      </c>
      <c r="H12" s="826">
        <f t="shared" si="2"/>
        <v>3301586.1122925198</v>
      </c>
    </row>
    <row r="13" spans="2:11" ht="13.5">
      <c r="B13" s="724">
        <v>43267</v>
      </c>
      <c r="C13" s="724">
        <v>43276</v>
      </c>
      <c r="D13" s="824">
        <v>0</v>
      </c>
      <c r="E13" s="824">
        <f t="shared" si="3"/>
        <v>0</v>
      </c>
      <c r="F13" s="825">
        <f t="shared" si="0"/>
        <v>0</v>
      </c>
      <c r="G13" s="793">
        <v>0</v>
      </c>
      <c r="H13" s="826">
        <f t="shared" si="2"/>
        <v>0</v>
      </c>
    </row>
    <row r="14" spans="2:11" ht="26.25">
      <c r="B14" s="724">
        <v>43277</v>
      </c>
      <c r="C14" s="724">
        <v>43281</v>
      </c>
      <c r="D14" s="824">
        <v>0.20280000000000001</v>
      </c>
      <c r="E14" s="824">
        <f t="shared" si="3"/>
        <v>0.30420000000000003</v>
      </c>
      <c r="F14" s="825">
        <f t="shared" si="0"/>
        <v>7.2790815549184096E-4</v>
      </c>
      <c r="G14" s="793">
        <f t="shared" ref="G14:G19" si="4">_xlfn.DAYS(C14,B14)+1</f>
        <v>5</v>
      </c>
      <c r="H14" s="826">
        <f t="shared" si="2"/>
        <v>1100528.7040975066</v>
      </c>
      <c r="J14" s="64" t="s">
        <v>538</v>
      </c>
      <c r="K14" s="196" t="s">
        <v>607</v>
      </c>
    </row>
    <row r="15" spans="2:11" ht="13.5">
      <c r="B15" s="724">
        <v>43282</v>
      </c>
      <c r="C15" s="724">
        <v>43312</v>
      </c>
      <c r="D15" s="824">
        <v>0.20030000000000001</v>
      </c>
      <c r="E15" s="824">
        <f t="shared" si="3"/>
        <v>0.30044999999999999</v>
      </c>
      <c r="F15" s="825">
        <f t="shared" si="0"/>
        <v>7.2001349197825526E-4</v>
      </c>
      <c r="G15" s="793">
        <f t="shared" si="4"/>
        <v>31</v>
      </c>
      <c r="H15" s="826">
        <f t="shared" si="2"/>
        <v>6749274.8330174126</v>
      </c>
      <c r="J15" s="3" t="s">
        <v>185</v>
      </c>
      <c r="K15" s="409" t="s">
        <v>612</v>
      </c>
    </row>
    <row r="16" spans="2:11" ht="13.5">
      <c r="B16" s="724">
        <v>43313</v>
      </c>
      <c r="C16" s="724">
        <v>43343</v>
      </c>
      <c r="D16" s="824">
        <v>0.19939999999999999</v>
      </c>
      <c r="E16" s="824">
        <f t="shared" si="3"/>
        <v>0.29909999999999998</v>
      </c>
      <c r="F16" s="825">
        <f t="shared" si="0"/>
        <v>7.1716585429704161E-4</v>
      </c>
      <c r="G16" s="793">
        <f t="shared" si="4"/>
        <v>31</v>
      </c>
      <c r="H16" s="826">
        <f t="shared" si="2"/>
        <v>6722581.5980301611</v>
      </c>
      <c r="J16" s="3" t="s">
        <v>613</v>
      </c>
      <c r="K16" s="3" t="s">
        <v>614</v>
      </c>
    </row>
    <row r="17" spans="2:17" ht="12" customHeight="1">
      <c r="B17" s="724">
        <v>43344</v>
      </c>
      <c r="C17" s="724">
        <v>43373</v>
      </c>
      <c r="D17" s="824">
        <v>0.1981</v>
      </c>
      <c r="E17" s="824">
        <f t="shared" si="3"/>
        <v>0.29715000000000003</v>
      </c>
      <c r="F17" s="825">
        <f t="shared" si="0"/>
        <v>7.1304738558919389E-4</v>
      </c>
      <c r="G17" s="793">
        <f t="shared" si="4"/>
        <v>30</v>
      </c>
      <c r="H17" s="826">
        <f t="shared" si="2"/>
        <v>6468363.7019482739</v>
      </c>
      <c r="J17" s="3" t="s">
        <v>615</v>
      </c>
      <c r="K17" s="409">
        <v>43084</v>
      </c>
    </row>
    <row r="18" spans="2:17" ht="26.25">
      <c r="B18" s="724">
        <v>43374</v>
      </c>
      <c r="C18" s="820">
        <v>43389</v>
      </c>
      <c r="D18" s="824">
        <v>0.1963</v>
      </c>
      <c r="E18" s="824">
        <f t="shared" si="3"/>
        <v>0.29444999999999999</v>
      </c>
      <c r="F18" s="825">
        <f t="shared" si="0"/>
        <v>7.073346857742191E-4</v>
      </c>
      <c r="G18" s="793">
        <f t="shared" si="4"/>
        <v>16</v>
      </c>
      <c r="H18" s="826">
        <f t="shared" si="2"/>
        <v>3422155.3660591459</v>
      </c>
      <c r="J18" s="64" t="s">
        <v>154</v>
      </c>
      <c r="K18" s="409">
        <v>43277</v>
      </c>
    </row>
    <row r="19" spans="2:17" ht="13.5">
      <c r="B19" s="820">
        <v>43390</v>
      </c>
      <c r="C19" s="724">
        <v>43404</v>
      </c>
      <c r="D19" s="824">
        <v>0.1963</v>
      </c>
      <c r="E19" s="824">
        <f t="shared" si="3"/>
        <v>0.29444999999999999</v>
      </c>
      <c r="F19" s="825">
        <f t="shared" si="0"/>
        <v>7.073346857742191E-4</v>
      </c>
      <c r="G19" s="793">
        <f t="shared" si="4"/>
        <v>15</v>
      </c>
      <c r="H19" s="826">
        <f t="shared" si="2"/>
        <v>3208270.6556804492</v>
      </c>
      <c r="J19" s="2650" t="s">
        <v>608</v>
      </c>
      <c r="K19" s="2651"/>
      <c r="L19" s="2651"/>
      <c r="M19" s="2651"/>
      <c r="N19" s="2651"/>
      <c r="O19" s="2651"/>
      <c r="P19" s="2652"/>
    </row>
    <row r="20" spans="2:17" ht="15">
      <c r="B20" s="724">
        <v>43405</v>
      </c>
      <c r="C20" s="724">
        <v>43434</v>
      </c>
      <c r="D20" s="824">
        <v>0.19489999999999999</v>
      </c>
      <c r="E20" s="824">
        <f t="shared" si="3"/>
        <v>0.29235</v>
      </c>
      <c r="F20" s="825">
        <f t="shared" si="0"/>
        <v>7.0288325333756063E-4</v>
      </c>
      <c r="G20" s="793">
        <f>_xlfn.DAYS(C20,B20)+1</f>
        <v>30</v>
      </c>
      <c r="H20" s="826">
        <f t="shared" si="2"/>
        <v>6376160.4270369699</v>
      </c>
      <c r="J20" s="519" t="s">
        <v>535</v>
      </c>
      <c r="K20" s="620">
        <v>420415919</v>
      </c>
      <c r="L20" s="37"/>
      <c r="M20" s="37"/>
      <c r="N20" s="37"/>
      <c r="O20" s="37"/>
      <c r="P20" s="37"/>
    </row>
    <row r="21" spans="2:17" ht="32.25" customHeight="1">
      <c r="B21" s="724">
        <v>43435</v>
      </c>
      <c r="C21" s="724">
        <v>43465</v>
      </c>
      <c r="D21" s="824">
        <v>0.19400000000000001</v>
      </c>
      <c r="E21" s="824">
        <f t="shared" si="3"/>
        <v>0.29100000000000004</v>
      </c>
      <c r="F21" s="825">
        <f t="shared" si="0"/>
        <v>7.0001780740103214E-4</v>
      </c>
      <c r="G21" s="793">
        <f t="shared" ref="G21:G55" si="5">_xlfn.DAYS(C21,B21)+1</f>
        <v>31</v>
      </c>
      <c r="H21" s="826">
        <f t="shared" si="2"/>
        <v>6561838.9416215299</v>
      </c>
      <c r="J21" s="524" t="s">
        <v>206</v>
      </c>
      <c r="K21" s="524" t="s">
        <v>10</v>
      </c>
      <c r="L21" s="94" t="s">
        <v>609</v>
      </c>
      <c r="M21" s="524" t="s">
        <v>610</v>
      </c>
      <c r="N21" s="525" t="s">
        <v>611</v>
      </c>
      <c r="O21" s="526" t="s">
        <v>529</v>
      </c>
      <c r="P21" s="525" t="s">
        <v>48</v>
      </c>
      <c r="Q21" s="448"/>
    </row>
    <row r="22" spans="2:17" ht="15.75">
      <c r="B22" s="724">
        <v>43466</v>
      </c>
      <c r="C22" s="724">
        <v>43496</v>
      </c>
      <c r="D22" s="824">
        <v>0.19159999999999999</v>
      </c>
      <c r="E22" s="824">
        <f t="shared" si="3"/>
        <v>0.28739999999999999</v>
      </c>
      <c r="F22" s="825">
        <f t="shared" si="0"/>
        <v>6.9236198468725085E-4</v>
      </c>
      <c r="G22" s="793">
        <f t="shared" si="5"/>
        <v>31</v>
      </c>
      <c r="H22" s="826">
        <f t="shared" si="2"/>
        <v>6490074.6592242671</v>
      </c>
      <c r="J22" s="16">
        <v>43085</v>
      </c>
      <c r="K22" s="16">
        <v>43100</v>
      </c>
      <c r="L22" s="449">
        <v>0.2077</v>
      </c>
      <c r="M22" s="449">
        <f>+L22*1.5</f>
        <v>0.31154999999999999</v>
      </c>
      <c r="N22" s="454">
        <f>((1+M22)^(1/365)-1)</f>
        <v>7.4331624292400811E-4</v>
      </c>
      <c r="O22" s="641">
        <f>_xlfn.DAYS(K22,J22)+1</f>
        <v>16</v>
      </c>
      <c r="P22" s="450">
        <f>$K$20*N22*O22</f>
        <v>5000031.7020243863</v>
      </c>
      <c r="Q22" s="638"/>
    </row>
    <row r="23" spans="2:17" ht="15.75">
      <c r="B23" s="724">
        <v>43497</v>
      </c>
      <c r="C23" s="724">
        <v>43524</v>
      </c>
      <c r="D23" s="824">
        <v>0.19700000000000001</v>
      </c>
      <c r="E23" s="824">
        <f t="shared" si="3"/>
        <v>0.29549999999999998</v>
      </c>
      <c r="F23" s="825">
        <f t="shared" si="0"/>
        <v>7.0955770203506852E-4</v>
      </c>
      <c r="G23" s="793">
        <f t="shared" si="5"/>
        <v>28</v>
      </c>
      <c r="H23" s="826">
        <f t="shared" si="2"/>
        <v>6007593.4436293654</v>
      </c>
      <c r="J23" s="16">
        <v>43101</v>
      </c>
      <c r="K23" s="16">
        <v>43131</v>
      </c>
      <c r="L23" s="449">
        <v>0.2069</v>
      </c>
      <c r="M23" s="449">
        <f>+L23*1.5</f>
        <v>0.31035000000000001</v>
      </c>
      <c r="N23" s="454">
        <f t="shared" ref="N23:N72" si="6">((1+M23)^(1/365)-1)</f>
        <v>7.4080652774299871E-4</v>
      </c>
      <c r="O23" s="641">
        <f t="shared" ref="O23:O35" si="7">_xlfn.DAYS(K23,J23)+1</f>
        <v>31</v>
      </c>
      <c r="P23" s="450">
        <f t="shared" ref="P23:P68" si="8">$K$20*N23*O23</f>
        <v>9654852.5720304251</v>
      </c>
      <c r="Q23" s="638"/>
    </row>
    <row r="24" spans="2:17" ht="15.75">
      <c r="B24" s="724">
        <v>43525</v>
      </c>
      <c r="C24" s="724">
        <v>43555</v>
      </c>
      <c r="D24" s="824">
        <v>0.19370000000000001</v>
      </c>
      <c r="E24" s="824">
        <f t="shared" si="3"/>
        <v>0.29055000000000003</v>
      </c>
      <c r="F24" s="825">
        <f t="shared" si="0"/>
        <v>6.9906199467517638E-4</v>
      </c>
      <c r="G24" s="793">
        <f t="shared" si="5"/>
        <v>31</v>
      </c>
      <c r="H24" s="826">
        <f t="shared" si="2"/>
        <v>6552879.3278815551</v>
      </c>
      <c r="J24" s="16">
        <v>43132</v>
      </c>
      <c r="K24" s="16">
        <v>43159</v>
      </c>
      <c r="L24" s="449">
        <v>0.21010000000000001</v>
      </c>
      <c r="M24" s="449">
        <f>+L24*1.5</f>
        <v>0.31515000000000004</v>
      </c>
      <c r="N24" s="454">
        <f t="shared" si="6"/>
        <v>7.5083167162115494E-4</v>
      </c>
      <c r="O24" s="641">
        <f t="shared" si="7"/>
        <v>28</v>
      </c>
      <c r="P24" s="450">
        <f t="shared" si="8"/>
        <v>8838524.4426895939</v>
      </c>
      <c r="Q24" s="638"/>
    </row>
    <row r="25" spans="2:17" ht="15.75">
      <c r="B25" s="724">
        <v>43556</v>
      </c>
      <c r="C25" s="724">
        <v>43585</v>
      </c>
      <c r="D25" s="824">
        <v>0.19320000000000001</v>
      </c>
      <c r="E25" s="824">
        <f t="shared" si="3"/>
        <v>0.2898</v>
      </c>
      <c r="F25" s="825">
        <f t="shared" si="0"/>
        <v>6.9746823462724095E-4</v>
      </c>
      <c r="G25" s="793">
        <f t="shared" si="5"/>
        <v>30</v>
      </c>
      <c r="H25" s="826">
        <f t="shared" si="2"/>
        <v>6327038.4315299531</v>
      </c>
      <c r="J25" s="16">
        <v>43160</v>
      </c>
      <c r="K25" s="16">
        <v>43190</v>
      </c>
      <c r="L25" s="449">
        <v>0.20680000000000001</v>
      </c>
      <c r="M25" s="449">
        <f>+L25*1.5</f>
        <v>0.31020000000000003</v>
      </c>
      <c r="N25" s="454">
        <f t="shared" si="6"/>
        <v>7.4049265219700011E-4</v>
      </c>
      <c r="O25" s="641">
        <f t="shared" si="7"/>
        <v>31</v>
      </c>
      <c r="P25" s="450">
        <f t="shared" si="8"/>
        <v>9650761.8654706236</v>
      </c>
      <c r="Q25" s="638"/>
    </row>
    <row r="26" spans="2:17" ht="15.75">
      <c r="B26" s="724">
        <v>43586</v>
      </c>
      <c r="C26" s="724">
        <v>43616</v>
      </c>
      <c r="D26" s="824">
        <v>0.19339999999999999</v>
      </c>
      <c r="E26" s="824">
        <f t="shared" si="3"/>
        <v>0.29009999999999997</v>
      </c>
      <c r="F26" s="825">
        <f t="shared" si="0"/>
        <v>6.9810584952367805E-4</v>
      </c>
      <c r="G26" s="793">
        <f t="shared" si="5"/>
        <v>31</v>
      </c>
      <c r="H26" s="826">
        <f t="shared" si="2"/>
        <v>6543916.5980443833</v>
      </c>
      <c r="J26" s="16">
        <v>43191</v>
      </c>
      <c r="K26" s="16">
        <v>43220</v>
      </c>
      <c r="L26" s="449">
        <v>0.20480000000000001</v>
      </c>
      <c r="M26" s="449">
        <f t="shared" ref="M26:M40" si="9">+L26*1.5</f>
        <v>0.30720000000000003</v>
      </c>
      <c r="N26" s="454">
        <f t="shared" si="6"/>
        <v>7.34207604366377E-4</v>
      </c>
      <c r="O26" s="641">
        <f t="shared" si="7"/>
        <v>30</v>
      </c>
      <c r="P26" s="450">
        <f t="shared" si="8"/>
        <v>9260176.9417943638</v>
      </c>
      <c r="Q26" s="638"/>
    </row>
    <row r="27" spans="2:17" ht="15.75">
      <c r="B27" s="724">
        <v>43617</v>
      </c>
      <c r="C27" s="724">
        <v>43646</v>
      </c>
      <c r="D27" s="824">
        <v>0.193</v>
      </c>
      <c r="E27" s="824">
        <f t="shared" si="3"/>
        <v>0.28949999999999998</v>
      </c>
      <c r="F27" s="825">
        <f t="shared" si="0"/>
        <v>6.9683047181468005E-4</v>
      </c>
      <c r="G27" s="793">
        <f t="shared" si="5"/>
        <v>30</v>
      </c>
      <c r="H27" s="826">
        <f t="shared" si="2"/>
        <v>6321253.00701176</v>
      </c>
      <c r="J27" s="16">
        <v>43221</v>
      </c>
      <c r="K27" s="16">
        <v>43251</v>
      </c>
      <c r="L27" s="449">
        <v>0.2044</v>
      </c>
      <c r="M27" s="449">
        <f t="shared" si="9"/>
        <v>0.30659999999999998</v>
      </c>
      <c r="N27" s="454">
        <f t="shared" si="6"/>
        <v>7.3294886878794152E-4</v>
      </c>
      <c r="O27" s="641">
        <f t="shared" si="7"/>
        <v>31</v>
      </c>
      <c r="P27" s="450">
        <f t="shared" si="8"/>
        <v>9552444.5397962797</v>
      </c>
      <c r="Q27" s="638"/>
    </row>
    <row r="28" spans="2:17" ht="15.75">
      <c r="B28" s="724">
        <v>43647</v>
      </c>
      <c r="C28" s="724">
        <v>43677</v>
      </c>
      <c r="D28" s="824">
        <v>0.1928</v>
      </c>
      <c r="E28" s="824">
        <f t="shared" si="3"/>
        <v>0.28920000000000001</v>
      </c>
      <c r="F28" s="825">
        <f t="shared" si="0"/>
        <v>6.9619256101671745E-4</v>
      </c>
      <c r="G28" s="793">
        <f t="shared" si="5"/>
        <v>31</v>
      </c>
      <c r="H28" s="826">
        <f t="shared" si="2"/>
        <v>6525981.7813885864</v>
      </c>
      <c r="J28" s="16">
        <v>43252</v>
      </c>
      <c r="K28" s="16">
        <v>43266</v>
      </c>
      <c r="L28" s="449">
        <v>0.20280000000000001</v>
      </c>
      <c r="M28" s="449">
        <f t="shared" si="9"/>
        <v>0.30420000000000003</v>
      </c>
      <c r="N28" s="454">
        <f t="shared" si="6"/>
        <v>7.2790815549184096E-4</v>
      </c>
      <c r="O28" s="641">
        <f t="shared" si="7"/>
        <v>15</v>
      </c>
      <c r="P28" s="450">
        <f t="shared" si="8"/>
        <v>4590362.6420804579</v>
      </c>
      <c r="Q28" s="638"/>
    </row>
    <row r="29" spans="2:17" ht="15.75">
      <c r="B29" s="724">
        <v>43678</v>
      </c>
      <c r="C29" s="724">
        <v>43708</v>
      </c>
      <c r="D29" s="824">
        <v>0.19320000000000001</v>
      </c>
      <c r="E29" s="824">
        <f t="shared" si="3"/>
        <v>0.2898</v>
      </c>
      <c r="F29" s="825">
        <f t="shared" si="0"/>
        <v>6.9746823462724095E-4</v>
      </c>
      <c r="G29" s="793">
        <f t="shared" si="5"/>
        <v>31</v>
      </c>
      <c r="H29" s="826">
        <f t="shared" si="2"/>
        <v>6537939.7125809509</v>
      </c>
      <c r="J29" s="16">
        <v>43267</v>
      </c>
      <c r="K29" s="16">
        <v>43276</v>
      </c>
      <c r="L29" s="449">
        <v>0</v>
      </c>
      <c r="M29" s="449">
        <f t="shared" si="9"/>
        <v>0</v>
      </c>
      <c r="N29" s="454">
        <f t="shared" si="6"/>
        <v>0</v>
      </c>
      <c r="O29" s="641">
        <v>0</v>
      </c>
      <c r="P29" s="450">
        <v>0</v>
      </c>
      <c r="Q29" s="638"/>
    </row>
    <row r="30" spans="2:17" ht="15.75">
      <c r="B30" s="724">
        <v>43709</v>
      </c>
      <c r="C30" s="724">
        <v>43738</v>
      </c>
      <c r="D30" s="824">
        <v>0.19320000000000001</v>
      </c>
      <c r="E30" s="824">
        <f t="shared" si="3"/>
        <v>0.2898</v>
      </c>
      <c r="F30" s="825">
        <f t="shared" si="0"/>
        <v>6.9746823462724095E-4</v>
      </c>
      <c r="G30" s="793">
        <f t="shared" si="5"/>
        <v>30</v>
      </c>
      <c r="H30" s="826">
        <f t="shared" si="2"/>
        <v>6327038.4315299531</v>
      </c>
      <c r="J30" s="16">
        <v>43277</v>
      </c>
      <c r="K30" s="16">
        <v>43281</v>
      </c>
      <c r="L30" s="449">
        <v>0.20280000000000001</v>
      </c>
      <c r="M30" s="449">
        <f t="shared" si="9"/>
        <v>0.30420000000000003</v>
      </c>
      <c r="N30" s="454">
        <f t="shared" si="6"/>
        <v>7.2790815549184096E-4</v>
      </c>
      <c r="O30" s="641">
        <f t="shared" si="7"/>
        <v>5</v>
      </c>
      <c r="P30" s="450">
        <f t="shared" si="8"/>
        <v>1530120.880693486</v>
      </c>
      <c r="Q30" s="638"/>
    </row>
    <row r="31" spans="2:17" ht="15.75">
      <c r="B31" s="724">
        <v>43739</v>
      </c>
      <c r="C31" s="724">
        <v>43769</v>
      </c>
      <c r="D31" s="824">
        <v>0.191</v>
      </c>
      <c r="E31" s="824">
        <f t="shared" si="3"/>
        <v>0.28649999999999998</v>
      </c>
      <c r="F31" s="825">
        <f t="shared" si="0"/>
        <v>6.9044469314105683E-4</v>
      </c>
      <c r="G31" s="793">
        <f t="shared" si="5"/>
        <v>31</v>
      </c>
      <c r="H31" s="826">
        <f t="shared" si="2"/>
        <v>6472102.3188105756</v>
      </c>
      <c r="J31" s="16">
        <v>43282</v>
      </c>
      <c r="K31" s="16">
        <v>43312</v>
      </c>
      <c r="L31" s="449">
        <v>0.20030000000000001</v>
      </c>
      <c r="M31" s="449">
        <f t="shared" si="9"/>
        <v>0.30044999999999999</v>
      </c>
      <c r="N31" s="454">
        <f t="shared" si="6"/>
        <v>7.2001349197825526E-4</v>
      </c>
      <c r="O31" s="641">
        <f t="shared" si="7"/>
        <v>31</v>
      </c>
      <c r="P31" s="450">
        <f t="shared" si="8"/>
        <v>9383859.1515955571</v>
      </c>
      <c r="Q31" s="638"/>
    </row>
    <row r="32" spans="2:17" ht="15.75">
      <c r="B32" s="724">
        <v>43770</v>
      </c>
      <c r="C32" s="724">
        <v>43799</v>
      </c>
      <c r="D32" s="824">
        <v>0.1903</v>
      </c>
      <c r="E32" s="824">
        <f t="shared" si="3"/>
        <v>0.28544999999999998</v>
      </c>
      <c r="F32" s="825">
        <f t="shared" si="0"/>
        <v>6.8820616169262827E-4</v>
      </c>
      <c r="G32" s="793">
        <f t="shared" si="5"/>
        <v>30</v>
      </c>
      <c r="H32" s="826">
        <f t="shared" si="2"/>
        <v>6243018.1299541444</v>
      </c>
      <c r="J32" s="16">
        <v>43313</v>
      </c>
      <c r="K32" s="16">
        <v>43343</v>
      </c>
      <c r="L32" s="449">
        <v>0.19939999999999999</v>
      </c>
      <c r="M32" s="449">
        <f t="shared" si="9"/>
        <v>0.29909999999999998</v>
      </c>
      <c r="N32" s="454">
        <f t="shared" si="6"/>
        <v>7.1716585429704161E-4</v>
      </c>
      <c r="O32" s="641">
        <f t="shared" si="7"/>
        <v>31</v>
      </c>
      <c r="P32" s="450">
        <f t="shared" si="8"/>
        <v>9346746.1930010375</v>
      </c>
      <c r="Q32" s="638"/>
    </row>
    <row r="33" spans="2:17" ht="15.75">
      <c r="B33" s="724">
        <v>43800</v>
      </c>
      <c r="C33" s="724">
        <v>43830</v>
      </c>
      <c r="D33" s="824">
        <v>0.18909999999999999</v>
      </c>
      <c r="E33" s="824">
        <f t="shared" si="3"/>
        <v>0.28364999999999996</v>
      </c>
      <c r="F33" s="825">
        <f t="shared" si="0"/>
        <v>6.8436443340047504E-4</v>
      </c>
      <c r="G33" s="793">
        <f t="shared" si="5"/>
        <v>31</v>
      </c>
      <c r="H33" s="826">
        <f t="shared" si="2"/>
        <v>6415107.0756623307</v>
      </c>
      <c r="J33" s="16">
        <v>43344</v>
      </c>
      <c r="K33" s="16">
        <v>43373</v>
      </c>
      <c r="L33" s="449">
        <v>0.1981</v>
      </c>
      <c r="M33" s="449">
        <f t="shared" si="9"/>
        <v>0.29715000000000003</v>
      </c>
      <c r="N33" s="454">
        <f t="shared" si="6"/>
        <v>7.1304738558919389E-4</v>
      </c>
      <c r="O33" s="641">
        <f t="shared" si="7"/>
        <v>30</v>
      </c>
      <c r="P33" s="450">
        <f t="shared" si="8"/>
        <v>8993294.1570908502</v>
      </c>
      <c r="Q33" s="638"/>
    </row>
    <row r="34" spans="2:17" ht="15.75">
      <c r="B34" s="724">
        <v>43831</v>
      </c>
      <c r="C34" s="724">
        <v>43861</v>
      </c>
      <c r="D34" s="824">
        <v>0.18770000000000001</v>
      </c>
      <c r="E34" s="824">
        <f t="shared" si="3"/>
        <v>0.28155000000000002</v>
      </c>
      <c r="F34" s="825">
        <f t="shared" si="0"/>
        <v>6.7987562124560696E-4</v>
      </c>
      <c r="G34" s="793">
        <f t="shared" si="5"/>
        <v>31</v>
      </c>
      <c r="H34" s="826">
        <f t="shared" si="2"/>
        <v>6373029.7712166114</v>
      </c>
      <c r="J34" s="16">
        <v>43374</v>
      </c>
      <c r="K34" s="455">
        <v>43389</v>
      </c>
      <c r="L34" s="449">
        <v>0.1963</v>
      </c>
      <c r="M34" s="449">
        <f t="shared" si="9"/>
        <v>0.29444999999999999</v>
      </c>
      <c r="N34" s="454">
        <f t="shared" si="6"/>
        <v>7.073346857742191E-4</v>
      </c>
      <c r="O34" s="641">
        <f t="shared" si="7"/>
        <v>16</v>
      </c>
      <c r="P34" s="450">
        <f t="shared" si="8"/>
        <v>4757996.191365513</v>
      </c>
      <c r="Q34" s="638"/>
    </row>
    <row r="35" spans="2:17" ht="15.75">
      <c r="B35" s="724">
        <v>43862</v>
      </c>
      <c r="C35" s="724">
        <v>43890</v>
      </c>
      <c r="D35" s="824">
        <v>0.19059999999999999</v>
      </c>
      <c r="E35" s="824">
        <f t="shared" si="3"/>
        <v>0.28589999999999999</v>
      </c>
      <c r="F35" s="825">
        <f t="shared" si="0"/>
        <v>6.8916575551658532E-4</v>
      </c>
      <c r="G35" s="793">
        <f t="shared" si="5"/>
        <v>29</v>
      </c>
      <c r="H35" s="826">
        <f t="shared" si="2"/>
        <v>6043332.2564225318</v>
      </c>
      <c r="J35" s="455">
        <v>43390</v>
      </c>
      <c r="K35" s="16">
        <v>43404</v>
      </c>
      <c r="L35" s="449">
        <v>0.1963</v>
      </c>
      <c r="M35" s="449">
        <f t="shared" si="9"/>
        <v>0.29444999999999999</v>
      </c>
      <c r="N35" s="454">
        <f t="shared" si="6"/>
        <v>7.073346857742191E-4</v>
      </c>
      <c r="O35" s="641">
        <f t="shared" si="7"/>
        <v>15</v>
      </c>
      <c r="P35" s="450">
        <f t="shared" si="8"/>
        <v>4460621.4294051686</v>
      </c>
      <c r="Q35" s="638"/>
    </row>
    <row r="36" spans="2:17" ht="15.75">
      <c r="B36" s="724">
        <v>43891</v>
      </c>
      <c r="C36" s="724">
        <v>43921</v>
      </c>
      <c r="D36" s="824">
        <v>0.1895</v>
      </c>
      <c r="E36" s="824">
        <f t="shared" si="3"/>
        <v>0.28425</v>
      </c>
      <c r="F36" s="825">
        <f t="shared" si="0"/>
        <v>6.8564560609574166E-4</v>
      </c>
      <c r="G36" s="793">
        <f t="shared" si="5"/>
        <v>31</v>
      </c>
      <c r="H36" s="826">
        <f t="shared" si="2"/>
        <v>6427116.5542696742</v>
      </c>
      <c r="J36" s="16">
        <v>43405</v>
      </c>
      <c r="K36" s="16">
        <v>43434</v>
      </c>
      <c r="L36" s="449">
        <v>0.19489999999999999</v>
      </c>
      <c r="M36" s="449">
        <f t="shared" si="9"/>
        <v>0.29235</v>
      </c>
      <c r="N36" s="454">
        <f t="shared" si="6"/>
        <v>7.0288325333756063E-4</v>
      </c>
      <c r="O36" s="641">
        <f>_xlfn.DAYS(K36,J36)+1</f>
        <v>30</v>
      </c>
      <c r="P36" s="450">
        <f t="shared" si="8"/>
        <v>8865099.2670486122</v>
      </c>
      <c r="Q36" s="638"/>
    </row>
    <row r="37" spans="2:17" ht="15.75">
      <c r="B37" s="724">
        <v>43922</v>
      </c>
      <c r="C37" s="724">
        <v>43951</v>
      </c>
      <c r="D37" s="824">
        <v>0.18690000000000001</v>
      </c>
      <c r="E37" s="824">
        <f t="shared" si="3"/>
        <v>0.28034999999999999</v>
      </c>
      <c r="F37" s="825">
        <f t="shared" si="0"/>
        <v>6.7730729113191224E-4</v>
      </c>
      <c r="G37" s="793">
        <f t="shared" si="5"/>
        <v>30</v>
      </c>
      <c r="H37" s="826">
        <f t="shared" si="2"/>
        <v>6144149.7235172903</v>
      </c>
      <c r="J37" s="16">
        <v>43435</v>
      </c>
      <c r="K37" s="16">
        <v>43465</v>
      </c>
      <c r="L37" s="449">
        <v>0.19400000000000001</v>
      </c>
      <c r="M37" s="449">
        <f t="shared" si="9"/>
        <v>0.29100000000000004</v>
      </c>
      <c r="N37" s="454">
        <f t="shared" si="6"/>
        <v>7.0001780740103214E-4</v>
      </c>
      <c r="O37" s="641">
        <f t="shared" ref="O37:O68" si="10">_xlfn.DAYS(K37,J37)+1</f>
        <v>31</v>
      </c>
      <c r="P37" s="450">
        <f t="shared" si="8"/>
        <v>9123257.524260968</v>
      </c>
      <c r="Q37" s="638"/>
    </row>
    <row r="38" spans="2:17" ht="15.75">
      <c r="B38" s="724">
        <v>43952</v>
      </c>
      <c r="C38" s="724">
        <v>43982</v>
      </c>
      <c r="D38" s="824">
        <v>0.18190000000000001</v>
      </c>
      <c r="E38" s="824">
        <f t="shared" si="3"/>
        <v>0.27285000000000004</v>
      </c>
      <c r="F38" s="825">
        <f t="shared" si="0"/>
        <v>6.6120063584418354E-4</v>
      </c>
      <c r="G38" s="793">
        <f t="shared" si="5"/>
        <v>31</v>
      </c>
      <c r="H38" s="826">
        <f t="shared" si="2"/>
        <v>6197973.872429925</v>
      </c>
      <c r="J38" s="16">
        <v>43466</v>
      </c>
      <c r="K38" s="16">
        <v>43496</v>
      </c>
      <c r="L38" s="449">
        <v>0.19159999999999999</v>
      </c>
      <c r="M38" s="449">
        <f t="shared" si="9"/>
        <v>0.28739999999999999</v>
      </c>
      <c r="N38" s="454">
        <f t="shared" si="6"/>
        <v>6.9236198468725085E-4</v>
      </c>
      <c r="O38" s="641">
        <f t="shared" si="10"/>
        <v>31</v>
      </c>
      <c r="P38" s="450">
        <f t="shared" si="8"/>
        <v>9023480.0022615902</v>
      </c>
      <c r="Q38" s="638"/>
    </row>
    <row r="39" spans="2:17" ht="15.75">
      <c r="B39" s="724">
        <v>43983</v>
      </c>
      <c r="C39" s="724">
        <v>44012</v>
      </c>
      <c r="D39" s="824">
        <v>0.1812</v>
      </c>
      <c r="E39" s="824">
        <f t="shared" si="3"/>
        <v>0.27179999999999999</v>
      </c>
      <c r="F39" s="825">
        <f t="shared" si="0"/>
        <v>6.5893815469997286E-4</v>
      </c>
      <c r="G39" s="793">
        <f t="shared" si="5"/>
        <v>30</v>
      </c>
      <c r="H39" s="826">
        <f t="shared" si="2"/>
        <v>5977515.278550758</v>
      </c>
      <c r="J39" s="16">
        <v>43497</v>
      </c>
      <c r="K39" s="16">
        <v>43524</v>
      </c>
      <c r="L39" s="449">
        <v>0.19700000000000001</v>
      </c>
      <c r="M39" s="449">
        <f t="shared" si="9"/>
        <v>0.29549999999999998</v>
      </c>
      <c r="N39" s="454">
        <f t="shared" si="6"/>
        <v>7.0955770203506852E-4</v>
      </c>
      <c r="O39" s="641">
        <f t="shared" si="10"/>
        <v>28</v>
      </c>
      <c r="P39" s="450">
        <f t="shared" si="8"/>
        <v>8352661.8947688416</v>
      </c>
      <c r="Q39" s="638"/>
    </row>
    <row r="40" spans="2:17" ht="15.75">
      <c r="B40" s="724">
        <v>44013</v>
      </c>
      <c r="C40" s="724">
        <v>44043</v>
      </c>
      <c r="D40" s="824">
        <v>0.1812</v>
      </c>
      <c r="E40" s="824">
        <f t="shared" si="3"/>
        <v>0.27179999999999999</v>
      </c>
      <c r="F40" s="825">
        <f t="shared" si="0"/>
        <v>6.5893815469997286E-4</v>
      </c>
      <c r="G40" s="793">
        <f t="shared" si="5"/>
        <v>31</v>
      </c>
      <c r="H40" s="826">
        <f t="shared" si="2"/>
        <v>6176765.7878357833</v>
      </c>
      <c r="J40" s="16">
        <v>43525</v>
      </c>
      <c r="K40" s="16">
        <v>43555</v>
      </c>
      <c r="L40" s="449">
        <v>0.19370000000000001</v>
      </c>
      <c r="M40" s="449">
        <f t="shared" si="9"/>
        <v>0.29055000000000003</v>
      </c>
      <c r="N40" s="454">
        <f t="shared" si="6"/>
        <v>6.9906199467517638E-4</v>
      </c>
      <c r="O40" s="641">
        <f t="shared" si="10"/>
        <v>31</v>
      </c>
      <c r="P40" s="450">
        <f t="shared" si="8"/>
        <v>9110800.5188094582</v>
      </c>
      <c r="Q40" s="638"/>
    </row>
    <row r="41" spans="2:17" ht="15.75">
      <c r="B41" s="724">
        <v>44044</v>
      </c>
      <c r="C41" s="724">
        <v>44074</v>
      </c>
      <c r="D41" s="824">
        <v>0.18290000000000001</v>
      </c>
      <c r="E41" s="824">
        <f t="shared" si="3"/>
        <v>0.27434999999999998</v>
      </c>
      <c r="F41" s="825">
        <f t="shared" si="0"/>
        <v>6.6442952514544906E-4</v>
      </c>
      <c r="G41" s="793">
        <f t="shared" si="5"/>
        <v>31</v>
      </c>
      <c r="H41" s="826">
        <f t="shared" si="2"/>
        <v>6228240.890398928</v>
      </c>
      <c r="J41" s="16">
        <v>43556</v>
      </c>
      <c r="K41" s="16">
        <v>43585</v>
      </c>
      <c r="L41" s="449">
        <v>0.19320000000000001</v>
      </c>
      <c r="M41" s="449">
        <f t="shared" ref="M41:M68" si="11">+L41*1.5</f>
        <v>0.2898</v>
      </c>
      <c r="N41" s="454">
        <f t="shared" si="6"/>
        <v>6.9746823462724095E-4</v>
      </c>
      <c r="O41" s="641">
        <f t="shared" si="10"/>
        <v>30</v>
      </c>
      <c r="P41" s="450">
        <f t="shared" si="8"/>
        <v>8796802.4650235735</v>
      </c>
      <c r="Q41" s="638"/>
    </row>
    <row r="42" spans="2:17" ht="15.75">
      <c r="B42" s="724">
        <v>44075</v>
      </c>
      <c r="C42" s="724">
        <v>44104</v>
      </c>
      <c r="D42" s="824">
        <v>0.1835</v>
      </c>
      <c r="E42" s="824">
        <f t="shared" si="3"/>
        <v>0.27524999999999999</v>
      </c>
      <c r="F42" s="825">
        <f t="shared" si="0"/>
        <v>6.6636503991857055E-4</v>
      </c>
      <c r="G42" s="793">
        <f t="shared" si="5"/>
        <v>30</v>
      </c>
      <c r="H42" s="826">
        <f t="shared" si="2"/>
        <v>6044887.7922678068</v>
      </c>
      <c r="J42" s="16">
        <v>43586</v>
      </c>
      <c r="K42" s="16">
        <v>43616</v>
      </c>
      <c r="L42" s="449">
        <v>0.19339999999999999</v>
      </c>
      <c r="M42" s="449">
        <f t="shared" si="11"/>
        <v>0.29009999999999997</v>
      </c>
      <c r="N42" s="454">
        <f t="shared" si="6"/>
        <v>6.9810584952367805E-4</v>
      </c>
      <c r="O42" s="641">
        <f t="shared" si="10"/>
        <v>31</v>
      </c>
      <c r="P42" s="450">
        <f t="shared" si="8"/>
        <v>9098339.1808899567</v>
      </c>
      <c r="Q42" s="638"/>
    </row>
    <row r="43" spans="2:17" ht="15.75">
      <c r="B43" s="724">
        <v>44105</v>
      </c>
      <c r="C43" s="724">
        <v>44135</v>
      </c>
      <c r="D43" s="824">
        <v>0.18090000000000001</v>
      </c>
      <c r="E43" s="824">
        <f t="shared" si="3"/>
        <v>0.27134999999999998</v>
      </c>
      <c r="F43" s="825">
        <f t="shared" si="0"/>
        <v>6.5796794962613703E-4</v>
      </c>
      <c r="G43" s="793">
        <f t="shared" si="5"/>
        <v>31</v>
      </c>
      <c r="H43" s="826">
        <f t="shared" si="2"/>
        <v>6167671.2628572108</v>
      </c>
      <c r="J43" s="16">
        <v>43617</v>
      </c>
      <c r="K43" s="16">
        <v>43646</v>
      </c>
      <c r="L43" s="449">
        <v>0.193</v>
      </c>
      <c r="M43" s="449">
        <f t="shared" si="11"/>
        <v>0.28949999999999998</v>
      </c>
      <c r="N43" s="454">
        <f t="shared" si="6"/>
        <v>6.9683047181468005E-4</v>
      </c>
      <c r="O43" s="641">
        <f t="shared" si="10"/>
        <v>30</v>
      </c>
      <c r="P43" s="450">
        <f t="shared" si="8"/>
        <v>8788758.6958551686</v>
      </c>
      <c r="Q43" s="638"/>
    </row>
    <row r="44" spans="2:17" ht="15.75">
      <c r="B44" s="724">
        <v>44136</v>
      </c>
      <c r="C44" s="724">
        <v>44165</v>
      </c>
      <c r="D44" s="824">
        <v>0.1784</v>
      </c>
      <c r="E44" s="824">
        <f t="shared" si="3"/>
        <v>0.2676</v>
      </c>
      <c r="F44" s="825">
        <f t="shared" si="0"/>
        <v>6.4986956374091243E-4</v>
      </c>
      <c r="G44" s="793">
        <f t="shared" si="5"/>
        <v>30</v>
      </c>
      <c r="H44" s="826">
        <f t="shared" si="2"/>
        <v>5895250.1363275209</v>
      </c>
      <c r="J44" s="16">
        <v>43647</v>
      </c>
      <c r="K44" s="16">
        <v>43677</v>
      </c>
      <c r="L44" s="449">
        <v>0.1928</v>
      </c>
      <c r="M44" s="449">
        <f t="shared" si="11"/>
        <v>0.28920000000000001</v>
      </c>
      <c r="N44" s="454">
        <f t="shared" si="6"/>
        <v>6.9619256101671745E-4</v>
      </c>
      <c r="O44" s="641">
        <f t="shared" si="10"/>
        <v>31</v>
      </c>
      <c r="P44" s="450">
        <f t="shared" si="8"/>
        <v>9073403.4955650121</v>
      </c>
      <c r="Q44" s="638"/>
    </row>
    <row r="45" spans="2:17" ht="15.75">
      <c r="B45" s="724">
        <v>44166</v>
      </c>
      <c r="C45" s="724">
        <v>44196</v>
      </c>
      <c r="D45" s="824">
        <v>0.17460000000000001</v>
      </c>
      <c r="E45" s="824">
        <f t="shared" si="3"/>
        <v>0.26190000000000002</v>
      </c>
      <c r="F45" s="825">
        <f t="shared" si="0"/>
        <v>6.3751414410861962E-4</v>
      </c>
      <c r="G45" s="793">
        <f t="shared" si="5"/>
        <v>31</v>
      </c>
      <c r="H45" s="826">
        <f t="shared" si="2"/>
        <v>5975941.0295257187</v>
      </c>
      <c r="J45" s="16">
        <v>43678</v>
      </c>
      <c r="K45" s="16">
        <v>43708</v>
      </c>
      <c r="L45" s="449">
        <v>0.19320000000000001</v>
      </c>
      <c r="M45" s="449">
        <f t="shared" si="11"/>
        <v>0.2898</v>
      </c>
      <c r="N45" s="454">
        <f t="shared" si="6"/>
        <v>6.9746823462724095E-4</v>
      </c>
      <c r="O45" s="641">
        <f t="shared" si="10"/>
        <v>31</v>
      </c>
      <c r="P45" s="450">
        <f t="shared" si="8"/>
        <v>9090029.2138576936</v>
      </c>
      <c r="Q45" s="638"/>
    </row>
    <row r="46" spans="2:17" ht="15.75">
      <c r="B46" s="724">
        <v>44197</v>
      </c>
      <c r="C46" s="724">
        <v>44227</v>
      </c>
      <c r="D46" s="824">
        <v>0.17319999999999999</v>
      </c>
      <c r="E46" s="824">
        <f t="shared" si="3"/>
        <v>0.25979999999999998</v>
      </c>
      <c r="F46" s="825">
        <f t="shared" si="0"/>
        <v>6.3294811266723094E-4</v>
      </c>
      <c r="G46" s="793">
        <f t="shared" si="5"/>
        <v>31</v>
      </c>
      <c r="H46" s="826">
        <f t="shared" si="2"/>
        <v>5933139.8856062358</v>
      </c>
      <c r="J46" s="16">
        <v>43709</v>
      </c>
      <c r="K46" s="16">
        <v>43738</v>
      </c>
      <c r="L46" s="449">
        <v>0.19320000000000001</v>
      </c>
      <c r="M46" s="449">
        <f t="shared" si="11"/>
        <v>0.2898</v>
      </c>
      <c r="N46" s="454">
        <f t="shared" si="6"/>
        <v>6.9746823462724095E-4</v>
      </c>
      <c r="O46" s="641">
        <f t="shared" si="10"/>
        <v>30</v>
      </c>
      <c r="P46" s="450">
        <f t="shared" si="8"/>
        <v>8796802.4650235735</v>
      </c>
      <c r="Q46" s="638"/>
    </row>
    <row r="47" spans="2:17" ht="15.75">
      <c r="B47" s="724">
        <v>44228</v>
      </c>
      <c r="C47" s="724">
        <v>44255</v>
      </c>
      <c r="D47" s="824">
        <v>0.1754</v>
      </c>
      <c r="E47" s="824">
        <f t="shared" si="3"/>
        <v>0.2631</v>
      </c>
      <c r="F47" s="825">
        <f t="shared" si="0"/>
        <v>6.4011990387169426E-4</v>
      </c>
      <c r="G47" s="793">
        <f t="shared" si="5"/>
        <v>28</v>
      </c>
      <c r="H47" s="826">
        <f t="shared" si="2"/>
        <v>5419686.2730216542</v>
      </c>
      <c r="J47" s="16">
        <v>43739</v>
      </c>
      <c r="K47" s="16">
        <v>43769</v>
      </c>
      <c r="L47" s="449">
        <v>0.191</v>
      </c>
      <c r="M47" s="449">
        <f t="shared" si="11"/>
        <v>0.28649999999999998</v>
      </c>
      <c r="N47" s="454">
        <f t="shared" si="6"/>
        <v>6.9044469314105683E-4</v>
      </c>
      <c r="O47" s="641">
        <f t="shared" si="10"/>
        <v>31</v>
      </c>
      <c r="P47" s="450">
        <f t="shared" si="8"/>
        <v>8998492.1457526814</v>
      </c>
      <c r="Q47" s="638"/>
    </row>
    <row r="48" spans="2:17" ht="15.75">
      <c r="B48" s="724">
        <v>44256</v>
      </c>
      <c r="C48" s="724">
        <v>44286</v>
      </c>
      <c r="D48" s="824">
        <v>0.1741</v>
      </c>
      <c r="E48" s="824">
        <f t="shared" si="3"/>
        <v>0.26114999999999999</v>
      </c>
      <c r="F48" s="825">
        <f t="shared" si="0"/>
        <v>6.3588428907812578E-4</v>
      </c>
      <c r="G48" s="793">
        <f t="shared" si="5"/>
        <v>31</v>
      </c>
      <c r="H48" s="826">
        <f t="shared" si="2"/>
        <v>5960663.0664578946</v>
      </c>
      <c r="J48" s="16">
        <v>43770</v>
      </c>
      <c r="K48" s="16">
        <v>43799</v>
      </c>
      <c r="L48" s="449">
        <v>0.1903</v>
      </c>
      <c r="M48" s="449">
        <f t="shared" si="11"/>
        <v>0.28544999999999998</v>
      </c>
      <c r="N48" s="454">
        <f t="shared" si="6"/>
        <v>6.8820616169262827E-4</v>
      </c>
      <c r="O48" s="641">
        <f t="shared" si="10"/>
        <v>30</v>
      </c>
      <c r="P48" s="450">
        <f t="shared" si="8"/>
        <v>8679984.777884068</v>
      </c>
      <c r="Q48" s="638"/>
    </row>
    <row r="49" spans="2:17" ht="15.75">
      <c r="B49" s="724">
        <v>44287</v>
      </c>
      <c r="C49" s="724">
        <v>44316</v>
      </c>
      <c r="D49" s="824">
        <v>0.1731</v>
      </c>
      <c r="E49" s="824">
        <f t="shared" si="3"/>
        <v>0.25964999999999999</v>
      </c>
      <c r="F49" s="825">
        <f t="shared" si="0"/>
        <v>6.326216771728177E-4</v>
      </c>
      <c r="G49" s="793">
        <f t="shared" si="5"/>
        <v>30</v>
      </c>
      <c r="H49" s="826">
        <f t="shared" si="2"/>
        <v>5738787.0377072264</v>
      </c>
      <c r="J49" s="16">
        <v>43800</v>
      </c>
      <c r="K49" s="16">
        <v>43830</v>
      </c>
      <c r="L49" s="449">
        <v>0.18909999999999999</v>
      </c>
      <c r="M49" s="449">
        <f t="shared" si="11"/>
        <v>0.28364999999999996</v>
      </c>
      <c r="N49" s="454">
        <f t="shared" si="6"/>
        <v>6.8436443340047504E-4</v>
      </c>
      <c r="O49" s="641">
        <f t="shared" si="10"/>
        <v>31</v>
      </c>
      <c r="P49" s="450">
        <f t="shared" si="8"/>
        <v>8919248.7681682259</v>
      </c>
      <c r="Q49" s="638"/>
    </row>
    <row r="50" spans="2:17" ht="15.75">
      <c r="B50" s="724">
        <v>44317</v>
      </c>
      <c r="C50" s="724">
        <v>44347</v>
      </c>
      <c r="D50" s="824">
        <v>0.17219999999999999</v>
      </c>
      <c r="E50" s="824">
        <f t="shared" si="3"/>
        <v>0.25829999999999997</v>
      </c>
      <c r="F50" s="825">
        <f t="shared" si="0"/>
        <v>6.2968201205726437E-4</v>
      </c>
      <c r="G50" s="793">
        <f t="shared" si="5"/>
        <v>31</v>
      </c>
      <c r="H50" s="826">
        <f t="shared" si="2"/>
        <v>5902524.0556328492</v>
      </c>
      <c r="J50" s="16">
        <v>43831</v>
      </c>
      <c r="K50" s="16">
        <v>43861</v>
      </c>
      <c r="L50" s="449">
        <v>0.18770000000000001</v>
      </c>
      <c r="M50" s="449">
        <f t="shared" si="11"/>
        <v>0.28155000000000002</v>
      </c>
      <c r="N50" s="454">
        <f t="shared" si="6"/>
        <v>6.7987562124560696E-4</v>
      </c>
      <c r="O50" s="641">
        <f t="shared" si="10"/>
        <v>31</v>
      </c>
      <c r="P50" s="450">
        <f t="shared" si="8"/>
        <v>8860746.5574617013</v>
      </c>
      <c r="Q50" s="638"/>
    </row>
    <row r="51" spans="2:17" ht="15.75">
      <c r="B51" s="821">
        <v>44348</v>
      </c>
      <c r="C51" s="821">
        <v>44377</v>
      </c>
      <c r="D51" s="827">
        <v>0.1721</v>
      </c>
      <c r="E51" s="827">
        <f t="shared" si="3"/>
        <v>0.25814999999999999</v>
      </c>
      <c r="F51" s="825">
        <f t="shared" si="0"/>
        <v>6.2935518846773952E-4</v>
      </c>
      <c r="G51" s="828">
        <f t="shared" si="5"/>
        <v>30</v>
      </c>
      <c r="H51" s="826">
        <f t="shared" si="2"/>
        <v>5709155.2945723813</v>
      </c>
      <c r="J51" s="16">
        <v>43862</v>
      </c>
      <c r="K51" s="16">
        <v>43890</v>
      </c>
      <c r="L51" s="449">
        <v>0.19059999999999999</v>
      </c>
      <c r="M51" s="449">
        <f t="shared" si="11"/>
        <v>0.28589999999999999</v>
      </c>
      <c r="N51" s="454">
        <f t="shared" si="6"/>
        <v>6.8916575551658532E-4</v>
      </c>
      <c r="O51" s="641">
        <f t="shared" si="10"/>
        <v>29</v>
      </c>
      <c r="P51" s="450">
        <f t="shared" si="8"/>
        <v>8402351.3790162001</v>
      </c>
      <c r="Q51" s="638"/>
    </row>
    <row r="52" spans="2:17" ht="15.75">
      <c r="B52" s="821">
        <v>44378</v>
      </c>
      <c r="C52" s="821">
        <v>44408</v>
      </c>
      <c r="D52" s="827">
        <v>0.17180000000000001</v>
      </c>
      <c r="E52" s="827">
        <f t="shared" si="3"/>
        <v>0.25770000000000004</v>
      </c>
      <c r="F52" s="825">
        <f t="shared" si="0"/>
        <v>6.2837448450037137E-4</v>
      </c>
      <c r="G52" s="828">
        <f t="shared" si="5"/>
        <v>31</v>
      </c>
      <c r="H52" s="826">
        <f t="shared" si="2"/>
        <v>5890267.5313711055</v>
      </c>
      <c r="J52" s="16">
        <v>43891</v>
      </c>
      <c r="K52" s="16">
        <v>43921</v>
      </c>
      <c r="L52" s="449">
        <v>0.1895</v>
      </c>
      <c r="M52" s="449">
        <f t="shared" si="11"/>
        <v>0.28425</v>
      </c>
      <c r="N52" s="454">
        <f t="shared" si="6"/>
        <v>6.8564560609574166E-4</v>
      </c>
      <c r="O52" s="641">
        <f t="shared" si="10"/>
        <v>31</v>
      </c>
      <c r="P52" s="450">
        <f t="shared" si="8"/>
        <v>8935946.1554466505</v>
      </c>
      <c r="Q52" s="638"/>
    </row>
    <row r="53" spans="2:17" ht="15.75">
      <c r="B53" s="724">
        <v>44409</v>
      </c>
      <c r="C53" s="724">
        <v>44439</v>
      </c>
      <c r="D53" s="827">
        <v>0.1724</v>
      </c>
      <c r="E53" s="827">
        <f t="shared" si="3"/>
        <v>0.2586</v>
      </c>
      <c r="F53" s="825">
        <f t="shared" si="0"/>
        <v>6.3033554269220637E-4</v>
      </c>
      <c r="G53" s="828">
        <f t="shared" si="5"/>
        <v>31</v>
      </c>
      <c r="H53" s="826">
        <f t="shared" si="2"/>
        <v>5908650.1323191375</v>
      </c>
      <c r="J53" s="16">
        <v>43922</v>
      </c>
      <c r="K53" s="16">
        <v>43951</v>
      </c>
      <c r="L53" s="449">
        <v>0.18690000000000001</v>
      </c>
      <c r="M53" s="449">
        <f t="shared" si="11"/>
        <v>0.28034999999999999</v>
      </c>
      <c r="N53" s="454">
        <f t="shared" si="6"/>
        <v>6.7730729113191224E-4</v>
      </c>
      <c r="O53" s="641">
        <f t="shared" si="10"/>
        <v>30</v>
      </c>
      <c r="P53" s="450">
        <f t="shared" si="8"/>
        <v>8542523.017398702</v>
      </c>
      <c r="Q53" s="638"/>
    </row>
    <row r="54" spans="2:17" ht="15.75">
      <c r="B54" s="724">
        <v>44440</v>
      </c>
      <c r="C54" s="724">
        <v>44469</v>
      </c>
      <c r="D54" s="827">
        <v>0.1719</v>
      </c>
      <c r="E54" s="827">
        <f t="shared" si="3"/>
        <v>0.25785000000000002</v>
      </c>
      <c r="F54" s="825">
        <f t="shared" si="0"/>
        <v>6.2870142469861889E-4</v>
      </c>
      <c r="G54" s="828">
        <f t="shared" si="5"/>
        <v>30</v>
      </c>
      <c r="H54" s="826">
        <f t="shared" si="2"/>
        <v>5703224.7184012979</v>
      </c>
      <c r="J54" s="16">
        <v>43952</v>
      </c>
      <c r="K54" s="16">
        <v>43982</v>
      </c>
      <c r="L54" s="449">
        <v>0.18190000000000001</v>
      </c>
      <c r="M54" s="449">
        <f t="shared" si="11"/>
        <v>0.27285000000000004</v>
      </c>
      <c r="N54" s="454">
        <f t="shared" si="6"/>
        <v>6.6120063584418354E-4</v>
      </c>
      <c r="O54" s="641">
        <f t="shared" si="10"/>
        <v>31</v>
      </c>
      <c r="P54" s="450">
        <f t="shared" si="8"/>
        <v>8617357.4618163183</v>
      </c>
      <c r="Q54" s="638"/>
    </row>
    <row r="55" spans="2:17" ht="15.75">
      <c r="B55" s="724">
        <v>44470</v>
      </c>
      <c r="C55" s="724">
        <v>44500</v>
      </c>
      <c r="D55" s="827">
        <v>0.17080000000000001</v>
      </c>
      <c r="E55" s="827">
        <f t="shared" si="3"/>
        <v>0.25619999999999998</v>
      </c>
      <c r="F55" s="825">
        <f t="shared" si="0"/>
        <v>6.2510294214179751E-4</v>
      </c>
      <c r="G55" s="828">
        <f t="shared" si="5"/>
        <v>31</v>
      </c>
      <c r="H55" s="826">
        <f t="shared" si="2"/>
        <v>5859600.6914411951</v>
      </c>
      <c r="J55" s="16">
        <v>43983</v>
      </c>
      <c r="K55" s="16">
        <v>44012</v>
      </c>
      <c r="L55" s="449">
        <v>0.1812</v>
      </c>
      <c r="M55" s="449">
        <f t="shared" si="11"/>
        <v>0.27179999999999999</v>
      </c>
      <c r="N55" s="454">
        <f t="shared" si="6"/>
        <v>6.5893815469997286E-4</v>
      </c>
      <c r="O55" s="641">
        <f t="shared" si="10"/>
        <v>30</v>
      </c>
      <c r="P55" s="450">
        <f t="shared" si="8"/>
        <v>8310842.6961705973</v>
      </c>
      <c r="Q55" s="638"/>
    </row>
    <row r="56" spans="2:17" ht="15.75">
      <c r="B56" s="724">
        <v>44501</v>
      </c>
      <c r="C56" s="724">
        <v>44516</v>
      </c>
      <c r="D56" s="827">
        <v>0.17269999999999999</v>
      </c>
      <c r="E56" s="827">
        <f>+D56*1.5</f>
        <v>0.25905</v>
      </c>
      <c r="F56" s="825">
        <f t="shared" si="0"/>
        <v>6.3131554742335005E-4</v>
      </c>
      <c r="G56" s="828">
        <v>16</v>
      </c>
      <c r="H56" s="826">
        <f t="shared" si="2"/>
        <v>3054367.2348354231</v>
      </c>
      <c r="J56" s="16">
        <v>44013</v>
      </c>
      <c r="K56" s="16">
        <v>44043</v>
      </c>
      <c r="L56" s="449">
        <v>0.1812</v>
      </c>
      <c r="M56" s="449">
        <f t="shared" si="11"/>
        <v>0.27179999999999999</v>
      </c>
      <c r="N56" s="454">
        <f t="shared" si="6"/>
        <v>6.5893815469997286E-4</v>
      </c>
      <c r="O56" s="641">
        <f t="shared" si="10"/>
        <v>31</v>
      </c>
      <c r="P56" s="450">
        <f t="shared" si="8"/>
        <v>8587870.786042951</v>
      </c>
      <c r="Q56" s="638"/>
    </row>
    <row r="57" spans="2:17" ht="16.5" thickBot="1">
      <c r="B57" s="791"/>
      <c r="C57" s="791"/>
      <c r="D57" s="791"/>
      <c r="E57" s="2640" t="s">
        <v>616</v>
      </c>
      <c r="F57" s="2640"/>
      <c r="G57" s="2640"/>
      <c r="H57" s="829">
        <f>SUM(H6:H56)</f>
        <v>292776201.56078541</v>
      </c>
      <c r="J57" s="16">
        <v>44044</v>
      </c>
      <c r="K57" s="16">
        <v>44074</v>
      </c>
      <c r="L57" s="449">
        <v>0.18290000000000001</v>
      </c>
      <c r="M57" s="449">
        <f t="shared" si="11"/>
        <v>0.27434999999999998</v>
      </c>
      <c r="N57" s="454">
        <f t="shared" si="6"/>
        <v>6.6442952514544906E-4</v>
      </c>
      <c r="O57" s="641">
        <f t="shared" si="10"/>
        <v>31</v>
      </c>
      <c r="P57" s="450">
        <f t="shared" si="8"/>
        <v>8659439.2321674842</v>
      </c>
      <c r="Q57" s="638"/>
    </row>
    <row r="58" spans="2:17" ht="16.5" thickBot="1">
      <c r="B58" s="2637" t="s">
        <v>617</v>
      </c>
      <c r="C58" s="2638"/>
      <c r="D58" s="2639"/>
      <c r="E58" s="637"/>
      <c r="F58" s="46"/>
      <c r="J58" s="16">
        <v>44075</v>
      </c>
      <c r="K58" s="16">
        <v>44104</v>
      </c>
      <c r="L58" s="449">
        <v>0.1835</v>
      </c>
      <c r="M58" s="449">
        <f t="shared" si="11"/>
        <v>0.27524999999999999</v>
      </c>
      <c r="N58" s="454">
        <f t="shared" si="6"/>
        <v>6.6636503991857055E-4</v>
      </c>
      <c r="O58" s="641">
        <f t="shared" si="10"/>
        <v>30</v>
      </c>
      <c r="P58" s="450">
        <f t="shared" si="8"/>
        <v>8404514.1194051243</v>
      </c>
      <c r="Q58" s="638"/>
    </row>
    <row r="59" spans="2:17" ht="15.75">
      <c r="B59" s="173" t="s">
        <v>198</v>
      </c>
      <c r="C59" s="172"/>
      <c r="D59" s="171"/>
      <c r="E59" s="170">
        <f>+C4</f>
        <v>302381199</v>
      </c>
      <c r="F59" s="46"/>
      <c r="J59" s="16">
        <v>44105</v>
      </c>
      <c r="K59" s="16">
        <v>44135</v>
      </c>
      <c r="L59" s="449">
        <v>0.18090000000000001</v>
      </c>
      <c r="M59" s="449">
        <f t="shared" si="11"/>
        <v>0.27134999999999998</v>
      </c>
      <c r="N59" s="454">
        <f t="shared" si="6"/>
        <v>6.5796794962613703E-4</v>
      </c>
      <c r="O59" s="641">
        <f t="shared" si="10"/>
        <v>31</v>
      </c>
      <c r="P59" s="450">
        <f t="shared" si="8"/>
        <v>8575226.206653161</v>
      </c>
      <c r="Q59" s="638"/>
    </row>
    <row r="60" spans="2:17" ht="15.75">
      <c r="B60" s="169" t="s">
        <v>618</v>
      </c>
      <c r="C60" s="168"/>
      <c r="D60" s="167"/>
      <c r="E60" s="166">
        <f>+H57</f>
        <v>292776201.56078541</v>
      </c>
      <c r="F60" s="46"/>
      <c r="J60" s="16">
        <v>44136</v>
      </c>
      <c r="K60" s="16">
        <v>44165</v>
      </c>
      <c r="L60" s="449">
        <v>0.1784</v>
      </c>
      <c r="M60" s="449">
        <f t="shared" si="11"/>
        <v>0.2676</v>
      </c>
      <c r="N60" s="454">
        <f t="shared" si="6"/>
        <v>6.4986956374091243E-4</v>
      </c>
      <c r="O60" s="641">
        <f t="shared" si="10"/>
        <v>30</v>
      </c>
      <c r="P60" s="450">
        <f t="shared" si="8"/>
        <v>8196465.2961079441</v>
      </c>
      <c r="Q60" s="638"/>
    </row>
    <row r="61" spans="2:17" ht="15.75">
      <c r="B61" s="169" t="s">
        <v>619</v>
      </c>
      <c r="E61" s="166">
        <v>2522495.514</v>
      </c>
      <c r="F61" s="46"/>
      <c r="J61" s="16">
        <v>44166</v>
      </c>
      <c r="K61" s="16">
        <v>44196</v>
      </c>
      <c r="L61" s="449">
        <v>0.17460000000000001</v>
      </c>
      <c r="M61" s="449">
        <f t="shared" si="11"/>
        <v>0.26190000000000002</v>
      </c>
      <c r="N61" s="454">
        <f t="shared" si="6"/>
        <v>6.3751414410861962E-4</v>
      </c>
      <c r="O61" s="641">
        <f t="shared" si="10"/>
        <v>31</v>
      </c>
      <c r="P61" s="450">
        <f t="shared" si="8"/>
        <v>8308653.9378986368</v>
      </c>
      <c r="Q61" s="638"/>
    </row>
    <row r="62" spans="2:17" ht="16.5" thickBot="1">
      <c r="B62" s="165" t="s">
        <v>61</v>
      </c>
      <c r="C62" s="164"/>
      <c r="D62" s="163"/>
      <c r="E62" s="162">
        <f>SUM(E59:E61)</f>
        <v>597679896.07478547</v>
      </c>
      <c r="F62" s="46"/>
      <c r="J62" s="16">
        <v>44197</v>
      </c>
      <c r="K62" s="16">
        <v>44227</v>
      </c>
      <c r="L62" s="449">
        <v>0.17319999999999999</v>
      </c>
      <c r="M62" s="449">
        <f t="shared" si="11"/>
        <v>0.25979999999999998</v>
      </c>
      <c r="N62" s="454">
        <f t="shared" si="6"/>
        <v>6.3294811266723094E-4</v>
      </c>
      <c r="O62" s="641">
        <f t="shared" si="10"/>
        <v>31</v>
      </c>
      <c r="P62" s="450">
        <f t="shared" si="8"/>
        <v>8249145.336455592</v>
      </c>
      <c r="Q62" s="638"/>
    </row>
    <row r="63" spans="2:17" ht="15.75">
      <c r="D63" s="791"/>
      <c r="E63" s="791"/>
      <c r="F63" s="791"/>
      <c r="G63" s="791"/>
      <c r="H63" s="791"/>
      <c r="J63" s="16">
        <v>44228</v>
      </c>
      <c r="K63" s="16">
        <v>44255</v>
      </c>
      <c r="L63" s="449">
        <v>0.1754</v>
      </c>
      <c r="M63" s="449">
        <f t="shared" si="11"/>
        <v>0.2631</v>
      </c>
      <c r="N63" s="454">
        <f t="shared" si="6"/>
        <v>6.4011990387169426E-4</v>
      </c>
      <c r="O63" s="641">
        <f t="shared" si="10"/>
        <v>28</v>
      </c>
      <c r="P63" s="450">
        <f t="shared" si="8"/>
        <v>7535264.7343794806</v>
      </c>
      <c r="Q63" s="638"/>
    </row>
    <row r="64" spans="2:17" ht="25.5">
      <c r="B64" s="789" t="s">
        <v>538</v>
      </c>
      <c r="C64" s="742" t="s">
        <v>620</v>
      </c>
      <c r="D64" s="791"/>
      <c r="E64" s="791"/>
      <c r="F64" s="791"/>
      <c r="G64" s="791"/>
      <c r="H64" s="791"/>
      <c r="J64" s="16">
        <v>44256</v>
      </c>
      <c r="K64" s="16">
        <v>44286</v>
      </c>
      <c r="L64" s="449">
        <v>0.1741</v>
      </c>
      <c r="M64" s="449">
        <f t="shared" si="11"/>
        <v>0.26114999999999999</v>
      </c>
      <c r="N64" s="454">
        <f t="shared" si="6"/>
        <v>6.3588428907812578E-4</v>
      </c>
      <c r="O64" s="641">
        <f t="shared" si="10"/>
        <v>31</v>
      </c>
      <c r="P64" s="450">
        <f t="shared" si="8"/>
        <v>8287412.2108837003</v>
      </c>
      <c r="Q64" s="638"/>
    </row>
    <row r="65" spans="2:17" ht="15.75">
      <c r="B65" s="2644" t="s">
        <v>608</v>
      </c>
      <c r="C65" s="2645"/>
      <c r="D65" s="2645"/>
      <c r="E65" s="2645"/>
      <c r="F65" s="2645"/>
      <c r="G65" s="2645"/>
      <c r="H65" s="2646"/>
      <c r="J65" s="16">
        <v>44287</v>
      </c>
      <c r="K65" s="16">
        <v>44316</v>
      </c>
      <c r="L65" s="449">
        <v>0.1731</v>
      </c>
      <c r="M65" s="449">
        <f t="shared" si="11"/>
        <v>0.25964999999999999</v>
      </c>
      <c r="N65" s="454">
        <f t="shared" si="6"/>
        <v>6.326216771728177E-4</v>
      </c>
      <c r="O65" s="641">
        <f t="shared" si="10"/>
        <v>30</v>
      </c>
      <c r="P65" s="450">
        <f t="shared" si="8"/>
        <v>7978926.7136379443</v>
      </c>
      <c r="Q65" s="638"/>
    </row>
    <row r="66" spans="2:17" ht="15.75">
      <c r="B66" s="728" t="s">
        <v>535</v>
      </c>
      <c r="C66" s="822">
        <v>29508680</v>
      </c>
      <c r="D66" s="737"/>
      <c r="E66" s="737"/>
      <c r="F66" s="737"/>
      <c r="G66" s="737"/>
      <c r="H66" s="737"/>
      <c r="J66" s="16">
        <v>44317</v>
      </c>
      <c r="K66" s="16">
        <v>44347</v>
      </c>
      <c r="L66" s="449">
        <v>0.17219999999999999</v>
      </c>
      <c r="M66" s="449">
        <f t="shared" si="11"/>
        <v>0.25829999999999997</v>
      </c>
      <c r="N66" s="454">
        <f t="shared" si="6"/>
        <v>6.2968201205726437E-4</v>
      </c>
      <c r="O66" s="641">
        <f t="shared" si="10"/>
        <v>31</v>
      </c>
      <c r="P66" s="450">
        <f t="shared" si="8"/>
        <v>8206578.5950815398</v>
      </c>
      <c r="Q66" s="638"/>
    </row>
    <row r="67" spans="2:17" ht="51">
      <c r="B67" s="823" t="s">
        <v>206</v>
      </c>
      <c r="C67" s="823" t="s">
        <v>10</v>
      </c>
      <c r="D67" s="794" t="s">
        <v>609</v>
      </c>
      <c r="E67" s="823" t="s">
        <v>610</v>
      </c>
      <c r="F67" s="794" t="s">
        <v>611</v>
      </c>
      <c r="G67" s="793" t="s">
        <v>529</v>
      </c>
      <c r="H67" s="794" t="s">
        <v>48</v>
      </c>
      <c r="J67" s="59">
        <v>44348</v>
      </c>
      <c r="K67" s="59">
        <v>44377</v>
      </c>
      <c r="L67" s="468">
        <v>0.1721</v>
      </c>
      <c r="M67" s="468">
        <f t="shared" si="11"/>
        <v>0.25814999999999999</v>
      </c>
      <c r="N67" s="454">
        <f t="shared" si="6"/>
        <v>6.2935518846773952E-4</v>
      </c>
      <c r="O67" s="642">
        <f t="shared" si="10"/>
        <v>30</v>
      </c>
      <c r="P67" s="469">
        <f t="shared" si="8"/>
        <v>7937728.1981124878</v>
      </c>
      <c r="Q67" s="638"/>
    </row>
    <row r="68" spans="2:17" ht="15.75">
      <c r="B68" s="724">
        <v>43085</v>
      </c>
      <c r="C68" s="724">
        <v>43100</v>
      </c>
      <c r="D68" s="824">
        <v>0.2077</v>
      </c>
      <c r="E68" s="824">
        <f>+D68*1.5</f>
        <v>0.31154999999999999</v>
      </c>
      <c r="F68" s="825">
        <f>((1+E68)^(1/365)-1)</f>
        <v>7.4331624292400811E-4</v>
      </c>
      <c r="G68" s="793">
        <f>_xlfn.DAYS(C68,B68)+1</f>
        <v>16</v>
      </c>
      <c r="H68" s="826">
        <f>$C$66*F68*G68</f>
        <v>350948.49841994909</v>
      </c>
      <c r="J68" s="59">
        <v>44378</v>
      </c>
      <c r="K68" s="59">
        <v>44408</v>
      </c>
      <c r="L68" s="468">
        <v>0.17180000000000001</v>
      </c>
      <c r="M68" s="468">
        <f t="shared" si="11"/>
        <v>0.25770000000000004</v>
      </c>
      <c r="N68" s="454">
        <f t="shared" si="6"/>
        <v>6.2837448450037137E-4</v>
      </c>
      <c r="O68" s="642">
        <f t="shared" si="10"/>
        <v>31</v>
      </c>
      <c r="P68" s="469">
        <f t="shared" si="8"/>
        <v>8189537.7276986213</v>
      </c>
      <c r="Q68" s="638"/>
    </row>
    <row r="69" spans="2:17" ht="15.75">
      <c r="B69" s="724">
        <v>43101</v>
      </c>
      <c r="C69" s="724">
        <v>43131</v>
      </c>
      <c r="D69" s="824">
        <v>0.2069</v>
      </c>
      <c r="E69" s="824">
        <f>+D69*1.5</f>
        <v>0.31035000000000001</v>
      </c>
      <c r="F69" s="825">
        <f t="shared" ref="F69:F118" si="12">((1+E69)^(1/365)-1)</f>
        <v>7.4080652774299871E-4</v>
      </c>
      <c r="G69" s="793">
        <f t="shared" ref="G69:G74" si="13">_xlfn.DAYS(C69,B69)+1</f>
        <v>31</v>
      </c>
      <c r="H69" s="826">
        <f t="shared" ref="H69:H118" si="14">$C$66*F69*G69</f>
        <v>677666.90584145742</v>
      </c>
      <c r="J69" s="16">
        <v>44409</v>
      </c>
      <c r="K69" s="16">
        <v>44439</v>
      </c>
      <c r="L69" s="468">
        <v>0.1724</v>
      </c>
      <c r="M69" s="468">
        <f>+L69*1.5</f>
        <v>0.2586</v>
      </c>
      <c r="N69" s="454">
        <f t="shared" si="6"/>
        <v>6.3033554269220637E-4</v>
      </c>
      <c r="O69" s="642">
        <f>_xlfn.DAYS(K69,J69)+1</f>
        <v>31</v>
      </c>
      <c r="P69" s="469">
        <f>$K$20*N69*O69</f>
        <v>8215095.9902385371</v>
      </c>
      <c r="Q69" s="638"/>
    </row>
    <row r="70" spans="2:17" ht="15.75">
      <c r="B70" s="724">
        <v>43132</v>
      </c>
      <c r="C70" s="724">
        <v>43159</v>
      </c>
      <c r="D70" s="824">
        <v>0.21010000000000001</v>
      </c>
      <c r="E70" s="824">
        <f>+D70*1.5</f>
        <v>0.31515000000000004</v>
      </c>
      <c r="F70" s="825">
        <f t="shared" si="12"/>
        <v>7.5083167162115494E-4</v>
      </c>
      <c r="G70" s="793">
        <f t="shared" si="13"/>
        <v>28</v>
      </c>
      <c r="H70" s="826">
        <f t="shared" si="14"/>
        <v>620369.44288854476</v>
      </c>
      <c r="J70" s="16">
        <v>44440</v>
      </c>
      <c r="K70" s="16">
        <v>44469</v>
      </c>
      <c r="L70" s="468">
        <v>0.1719</v>
      </c>
      <c r="M70" s="468">
        <f>+L70*1.5</f>
        <v>0.25785000000000002</v>
      </c>
      <c r="N70" s="454">
        <f t="shared" si="6"/>
        <v>6.2870142469861889E-4</v>
      </c>
      <c r="O70" s="642">
        <f>_xlfn.DAYS(K70,J70)+1</f>
        <v>30</v>
      </c>
      <c r="P70" s="469">
        <f>$K$20*N70*O70</f>
        <v>7929482.6172383744</v>
      </c>
      <c r="Q70" s="638"/>
    </row>
    <row r="71" spans="2:17" ht="15.75">
      <c r="B71" s="724">
        <v>43160</v>
      </c>
      <c r="C71" s="724">
        <v>43190</v>
      </c>
      <c r="D71" s="824">
        <v>0.20680000000000001</v>
      </c>
      <c r="E71" s="824">
        <f>+D71*1.5</f>
        <v>0.31020000000000003</v>
      </c>
      <c r="F71" s="825">
        <f t="shared" si="12"/>
        <v>7.4049265219700011E-4</v>
      </c>
      <c r="G71" s="793">
        <f t="shared" si="13"/>
        <v>31</v>
      </c>
      <c r="H71" s="826">
        <f t="shared" si="14"/>
        <v>677379.78219700977</v>
      </c>
      <c r="J71" s="16">
        <v>44470</v>
      </c>
      <c r="K71" s="16">
        <v>44500</v>
      </c>
      <c r="L71" s="468">
        <v>0.17080000000000001</v>
      </c>
      <c r="M71" s="468">
        <f>+L71*1.5</f>
        <v>0.25619999999999998</v>
      </c>
      <c r="N71" s="454">
        <f t="shared" si="6"/>
        <v>6.2510294214179751E-4</v>
      </c>
      <c r="O71" s="642">
        <f>_xlfn.DAYS(K71,J71)+1</f>
        <v>31</v>
      </c>
      <c r="P71" s="469">
        <f>$K$20*N71*O71</f>
        <v>8146900.0645945771</v>
      </c>
      <c r="Q71" s="638"/>
    </row>
    <row r="72" spans="2:17" ht="15.75">
      <c r="B72" s="724">
        <v>43191</v>
      </c>
      <c r="C72" s="724">
        <v>43220</v>
      </c>
      <c r="D72" s="824">
        <v>0.20480000000000001</v>
      </c>
      <c r="E72" s="824">
        <f t="shared" ref="E72:E117" si="15">+D72*1.5</f>
        <v>0.30720000000000003</v>
      </c>
      <c r="F72" s="825">
        <f t="shared" si="12"/>
        <v>7.34207604366377E-4</v>
      </c>
      <c r="G72" s="793">
        <f t="shared" si="13"/>
        <v>30</v>
      </c>
      <c r="H72" s="826">
        <f t="shared" si="14"/>
        <v>649964.91752442066</v>
      </c>
      <c r="J72" s="16">
        <v>44501</v>
      </c>
      <c r="K72" s="16">
        <v>44516</v>
      </c>
      <c r="L72" s="468">
        <v>0.17269999999999999</v>
      </c>
      <c r="M72" s="468">
        <f>+L72*1.5</f>
        <v>0.25905</v>
      </c>
      <c r="N72" s="454">
        <f t="shared" si="6"/>
        <v>6.3131554742335005E-4</v>
      </c>
      <c r="O72" s="642">
        <v>16</v>
      </c>
      <c r="P72" s="469">
        <f>$K$20*N72*O72</f>
        <v>4246641.6967836125</v>
      </c>
      <c r="Q72" s="638"/>
    </row>
    <row r="73" spans="2:17" ht="15.75">
      <c r="B73" s="724">
        <v>43221</v>
      </c>
      <c r="C73" s="724">
        <v>43251</v>
      </c>
      <c r="D73" s="824">
        <v>0.2044</v>
      </c>
      <c r="E73" s="824">
        <f t="shared" si="15"/>
        <v>0.30659999999999998</v>
      </c>
      <c r="F73" s="825">
        <f t="shared" si="12"/>
        <v>7.3294886878794152E-4</v>
      </c>
      <c r="G73" s="793">
        <f t="shared" si="13"/>
        <v>31</v>
      </c>
      <c r="H73" s="826">
        <f t="shared" si="14"/>
        <v>670478.96238818602</v>
      </c>
      <c r="M73" s="2653" t="s">
        <v>616</v>
      </c>
      <c r="N73" s="2654"/>
      <c r="O73" s="2654"/>
      <c r="P73" s="545">
        <f>SUM(P22:P72)</f>
        <v>407061603.85489714</v>
      </c>
      <c r="Q73" s="638"/>
    </row>
    <row r="74" spans="2:17" ht="15.75">
      <c r="B74" s="724">
        <v>43252</v>
      </c>
      <c r="C74" s="724">
        <v>43266</v>
      </c>
      <c r="D74" s="824">
        <v>0.20280000000000001</v>
      </c>
      <c r="E74" s="824">
        <f t="shared" si="15"/>
        <v>0.30420000000000003</v>
      </c>
      <c r="F74" s="825">
        <f t="shared" si="12"/>
        <v>7.2790815549184096E-4</v>
      </c>
      <c r="G74" s="793">
        <f t="shared" si="13"/>
        <v>15</v>
      </c>
      <c r="H74" s="826">
        <f t="shared" si="14"/>
        <v>322194.13244698464</v>
      </c>
      <c r="O74" s="60"/>
      <c r="Q74" s="638"/>
    </row>
    <row r="75" spans="2:17" ht="16.5" thickBot="1">
      <c r="B75" s="724">
        <v>43267</v>
      </c>
      <c r="C75" s="724">
        <v>43276</v>
      </c>
      <c r="D75" s="824">
        <v>0</v>
      </c>
      <c r="E75" s="824">
        <f t="shared" si="15"/>
        <v>0</v>
      </c>
      <c r="F75" s="825">
        <f t="shared" si="12"/>
        <v>0</v>
      </c>
      <c r="G75" s="793">
        <v>0</v>
      </c>
      <c r="H75" s="826">
        <f t="shared" si="14"/>
        <v>0</v>
      </c>
      <c r="Q75" s="638"/>
    </row>
    <row r="76" spans="2:17" ht="16.5" thickBot="1">
      <c r="B76" s="724">
        <v>43277</v>
      </c>
      <c r="C76" s="724">
        <v>43281</v>
      </c>
      <c r="D76" s="824">
        <v>0.20280000000000001</v>
      </c>
      <c r="E76" s="824">
        <f t="shared" si="15"/>
        <v>0.30420000000000003</v>
      </c>
      <c r="F76" s="825">
        <f t="shared" si="12"/>
        <v>7.2790815549184096E-4</v>
      </c>
      <c r="G76" s="793">
        <f t="shared" ref="G76:G81" si="16">_xlfn.DAYS(C76,B76)+1</f>
        <v>5</v>
      </c>
      <c r="H76" s="826">
        <f t="shared" si="14"/>
        <v>107398.04414899489</v>
      </c>
      <c r="J76" s="2637" t="s">
        <v>346</v>
      </c>
      <c r="K76" s="2638"/>
      <c r="L76" s="2639"/>
      <c r="M76" s="637"/>
      <c r="Q76" s="638"/>
    </row>
    <row r="77" spans="2:17" ht="15.75">
      <c r="B77" s="724">
        <v>43282</v>
      </c>
      <c r="C77" s="724">
        <v>43312</v>
      </c>
      <c r="D77" s="824">
        <v>0.20030000000000001</v>
      </c>
      <c r="E77" s="824">
        <f t="shared" si="15"/>
        <v>0.30044999999999999</v>
      </c>
      <c r="F77" s="825">
        <f t="shared" si="12"/>
        <v>7.2001349197825526E-4</v>
      </c>
      <c r="G77" s="793">
        <f t="shared" si="16"/>
        <v>31</v>
      </c>
      <c r="H77" s="826">
        <f t="shared" si="14"/>
        <v>658646.0796445359</v>
      </c>
      <c r="J77" s="173" t="s">
        <v>198</v>
      </c>
      <c r="K77" s="172"/>
      <c r="L77" s="171"/>
      <c r="M77" s="170">
        <f>+K20</f>
        <v>420415919</v>
      </c>
      <c r="Q77" s="638"/>
    </row>
    <row r="78" spans="2:17" ht="13.5">
      <c r="B78" s="724">
        <v>43313</v>
      </c>
      <c r="C78" s="724">
        <v>43343</v>
      </c>
      <c r="D78" s="824">
        <v>0.19939999999999999</v>
      </c>
      <c r="E78" s="824">
        <f t="shared" si="15"/>
        <v>0.29909999999999998</v>
      </c>
      <c r="F78" s="825">
        <f t="shared" si="12"/>
        <v>7.1716585429704161E-4</v>
      </c>
      <c r="G78" s="793">
        <f t="shared" si="16"/>
        <v>31</v>
      </c>
      <c r="H78" s="826">
        <f t="shared" si="14"/>
        <v>656041.14874271874</v>
      </c>
      <c r="J78" s="169" t="s">
        <v>618</v>
      </c>
      <c r="K78" s="168"/>
      <c r="L78" s="167"/>
      <c r="M78" s="166">
        <f>+P73</f>
        <v>407061603.85489714</v>
      </c>
    </row>
    <row r="79" spans="2:17" ht="13.5">
      <c r="B79" s="724">
        <v>43344</v>
      </c>
      <c r="C79" s="724">
        <v>43373</v>
      </c>
      <c r="D79" s="824">
        <v>0.1981</v>
      </c>
      <c r="E79" s="824">
        <f t="shared" si="15"/>
        <v>0.29715000000000003</v>
      </c>
      <c r="F79" s="825">
        <f t="shared" si="12"/>
        <v>7.1304738558919389E-4</v>
      </c>
      <c r="G79" s="793">
        <f t="shared" si="16"/>
        <v>30</v>
      </c>
      <c r="H79" s="826">
        <f t="shared" si="14"/>
        <v>631232.61378564395</v>
      </c>
      <c r="J79" s="169" t="s">
        <v>619</v>
      </c>
      <c r="M79" s="166">
        <f>+M77*3%</f>
        <v>12612477.57</v>
      </c>
    </row>
    <row r="80" spans="2:17" ht="14.25" thickBot="1">
      <c r="B80" s="724">
        <v>43374</v>
      </c>
      <c r="C80" s="820">
        <v>43389</v>
      </c>
      <c r="D80" s="824">
        <v>0.1963</v>
      </c>
      <c r="E80" s="824">
        <f t="shared" si="15"/>
        <v>0.29444999999999999</v>
      </c>
      <c r="F80" s="825">
        <f t="shared" si="12"/>
        <v>7.073346857742191E-4</v>
      </c>
      <c r="G80" s="793">
        <f t="shared" si="16"/>
        <v>16</v>
      </c>
      <c r="H80" s="826">
        <f t="shared" si="14"/>
        <v>333960.20632659172</v>
      </c>
      <c r="J80" s="165" t="s">
        <v>61</v>
      </c>
      <c r="K80" s="164"/>
      <c r="L80" s="163"/>
      <c r="M80" s="162">
        <f>SUM(M77:M79)</f>
        <v>840090000.42489719</v>
      </c>
      <c r="O80" s="8"/>
    </row>
    <row r="81" spans="2:13" ht="13.5">
      <c r="B81" s="820">
        <v>43390</v>
      </c>
      <c r="C81" s="724">
        <v>43404</v>
      </c>
      <c r="D81" s="824">
        <v>0.1963</v>
      </c>
      <c r="E81" s="824">
        <f t="shared" si="15"/>
        <v>0.29444999999999999</v>
      </c>
      <c r="F81" s="825">
        <f t="shared" si="12"/>
        <v>7.073346857742191E-4</v>
      </c>
      <c r="G81" s="793">
        <f t="shared" si="16"/>
        <v>15</v>
      </c>
      <c r="H81" s="826">
        <f t="shared" si="14"/>
        <v>313087.69343117974</v>
      </c>
      <c r="J81" s="221" t="s">
        <v>62</v>
      </c>
      <c r="M81" s="1878"/>
    </row>
    <row r="82" spans="2:13" ht="13.5">
      <c r="B82" s="724">
        <v>43405</v>
      </c>
      <c r="C82" s="724">
        <v>43434</v>
      </c>
      <c r="D82" s="824">
        <v>0.19489999999999999</v>
      </c>
      <c r="E82" s="824">
        <f t="shared" si="15"/>
        <v>0.29235</v>
      </c>
      <c r="F82" s="825">
        <f t="shared" si="12"/>
        <v>7.0288325333756063E-4</v>
      </c>
      <c r="G82" s="793">
        <f>_xlfn.DAYS(C82,B82)+1</f>
        <v>30</v>
      </c>
      <c r="H82" s="826">
        <f t="shared" si="14"/>
        <v>622234.71000291035</v>
      </c>
      <c r="J82" s="217"/>
      <c r="M82" s="8">
        <f>+M79/5</f>
        <v>2522495.514</v>
      </c>
    </row>
    <row r="83" spans="2:13" ht="13.5">
      <c r="B83" s="724">
        <v>43435</v>
      </c>
      <c r="C83" s="724">
        <v>43465</v>
      </c>
      <c r="D83" s="824">
        <v>0.19400000000000001</v>
      </c>
      <c r="E83" s="824">
        <f t="shared" si="15"/>
        <v>0.29100000000000004</v>
      </c>
      <c r="F83" s="825">
        <f t="shared" si="12"/>
        <v>7.0001780740103214E-4</v>
      </c>
      <c r="G83" s="793">
        <f t="shared" ref="G83:G117" si="17">_xlfn.DAYS(C83,B83)+1</f>
        <v>31</v>
      </c>
      <c r="H83" s="826">
        <f t="shared" si="14"/>
        <v>640354.64565985929</v>
      </c>
      <c r="J83" s="217"/>
    </row>
    <row r="84" spans="2:13" ht="13.5">
      <c r="B84" s="724">
        <v>43466</v>
      </c>
      <c r="C84" s="724">
        <v>43496</v>
      </c>
      <c r="D84" s="824">
        <v>0.19159999999999999</v>
      </c>
      <c r="E84" s="824">
        <f t="shared" si="15"/>
        <v>0.28739999999999999</v>
      </c>
      <c r="F84" s="825">
        <f t="shared" si="12"/>
        <v>6.9236198468725085E-4</v>
      </c>
      <c r="G84" s="793">
        <f t="shared" si="17"/>
        <v>31</v>
      </c>
      <c r="H84" s="826">
        <f t="shared" si="14"/>
        <v>633351.33575933054</v>
      </c>
      <c r="J84" s="476" t="s">
        <v>63</v>
      </c>
    </row>
    <row r="85" spans="2:13" ht="13.5">
      <c r="B85" s="724">
        <v>43497</v>
      </c>
      <c r="C85" s="724">
        <v>43524</v>
      </c>
      <c r="D85" s="824">
        <v>0.19700000000000001</v>
      </c>
      <c r="E85" s="824">
        <f t="shared" si="15"/>
        <v>0.29549999999999998</v>
      </c>
      <c r="F85" s="825">
        <f t="shared" si="12"/>
        <v>7.0955770203506852E-4</v>
      </c>
      <c r="G85" s="793">
        <f t="shared" si="17"/>
        <v>28</v>
      </c>
      <c r="H85" s="826">
        <f t="shared" si="14"/>
        <v>586267.11278486927</v>
      </c>
      <c r="J85" s="476" t="s">
        <v>64</v>
      </c>
    </row>
    <row r="86" spans="2:13" ht="13.5">
      <c r="B86" s="724">
        <v>43525</v>
      </c>
      <c r="C86" s="724">
        <v>43555</v>
      </c>
      <c r="D86" s="824">
        <v>0.19370000000000001</v>
      </c>
      <c r="E86" s="824">
        <f t="shared" si="15"/>
        <v>0.29055000000000003</v>
      </c>
      <c r="F86" s="825">
        <f t="shared" si="12"/>
        <v>6.9906199467517638E-4</v>
      </c>
      <c r="G86" s="793">
        <f t="shared" si="17"/>
        <v>31</v>
      </c>
      <c r="H86" s="826">
        <f t="shared" si="14"/>
        <v>639480.29773197602</v>
      </c>
      <c r="J86" s="221" t="s">
        <v>65</v>
      </c>
    </row>
    <row r="87" spans="2:13" ht="21.75" customHeight="1">
      <c r="B87" s="724">
        <v>43556</v>
      </c>
      <c r="C87" s="724">
        <v>43585</v>
      </c>
      <c r="D87" s="824">
        <v>0.19320000000000001</v>
      </c>
      <c r="E87" s="824">
        <f t="shared" si="15"/>
        <v>0.2898</v>
      </c>
      <c r="F87" s="825">
        <f t="shared" si="12"/>
        <v>6.9746823462724095E-4</v>
      </c>
      <c r="G87" s="793">
        <f t="shared" si="17"/>
        <v>30</v>
      </c>
      <c r="H87" s="826">
        <f t="shared" si="14"/>
        <v>617441.0083734052</v>
      </c>
    </row>
    <row r="88" spans="2:13" ht="13.5">
      <c r="B88" s="724">
        <v>43586</v>
      </c>
      <c r="C88" s="724">
        <v>43616</v>
      </c>
      <c r="D88" s="824">
        <v>0.19339999999999999</v>
      </c>
      <c r="E88" s="824">
        <f t="shared" si="15"/>
        <v>0.29009999999999997</v>
      </c>
      <c r="F88" s="825">
        <f t="shared" si="12"/>
        <v>6.9810584952367805E-4</v>
      </c>
      <c r="G88" s="793">
        <f t="shared" si="17"/>
        <v>31</v>
      </c>
      <c r="H88" s="826">
        <f t="shared" si="14"/>
        <v>638605.64571139344</v>
      </c>
    </row>
    <row r="89" spans="2:13" ht="13.5">
      <c r="B89" s="724">
        <v>43617</v>
      </c>
      <c r="C89" s="724">
        <v>43646</v>
      </c>
      <c r="D89" s="824">
        <v>0.193</v>
      </c>
      <c r="E89" s="824">
        <f t="shared" si="15"/>
        <v>0.28949999999999998</v>
      </c>
      <c r="F89" s="825">
        <f t="shared" si="12"/>
        <v>6.9683047181468005E-4</v>
      </c>
      <c r="G89" s="793">
        <f t="shared" si="17"/>
        <v>30</v>
      </c>
      <c r="H89" s="826">
        <f t="shared" si="14"/>
        <v>616876.42221085238</v>
      </c>
    </row>
    <row r="90" spans="2:13" ht="13.5">
      <c r="B90" s="724">
        <v>43647</v>
      </c>
      <c r="C90" s="724">
        <v>43677</v>
      </c>
      <c r="D90" s="824">
        <v>0.1928</v>
      </c>
      <c r="E90" s="824">
        <f t="shared" si="15"/>
        <v>0.28920000000000001</v>
      </c>
      <c r="F90" s="825">
        <f t="shared" si="12"/>
        <v>6.9619256101671745E-4</v>
      </c>
      <c r="G90" s="793">
        <f t="shared" si="17"/>
        <v>31</v>
      </c>
      <c r="H90" s="826">
        <f t="shared" si="14"/>
        <v>636855.42854410643</v>
      </c>
    </row>
    <row r="91" spans="2:13" ht="13.5">
      <c r="B91" s="724">
        <v>43678</v>
      </c>
      <c r="C91" s="724">
        <v>43708</v>
      </c>
      <c r="D91" s="824">
        <v>0.19320000000000001</v>
      </c>
      <c r="E91" s="824">
        <f t="shared" si="15"/>
        <v>0.2898</v>
      </c>
      <c r="F91" s="825">
        <f t="shared" si="12"/>
        <v>6.9746823462724095E-4</v>
      </c>
      <c r="G91" s="793">
        <f t="shared" si="17"/>
        <v>31</v>
      </c>
      <c r="H91" s="826">
        <f t="shared" si="14"/>
        <v>638022.37531918543</v>
      </c>
    </row>
    <row r="92" spans="2:13" ht="13.5">
      <c r="B92" s="724">
        <v>43709</v>
      </c>
      <c r="C92" s="724">
        <v>43738</v>
      </c>
      <c r="D92" s="824">
        <v>0.19320000000000001</v>
      </c>
      <c r="E92" s="824">
        <f t="shared" si="15"/>
        <v>0.2898</v>
      </c>
      <c r="F92" s="825">
        <f t="shared" si="12"/>
        <v>6.9746823462724095E-4</v>
      </c>
      <c r="G92" s="793">
        <f t="shared" si="17"/>
        <v>30</v>
      </c>
      <c r="H92" s="826">
        <f t="shared" si="14"/>
        <v>617441.0083734052</v>
      </c>
    </row>
    <row r="93" spans="2:13" ht="13.5">
      <c r="B93" s="724">
        <v>43739</v>
      </c>
      <c r="C93" s="724">
        <v>43769</v>
      </c>
      <c r="D93" s="824">
        <v>0.191</v>
      </c>
      <c r="E93" s="824">
        <f t="shared" si="15"/>
        <v>0.28649999999999998</v>
      </c>
      <c r="F93" s="825">
        <f t="shared" si="12"/>
        <v>6.9044469314105683E-4</v>
      </c>
      <c r="G93" s="793">
        <f t="shared" si="17"/>
        <v>31</v>
      </c>
      <c r="H93" s="826">
        <f t="shared" si="14"/>
        <v>631597.45673552691</v>
      </c>
    </row>
    <row r="94" spans="2:13" ht="13.5">
      <c r="B94" s="724">
        <v>43770</v>
      </c>
      <c r="C94" s="724">
        <v>43799</v>
      </c>
      <c r="D94" s="824">
        <v>0.1903</v>
      </c>
      <c r="E94" s="824">
        <f t="shared" si="15"/>
        <v>0.28544999999999998</v>
      </c>
      <c r="F94" s="825">
        <f t="shared" si="12"/>
        <v>6.8820616169262827E-4</v>
      </c>
      <c r="G94" s="793">
        <f t="shared" si="17"/>
        <v>30</v>
      </c>
      <c r="H94" s="826">
        <f t="shared" si="14"/>
        <v>609241.66198248079</v>
      </c>
    </row>
    <row r="95" spans="2:13" ht="13.5">
      <c r="B95" s="724">
        <v>43800</v>
      </c>
      <c r="C95" s="724">
        <v>43830</v>
      </c>
      <c r="D95" s="824">
        <v>0.18909999999999999</v>
      </c>
      <c r="E95" s="824">
        <f t="shared" si="15"/>
        <v>0.28364999999999996</v>
      </c>
      <c r="F95" s="825">
        <f t="shared" si="12"/>
        <v>6.8436443340047504E-4</v>
      </c>
      <c r="G95" s="793">
        <f t="shared" si="17"/>
        <v>31</v>
      </c>
      <c r="H95" s="826">
        <f t="shared" si="14"/>
        <v>626035.42312647379</v>
      </c>
    </row>
    <row r="96" spans="2:13" ht="13.5">
      <c r="B96" s="724">
        <v>43831</v>
      </c>
      <c r="C96" s="724">
        <v>43861</v>
      </c>
      <c r="D96" s="824">
        <v>0.18770000000000001</v>
      </c>
      <c r="E96" s="824">
        <f t="shared" si="15"/>
        <v>0.28155000000000002</v>
      </c>
      <c r="F96" s="825">
        <f t="shared" si="12"/>
        <v>6.7987562124560696E-4</v>
      </c>
      <c r="G96" s="793">
        <f t="shared" si="17"/>
        <v>31</v>
      </c>
      <c r="H96" s="826">
        <f t="shared" si="14"/>
        <v>621929.19656127226</v>
      </c>
    </row>
    <row r="97" spans="2:8" ht="13.5">
      <c r="B97" s="724">
        <v>43862</v>
      </c>
      <c r="C97" s="724">
        <v>43890</v>
      </c>
      <c r="D97" s="824">
        <v>0.19059999999999999</v>
      </c>
      <c r="E97" s="824">
        <f t="shared" si="15"/>
        <v>0.28589999999999999</v>
      </c>
      <c r="F97" s="825">
        <f t="shared" si="12"/>
        <v>6.8916575551658532E-4</v>
      </c>
      <c r="G97" s="793">
        <f t="shared" si="17"/>
        <v>29</v>
      </c>
      <c r="H97" s="826">
        <f t="shared" si="14"/>
        <v>589754.78064841742</v>
      </c>
    </row>
    <row r="98" spans="2:8" ht="13.5">
      <c r="B98" s="724">
        <v>43891</v>
      </c>
      <c r="C98" s="724">
        <v>43921</v>
      </c>
      <c r="D98" s="824">
        <v>0.1895</v>
      </c>
      <c r="E98" s="824">
        <f t="shared" si="15"/>
        <v>0.28425</v>
      </c>
      <c r="F98" s="825">
        <f t="shared" si="12"/>
        <v>6.8564560609574166E-4</v>
      </c>
      <c r="G98" s="793">
        <f t="shared" si="17"/>
        <v>31</v>
      </c>
      <c r="H98" s="826">
        <f t="shared" si="14"/>
        <v>627207.40029424394</v>
      </c>
    </row>
    <row r="99" spans="2:8" ht="13.5">
      <c r="B99" s="724">
        <v>43922</v>
      </c>
      <c r="C99" s="724">
        <v>43951</v>
      </c>
      <c r="D99" s="824">
        <v>0.18690000000000001</v>
      </c>
      <c r="E99" s="824">
        <f t="shared" si="15"/>
        <v>0.28034999999999999</v>
      </c>
      <c r="F99" s="825">
        <f t="shared" si="12"/>
        <v>6.7730729113191224E-4</v>
      </c>
      <c r="G99" s="793">
        <f t="shared" si="17"/>
        <v>30</v>
      </c>
      <c r="H99" s="826">
        <f t="shared" si="14"/>
        <v>599593.32347035303</v>
      </c>
    </row>
    <row r="100" spans="2:8" ht="13.5">
      <c r="B100" s="724">
        <v>43952</v>
      </c>
      <c r="C100" s="724">
        <v>43982</v>
      </c>
      <c r="D100" s="824">
        <v>0.18190000000000001</v>
      </c>
      <c r="E100" s="824">
        <f t="shared" si="15"/>
        <v>0.27285000000000004</v>
      </c>
      <c r="F100" s="825">
        <f t="shared" si="12"/>
        <v>6.6120063584418354E-4</v>
      </c>
      <c r="G100" s="793">
        <f t="shared" si="17"/>
        <v>31</v>
      </c>
      <c r="H100" s="826">
        <f t="shared" si="14"/>
        <v>604845.89734659879</v>
      </c>
    </row>
    <row r="101" spans="2:8" ht="13.5">
      <c r="B101" s="724">
        <v>43983</v>
      </c>
      <c r="C101" s="724">
        <v>44012</v>
      </c>
      <c r="D101" s="824">
        <v>0.1812</v>
      </c>
      <c r="E101" s="824">
        <f t="shared" si="15"/>
        <v>0.27179999999999999</v>
      </c>
      <c r="F101" s="825">
        <f t="shared" si="12"/>
        <v>6.5893815469997286E-4</v>
      </c>
      <c r="G101" s="793">
        <f t="shared" si="17"/>
        <v>30</v>
      </c>
      <c r="H101" s="826">
        <f t="shared" si="14"/>
        <v>583331.85440495983</v>
      </c>
    </row>
    <row r="102" spans="2:8" ht="13.5">
      <c r="B102" s="724">
        <v>44013</v>
      </c>
      <c r="C102" s="724">
        <v>44043</v>
      </c>
      <c r="D102" s="824">
        <v>0.1812</v>
      </c>
      <c r="E102" s="824">
        <f t="shared" si="15"/>
        <v>0.27179999999999999</v>
      </c>
      <c r="F102" s="825">
        <f t="shared" si="12"/>
        <v>6.5893815469997286E-4</v>
      </c>
      <c r="G102" s="793">
        <f t="shared" si="17"/>
        <v>31</v>
      </c>
      <c r="H102" s="826">
        <f t="shared" si="14"/>
        <v>602776.24955179181</v>
      </c>
    </row>
    <row r="103" spans="2:8" ht="13.5">
      <c r="B103" s="724">
        <v>44044</v>
      </c>
      <c r="C103" s="724">
        <v>44074</v>
      </c>
      <c r="D103" s="824">
        <v>0.18290000000000001</v>
      </c>
      <c r="E103" s="824">
        <f t="shared" si="15"/>
        <v>0.27434999999999998</v>
      </c>
      <c r="F103" s="825">
        <f t="shared" si="12"/>
        <v>6.6442952514544906E-4</v>
      </c>
      <c r="G103" s="793">
        <f t="shared" si="17"/>
        <v>31</v>
      </c>
      <c r="H103" s="826">
        <f t="shared" si="14"/>
        <v>607799.5854421393</v>
      </c>
    </row>
    <row r="104" spans="2:8" ht="13.5">
      <c r="B104" s="724">
        <v>44075</v>
      </c>
      <c r="C104" s="724">
        <v>44104</v>
      </c>
      <c r="D104" s="824">
        <v>0.1835</v>
      </c>
      <c r="E104" s="824">
        <f t="shared" si="15"/>
        <v>0.27524999999999999</v>
      </c>
      <c r="F104" s="825">
        <f t="shared" si="12"/>
        <v>6.6636503991857055E-4</v>
      </c>
      <c r="G104" s="793">
        <f t="shared" si="17"/>
        <v>30</v>
      </c>
      <c r="H104" s="826">
        <f t="shared" si="14"/>
        <v>589906.58178432973</v>
      </c>
    </row>
    <row r="105" spans="2:8" ht="13.5">
      <c r="B105" s="724">
        <v>44105</v>
      </c>
      <c r="C105" s="724">
        <v>44135</v>
      </c>
      <c r="D105" s="824">
        <v>0.18090000000000001</v>
      </c>
      <c r="E105" s="824">
        <f t="shared" si="15"/>
        <v>0.27134999999999998</v>
      </c>
      <c r="F105" s="825">
        <f t="shared" si="12"/>
        <v>6.5796794962613703E-4</v>
      </c>
      <c r="G105" s="793">
        <f t="shared" si="17"/>
        <v>31</v>
      </c>
      <c r="H105" s="826">
        <f t="shared" si="14"/>
        <v>601888.73594898765</v>
      </c>
    </row>
    <row r="106" spans="2:8" ht="13.5">
      <c r="B106" s="724">
        <v>44136</v>
      </c>
      <c r="C106" s="724">
        <v>44165</v>
      </c>
      <c r="D106" s="824">
        <v>0.1784</v>
      </c>
      <c r="E106" s="824">
        <f t="shared" si="15"/>
        <v>0.2676</v>
      </c>
      <c r="F106" s="825">
        <f t="shared" si="12"/>
        <v>6.4986956374091243E-4</v>
      </c>
      <c r="G106" s="793">
        <f t="shared" si="17"/>
        <v>30</v>
      </c>
      <c r="H106" s="826">
        <f t="shared" si="14"/>
        <v>575303.78994510567</v>
      </c>
    </row>
    <row r="107" spans="2:8" ht="13.5">
      <c r="B107" s="724">
        <v>44166</v>
      </c>
      <c r="C107" s="724">
        <v>44196</v>
      </c>
      <c r="D107" s="824">
        <v>0.17460000000000001</v>
      </c>
      <c r="E107" s="824">
        <f t="shared" si="15"/>
        <v>0.26190000000000002</v>
      </c>
      <c r="F107" s="825">
        <f t="shared" si="12"/>
        <v>6.3751414410861962E-4</v>
      </c>
      <c r="G107" s="793">
        <f t="shared" si="17"/>
        <v>31</v>
      </c>
      <c r="H107" s="826">
        <f t="shared" si="14"/>
        <v>583178.2270932293</v>
      </c>
    </row>
    <row r="108" spans="2:8" ht="13.5">
      <c r="B108" s="724">
        <v>44197</v>
      </c>
      <c r="C108" s="724">
        <v>44227</v>
      </c>
      <c r="D108" s="824">
        <v>0.17319999999999999</v>
      </c>
      <c r="E108" s="824">
        <f t="shared" si="15"/>
        <v>0.25979999999999998</v>
      </c>
      <c r="F108" s="825">
        <f t="shared" si="12"/>
        <v>6.3294811266723094E-4</v>
      </c>
      <c r="G108" s="793">
        <f t="shared" si="17"/>
        <v>31</v>
      </c>
      <c r="H108" s="826">
        <f t="shared" si="14"/>
        <v>579001.36271233927</v>
      </c>
    </row>
    <row r="109" spans="2:8" ht="13.5">
      <c r="B109" s="724">
        <v>44228</v>
      </c>
      <c r="C109" s="724">
        <v>44255</v>
      </c>
      <c r="D109" s="824">
        <v>0.1754</v>
      </c>
      <c r="E109" s="824">
        <f t="shared" si="15"/>
        <v>0.2631</v>
      </c>
      <c r="F109" s="825">
        <f t="shared" si="12"/>
        <v>6.4011990387169426E-4</v>
      </c>
      <c r="G109" s="793">
        <f t="shared" si="17"/>
        <v>28</v>
      </c>
      <c r="H109" s="826">
        <f t="shared" si="14"/>
        <v>528894.61533945648</v>
      </c>
    </row>
    <row r="110" spans="2:8" ht="13.5">
      <c r="B110" s="724">
        <v>44256</v>
      </c>
      <c r="C110" s="724">
        <v>44286</v>
      </c>
      <c r="D110" s="824">
        <v>0.1741</v>
      </c>
      <c r="E110" s="824">
        <f t="shared" si="15"/>
        <v>0.26114999999999999</v>
      </c>
      <c r="F110" s="825">
        <f t="shared" si="12"/>
        <v>6.3588428907812578E-4</v>
      </c>
      <c r="G110" s="793">
        <f t="shared" si="17"/>
        <v>31</v>
      </c>
      <c r="H110" s="826">
        <f t="shared" si="14"/>
        <v>581687.28610645118</v>
      </c>
    </row>
    <row r="111" spans="2:8" ht="13.5">
      <c r="B111" s="724">
        <v>44287</v>
      </c>
      <c r="C111" s="724">
        <v>44316</v>
      </c>
      <c r="D111" s="824">
        <v>0.1731</v>
      </c>
      <c r="E111" s="824">
        <f t="shared" si="15"/>
        <v>0.25964999999999999</v>
      </c>
      <c r="F111" s="825">
        <f t="shared" si="12"/>
        <v>6.326216771728177E-4</v>
      </c>
      <c r="G111" s="793">
        <f t="shared" si="17"/>
        <v>30</v>
      </c>
      <c r="H111" s="826">
        <f t="shared" si="14"/>
        <v>560034.91898267937</v>
      </c>
    </row>
    <row r="112" spans="2:8" ht="13.5">
      <c r="B112" s="724">
        <v>44317</v>
      </c>
      <c r="C112" s="724">
        <v>44347</v>
      </c>
      <c r="D112" s="824">
        <v>0.17219999999999999</v>
      </c>
      <c r="E112" s="824">
        <f t="shared" si="15"/>
        <v>0.25829999999999997</v>
      </c>
      <c r="F112" s="825">
        <f t="shared" si="12"/>
        <v>6.2968201205726437E-4</v>
      </c>
      <c r="G112" s="793">
        <f t="shared" si="17"/>
        <v>31</v>
      </c>
      <c r="H112" s="826">
        <f t="shared" si="14"/>
        <v>576013.63486217265</v>
      </c>
    </row>
    <row r="113" spans="2:8" ht="13.5">
      <c r="B113" s="821">
        <v>44348</v>
      </c>
      <c r="C113" s="821">
        <v>44377</v>
      </c>
      <c r="D113" s="827">
        <v>0.1721</v>
      </c>
      <c r="E113" s="827">
        <f t="shared" si="15"/>
        <v>0.25814999999999999</v>
      </c>
      <c r="F113" s="825">
        <f t="shared" si="12"/>
        <v>6.2935518846773952E-4</v>
      </c>
      <c r="G113" s="828">
        <f t="shared" si="17"/>
        <v>30</v>
      </c>
      <c r="H113" s="826">
        <f t="shared" si="14"/>
        <v>557143.22588502651</v>
      </c>
    </row>
    <row r="114" spans="2:8" ht="13.5">
      <c r="B114" s="821">
        <v>44378</v>
      </c>
      <c r="C114" s="821">
        <v>44408</v>
      </c>
      <c r="D114" s="827">
        <v>0.17180000000000001</v>
      </c>
      <c r="E114" s="827">
        <f t="shared" si="15"/>
        <v>0.25770000000000004</v>
      </c>
      <c r="F114" s="825">
        <f t="shared" si="12"/>
        <v>6.2837448450037137E-4</v>
      </c>
      <c r="G114" s="828">
        <f t="shared" si="17"/>
        <v>31</v>
      </c>
      <c r="H114" s="826">
        <f t="shared" si="14"/>
        <v>574817.54908187897</v>
      </c>
    </row>
    <row r="115" spans="2:8" ht="13.5">
      <c r="B115" s="724">
        <v>44409</v>
      </c>
      <c r="C115" s="724">
        <v>44439</v>
      </c>
      <c r="D115" s="827">
        <v>0.1724</v>
      </c>
      <c r="E115" s="827">
        <f t="shared" si="15"/>
        <v>0.2586</v>
      </c>
      <c r="F115" s="825">
        <f t="shared" si="12"/>
        <v>6.3033554269220637E-4</v>
      </c>
      <c r="G115" s="828">
        <f t="shared" si="17"/>
        <v>31</v>
      </c>
      <c r="H115" s="826">
        <f t="shared" si="14"/>
        <v>576611.46447985037</v>
      </c>
    </row>
    <row r="116" spans="2:8" ht="13.5">
      <c r="B116" s="724">
        <v>44440</v>
      </c>
      <c r="C116" s="724">
        <v>44469</v>
      </c>
      <c r="D116" s="827">
        <v>0.1719</v>
      </c>
      <c r="E116" s="827">
        <f t="shared" si="15"/>
        <v>0.25785000000000002</v>
      </c>
      <c r="F116" s="825">
        <f t="shared" si="12"/>
        <v>6.2870142469861889E-4</v>
      </c>
      <c r="G116" s="828">
        <f t="shared" si="17"/>
        <v>30</v>
      </c>
      <c r="H116" s="826">
        <f t="shared" si="14"/>
        <v>556564.47470926924</v>
      </c>
    </row>
    <row r="117" spans="2:8" ht="13.5">
      <c r="B117" s="724">
        <v>44470</v>
      </c>
      <c r="C117" s="724">
        <v>44500</v>
      </c>
      <c r="D117" s="827">
        <v>0.17080000000000001</v>
      </c>
      <c r="E117" s="827">
        <f t="shared" si="15"/>
        <v>0.25619999999999998</v>
      </c>
      <c r="F117" s="825">
        <f t="shared" si="12"/>
        <v>6.2510294214179751E-4</v>
      </c>
      <c r="G117" s="828">
        <f t="shared" si="17"/>
        <v>31</v>
      </c>
      <c r="H117" s="826">
        <f t="shared" si="14"/>
        <v>571824.84328834538</v>
      </c>
    </row>
    <row r="118" spans="2:8" ht="13.5">
      <c r="B118" s="724">
        <v>44501</v>
      </c>
      <c r="C118" s="724">
        <v>44516</v>
      </c>
      <c r="D118" s="827">
        <v>0.17269999999999999</v>
      </c>
      <c r="E118" s="827">
        <f>+D118*1.5</f>
        <v>0.25905</v>
      </c>
      <c r="F118" s="825">
        <f t="shared" si="12"/>
        <v>6.3131554742335005E-4</v>
      </c>
      <c r="G118" s="828">
        <v>16</v>
      </c>
      <c r="H118" s="826">
        <f t="shared" si="14"/>
        <v>298068.61548704735</v>
      </c>
    </row>
    <row r="119" spans="2:8" ht="14.25" thickBot="1">
      <c r="B119" s="791"/>
      <c r="C119" s="791"/>
      <c r="D119" s="791"/>
      <c r="E119" s="2640" t="s">
        <v>616</v>
      </c>
      <c r="F119" s="2640"/>
      <c r="G119" s="2640"/>
      <c r="H119" s="829">
        <f>SUM(H68:H118)</f>
        <v>28571350.573527947</v>
      </c>
    </row>
    <row r="120" spans="2:8" ht="13.5" thickBot="1">
      <c r="B120" s="2637" t="s">
        <v>621</v>
      </c>
      <c r="C120" s="2638"/>
      <c r="D120" s="2639"/>
      <c r="E120" s="637"/>
      <c r="F120" s="46"/>
    </row>
    <row r="121" spans="2:8">
      <c r="B121" s="173" t="s">
        <v>198</v>
      </c>
      <c r="C121" s="172"/>
      <c r="D121" s="171"/>
      <c r="E121" s="170">
        <f>+C66</f>
        <v>29508680</v>
      </c>
      <c r="F121" s="46"/>
    </row>
    <row r="122" spans="2:8">
      <c r="B122" s="169" t="s">
        <v>618</v>
      </c>
      <c r="C122" s="168"/>
      <c r="D122" s="167"/>
      <c r="E122" s="166">
        <f>+H119</f>
        <v>28571350.573527947</v>
      </c>
      <c r="F122" s="46"/>
    </row>
    <row r="123" spans="2:8">
      <c r="B123" s="169" t="s">
        <v>619</v>
      </c>
      <c r="E123" s="166">
        <v>2522495.514</v>
      </c>
      <c r="F123" s="46"/>
    </row>
    <row r="124" spans="2:8" ht="13.5" thickBot="1">
      <c r="B124" s="165" t="s">
        <v>61</v>
      </c>
      <c r="C124" s="164"/>
      <c r="D124" s="163"/>
      <c r="E124" s="162">
        <f>SUM(E121:E123)</f>
        <v>60602526.087527946</v>
      </c>
      <c r="F124" s="46"/>
    </row>
    <row r="125" spans="2:8">
      <c r="B125" s="10"/>
      <c r="C125" s="819"/>
      <c r="D125" s="54"/>
      <c r="E125" s="54"/>
      <c r="F125" s="46"/>
    </row>
    <row r="126" spans="2:8" ht="25.5">
      <c r="B126" s="789" t="s">
        <v>538</v>
      </c>
      <c r="C126" s="742" t="s">
        <v>622</v>
      </c>
      <c r="D126" s="791"/>
      <c r="E126" s="791"/>
      <c r="F126" s="791"/>
      <c r="G126" s="791"/>
      <c r="H126" s="791"/>
    </row>
    <row r="127" spans="2:8" ht="13.5">
      <c r="B127" s="2644" t="s">
        <v>608</v>
      </c>
      <c r="C127" s="2645"/>
      <c r="D127" s="2645"/>
      <c r="E127" s="2645"/>
      <c r="F127" s="2645"/>
      <c r="G127" s="2645"/>
      <c r="H127" s="2646"/>
    </row>
    <row r="128" spans="2:8" ht="13.5">
      <c r="B128" s="728" t="s">
        <v>535</v>
      </c>
      <c r="C128" s="822">
        <v>29508680</v>
      </c>
      <c r="D128" s="737"/>
      <c r="E128" s="737"/>
      <c r="F128" s="737"/>
      <c r="G128" s="737"/>
      <c r="H128" s="737"/>
    </row>
    <row r="129" spans="2:8" ht="51">
      <c r="B129" s="823" t="s">
        <v>206</v>
      </c>
      <c r="C129" s="823" t="s">
        <v>10</v>
      </c>
      <c r="D129" s="794" t="s">
        <v>609</v>
      </c>
      <c r="E129" s="823" t="s">
        <v>610</v>
      </c>
      <c r="F129" s="794" t="s">
        <v>611</v>
      </c>
      <c r="G129" s="793" t="s">
        <v>529</v>
      </c>
      <c r="H129" s="794" t="s">
        <v>48</v>
      </c>
    </row>
    <row r="130" spans="2:8" ht="13.5">
      <c r="B130" s="724">
        <v>43085</v>
      </c>
      <c r="C130" s="724">
        <v>43100</v>
      </c>
      <c r="D130" s="824">
        <v>0.2077</v>
      </c>
      <c r="E130" s="824">
        <f>+D130*1.5</f>
        <v>0.31154999999999999</v>
      </c>
      <c r="F130" s="825">
        <f>((1+E130)^(1/365)-1)</f>
        <v>7.4331624292400811E-4</v>
      </c>
      <c r="G130" s="793">
        <f>_xlfn.DAYS(C130,B130)+1</f>
        <v>16</v>
      </c>
      <c r="H130" s="826">
        <f>$C$66*F130*G130</f>
        <v>350948.49841994909</v>
      </c>
    </row>
    <row r="131" spans="2:8" ht="13.5">
      <c r="B131" s="724">
        <v>43101</v>
      </c>
      <c r="C131" s="724">
        <v>43131</v>
      </c>
      <c r="D131" s="824">
        <v>0.2069</v>
      </c>
      <c r="E131" s="824">
        <f>+D131*1.5</f>
        <v>0.31035000000000001</v>
      </c>
      <c r="F131" s="825">
        <f t="shared" ref="F131:F180" si="18">((1+E131)^(1/365)-1)</f>
        <v>7.4080652774299871E-4</v>
      </c>
      <c r="G131" s="793">
        <f t="shared" ref="G131:G136" si="19">_xlfn.DAYS(C131,B131)+1</f>
        <v>31</v>
      </c>
      <c r="H131" s="826">
        <f t="shared" ref="H131:H180" si="20">$C$66*F131*G131</f>
        <v>677666.90584145742</v>
      </c>
    </row>
    <row r="132" spans="2:8" ht="13.5">
      <c r="B132" s="724">
        <v>43132</v>
      </c>
      <c r="C132" s="724">
        <v>43159</v>
      </c>
      <c r="D132" s="824">
        <v>0.21010000000000001</v>
      </c>
      <c r="E132" s="824">
        <f>+D132*1.5</f>
        <v>0.31515000000000004</v>
      </c>
      <c r="F132" s="825">
        <f t="shared" si="18"/>
        <v>7.5083167162115494E-4</v>
      </c>
      <c r="G132" s="793">
        <f t="shared" si="19"/>
        <v>28</v>
      </c>
      <c r="H132" s="826">
        <f t="shared" si="20"/>
        <v>620369.44288854476</v>
      </c>
    </row>
    <row r="133" spans="2:8" ht="13.5">
      <c r="B133" s="724">
        <v>43160</v>
      </c>
      <c r="C133" s="724">
        <v>43190</v>
      </c>
      <c r="D133" s="824">
        <v>0.20680000000000001</v>
      </c>
      <c r="E133" s="824">
        <f>+D133*1.5</f>
        <v>0.31020000000000003</v>
      </c>
      <c r="F133" s="825">
        <f t="shared" si="18"/>
        <v>7.4049265219700011E-4</v>
      </c>
      <c r="G133" s="793">
        <f t="shared" si="19"/>
        <v>31</v>
      </c>
      <c r="H133" s="826">
        <f t="shared" si="20"/>
        <v>677379.78219700977</v>
      </c>
    </row>
    <row r="134" spans="2:8" ht="13.5">
      <c r="B134" s="724">
        <v>43191</v>
      </c>
      <c r="C134" s="724">
        <v>43220</v>
      </c>
      <c r="D134" s="824">
        <v>0.20480000000000001</v>
      </c>
      <c r="E134" s="824">
        <f t="shared" ref="E134:E179" si="21">+D134*1.5</f>
        <v>0.30720000000000003</v>
      </c>
      <c r="F134" s="825">
        <f t="shared" si="18"/>
        <v>7.34207604366377E-4</v>
      </c>
      <c r="G134" s="793">
        <f t="shared" si="19"/>
        <v>30</v>
      </c>
      <c r="H134" s="826">
        <f t="shared" si="20"/>
        <v>649964.91752442066</v>
      </c>
    </row>
    <row r="135" spans="2:8" ht="13.5">
      <c r="B135" s="724">
        <v>43221</v>
      </c>
      <c r="C135" s="724">
        <v>43251</v>
      </c>
      <c r="D135" s="824">
        <v>0.2044</v>
      </c>
      <c r="E135" s="824">
        <f t="shared" si="21"/>
        <v>0.30659999999999998</v>
      </c>
      <c r="F135" s="825">
        <f t="shared" si="18"/>
        <v>7.3294886878794152E-4</v>
      </c>
      <c r="G135" s="793">
        <f t="shared" si="19"/>
        <v>31</v>
      </c>
      <c r="H135" s="826">
        <f t="shared" si="20"/>
        <v>670478.96238818602</v>
      </c>
    </row>
    <row r="136" spans="2:8" ht="13.5">
      <c r="B136" s="724">
        <v>43252</v>
      </c>
      <c r="C136" s="724">
        <v>43266</v>
      </c>
      <c r="D136" s="824">
        <v>0.20280000000000001</v>
      </c>
      <c r="E136" s="824">
        <f t="shared" si="21"/>
        <v>0.30420000000000003</v>
      </c>
      <c r="F136" s="825">
        <f t="shared" si="18"/>
        <v>7.2790815549184096E-4</v>
      </c>
      <c r="G136" s="793">
        <f t="shared" si="19"/>
        <v>15</v>
      </c>
      <c r="H136" s="826">
        <f t="shared" si="20"/>
        <v>322194.13244698464</v>
      </c>
    </row>
    <row r="137" spans="2:8" ht="13.5">
      <c r="B137" s="724">
        <v>43267</v>
      </c>
      <c r="C137" s="724">
        <v>43276</v>
      </c>
      <c r="D137" s="824">
        <v>0</v>
      </c>
      <c r="E137" s="824">
        <f t="shared" si="21"/>
        <v>0</v>
      </c>
      <c r="F137" s="825">
        <f t="shared" si="18"/>
        <v>0</v>
      </c>
      <c r="G137" s="793">
        <v>0</v>
      </c>
      <c r="H137" s="826">
        <f t="shared" si="20"/>
        <v>0</v>
      </c>
    </row>
    <row r="138" spans="2:8" ht="13.5">
      <c r="B138" s="724">
        <v>43277</v>
      </c>
      <c r="C138" s="724">
        <v>43281</v>
      </c>
      <c r="D138" s="824">
        <v>0.20280000000000001</v>
      </c>
      <c r="E138" s="824">
        <f t="shared" si="21"/>
        <v>0.30420000000000003</v>
      </c>
      <c r="F138" s="825">
        <f t="shared" si="18"/>
        <v>7.2790815549184096E-4</v>
      </c>
      <c r="G138" s="793">
        <f t="shared" ref="G138:G143" si="22">_xlfn.DAYS(C138,B138)+1</f>
        <v>5</v>
      </c>
      <c r="H138" s="826">
        <f t="shared" si="20"/>
        <v>107398.04414899489</v>
      </c>
    </row>
    <row r="139" spans="2:8" ht="13.5">
      <c r="B139" s="724">
        <v>43282</v>
      </c>
      <c r="C139" s="724">
        <v>43312</v>
      </c>
      <c r="D139" s="824">
        <v>0.20030000000000001</v>
      </c>
      <c r="E139" s="824">
        <f t="shared" si="21"/>
        <v>0.30044999999999999</v>
      </c>
      <c r="F139" s="825">
        <f t="shared" si="18"/>
        <v>7.2001349197825526E-4</v>
      </c>
      <c r="G139" s="793">
        <f t="shared" si="22"/>
        <v>31</v>
      </c>
      <c r="H139" s="826">
        <f t="shared" si="20"/>
        <v>658646.0796445359</v>
      </c>
    </row>
    <row r="140" spans="2:8" ht="13.5">
      <c r="B140" s="724">
        <v>43313</v>
      </c>
      <c r="C140" s="724">
        <v>43343</v>
      </c>
      <c r="D140" s="824">
        <v>0.19939999999999999</v>
      </c>
      <c r="E140" s="824">
        <f t="shared" si="21"/>
        <v>0.29909999999999998</v>
      </c>
      <c r="F140" s="825">
        <f t="shared" si="18"/>
        <v>7.1716585429704161E-4</v>
      </c>
      <c r="G140" s="793">
        <f t="shared" si="22"/>
        <v>31</v>
      </c>
      <c r="H140" s="826">
        <f t="shared" si="20"/>
        <v>656041.14874271874</v>
      </c>
    </row>
    <row r="141" spans="2:8" ht="13.5">
      <c r="B141" s="724">
        <v>43344</v>
      </c>
      <c r="C141" s="724">
        <v>43373</v>
      </c>
      <c r="D141" s="824">
        <v>0.1981</v>
      </c>
      <c r="E141" s="824">
        <f t="shared" si="21"/>
        <v>0.29715000000000003</v>
      </c>
      <c r="F141" s="825">
        <f t="shared" si="18"/>
        <v>7.1304738558919389E-4</v>
      </c>
      <c r="G141" s="793">
        <f t="shared" si="22"/>
        <v>30</v>
      </c>
      <c r="H141" s="826">
        <f t="shared" si="20"/>
        <v>631232.61378564395</v>
      </c>
    </row>
    <row r="142" spans="2:8" ht="13.5">
      <c r="B142" s="724">
        <v>43374</v>
      </c>
      <c r="C142" s="820">
        <v>43389</v>
      </c>
      <c r="D142" s="824">
        <v>0.1963</v>
      </c>
      <c r="E142" s="824">
        <f t="shared" si="21"/>
        <v>0.29444999999999999</v>
      </c>
      <c r="F142" s="825">
        <f t="shared" si="18"/>
        <v>7.073346857742191E-4</v>
      </c>
      <c r="G142" s="793">
        <f t="shared" si="22"/>
        <v>16</v>
      </c>
      <c r="H142" s="826">
        <f t="shared" si="20"/>
        <v>333960.20632659172</v>
      </c>
    </row>
    <row r="143" spans="2:8" ht="13.5">
      <c r="B143" s="820">
        <v>43390</v>
      </c>
      <c r="C143" s="724">
        <v>43404</v>
      </c>
      <c r="D143" s="824">
        <v>0.1963</v>
      </c>
      <c r="E143" s="824">
        <f t="shared" si="21"/>
        <v>0.29444999999999999</v>
      </c>
      <c r="F143" s="825">
        <f t="shared" si="18"/>
        <v>7.073346857742191E-4</v>
      </c>
      <c r="G143" s="793">
        <f t="shared" si="22"/>
        <v>15</v>
      </c>
      <c r="H143" s="826">
        <f t="shared" si="20"/>
        <v>313087.69343117974</v>
      </c>
    </row>
    <row r="144" spans="2:8" ht="13.5">
      <c r="B144" s="724">
        <v>43405</v>
      </c>
      <c r="C144" s="724">
        <v>43434</v>
      </c>
      <c r="D144" s="824">
        <v>0.19489999999999999</v>
      </c>
      <c r="E144" s="824">
        <f t="shared" si="21"/>
        <v>0.29235</v>
      </c>
      <c r="F144" s="825">
        <f t="shared" si="18"/>
        <v>7.0288325333756063E-4</v>
      </c>
      <c r="G144" s="793">
        <f>_xlfn.DAYS(C144,B144)+1</f>
        <v>30</v>
      </c>
      <c r="H144" s="826">
        <f t="shared" si="20"/>
        <v>622234.71000291035</v>
      </c>
    </row>
    <row r="145" spans="2:8" ht="13.5">
      <c r="B145" s="724">
        <v>43435</v>
      </c>
      <c r="C145" s="724">
        <v>43465</v>
      </c>
      <c r="D145" s="824">
        <v>0.19400000000000001</v>
      </c>
      <c r="E145" s="824">
        <f t="shared" si="21"/>
        <v>0.29100000000000004</v>
      </c>
      <c r="F145" s="825">
        <f t="shared" si="18"/>
        <v>7.0001780740103214E-4</v>
      </c>
      <c r="G145" s="793">
        <f t="shared" ref="G145:G179" si="23">_xlfn.DAYS(C145,B145)+1</f>
        <v>31</v>
      </c>
      <c r="H145" s="826">
        <f t="shared" si="20"/>
        <v>640354.64565985929</v>
      </c>
    </row>
    <row r="146" spans="2:8" ht="13.5">
      <c r="B146" s="724">
        <v>43466</v>
      </c>
      <c r="C146" s="724">
        <v>43496</v>
      </c>
      <c r="D146" s="824">
        <v>0.19159999999999999</v>
      </c>
      <c r="E146" s="824">
        <f t="shared" si="21"/>
        <v>0.28739999999999999</v>
      </c>
      <c r="F146" s="825">
        <f t="shared" si="18"/>
        <v>6.9236198468725085E-4</v>
      </c>
      <c r="G146" s="793">
        <f t="shared" si="23"/>
        <v>31</v>
      </c>
      <c r="H146" s="826">
        <f t="shared" si="20"/>
        <v>633351.33575933054</v>
      </c>
    </row>
    <row r="147" spans="2:8" ht="13.5">
      <c r="B147" s="724">
        <v>43497</v>
      </c>
      <c r="C147" s="724">
        <v>43524</v>
      </c>
      <c r="D147" s="824">
        <v>0.19700000000000001</v>
      </c>
      <c r="E147" s="824">
        <f t="shared" si="21"/>
        <v>0.29549999999999998</v>
      </c>
      <c r="F147" s="825">
        <f t="shared" si="18"/>
        <v>7.0955770203506852E-4</v>
      </c>
      <c r="G147" s="793">
        <f t="shared" si="23"/>
        <v>28</v>
      </c>
      <c r="H147" s="826">
        <f t="shared" si="20"/>
        <v>586267.11278486927</v>
      </c>
    </row>
    <row r="148" spans="2:8" ht="13.5">
      <c r="B148" s="724">
        <v>43525</v>
      </c>
      <c r="C148" s="724">
        <v>43555</v>
      </c>
      <c r="D148" s="824">
        <v>0.19370000000000001</v>
      </c>
      <c r="E148" s="824">
        <f t="shared" si="21"/>
        <v>0.29055000000000003</v>
      </c>
      <c r="F148" s="825">
        <f t="shared" si="18"/>
        <v>6.9906199467517638E-4</v>
      </c>
      <c r="G148" s="793">
        <f t="shared" si="23"/>
        <v>31</v>
      </c>
      <c r="H148" s="826">
        <f t="shared" si="20"/>
        <v>639480.29773197602</v>
      </c>
    </row>
    <row r="149" spans="2:8" ht="13.5">
      <c r="B149" s="724">
        <v>43556</v>
      </c>
      <c r="C149" s="724">
        <v>43585</v>
      </c>
      <c r="D149" s="824">
        <v>0.19320000000000001</v>
      </c>
      <c r="E149" s="824">
        <f t="shared" si="21"/>
        <v>0.2898</v>
      </c>
      <c r="F149" s="825">
        <f t="shared" si="18"/>
        <v>6.9746823462724095E-4</v>
      </c>
      <c r="G149" s="793">
        <f t="shared" si="23"/>
        <v>30</v>
      </c>
      <c r="H149" s="826">
        <f t="shared" si="20"/>
        <v>617441.0083734052</v>
      </c>
    </row>
    <row r="150" spans="2:8" ht="13.5">
      <c r="B150" s="724">
        <v>43586</v>
      </c>
      <c r="C150" s="724">
        <v>43616</v>
      </c>
      <c r="D150" s="824">
        <v>0.19339999999999999</v>
      </c>
      <c r="E150" s="824">
        <f t="shared" si="21"/>
        <v>0.29009999999999997</v>
      </c>
      <c r="F150" s="825">
        <f t="shared" si="18"/>
        <v>6.9810584952367805E-4</v>
      </c>
      <c r="G150" s="793">
        <f t="shared" si="23"/>
        <v>31</v>
      </c>
      <c r="H150" s="826">
        <f t="shared" si="20"/>
        <v>638605.64571139344</v>
      </c>
    </row>
    <row r="151" spans="2:8" ht="13.5">
      <c r="B151" s="724">
        <v>43617</v>
      </c>
      <c r="C151" s="724">
        <v>43646</v>
      </c>
      <c r="D151" s="824">
        <v>0.193</v>
      </c>
      <c r="E151" s="824">
        <f t="shared" si="21"/>
        <v>0.28949999999999998</v>
      </c>
      <c r="F151" s="825">
        <f t="shared" si="18"/>
        <v>6.9683047181468005E-4</v>
      </c>
      <c r="G151" s="793">
        <f t="shared" si="23"/>
        <v>30</v>
      </c>
      <c r="H151" s="826">
        <f t="shared" si="20"/>
        <v>616876.42221085238</v>
      </c>
    </row>
    <row r="152" spans="2:8" ht="13.5">
      <c r="B152" s="724">
        <v>43647</v>
      </c>
      <c r="C152" s="724">
        <v>43677</v>
      </c>
      <c r="D152" s="824">
        <v>0.1928</v>
      </c>
      <c r="E152" s="824">
        <f t="shared" si="21"/>
        <v>0.28920000000000001</v>
      </c>
      <c r="F152" s="825">
        <f t="shared" si="18"/>
        <v>6.9619256101671745E-4</v>
      </c>
      <c r="G152" s="793">
        <f t="shared" si="23"/>
        <v>31</v>
      </c>
      <c r="H152" s="826">
        <f t="shared" si="20"/>
        <v>636855.42854410643</v>
      </c>
    </row>
    <row r="153" spans="2:8" ht="13.5">
      <c r="B153" s="724">
        <v>43678</v>
      </c>
      <c r="C153" s="724">
        <v>43708</v>
      </c>
      <c r="D153" s="824">
        <v>0.19320000000000001</v>
      </c>
      <c r="E153" s="824">
        <f t="shared" si="21"/>
        <v>0.2898</v>
      </c>
      <c r="F153" s="825">
        <f t="shared" si="18"/>
        <v>6.9746823462724095E-4</v>
      </c>
      <c r="G153" s="793">
        <f t="shared" si="23"/>
        <v>31</v>
      </c>
      <c r="H153" s="826">
        <f t="shared" si="20"/>
        <v>638022.37531918543</v>
      </c>
    </row>
    <row r="154" spans="2:8" ht="13.5">
      <c r="B154" s="724">
        <v>43709</v>
      </c>
      <c r="C154" s="724">
        <v>43738</v>
      </c>
      <c r="D154" s="824">
        <v>0.19320000000000001</v>
      </c>
      <c r="E154" s="824">
        <f t="shared" si="21"/>
        <v>0.2898</v>
      </c>
      <c r="F154" s="825">
        <f t="shared" si="18"/>
        <v>6.9746823462724095E-4</v>
      </c>
      <c r="G154" s="793">
        <f t="shared" si="23"/>
        <v>30</v>
      </c>
      <c r="H154" s="826">
        <f t="shared" si="20"/>
        <v>617441.0083734052</v>
      </c>
    </row>
    <row r="155" spans="2:8" ht="13.5">
      <c r="B155" s="724">
        <v>43739</v>
      </c>
      <c r="C155" s="724">
        <v>43769</v>
      </c>
      <c r="D155" s="824">
        <v>0.191</v>
      </c>
      <c r="E155" s="824">
        <f t="shared" si="21"/>
        <v>0.28649999999999998</v>
      </c>
      <c r="F155" s="825">
        <f t="shared" si="18"/>
        <v>6.9044469314105683E-4</v>
      </c>
      <c r="G155" s="793">
        <f t="shared" si="23"/>
        <v>31</v>
      </c>
      <c r="H155" s="826">
        <f t="shared" si="20"/>
        <v>631597.45673552691</v>
      </c>
    </row>
    <row r="156" spans="2:8" ht="13.5">
      <c r="B156" s="724">
        <v>43770</v>
      </c>
      <c r="C156" s="724">
        <v>43799</v>
      </c>
      <c r="D156" s="824">
        <v>0.1903</v>
      </c>
      <c r="E156" s="824">
        <f t="shared" si="21"/>
        <v>0.28544999999999998</v>
      </c>
      <c r="F156" s="825">
        <f t="shared" si="18"/>
        <v>6.8820616169262827E-4</v>
      </c>
      <c r="G156" s="793">
        <f t="shared" si="23"/>
        <v>30</v>
      </c>
      <c r="H156" s="826">
        <f t="shared" si="20"/>
        <v>609241.66198248079</v>
      </c>
    </row>
    <row r="157" spans="2:8" ht="13.5">
      <c r="B157" s="724">
        <v>43800</v>
      </c>
      <c r="C157" s="724">
        <v>43830</v>
      </c>
      <c r="D157" s="824">
        <v>0.18909999999999999</v>
      </c>
      <c r="E157" s="824">
        <f t="shared" si="21"/>
        <v>0.28364999999999996</v>
      </c>
      <c r="F157" s="825">
        <f t="shared" si="18"/>
        <v>6.8436443340047504E-4</v>
      </c>
      <c r="G157" s="793">
        <f t="shared" si="23"/>
        <v>31</v>
      </c>
      <c r="H157" s="826">
        <f t="shared" si="20"/>
        <v>626035.42312647379</v>
      </c>
    </row>
    <row r="158" spans="2:8" ht="13.5">
      <c r="B158" s="724">
        <v>43831</v>
      </c>
      <c r="C158" s="724">
        <v>43861</v>
      </c>
      <c r="D158" s="824">
        <v>0.18770000000000001</v>
      </c>
      <c r="E158" s="824">
        <f t="shared" si="21"/>
        <v>0.28155000000000002</v>
      </c>
      <c r="F158" s="825">
        <f t="shared" si="18"/>
        <v>6.7987562124560696E-4</v>
      </c>
      <c r="G158" s="793">
        <f t="shared" si="23"/>
        <v>31</v>
      </c>
      <c r="H158" s="826">
        <f t="shared" si="20"/>
        <v>621929.19656127226</v>
      </c>
    </row>
    <row r="159" spans="2:8" ht="13.5">
      <c r="B159" s="724">
        <v>43862</v>
      </c>
      <c r="C159" s="724">
        <v>43890</v>
      </c>
      <c r="D159" s="824">
        <v>0.19059999999999999</v>
      </c>
      <c r="E159" s="824">
        <f t="shared" si="21"/>
        <v>0.28589999999999999</v>
      </c>
      <c r="F159" s="825">
        <f t="shared" si="18"/>
        <v>6.8916575551658532E-4</v>
      </c>
      <c r="G159" s="793">
        <f t="shared" si="23"/>
        <v>29</v>
      </c>
      <c r="H159" s="826">
        <f t="shared" si="20"/>
        <v>589754.78064841742</v>
      </c>
    </row>
    <row r="160" spans="2:8" ht="13.5">
      <c r="B160" s="724">
        <v>43891</v>
      </c>
      <c r="C160" s="724">
        <v>43921</v>
      </c>
      <c r="D160" s="824">
        <v>0.1895</v>
      </c>
      <c r="E160" s="824">
        <f t="shared" si="21"/>
        <v>0.28425</v>
      </c>
      <c r="F160" s="825">
        <f t="shared" si="18"/>
        <v>6.8564560609574166E-4</v>
      </c>
      <c r="G160" s="793">
        <f t="shared" si="23"/>
        <v>31</v>
      </c>
      <c r="H160" s="826">
        <f t="shared" si="20"/>
        <v>627207.40029424394</v>
      </c>
    </row>
    <row r="161" spans="2:8" ht="13.5">
      <c r="B161" s="724">
        <v>43922</v>
      </c>
      <c r="C161" s="724">
        <v>43951</v>
      </c>
      <c r="D161" s="824">
        <v>0.18690000000000001</v>
      </c>
      <c r="E161" s="824">
        <f t="shared" si="21"/>
        <v>0.28034999999999999</v>
      </c>
      <c r="F161" s="825">
        <f t="shared" si="18"/>
        <v>6.7730729113191224E-4</v>
      </c>
      <c r="G161" s="793">
        <f t="shared" si="23"/>
        <v>30</v>
      </c>
      <c r="H161" s="826">
        <f t="shared" si="20"/>
        <v>599593.32347035303</v>
      </c>
    </row>
    <row r="162" spans="2:8" ht="13.5">
      <c r="B162" s="724">
        <v>43952</v>
      </c>
      <c r="C162" s="724">
        <v>43982</v>
      </c>
      <c r="D162" s="824">
        <v>0.18190000000000001</v>
      </c>
      <c r="E162" s="824">
        <f t="shared" si="21"/>
        <v>0.27285000000000004</v>
      </c>
      <c r="F162" s="825">
        <f t="shared" si="18"/>
        <v>6.6120063584418354E-4</v>
      </c>
      <c r="G162" s="793">
        <f t="shared" si="23"/>
        <v>31</v>
      </c>
      <c r="H162" s="826">
        <f t="shared" si="20"/>
        <v>604845.89734659879</v>
      </c>
    </row>
    <row r="163" spans="2:8" ht="13.5">
      <c r="B163" s="724">
        <v>43983</v>
      </c>
      <c r="C163" s="724">
        <v>44012</v>
      </c>
      <c r="D163" s="824">
        <v>0.1812</v>
      </c>
      <c r="E163" s="824">
        <f t="shared" si="21"/>
        <v>0.27179999999999999</v>
      </c>
      <c r="F163" s="825">
        <f t="shared" si="18"/>
        <v>6.5893815469997286E-4</v>
      </c>
      <c r="G163" s="793">
        <f t="shared" si="23"/>
        <v>30</v>
      </c>
      <c r="H163" s="826">
        <f t="shared" si="20"/>
        <v>583331.85440495983</v>
      </c>
    </row>
    <row r="164" spans="2:8" ht="13.5">
      <c r="B164" s="724">
        <v>44013</v>
      </c>
      <c r="C164" s="724">
        <v>44043</v>
      </c>
      <c r="D164" s="824">
        <v>0.1812</v>
      </c>
      <c r="E164" s="824">
        <f t="shared" si="21"/>
        <v>0.27179999999999999</v>
      </c>
      <c r="F164" s="825">
        <f t="shared" si="18"/>
        <v>6.5893815469997286E-4</v>
      </c>
      <c r="G164" s="793">
        <f t="shared" si="23"/>
        <v>31</v>
      </c>
      <c r="H164" s="826">
        <f t="shared" si="20"/>
        <v>602776.24955179181</v>
      </c>
    </row>
    <row r="165" spans="2:8" ht="13.5">
      <c r="B165" s="724">
        <v>44044</v>
      </c>
      <c r="C165" s="724">
        <v>44074</v>
      </c>
      <c r="D165" s="824">
        <v>0.18290000000000001</v>
      </c>
      <c r="E165" s="824">
        <f t="shared" si="21"/>
        <v>0.27434999999999998</v>
      </c>
      <c r="F165" s="825">
        <f t="shared" si="18"/>
        <v>6.6442952514544906E-4</v>
      </c>
      <c r="G165" s="793">
        <f t="shared" si="23"/>
        <v>31</v>
      </c>
      <c r="H165" s="826">
        <f t="shared" si="20"/>
        <v>607799.5854421393</v>
      </c>
    </row>
    <row r="166" spans="2:8" ht="13.5">
      <c r="B166" s="724">
        <v>44075</v>
      </c>
      <c r="C166" s="724">
        <v>44104</v>
      </c>
      <c r="D166" s="824">
        <v>0.1835</v>
      </c>
      <c r="E166" s="824">
        <f t="shared" si="21"/>
        <v>0.27524999999999999</v>
      </c>
      <c r="F166" s="825">
        <f t="shared" si="18"/>
        <v>6.6636503991857055E-4</v>
      </c>
      <c r="G166" s="793">
        <f t="shared" si="23"/>
        <v>30</v>
      </c>
      <c r="H166" s="826">
        <f t="shared" si="20"/>
        <v>589906.58178432973</v>
      </c>
    </row>
    <row r="167" spans="2:8" ht="13.5">
      <c r="B167" s="724">
        <v>44105</v>
      </c>
      <c r="C167" s="724">
        <v>44135</v>
      </c>
      <c r="D167" s="824">
        <v>0.18090000000000001</v>
      </c>
      <c r="E167" s="824">
        <f t="shared" si="21"/>
        <v>0.27134999999999998</v>
      </c>
      <c r="F167" s="825">
        <f t="shared" si="18"/>
        <v>6.5796794962613703E-4</v>
      </c>
      <c r="G167" s="793">
        <f t="shared" si="23"/>
        <v>31</v>
      </c>
      <c r="H167" s="826">
        <f t="shared" si="20"/>
        <v>601888.73594898765</v>
      </c>
    </row>
    <row r="168" spans="2:8" ht="13.5">
      <c r="B168" s="724">
        <v>44136</v>
      </c>
      <c r="C168" s="724">
        <v>44165</v>
      </c>
      <c r="D168" s="824">
        <v>0.1784</v>
      </c>
      <c r="E168" s="824">
        <f t="shared" si="21"/>
        <v>0.2676</v>
      </c>
      <c r="F168" s="825">
        <f t="shared" si="18"/>
        <v>6.4986956374091243E-4</v>
      </c>
      <c r="G168" s="793">
        <f t="shared" si="23"/>
        <v>30</v>
      </c>
      <c r="H168" s="826">
        <f t="shared" si="20"/>
        <v>575303.78994510567</v>
      </c>
    </row>
    <row r="169" spans="2:8" ht="13.5">
      <c r="B169" s="724">
        <v>44166</v>
      </c>
      <c r="C169" s="724">
        <v>44196</v>
      </c>
      <c r="D169" s="824">
        <v>0.17460000000000001</v>
      </c>
      <c r="E169" s="824">
        <f t="shared" si="21"/>
        <v>0.26190000000000002</v>
      </c>
      <c r="F169" s="825">
        <f t="shared" si="18"/>
        <v>6.3751414410861962E-4</v>
      </c>
      <c r="G169" s="793">
        <f t="shared" si="23"/>
        <v>31</v>
      </c>
      <c r="H169" s="826">
        <f t="shared" si="20"/>
        <v>583178.2270932293</v>
      </c>
    </row>
    <row r="170" spans="2:8" ht="13.5">
      <c r="B170" s="724">
        <v>44197</v>
      </c>
      <c r="C170" s="724">
        <v>44227</v>
      </c>
      <c r="D170" s="824">
        <v>0.17319999999999999</v>
      </c>
      <c r="E170" s="824">
        <f t="shared" si="21"/>
        <v>0.25979999999999998</v>
      </c>
      <c r="F170" s="825">
        <f t="shared" si="18"/>
        <v>6.3294811266723094E-4</v>
      </c>
      <c r="G170" s="793">
        <f t="shared" si="23"/>
        <v>31</v>
      </c>
      <c r="H170" s="826">
        <f t="shared" si="20"/>
        <v>579001.36271233927</v>
      </c>
    </row>
    <row r="171" spans="2:8" ht="13.5">
      <c r="B171" s="724">
        <v>44228</v>
      </c>
      <c r="C171" s="724">
        <v>44255</v>
      </c>
      <c r="D171" s="824">
        <v>0.1754</v>
      </c>
      <c r="E171" s="824">
        <f t="shared" si="21"/>
        <v>0.2631</v>
      </c>
      <c r="F171" s="825">
        <f t="shared" si="18"/>
        <v>6.4011990387169426E-4</v>
      </c>
      <c r="G171" s="793">
        <f t="shared" si="23"/>
        <v>28</v>
      </c>
      <c r="H171" s="826">
        <f t="shared" si="20"/>
        <v>528894.61533945648</v>
      </c>
    </row>
    <row r="172" spans="2:8" ht="13.5">
      <c r="B172" s="724">
        <v>44256</v>
      </c>
      <c r="C172" s="724">
        <v>44286</v>
      </c>
      <c r="D172" s="824">
        <v>0.1741</v>
      </c>
      <c r="E172" s="824">
        <f t="shared" si="21"/>
        <v>0.26114999999999999</v>
      </c>
      <c r="F172" s="825">
        <f t="shared" si="18"/>
        <v>6.3588428907812578E-4</v>
      </c>
      <c r="G172" s="793">
        <f t="shared" si="23"/>
        <v>31</v>
      </c>
      <c r="H172" s="826">
        <f t="shared" si="20"/>
        <v>581687.28610645118</v>
      </c>
    </row>
    <row r="173" spans="2:8" ht="13.5">
      <c r="B173" s="724">
        <v>44287</v>
      </c>
      <c r="C173" s="724">
        <v>44316</v>
      </c>
      <c r="D173" s="824">
        <v>0.1731</v>
      </c>
      <c r="E173" s="824">
        <f t="shared" si="21"/>
        <v>0.25964999999999999</v>
      </c>
      <c r="F173" s="825">
        <f t="shared" si="18"/>
        <v>6.326216771728177E-4</v>
      </c>
      <c r="G173" s="793">
        <f t="shared" si="23"/>
        <v>30</v>
      </c>
      <c r="H173" s="826">
        <f t="shared" si="20"/>
        <v>560034.91898267937</v>
      </c>
    </row>
    <row r="174" spans="2:8" ht="13.5">
      <c r="B174" s="724">
        <v>44317</v>
      </c>
      <c r="C174" s="724">
        <v>44347</v>
      </c>
      <c r="D174" s="824">
        <v>0.17219999999999999</v>
      </c>
      <c r="E174" s="824">
        <f t="shared" si="21"/>
        <v>0.25829999999999997</v>
      </c>
      <c r="F174" s="825">
        <f t="shared" si="18"/>
        <v>6.2968201205726437E-4</v>
      </c>
      <c r="G174" s="793">
        <f t="shared" si="23"/>
        <v>31</v>
      </c>
      <c r="H174" s="826">
        <f t="shared" si="20"/>
        <v>576013.63486217265</v>
      </c>
    </row>
    <row r="175" spans="2:8" ht="13.5">
      <c r="B175" s="821">
        <v>44348</v>
      </c>
      <c r="C175" s="821">
        <v>44377</v>
      </c>
      <c r="D175" s="827">
        <v>0.1721</v>
      </c>
      <c r="E175" s="827">
        <f t="shared" si="21"/>
        <v>0.25814999999999999</v>
      </c>
      <c r="F175" s="825">
        <f t="shared" si="18"/>
        <v>6.2935518846773952E-4</v>
      </c>
      <c r="G175" s="828">
        <f t="shared" si="23"/>
        <v>30</v>
      </c>
      <c r="H175" s="826">
        <f t="shared" si="20"/>
        <v>557143.22588502651</v>
      </c>
    </row>
    <row r="176" spans="2:8" ht="13.5">
      <c r="B176" s="821">
        <v>44378</v>
      </c>
      <c r="C176" s="821">
        <v>44408</v>
      </c>
      <c r="D176" s="827">
        <v>0.17180000000000001</v>
      </c>
      <c r="E176" s="827">
        <f t="shared" si="21"/>
        <v>0.25770000000000004</v>
      </c>
      <c r="F176" s="825">
        <f t="shared" si="18"/>
        <v>6.2837448450037137E-4</v>
      </c>
      <c r="G176" s="828">
        <f t="shared" si="23"/>
        <v>31</v>
      </c>
      <c r="H176" s="826">
        <f t="shared" si="20"/>
        <v>574817.54908187897</v>
      </c>
    </row>
    <row r="177" spans="2:8" ht="13.5">
      <c r="B177" s="724">
        <v>44409</v>
      </c>
      <c r="C177" s="724">
        <v>44439</v>
      </c>
      <c r="D177" s="827">
        <v>0.1724</v>
      </c>
      <c r="E177" s="827">
        <f t="shared" si="21"/>
        <v>0.2586</v>
      </c>
      <c r="F177" s="825">
        <f t="shared" si="18"/>
        <v>6.3033554269220637E-4</v>
      </c>
      <c r="G177" s="828">
        <f t="shared" si="23"/>
        <v>31</v>
      </c>
      <c r="H177" s="826">
        <f t="shared" si="20"/>
        <v>576611.46447985037</v>
      </c>
    </row>
    <row r="178" spans="2:8" ht="13.5">
      <c r="B178" s="724">
        <v>44440</v>
      </c>
      <c r="C178" s="724">
        <v>44469</v>
      </c>
      <c r="D178" s="827">
        <v>0.1719</v>
      </c>
      <c r="E178" s="827">
        <f t="shared" si="21"/>
        <v>0.25785000000000002</v>
      </c>
      <c r="F178" s="825">
        <f t="shared" si="18"/>
        <v>6.2870142469861889E-4</v>
      </c>
      <c r="G178" s="828">
        <f t="shared" si="23"/>
        <v>30</v>
      </c>
      <c r="H178" s="826">
        <f t="shared" si="20"/>
        <v>556564.47470926924</v>
      </c>
    </row>
    <row r="179" spans="2:8" ht="13.5">
      <c r="B179" s="724">
        <v>44470</v>
      </c>
      <c r="C179" s="724">
        <v>44500</v>
      </c>
      <c r="D179" s="827">
        <v>0.17080000000000001</v>
      </c>
      <c r="E179" s="827">
        <f t="shared" si="21"/>
        <v>0.25619999999999998</v>
      </c>
      <c r="F179" s="825">
        <f t="shared" si="18"/>
        <v>6.2510294214179751E-4</v>
      </c>
      <c r="G179" s="828">
        <f t="shared" si="23"/>
        <v>31</v>
      </c>
      <c r="H179" s="826">
        <f t="shared" si="20"/>
        <v>571824.84328834538</v>
      </c>
    </row>
    <row r="180" spans="2:8" ht="13.5">
      <c r="B180" s="724">
        <v>44501</v>
      </c>
      <c r="C180" s="724">
        <v>44516</v>
      </c>
      <c r="D180" s="827">
        <v>0.17269999999999999</v>
      </c>
      <c r="E180" s="827">
        <f>+D180*1.5</f>
        <v>0.25905</v>
      </c>
      <c r="F180" s="825">
        <f t="shared" si="18"/>
        <v>6.3131554742335005E-4</v>
      </c>
      <c r="G180" s="828">
        <v>16</v>
      </c>
      <c r="H180" s="826">
        <f t="shared" si="20"/>
        <v>298068.61548704735</v>
      </c>
    </row>
    <row r="181" spans="2:8" ht="14.25" thickBot="1">
      <c r="B181" s="791"/>
      <c r="C181" s="791"/>
      <c r="D181" s="791"/>
      <c r="E181" s="2640" t="s">
        <v>616</v>
      </c>
      <c r="F181" s="2640"/>
      <c r="G181" s="2640"/>
      <c r="H181" s="829">
        <f>SUM(H130:H180)</f>
        <v>28571350.573527947</v>
      </c>
    </row>
    <row r="182" spans="2:8" ht="24.75" customHeight="1" thickBot="1">
      <c r="B182" s="2647" t="s">
        <v>623</v>
      </c>
      <c r="C182" s="2648"/>
      <c r="D182" s="2649"/>
      <c r="E182" s="637"/>
      <c r="F182" s="46"/>
    </row>
    <row r="183" spans="2:8">
      <c r="B183" s="173" t="s">
        <v>198</v>
      </c>
      <c r="C183" s="172"/>
      <c r="D183" s="171"/>
      <c r="E183" s="170">
        <f>+C128</f>
        <v>29508680</v>
      </c>
      <c r="F183" s="46"/>
    </row>
    <row r="184" spans="2:8">
      <c r="B184" s="169" t="s">
        <v>618</v>
      </c>
      <c r="C184" s="168"/>
      <c r="D184" s="167"/>
      <c r="E184" s="166">
        <f>+H181</f>
        <v>28571350.573527947</v>
      </c>
      <c r="F184" s="46"/>
    </row>
    <row r="185" spans="2:8">
      <c r="B185" s="169" t="s">
        <v>619</v>
      </c>
      <c r="E185" s="166">
        <v>2522495.514</v>
      </c>
      <c r="F185" s="46"/>
    </row>
    <row r="186" spans="2:8" ht="13.5" thickBot="1">
      <c r="B186" s="165" t="s">
        <v>61</v>
      </c>
      <c r="C186" s="164"/>
      <c r="D186" s="163"/>
      <c r="E186" s="162">
        <f>SUM(E183:E185)</f>
        <v>60602526.087527946</v>
      </c>
      <c r="F186" s="46"/>
    </row>
    <row r="187" spans="2:8">
      <c r="B187" s="10"/>
      <c r="C187" s="54"/>
      <c r="D187" s="54"/>
      <c r="E187" s="54"/>
      <c r="F187" s="46"/>
    </row>
    <row r="188" spans="2:8" ht="25.5">
      <c r="B188" s="789" t="s">
        <v>538</v>
      </c>
      <c r="C188" s="742" t="s">
        <v>624</v>
      </c>
      <c r="D188" s="791"/>
      <c r="E188" s="791"/>
      <c r="F188" s="791"/>
      <c r="G188" s="791"/>
      <c r="H188" s="791"/>
    </row>
    <row r="189" spans="2:8" ht="13.5">
      <c r="B189" s="2644" t="s">
        <v>608</v>
      </c>
      <c r="C189" s="2645"/>
      <c r="D189" s="2645"/>
      <c r="E189" s="2645"/>
      <c r="F189" s="2645"/>
      <c r="G189" s="2645"/>
      <c r="H189" s="2646"/>
    </row>
    <row r="190" spans="2:8" ht="13.5">
      <c r="B190" s="728" t="s">
        <v>535</v>
      </c>
      <c r="C190" s="822">
        <v>29508680</v>
      </c>
      <c r="D190" s="737"/>
      <c r="E190" s="737"/>
      <c r="F190" s="737"/>
      <c r="G190" s="737"/>
      <c r="H190" s="737"/>
    </row>
    <row r="191" spans="2:8" ht="51">
      <c r="B191" s="823" t="s">
        <v>206</v>
      </c>
      <c r="C191" s="823" t="s">
        <v>10</v>
      </c>
      <c r="D191" s="794" t="s">
        <v>609</v>
      </c>
      <c r="E191" s="823" t="s">
        <v>610</v>
      </c>
      <c r="F191" s="794" t="s">
        <v>611</v>
      </c>
      <c r="G191" s="793" t="s">
        <v>529</v>
      </c>
      <c r="H191" s="794" t="s">
        <v>48</v>
      </c>
    </row>
    <row r="192" spans="2:8" s="14" customFormat="1" ht="13.5">
      <c r="B192" s="724">
        <v>43085</v>
      </c>
      <c r="C192" s="724">
        <v>43100</v>
      </c>
      <c r="D192" s="824">
        <v>0.2077</v>
      </c>
      <c r="E192" s="824">
        <f>+D192*1.5</f>
        <v>0.31154999999999999</v>
      </c>
      <c r="F192" s="825">
        <f>((1+E192)^(1/365)-1)</f>
        <v>7.4331624292400811E-4</v>
      </c>
      <c r="G192" s="793">
        <f>_xlfn.DAYS(C192,B192)+1</f>
        <v>16</v>
      </c>
      <c r="H192" s="826">
        <f>$C$66*F192*G192</f>
        <v>350948.49841994909</v>
      </c>
    </row>
    <row r="193" spans="2:8" s="14" customFormat="1" ht="13.5">
      <c r="B193" s="724">
        <v>43101</v>
      </c>
      <c r="C193" s="724">
        <v>43131</v>
      </c>
      <c r="D193" s="824">
        <v>0.2069</v>
      </c>
      <c r="E193" s="824">
        <f>+D193*1.5</f>
        <v>0.31035000000000001</v>
      </c>
      <c r="F193" s="825">
        <f t="shared" ref="F193:F242" si="24">((1+E193)^(1/365)-1)</f>
        <v>7.4080652774299871E-4</v>
      </c>
      <c r="G193" s="793">
        <f t="shared" ref="G193:G198" si="25">_xlfn.DAYS(C193,B193)+1</f>
        <v>31</v>
      </c>
      <c r="H193" s="826">
        <f t="shared" ref="H193:H242" si="26">$C$66*F193*G193</f>
        <v>677666.90584145742</v>
      </c>
    </row>
    <row r="194" spans="2:8" s="14" customFormat="1" ht="13.5">
      <c r="B194" s="724">
        <v>43132</v>
      </c>
      <c r="C194" s="724">
        <v>43159</v>
      </c>
      <c r="D194" s="824">
        <v>0.21010000000000001</v>
      </c>
      <c r="E194" s="824">
        <f>+D194*1.5</f>
        <v>0.31515000000000004</v>
      </c>
      <c r="F194" s="825">
        <f t="shared" si="24"/>
        <v>7.5083167162115494E-4</v>
      </c>
      <c r="G194" s="793">
        <f t="shared" si="25"/>
        <v>28</v>
      </c>
      <c r="H194" s="826">
        <f t="shared" si="26"/>
        <v>620369.44288854476</v>
      </c>
    </row>
    <row r="195" spans="2:8" s="14" customFormat="1" ht="13.5">
      <c r="B195" s="724">
        <v>43160</v>
      </c>
      <c r="C195" s="724">
        <v>43190</v>
      </c>
      <c r="D195" s="824">
        <v>0.20680000000000001</v>
      </c>
      <c r="E195" s="824">
        <f>+D195*1.5</f>
        <v>0.31020000000000003</v>
      </c>
      <c r="F195" s="825">
        <f t="shared" si="24"/>
        <v>7.4049265219700011E-4</v>
      </c>
      <c r="G195" s="793">
        <f t="shared" si="25"/>
        <v>31</v>
      </c>
      <c r="H195" s="826">
        <f t="shared" si="26"/>
        <v>677379.78219700977</v>
      </c>
    </row>
    <row r="196" spans="2:8" s="14" customFormat="1" ht="13.5">
      <c r="B196" s="724">
        <v>43191</v>
      </c>
      <c r="C196" s="724">
        <v>43220</v>
      </c>
      <c r="D196" s="824">
        <v>0.20480000000000001</v>
      </c>
      <c r="E196" s="824">
        <f t="shared" ref="E196:E241" si="27">+D196*1.5</f>
        <v>0.30720000000000003</v>
      </c>
      <c r="F196" s="825">
        <f t="shared" si="24"/>
        <v>7.34207604366377E-4</v>
      </c>
      <c r="G196" s="793">
        <f t="shared" si="25"/>
        <v>30</v>
      </c>
      <c r="H196" s="826">
        <f t="shared" si="26"/>
        <v>649964.91752442066</v>
      </c>
    </row>
    <row r="197" spans="2:8" s="14" customFormat="1" ht="13.5">
      <c r="B197" s="724">
        <v>43221</v>
      </c>
      <c r="C197" s="724">
        <v>43251</v>
      </c>
      <c r="D197" s="824">
        <v>0.2044</v>
      </c>
      <c r="E197" s="824">
        <f t="shared" si="27"/>
        <v>0.30659999999999998</v>
      </c>
      <c r="F197" s="825">
        <f t="shared" si="24"/>
        <v>7.3294886878794152E-4</v>
      </c>
      <c r="G197" s="793">
        <f t="shared" si="25"/>
        <v>31</v>
      </c>
      <c r="H197" s="826">
        <f t="shared" si="26"/>
        <v>670478.96238818602</v>
      </c>
    </row>
    <row r="198" spans="2:8" s="14" customFormat="1" ht="13.5">
      <c r="B198" s="724">
        <v>43252</v>
      </c>
      <c r="C198" s="724">
        <v>43266</v>
      </c>
      <c r="D198" s="824">
        <v>0.20280000000000001</v>
      </c>
      <c r="E198" s="824">
        <f t="shared" si="27"/>
        <v>0.30420000000000003</v>
      </c>
      <c r="F198" s="825">
        <f t="shared" si="24"/>
        <v>7.2790815549184096E-4</v>
      </c>
      <c r="G198" s="793">
        <f t="shared" si="25"/>
        <v>15</v>
      </c>
      <c r="H198" s="826">
        <f t="shared" si="26"/>
        <v>322194.13244698464</v>
      </c>
    </row>
    <row r="199" spans="2:8" s="14" customFormat="1" ht="13.5">
      <c r="B199" s="724">
        <v>43267</v>
      </c>
      <c r="C199" s="724">
        <v>43276</v>
      </c>
      <c r="D199" s="824">
        <v>0</v>
      </c>
      <c r="E199" s="824">
        <f t="shared" si="27"/>
        <v>0</v>
      </c>
      <c r="F199" s="825">
        <f t="shared" si="24"/>
        <v>0</v>
      </c>
      <c r="G199" s="793">
        <v>0</v>
      </c>
      <c r="H199" s="826">
        <f t="shared" si="26"/>
        <v>0</v>
      </c>
    </row>
    <row r="200" spans="2:8" s="14" customFormat="1" ht="13.5">
      <c r="B200" s="724">
        <v>43277</v>
      </c>
      <c r="C200" s="724">
        <v>43281</v>
      </c>
      <c r="D200" s="824">
        <v>0.20280000000000001</v>
      </c>
      <c r="E200" s="824">
        <f t="shared" si="27"/>
        <v>0.30420000000000003</v>
      </c>
      <c r="F200" s="825">
        <f t="shared" si="24"/>
        <v>7.2790815549184096E-4</v>
      </c>
      <c r="G200" s="793">
        <f t="shared" ref="G200:G205" si="28">_xlfn.DAYS(C200,B200)+1</f>
        <v>5</v>
      </c>
      <c r="H200" s="826">
        <f t="shared" si="26"/>
        <v>107398.04414899489</v>
      </c>
    </row>
    <row r="201" spans="2:8" s="14" customFormat="1" ht="13.5">
      <c r="B201" s="724">
        <v>43282</v>
      </c>
      <c r="C201" s="724">
        <v>43312</v>
      </c>
      <c r="D201" s="824">
        <v>0.20030000000000001</v>
      </c>
      <c r="E201" s="824">
        <f t="shared" si="27"/>
        <v>0.30044999999999999</v>
      </c>
      <c r="F201" s="825">
        <f t="shared" si="24"/>
        <v>7.2001349197825526E-4</v>
      </c>
      <c r="G201" s="793">
        <f t="shared" si="28"/>
        <v>31</v>
      </c>
      <c r="H201" s="826">
        <f t="shared" si="26"/>
        <v>658646.0796445359</v>
      </c>
    </row>
    <row r="202" spans="2:8" s="14" customFormat="1" ht="13.5">
      <c r="B202" s="724">
        <v>43313</v>
      </c>
      <c r="C202" s="724">
        <v>43343</v>
      </c>
      <c r="D202" s="824">
        <v>0.19939999999999999</v>
      </c>
      <c r="E202" s="824">
        <f t="shared" si="27"/>
        <v>0.29909999999999998</v>
      </c>
      <c r="F202" s="825">
        <f t="shared" si="24"/>
        <v>7.1716585429704161E-4</v>
      </c>
      <c r="G202" s="793">
        <f t="shared" si="28"/>
        <v>31</v>
      </c>
      <c r="H202" s="826">
        <f t="shared" si="26"/>
        <v>656041.14874271874</v>
      </c>
    </row>
    <row r="203" spans="2:8" ht="13.5">
      <c r="B203" s="724">
        <v>43344</v>
      </c>
      <c r="C203" s="724">
        <v>43373</v>
      </c>
      <c r="D203" s="824">
        <v>0.1981</v>
      </c>
      <c r="E203" s="824">
        <f t="shared" si="27"/>
        <v>0.29715000000000003</v>
      </c>
      <c r="F203" s="825">
        <f t="shared" si="24"/>
        <v>7.1304738558919389E-4</v>
      </c>
      <c r="G203" s="793">
        <f t="shared" si="28"/>
        <v>30</v>
      </c>
      <c r="H203" s="826">
        <f t="shared" si="26"/>
        <v>631232.61378564395</v>
      </c>
    </row>
    <row r="204" spans="2:8" ht="13.5">
      <c r="B204" s="724">
        <v>43374</v>
      </c>
      <c r="C204" s="820">
        <v>43389</v>
      </c>
      <c r="D204" s="824">
        <v>0.1963</v>
      </c>
      <c r="E204" s="824">
        <f t="shared" si="27"/>
        <v>0.29444999999999999</v>
      </c>
      <c r="F204" s="825">
        <f t="shared" si="24"/>
        <v>7.073346857742191E-4</v>
      </c>
      <c r="G204" s="793">
        <f t="shared" si="28"/>
        <v>16</v>
      </c>
      <c r="H204" s="826">
        <f t="shared" si="26"/>
        <v>333960.20632659172</v>
      </c>
    </row>
    <row r="205" spans="2:8" ht="13.5">
      <c r="B205" s="820">
        <v>43390</v>
      </c>
      <c r="C205" s="724">
        <v>43404</v>
      </c>
      <c r="D205" s="824">
        <v>0.1963</v>
      </c>
      <c r="E205" s="824">
        <f t="shared" si="27"/>
        <v>0.29444999999999999</v>
      </c>
      <c r="F205" s="825">
        <f t="shared" si="24"/>
        <v>7.073346857742191E-4</v>
      </c>
      <c r="G205" s="793">
        <f t="shared" si="28"/>
        <v>15</v>
      </c>
      <c r="H205" s="826">
        <f t="shared" si="26"/>
        <v>313087.69343117974</v>
      </c>
    </row>
    <row r="206" spans="2:8" ht="13.5">
      <c r="B206" s="724">
        <v>43405</v>
      </c>
      <c r="C206" s="724">
        <v>43434</v>
      </c>
      <c r="D206" s="824">
        <v>0.19489999999999999</v>
      </c>
      <c r="E206" s="824">
        <f t="shared" si="27"/>
        <v>0.29235</v>
      </c>
      <c r="F206" s="825">
        <f t="shared" si="24"/>
        <v>7.0288325333756063E-4</v>
      </c>
      <c r="G206" s="793">
        <f>_xlfn.DAYS(C206,B206)+1</f>
        <v>30</v>
      </c>
      <c r="H206" s="826">
        <f t="shared" si="26"/>
        <v>622234.71000291035</v>
      </c>
    </row>
    <row r="207" spans="2:8" ht="13.5">
      <c r="B207" s="724">
        <v>43435</v>
      </c>
      <c r="C207" s="724">
        <v>43465</v>
      </c>
      <c r="D207" s="824">
        <v>0.19400000000000001</v>
      </c>
      <c r="E207" s="824">
        <f t="shared" si="27"/>
        <v>0.29100000000000004</v>
      </c>
      <c r="F207" s="825">
        <f t="shared" si="24"/>
        <v>7.0001780740103214E-4</v>
      </c>
      <c r="G207" s="793">
        <f t="shared" ref="G207:G241" si="29">_xlfn.DAYS(C207,B207)+1</f>
        <v>31</v>
      </c>
      <c r="H207" s="826">
        <f t="shared" si="26"/>
        <v>640354.64565985929</v>
      </c>
    </row>
    <row r="208" spans="2:8" ht="13.5">
      <c r="B208" s="724">
        <v>43466</v>
      </c>
      <c r="C208" s="724">
        <v>43496</v>
      </c>
      <c r="D208" s="824">
        <v>0.19159999999999999</v>
      </c>
      <c r="E208" s="824">
        <f t="shared" si="27"/>
        <v>0.28739999999999999</v>
      </c>
      <c r="F208" s="825">
        <f t="shared" si="24"/>
        <v>6.9236198468725085E-4</v>
      </c>
      <c r="G208" s="793">
        <f t="shared" si="29"/>
        <v>31</v>
      </c>
      <c r="H208" s="826">
        <f t="shared" si="26"/>
        <v>633351.33575933054</v>
      </c>
    </row>
    <row r="209" spans="2:8" ht="13.5">
      <c r="B209" s="724">
        <v>43497</v>
      </c>
      <c r="C209" s="724">
        <v>43524</v>
      </c>
      <c r="D209" s="824">
        <v>0.19700000000000001</v>
      </c>
      <c r="E209" s="824">
        <f t="shared" si="27"/>
        <v>0.29549999999999998</v>
      </c>
      <c r="F209" s="825">
        <f t="shared" si="24"/>
        <v>7.0955770203506852E-4</v>
      </c>
      <c r="G209" s="793">
        <f t="shared" si="29"/>
        <v>28</v>
      </c>
      <c r="H209" s="826">
        <f t="shared" si="26"/>
        <v>586267.11278486927</v>
      </c>
    </row>
    <row r="210" spans="2:8" ht="13.5">
      <c r="B210" s="724">
        <v>43525</v>
      </c>
      <c r="C210" s="724">
        <v>43555</v>
      </c>
      <c r="D210" s="824">
        <v>0.19370000000000001</v>
      </c>
      <c r="E210" s="824">
        <f t="shared" si="27"/>
        <v>0.29055000000000003</v>
      </c>
      <c r="F210" s="825">
        <f t="shared" si="24"/>
        <v>6.9906199467517638E-4</v>
      </c>
      <c r="G210" s="793">
        <f t="shared" si="29"/>
        <v>31</v>
      </c>
      <c r="H210" s="826">
        <f t="shared" si="26"/>
        <v>639480.29773197602</v>
      </c>
    </row>
    <row r="211" spans="2:8" ht="13.5">
      <c r="B211" s="724">
        <v>43556</v>
      </c>
      <c r="C211" s="724">
        <v>43585</v>
      </c>
      <c r="D211" s="824">
        <v>0.19320000000000001</v>
      </c>
      <c r="E211" s="824">
        <f t="shared" si="27"/>
        <v>0.2898</v>
      </c>
      <c r="F211" s="825">
        <f t="shared" si="24"/>
        <v>6.9746823462724095E-4</v>
      </c>
      <c r="G211" s="793">
        <f t="shared" si="29"/>
        <v>30</v>
      </c>
      <c r="H211" s="826">
        <f t="shared" si="26"/>
        <v>617441.0083734052</v>
      </c>
    </row>
    <row r="212" spans="2:8" ht="13.5">
      <c r="B212" s="724">
        <v>43586</v>
      </c>
      <c r="C212" s="724">
        <v>43616</v>
      </c>
      <c r="D212" s="824">
        <v>0.19339999999999999</v>
      </c>
      <c r="E212" s="824">
        <f t="shared" si="27"/>
        <v>0.29009999999999997</v>
      </c>
      <c r="F212" s="825">
        <f t="shared" si="24"/>
        <v>6.9810584952367805E-4</v>
      </c>
      <c r="G212" s="793">
        <f t="shared" si="29"/>
        <v>31</v>
      </c>
      <c r="H212" s="826">
        <f t="shared" si="26"/>
        <v>638605.64571139344</v>
      </c>
    </row>
    <row r="213" spans="2:8" ht="13.5">
      <c r="B213" s="724">
        <v>43617</v>
      </c>
      <c r="C213" s="724">
        <v>43646</v>
      </c>
      <c r="D213" s="824">
        <v>0.193</v>
      </c>
      <c r="E213" s="824">
        <f t="shared" si="27"/>
        <v>0.28949999999999998</v>
      </c>
      <c r="F213" s="825">
        <f t="shared" si="24"/>
        <v>6.9683047181468005E-4</v>
      </c>
      <c r="G213" s="793">
        <f t="shared" si="29"/>
        <v>30</v>
      </c>
      <c r="H213" s="826">
        <f t="shared" si="26"/>
        <v>616876.42221085238</v>
      </c>
    </row>
    <row r="214" spans="2:8" ht="13.5">
      <c r="B214" s="724">
        <v>43647</v>
      </c>
      <c r="C214" s="724">
        <v>43677</v>
      </c>
      <c r="D214" s="824">
        <v>0.1928</v>
      </c>
      <c r="E214" s="824">
        <f t="shared" si="27"/>
        <v>0.28920000000000001</v>
      </c>
      <c r="F214" s="825">
        <f t="shared" si="24"/>
        <v>6.9619256101671745E-4</v>
      </c>
      <c r="G214" s="793">
        <f t="shared" si="29"/>
        <v>31</v>
      </c>
      <c r="H214" s="826">
        <f t="shared" si="26"/>
        <v>636855.42854410643</v>
      </c>
    </row>
    <row r="215" spans="2:8" ht="13.5">
      <c r="B215" s="724">
        <v>43678</v>
      </c>
      <c r="C215" s="724">
        <v>43708</v>
      </c>
      <c r="D215" s="824">
        <v>0.19320000000000001</v>
      </c>
      <c r="E215" s="824">
        <f t="shared" si="27"/>
        <v>0.2898</v>
      </c>
      <c r="F215" s="825">
        <f t="shared" si="24"/>
        <v>6.9746823462724095E-4</v>
      </c>
      <c r="G215" s="793">
        <f t="shared" si="29"/>
        <v>31</v>
      </c>
      <c r="H215" s="826">
        <f t="shared" si="26"/>
        <v>638022.37531918543</v>
      </c>
    </row>
    <row r="216" spans="2:8" ht="13.5">
      <c r="B216" s="724">
        <v>43709</v>
      </c>
      <c r="C216" s="724">
        <v>43738</v>
      </c>
      <c r="D216" s="824">
        <v>0.19320000000000001</v>
      </c>
      <c r="E216" s="824">
        <f t="shared" si="27"/>
        <v>0.2898</v>
      </c>
      <c r="F216" s="825">
        <f t="shared" si="24"/>
        <v>6.9746823462724095E-4</v>
      </c>
      <c r="G216" s="793">
        <f t="shared" si="29"/>
        <v>30</v>
      </c>
      <c r="H216" s="826">
        <f t="shared" si="26"/>
        <v>617441.0083734052</v>
      </c>
    </row>
    <row r="217" spans="2:8" ht="13.5">
      <c r="B217" s="724">
        <v>43739</v>
      </c>
      <c r="C217" s="724">
        <v>43769</v>
      </c>
      <c r="D217" s="824">
        <v>0.191</v>
      </c>
      <c r="E217" s="824">
        <f t="shared" si="27"/>
        <v>0.28649999999999998</v>
      </c>
      <c r="F217" s="825">
        <f t="shared" si="24"/>
        <v>6.9044469314105683E-4</v>
      </c>
      <c r="G217" s="793">
        <f t="shared" si="29"/>
        <v>31</v>
      </c>
      <c r="H217" s="826">
        <f t="shared" si="26"/>
        <v>631597.45673552691</v>
      </c>
    </row>
    <row r="218" spans="2:8" ht="13.5">
      <c r="B218" s="724">
        <v>43770</v>
      </c>
      <c r="C218" s="724">
        <v>43799</v>
      </c>
      <c r="D218" s="824">
        <v>0.1903</v>
      </c>
      <c r="E218" s="824">
        <f t="shared" si="27"/>
        <v>0.28544999999999998</v>
      </c>
      <c r="F218" s="825">
        <f t="shared" si="24"/>
        <v>6.8820616169262827E-4</v>
      </c>
      <c r="G218" s="793">
        <f t="shared" si="29"/>
        <v>30</v>
      </c>
      <c r="H218" s="826">
        <f t="shared" si="26"/>
        <v>609241.66198248079</v>
      </c>
    </row>
    <row r="219" spans="2:8" ht="13.5">
      <c r="B219" s="724">
        <v>43800</v>
      </c>
      <c r="C219" s="724">
        <v>43830</v>
      </c>
      <c r="D219" s="824">
        <v>0.18909999999999999</v>
      </c>
      <c r="E219" s="824">
        <f t="shared" si="27"/>
        <v>0.28364999999999996</v>
      </c>
      <c r="F219" s="825">
        <f t="shared" si="24"/>
        <v>6.8436443340047504E-4</v>
      </c>
      <c r="G219" s="793">
        <f t="shared" si="29"/>
        <v>31</v>
      </c>
      <c r="H219" s="826">
        <f t="shared" si="26"/>
        <v>626035.42312647379</v>
      </c>
    </row>
    <row r="220" spans="2:8" ht="13.5">
      <c r="B220" s="724">
        <v>43831</v>
      </c>
      <c r="C220" s="724">
        <v>43861</v>
      </c>
      <c r="D220" s="824">
        <v>0.18770000000000001</v>
      </c>
      <c r="E220" s="824">
        <f t="shared" si="27"/>
        <v>0.28155000000000002</v>
      </c>
      <c r="F220" s="825">
        <f t="shared" si="24"/>
        <v>6.7987562124560696E-4</v>
      </c>
      <c r="G220" s="793">
        <f t="shared" si="29"/>
        <v>31</v>
      </c>
      <c r="H220" s="826">
        <f t="shared" si="26"/>
        <v>621929.19656127226</v>
      </c>
    </row>
    <row r="221" spans="2:8" ht="13.5">
      <c r="B221" s="724">
        <v>43862</v>
      </c>
      <c r="C221" s="724">
        <v>43890</v>
      </c>
      <c r="D221" s="824">
        <v>0.19059999999999999</v>
      </c>
      <c r="E221" s="824">
        <f t="shared" si="27"/>
        <v>0.28589999999999999</v>
      </c>
      <c r="F221" s="825">
        <f t="shared" si="24"/>
        <v>6.8916575551658532E-4</v>
      </c>
      <c r="G221" s="793">
        <f t="shared" si="29"/>
        <v>29</v>
      </c>
      <c r="H221" s="826">
        <f t="shared" si="26"/>
        <v>589754.78064841742</v>
      </c>
    </row>
    <row r="222" spans="2:8" ht="13.5">
      <c r="B222" s="724">
        <v>43891</v>
      </c>
      <c r="C222" s="724">
        <v>43921</v>
      </c>
      <c r="D222" s="824">
        <v>0.1895</v>
      </c>
      <c r="E222" s="824">
        <f t="shared" si="27"/>
        <v>0.28425</v>
      </c>
      <c r="F222" s="825">
        <f t="shared" si="24"/>
        <v>6.8564560609574166E-4</v>
      </c>
      <c r="G222" s="793">
        <f t="shared" si="29"/>
        <v>31</v>
      </c>
      <c r="H222" s="826">
        <f t="shared" si="26"/>
        <v>627207.40029424394</v>
      </c>
    </row>
    <row r="223" spans="2:8" ht="13.5">
      <c r="B223" s="724">
        <v>43922</v>
      </c>
      <c r="C223" s="724">
        <v>43951</v>
      </c>
      <c r="D223" s="824">
        <v>0.18690000000000001</v>
      </c>
      <c r="E223" s="824">
        <f t="shared" si="27"/>
        <v>0.28034999999999999</v>
      </c>
      <c r="F223" s="825">
        <f t="shared" si="24"/>
        <v>6.7730729113191224E-4</v>
      </c>
      <c r="G223" s="793">
        <f t="shared" si="29"/>
        <v>30</v>
      </c>
      <c r="H223" s="826">
        <f t="shared" si="26"/>
        <v>599593.32347035303</v>
      </c>
    </row>
    <row r="224" spans="2:8" ht="13.5">
      <c r="B224" s="724">
        <v>43952</v>
      </c>
      <c r="C224" s="724">
        <v>43982</v>
      </c>
      <c r="D224" s="824">
        <v>0.18190000000000001</v>
      </c>
      <c r="E224" s="824">
        <f t="shared" si="27"/>
        <v>0.27285000000000004</v>
      </c>
      <c r="F224" s="825">
        <f t="shared" si="24"/>
        <v>6.6120063584418354E-4</v>
      </c>
      <c r="G224" s="793">
        <f t="shared" si="29"/>
        <v>31</v>
      </c>
      <c r="H224" s="826">
        <f t="shared" si="26"/>
        <v>604845.89734659879</v>
      </c>
    </row>
    <row r="225" spans="2:8" ht="13.5">
      <c r="B225" s="724">
        <v>43983</v>
      </c>
      <c r="C225" s="724">
        <v>44012</v>
      </c>
      <c r="D225" s="824">
        <v>0.1812</v>
      </c>
      <c r="E225" s="824">
        <f t="shared" si="27"/>
        <v>0.27179999999999999</v>
      </c>
      <c r="F225" s="825">
        <f t="shared" si="24"/>
        <v>6.5893815469997286E-4</v>
      </c>
      <c r="G225" s="793">
        <f t="shared" si="29"/>
        <v>30</v>
      </c>
      <c r="H225" s="826">
        <f t="shared" si="26"/>
        <v>583331.85440495983</v>
      </c>
    </row>
    <row r="226" spans="2:8" ht="13.5">
      <c r="B226" s="724">
        <v>44013</v>
      </c>
      <c r="C226" s="724">
        <v>44043</v>
      </c>
      <c r="D226" s="824">
        <v>0.1812</v>
      </c>
      <c r="E226" s="824">
        <f t="shared" si="27"/>
        <v>0.27179999999999999</v>
      </c>
      <c r="F226" s="825">
        <f t="shared" si="24"/>
        <v>6.5893815469997286E-4</v>
      </c>
      <c r="G226" s="793">
        <f t="shared" si="29"/>
        <v>31</v>
      </c>
      <c r="H226" s="826">
        <f t="shared" si="26"/>
        <v>602776.24955179181</v>
      </c>
    </row>
    <row r="227" spans="2:8" ht="13.5">
      <c r="B227" s="724">
        <v>44044</v>
      </c>
      <c r="C227" s="724">
        <v>44074</v>
      </c>
      <c r="D227" s="824">
        <v>0.18290000000000001</v>
      </c>
      <c r="E227" s="824">
        <f t="shared" si="27"/>
        <v>0.27434999999999998</v>
      </c>
      <c r="F227" s="825">
        <f t="shared" si="24"/>
        <v>6.6442952514544906E-4</v>
      </c>
      <c r="G227" s="793">
        <f t="shared" si="29"/>
        <v>31</v>
      </c>
      <c r="H227" s="826">
        <f t="shared" si="26"/>
        <v>607799.5854421393</v>
      </c>
    </row>
    <row r="228" spans="2:8" ht="13.5">
      <c r="B228" s="724">
        <v>44075</v>
      </c>
      <c r="C228" s="724">
        <v>44104</v>
      </c>
      <c r="D228" s="824">
        <v>0.1835</v>
      </c>
      <c r="E228" s="824">
        <f t="shared" si="27"/>
        <v>0.27524999999999999</v>
      </c>
      <c r="F228" s="825">
        <f t="shared" si="24"/>
        <v>6.6636503991857055E-4</v>
      </c>
      <c r="G228" s="793">
        <f t="shared" si="29"/>
        <v>30</v>
      </c>
      <c r="H228" s="826">
        <f t="shared" si="26"/>
        <v>589906.58178432973</v>
      </c>
    </row>
    <row r="229" spans="2:8" ht="13.5">
      <c r="B229" s="724">
        <v>44105</v>
      </c>
      <c r="C229" s="724">
        <v>44135</v>
      </c>
      <c r="D229" s="824">
        <v>0.18090000000000001</v>
      </c>
      <c r="E229" s="824">
        <f t="shared" si="27"/>
        <v>0.27134999999999998</v>
      </c>
      <c r="F229" s="825">
        <f t="shared" si="24"/>
        <v>6.5796794962613703E-4</v>
      </c>
      <c r="G229" s="793">
        <f t="shared" si="29"/>
        <v>31</v>
      </c>
      <c r="H229" s="826">
        <f t="shared" si="26"/>
        <v>601888.73594898765</v>
      </c>
    </row>
    <row r="230" spans="2:8" ht="13.5">
      <c r="B230" s="724">
        <v>44136</v>
      </c>
      <c r="C230" s="724">
        <v>44165</v>
      </c>
      <c r="D230" s="824">
        <v>0.1784</v>
      </c>
      <c r="E230" s="824">
        <f t="shared" si="27"/>
        <v>0.2676</v>
      </c>
      <c r="F230" s="825">
        <f t="shared" si="24"/>
        <v>6.4986956374091243E-4</v>
      </c>
      <c r="G230" s="793">
        <f t="shared" si="29"/>
        <v>30</v>
      </c>
      <c r="H230" s="826">
        <f t="shared" si="26"/>
        <v>575303.78994510567</v>
      </c>
    </row>
    <row r="231" spans="2:8" ht="13.5">
      <c r="B231" s="724">
        <v>44166</v>
      </c>
      <c r="C231" s="724">
        <v>44196</v>
      </c>
      <c r="D231" s="824">
        <v>0.17460000000000001</v>
      </c>
      <c r="E231" s="824">
        <f t="shared" si="27"/>
        <v>0.26190000000000002</v>
      </c>
      <c r="F231" s="825">
        <f t="shared" si="24"/>
        <v>6.3751414410861962E-4</v>
      </c>
      <c r="G231" s="793">
        <f t="shared" si="29"/>
        <v>31</v>
      </c>
      <c r="H231" s="826">
        <f t="shared" si="26"/>
        <v>583178.2270932293</v>
      </c>
    </row>
    <row r="232" spans="2:8" ht="13.5">
      <c r="B232" s="724">
        <v>44197</v>
      </c>
      <c r="C232" s="724">
        <v>44227</v>
      </c>
      <c r="D232" s="824">
        <v>0.17319999999999999</v>
      </c>
      <c r="E232" s="824">
        <f t="shared" si="27"/>
        <v>0.25979999999999998</v>
      </c>
      <c r="F232" s="825">
        <f t="shared" si="24"/>
        <v>6.3294811266723094E-4</v>
      </c>
      <c r="G232" s="793">
        <f t="shared" si="29"/>
        <v>31</v>
      </c>
      <c r="H232" s="826">
        <f t="shared" si="26"/>
        <v>579001.36271233927</v>
      </c>
    </row>
    <row r="233" spans="2:8" ht="13.5">
      <c r="B233" s="724">
        <v>44228</v>
      </c>
      <c r="C233" s="724">
        <v>44255</v>
      </c>
      <c r="D233" s="824">
        <v>0.1754</v>
      </c>
      <c r="E233" s="824">
        <f t="shared" si="27"/>
        <v>0.2631</v>
      </c>
      <c r="F233" s="825">
        <f t="shared" si="24"/>
        <v>6.4011990387169426E-4</v>
      </c>
      <c r="G233" s="793">
        <f t="shared" si="29"/>
        <v>28</v>
      </c>
      <c r="H233" s="826">
        <f t="shared" si="26"/>
        <v>528894.61533945648</v>
      </c>
    </row>
    <row r="234" spans="2:8" ht="13.5">
      <c r="B234" s="724">
        <v>44256</v>
      </c>
      <c r="C234" s="724">
        <v>44286</v>
      </c>
      <c r="D234" s="824">
        <v>0.1741</v>
      </c>
      <c r="E234" s="824">
        <f t="shared" si="27"/>
        <v>0.26114999999999999</v>
      </c>
      <c r="F234" s="825">
        <f t="shared" si="24"/>
        <v>6.3588428907812578E-4</v>
      </c>
      <c r="G234" s="793">
        <f t="shared" si="29"/>
        <v>31</v>
      </c>
      <c r="H234" s="826">
        <f t="shared" si="26"/>
        <v>581687.28610645118</v>
      </c>
    </row>
    <row r="235" spans="2:8" ht="13.5">
      <c r="B235" s="724">
        <v>44287</v>
      </c>
      <c r="C235" s="724">
        <v>44316</v>
      </c>
      <c r="D235" s="824">
        <v>0.1731</v>
      </c>
      <c r="E235" s="824">
        <f t="shared" si="27"/>
        <v>0.25964999999999999</v>
      </c>
      <c r="F235" s="825">
        <f t="shared" si="24"/>
        <v>6.326216771728177E-4</v>
      </c>
      <c r="G235" s="793">
        <f t="shared" si="29"/>
        <v>30</v>
      </c>
      <c r="H235" s="826">
        <f t="shared" si="26"/>
        <v>560034.91898267937</v>
      </c>
    </row>
    <row r="236" spans="2:8" ht="13.5">
      <c r="B236" s="724">
        <v>44317</v>
      </c>
      <c r="C236" s="724">
        <v>44347</v>
      </c>
      <c r="D236" s="824">
        <v>0.17219999999999999</v>
      </c>
      <c r="E236" s="824">
        <f t="shared" si="27"/>
        <v>0.25829999999999997</v>
      </c>
      <c r="F236" s="825">
        <f t="shared" si="24"/>
        <v>6.2968201205726437E-4</v>
      </c>
      <c r="G236" s="793">
        <f t="shared" si="29"/>
        <v>31</v>
      </c>
      <c r="H236" s="826">
        <f t="shared" si="26"/>
        <v>576013.63486217265</v>
      </c>
    </row>
    <row r="237" spans="2:8" ht="13.5">
      <c r="B237" s="821">
        <v>44348</v>
      </c>
      <c r="C237" s="821">
        <v>44377</v>
      </c>
      <c r="D237" s="827">
        <v>0.1721</v>
      </c>
      <c r="E237" s="827">
        <f t="shared" si="27"/>
        <v>0.25814999999999999</v>
      </c>
      <c r="F237" s="825">
        <f t="shared" si="24"/>
        <v>6.2935518846773952E-4</v>
      </c>
      <c r="G237" s="828">
        <f t="shared" si="29"/>
        <v>30</v>
      </c>
      <c r="H237" s="826">
        <f t="shared" si="26"/>
        <v>557143.22588502651</v>
      </c>
    </row>
    <row r="238" spans="2:8" ht="13.5">
      <c r="B238" s="821">
        <v>44378</v>
      </c>
      <c r="C238" s="821">
        <v>44408</v>
      </c>
      <c r="D238" s="827">
        <v>0.17180000000000001</v>
      </c>
      <c r="E238" s="827">
        <f t="shared" si="27"/>
        <v>0.25770000000000004</v>
      </c>
      <c r="F238" s="825">
        <f t="shared" si="24"/>
        <v>6.2837448450037137E-4</v>
      </c>
      <c r="G238" s="828">
        <f t="shared" si="29"/>
        <v>31</v>
      </c>
      <c r="H238" s="826">
        <f t="shared" si="26"/>
        <v>574817.54908187897</v>
      </c>
    </row>
    <row r="239" spans="2:8" ht="13.5">
      <c r="B239" s="724">
        <v>44409</v>
      </c>
      <c r="C239" s="724">
        <v>44439</v>
      </c>
      <c r="D239" s="827">
        <v>0.1724</v>
      </c>
      <c r="E239" s="827">
        <f t="shared" si="27"/>
        <v>0.2586</v>
      </c>
      <c r="F239" s="825">
        <f t="shared" si="24"/>
        <v>6.3033554269220637E-4</v>
      </c>
      <c r="G239" s="828">
        <f t="shared" si="29"/>
        <v>31</v>
      </c>
      <c r="H239" s="826">
        <f t="shared" si="26"/>
        <v>576611.46447985037</v>
      </c>
    </row>
    <row r="240" spans="2:8" ht="13.5">
      <c r="B240" s="724">
        <v>44440</v>
      </c>
      <c r="C240" s="724">
        <v>44469</v>
      </c>
      <c r="D240" s="827">
        <v>0.1719</v>
      </c>
      <c r="E240" s="827">
        <f t="shared" si="27"/>
        <v>0.25785000000000002</v>
      </c>
      <c r="F240" s="825">
        <f t="shared" si="24"/>
        <v>6.2870142469861889E-4</v>
      </c>
      <c r="G240" s="828">
        <f t="shared" si="29"/>
        <v>30</v>
      </c>
      <c r="H240" s="826">
        <f t="shared" si="26"/>
        <v>556564.47470926924</v>
      </c>
    </row>
    <row r="241" spans="2:8" ht="13.5">
      <c r="B241" s="724">
        <v>44470</v>
      </c>
      <c r="C241" s="724">
        <v>44500</v>
      </c>
      <c r="D241" s="827">
        <v>0.17080000000000001</v>
      </c>
      <c r="E241" s="827">
        <f t="shared" si="27"/>
        <v>0.25619999999999998</v>
      </c>
      <c r="F241" s="825">
        <f t="shared" si="24"/>
        <v>6.2510294214179751E-4</v>
      </c>
      <c r="G241" s="828">
        <f t="shared" si="29"/>
        <v>31</v>
      </c>
      <c r="H241" s="826">
        <f t="shared" si="26"/>
        <v>571824.84328834538</v>
      </c>
    </row>
    <row r="242" spans="2:8" ht="13.5">
      <c r="B242" s="724">
        <v>44501</v>
      </c>
      <c r="C242" s="724">
        <v>44516</v>
      </c>
      <c r="D242" s="827">
        <v>0.17269999999999999</v>
      </c>
      <c r="E242" s="827">
        <f>+D242*1.5</f>
        <v>0.25905</v>
      </c>
      <c r="F242" s="825">
        <f t="shared" si="24"/>
        <v>6.3131554742335005E-4</v>
      </c>
      <c r="G242" s="828">
        <v>16</v>
      </c>
      <c r="H242" s="826">
        <f t="shared" si="26"/>
        <v>298068.61548704735</v>
      </c>
    </row>
    <row r="243" spans="2:8" ht="14.25" thickBot="1">
      <c r="B243" s="791"/>
      <c r="C243" s="791"/>
      <c r="D243" s="791"/>
      <c r="E243" s="2640" t="s">
        <v>616</v>
      </c>
      <c r="F243" s="2640"/>
      <c r="G243" s="2640"/>
      <c r="H243" s="829">
        <f>SUM(H192:H242)</f>
        <v>28571350.573527947</v>
      </c>
    </row>
    <row r="244" spans="2:8" ht="24.75" customHeight="1" thickBot="1">
      <c r="B244" s="2641" t="s">
        <v>625</v>
      </c>
      <c r="C244" s="2642"/>
      <c r="D244" s="2643"/>
      <c r="E244" s="637"/>
      <c r="F244" s="46"/>
    </row>
    <row r="245" spans="2:8">
      <c r="B245" s="173" t="s">
        <v>198</v>
      </c>
      <c r="C245" s="172"/>
      <c r="D245" s="171"/>
      <c r="E245" s="170">
        <f>+C190</f>
        <v>29508680</v>
      </c>
      <c r="F245" s="46"/>
    </row>
    <row r="246" spans="2:8">
      <c r="B246" s="169" t="s">
        <v>618</v>
      </c>
      <c r="C246" s="168"/>
      <c r="D246" s="167"/>
      <c r="E246" s="166">
        <f>+H243</f>
        <v>28571350.573527947</v>
      </c>
      <c r="F246" s="46"/>
    </row>
    <row r="247" spans="2:8">
      <c r="B247" s="169" t="s">
        <v>619</v>
      </c>
      <c r="E247" s="166">
        <v>2522495.514</v>
      </c>
      <c r="F247" s="46"/>
    </row>
    <row r="248" spans="2:8" ht="13.5" thickBot="1">
      <c r="B248" s="165" t="s">
        <v>61</v>
      </c>
      <c r="C248" s="164"/>
      <c r="D248" s="163"/>
      <c r="E248" s="162">
        <f>SUM(E245:E247)</f>
        <v>60602526.087527946</v>
      </c>
      <c r="F248" s="46"/>
    </row>
    <row r="250" spans="2:8" ht="25.5">
      <c r="B250" s="789" t="s">
        <v>538</v>
      </c>
      <c r="C250" s="742" t="s">
        <v>626</v>
      </c>
      <c r="D250" s="791"/>
      <c r="E250" s="791"/>
      <c r="F250" s="791"/>
      <c r="G250" s="791"/>
      <c r="H250" s="791"/>
    </row>
    <row r="251" spans="2:8" ht="13.5">
      <c r="B251" s="2644" t="s">
        <v>608</v>
      </c>
      <c r="C251" s="2645"/>
      <c r="D251" s="2645"/>
      <c r="E251" s="2645"/>
      <c r="F251" s="2645"/>
      <c r="G251" s="2645"/>
      <c r="H251" s="2646"/>
    </row>
    <row r="252" spans="2:8" ht="13.5">
      <c r="B252" s="728" t="s">
        <v>535</v>
      </c>
      <c r="C252" s="822">
        <v>29508680</v>
      </c>
      <c r="D252" s="737"/>
      <c r="E252" s="737"/>
      <c r="F252" s="737"/>
      <c r="G252" s="737"/>
      <c r="H252" s="737"/>
    </row>
    <row r="253" spans="2:8" ht="51">
      <c r="B253" s="823" t="s">
        <v>206</v>
      </c>
      <c r="C253" s="823" t="s">
        <v>10</v>
      </c>
      <c r="D253" s="794" t="s">
        <v>609</v>
      </c>
      <c r="E253" s="823" t="s">
        <v>610</v>
      </c>
      <c r="F253" s="794" t="s">
        <v>611</v>
      </c>
      <c r="G253" s="793" t="s">
        <v>529</v>
      </c>
      <c r="H253" s="794" t="s">
        <v>48</v>
      </c>
    </row>
    <row r="254" spans="2:8" ht="13.5">
      <c r="B254" s="724">
        <v>43085</v>
      </c>
      <c r="C254" s="724">
        <v>43100</v>
      </c>
      <c r="D254" s="824">
        <v>0.2077</v>
      </c>
      <c r="E254" s="824">
        <f>+D254*1.5</f>
        <v>0.31154999999999999</v>
      </c>
      <c r="F254" s="825">
        <f>((1+E254)^(1/365)-1)</f>
        <v>7.4331624292400811E-4</v>
      </c>
      <c r="G254" s="793">
        <f>_xlfn.DAYS(C254,B254)+1</f>
        <v>16</v>
      </c>
      <c r="H254" s="826">
        <f>$C$66*F254*G254</f>
        <v>350948.49841994909</v>
      </c>
    </row>
    <row r="255" spans="2:8" ht="13.5">
      <c r="B255" s="724">
        <v>43101</v>
      </c>
      <c r="C255" s="724">
        <v>43131</v>
      </c>
      <c r="D255" s="824">
        <v>0.2069</v>
      </c>
      <c r="E255" s="824">
        <f>+D255*1.5</f>
        <v>0.31035000000000001</v>
      </c>
      <c r="F255" s="825">
        <f t="shared" ref="F255:F304" si="30">((1+E255)^(1/365)-1)</f>
        <v>7.4080652774299871E-4</v>
      </c>
      <c r="G255" s="793">
        <f t="shared" ref="G255:G260" si="31">_xlfn.DAYS(C255,B255)+1</f>
        <v>31</v>
      </c>
      <c r="H255" s="826">
        <f t="shared" ref="H255:H304" si="32">$C$66*F255*G255</f>
        <v>677666.90584145742</v>
      </c>
    </row>
    <row r="256" spans="2:8" ht="13.5">
      <c r="B256" s="724">
        <v>43132</v>
      </c>
      <c r="C256" s="724">
        <v>43159</v>
      </c>
      <c r="D256" s="824">
        <v>0.21010000000000001</v>
      </c>
      <c r="E256" s="824">
        <f>+D256*1.5</f>
        <v>0.31515000000000004</v>
      </c>
      <c r="F256" s="825">
        <f t="shared" si="30"/>
        <v>7.5083167162115494E-4</v>
      </c>
      <c r="G256" s="793">
        <f t="shared" si="31"/>
        <v>28</v>
      </c>
      <c r="H256" s="826">
        <f t="shared" si="32"/>
        <v>620369.44288854476</v>
      </c>
    </row>
    <row r="257" spans="2:8" ht="13.5">
      <c r="B257" s="724">
        <v>43160</v>
      </c>
      <c r="C257" s="724">
        <v>43190</v>
      </c>
      <c r="D257" s="824">
        <v>0.20680000000000001</v>
      </c>
      <c r="E257" s="824">
        <f>+D257*1.5</f>
        <v>0.31020000000000003</v>
      </c>
      <c r="F257" s="825">
        <f t="shared" si="30"/>
        <v>7.4049265219700011E-4</v>
      </c>
      <c r="G257" s="793">
        <f t="shared" si="31"/>
        <v>31</v>
      </c>
      <c r="H257" s="826">
        <f t="shared" si="32"/>
        <v>677379.78219700977</v>
      </c>
    </row>
    <row r="258" spans="2:8" ht="13.5">
      <c r="B258" s="724">
        <v>43191</v>
      </c>
      <c r="C258" s="724">
        <v>43220</v>
      </c>
      <c r="D258" s="824">
        <v>0.20480000000000001</v>
      </c>
      <c r="E258" s="824">
        <f t="shared" ref="E258:E303" si="33">+D258*1.5</f>
        <v>0.30720000000000003</v>
      </c>
      <c r="F258" s="825">
        <f t="shared" si="30"/>
        <v>7.34207604366377E-4</v>
      </c>
      <c r="G258" s="793">
        <f t="shared" si="31"/>
        <v>30</v>
      </c>
      <c r="H258" s="826">
        <f t="shared" si="32"/>
        <v>649964.91752442066</v>
      </c>
    </row>
    <row r="259" spans="2:8" ht="13.5">
      <c r="B259" s="724">
        <v>43221</v>
      </c>
      <c r="C259" s="724">
        <v>43251</v>
      </c>
      <c r="D259" s="824">
        <v>0.2044</v>
      </c>
      <c r="E259" s="824">
        <f t="shared" si="33"/>
        <v>0.30659999999999998</v>
      </c>
      <c r="F259" s="825">
        <f t="shared" si="30"/>
        <v>7.3294886878794152E-4</v>
      </c>
      <c r="G259" s="793">
        <f t="shared" si="31"/>
        <v>31</v>
      </c>
      <c r="H259" s="826">
        <f t="shared" si="32"/>
        <v>670478.96238818602</v>
      </c>
    </row>
    <row r="260" spans="2:8" ht="13.5">
      <c r="B260" s="724">
        <v>43252</v>
      </c>
      <c r="C260" s="724">
        <v>43266</v>
      </c>
      <c r="D260" s="824">
        <v>0.20280000000000001</v>
      </c>
      <c r="E260" s="824">
        <f t="shared" si="33"/>
        <v>0.30420000000000003</v>
      </c>
      <c r="F260" s="825">
        <f t="shared" si="30"/>
        <v>7.2790815549184096E-4</v>
      </c>
      <c r="G260" s="793">
        <f t="shared" si="31"/>
        <v>15</v>
      </c>
      <c r="H260" s="826">
        <f t="shared" si="32"/>
        <v>322194.13244698464</v>
      </c>
    </row>
    <row r="261" spans="2:8" ht="13.5">
      <c r="B261" s="724">
        <v>43267</v>
      </c>
      <c r="C261" s="724">
        <v>43276</v>
      </c>
      <c r="D261" s="824">
        <v>0</v>
      </c>
      <c r="E261" s="824">
        <f t="shared" si="33"/>
        <v>0</v>
      </c>
      <c r="F261" s="825">
        <f t="shared" si="30"/>
        <v>0</v>
      </c>
      <c r="G261" s="793">
        <v>0</v>
      </c>
      <c r="H261" s="826">
        <f t="shared" si="32"/>
        <v>0</v>
      </c>
    </row>
    <row r="262" spans="2:8" ht="13.5">
      <c r="B262" s="724">
        <v>43277</v>
      </c>
      <c r="C262" s="724">
        <v>43281</v>
      </c>
      <c r="D262" s="824">
        <v>0.20280000000000001</v>
      </c>
      <c r="E262" s="824">
        <f t="shared" si="33"/>
        <v>0.30420000000000003</v>
      </c>
      <c r="F262" s="825">
        <f t="shared" si="30"/>
        <v>7.2790815549184096E-4</v>
      </c>
      <c r="G262" s="793">
        <f t="shared" ref="G262:G267" si="34">_xlfn.DAYS(C262,B262)+1</f>
        <v>5</v>
      </c>
      <c r="H262" s="826">
        <f t="shared" si="32"/>
        <v>107398.04414899489</v>
      </c>
    </row>
    <row r="263" spans="2:8" ht="13.5">
      <c r="B263" s="724">
        <v>43282</v>
      </c>
      <c r="C263" s="724">
        <v>43312</v>
      </c>
      <c r="D263" s="824">
        <v>0.20030000000000001</v>
      </c>
      <c r="E263" s="824">
        <f t="shared" si="33"/>
        <v>0.30044999999999999</v>
      </c>
      <c r="F263" s="825">
        <f t="shared" si="30"/>
        <v>7.2001349197825526E-4</v>
      </c>
      <c r="G263" s="793">
        <f t="shared" si="34"/>
        <v>31</v>
      </c>
      <c r="H263" s="826">
        <f t="shared" si="32"/>
        <v>658646.0796445359</v>
      </c>
    </row>
    <row r="264" spans="2:8" ht="13.5">
      <c r="B264" s="724">
        <v>43313</v>
      </c>
      <c r="C264" s="724">
        <v>43343</v>
      </c>
      <c r="D264" s="824">
        <v>0.19939999999999999</v>
      </c>
      <c r="E264" s="824">
        <f t="shared" si="33"/>
        <v>0.29909999999999998</v>
      </c>
      <c r="F264" s="825">
        <f t="shared" si="30"/>
        <v>7.1716585429704161E-4</v>
      </c>
      <c r="G264" s="793">
        <f t="shared" si="34"/>
        <v>31</v>
      </c>
      <c r="H264" s="826">
        <f t="shared" si="32"/>
        <v>656041.14874271874</v>
      </c>
    </row>
    <row r="265" spans="2:8" ht="13.5">
      <c r="B265" s="724">
        <v>43344</v>
      </c>
      <c r="C265" s="724">
        <v>43373</v>
      </c>
      <c r="D265" s="824">
        <v>0.1981</v>
      </c>
      <c r="E265" s="824">
        <f t="shared" si="33"/>
        <v>0.29715000000000003</v>
      </c>
      <c r="F265" s="825">
        <f t="shared" si="30"/>
        <v>7.1304738558919389E-4</v>
      </c>
      <c r="G265" s="793">
        <f t="shared" si="34"/>
        <v>30</v>
      </c>
      <c r="H265" s="826">
        <f t="shared" si="32"/>
        <v>631232.61378564395</v>
      </c>
    </row>
    <row r="266" spans="2:8" ht="13.5">
      <c r="B266" s="724">
        <v>43374</v>
      </c>
      <c r="C266" s="820">
        <v>43389</v>
      </c>
      <c r="D266" s="824">
        <v>0.1963</v>
      </c>
      <c r="E266" s="824">
        <f t="shared" si="33"/>
        <v>0.29444999999999999</v>
      </c>
      <c r="F266" s="825">
        <f t="shared" si="30"/>
        <v>7.073346857742191E-4</v>
      </c>
      <c r="G266" s="793">
        <f t="shared" si="34"/>
        <v>16</v>
      </c>
      <c r="H266" s="826">
        <f t="shared" si="32"/>
        <v>333960.20632659172</v>
      </c>
    </row>
    <row r="267" spans="2:8" ht="13.5">
      <c r="B267" s="820">
        <v>43390</v>
      </c>
      <c r="C267" s="724">
        <v>43404</v>
      </c>
      <c r="D267" s="824">
        <v>0.1963</v>
      </c>
      <c r="E267" s="824">
        <f t="shared" si="33"/>
        <v>0.29444999999999999</v>
      </c>
      <c r="F267" s="825">
        <f t="shared" si="30"/>
        <v>7.073346857742191E-4</v>
      </c>
      <c r="G267" s="793">
        <f t="shared" si="34"/>
        <v>15</v>
      </c>
      <c r="H267" s="826">
        <f t="shared" si="32"/>
        <v>313087.69343117974</v>
      </c>
    </row>
    <row r="268" spans="2:8" ht="13.5">
      <c r="B268" s="724">
        <v>43405</v>
      </c>
      <c r="C268" s="724">
        <v>43434</v>
      </c>
      <c r="D268" s="824">
        <v>0.19489999999999999</v>
      </c>
      <c r="E268" s="824">
        <f t="shared" si="33"/>
        <v>0.29235</v>
      </c>
      <c r="F268" s="825">
        <f t="shared" si="30"/>
        <v>7.0288325333756063E-4</v>
      </c>
      <c r="G268" s="793">
        <f>_xlfn.DAYS(C268,B268)+1</f>
        <v>30</v>
      </c>
      <c r="H268" s="826">
        <f t="shared" si="32"/>
        <v>622234.71000291035</v>
      </c>
    </row>
    <row r="269" spans="2:8" ht="13.5">
      <c r="B269" s="724">
        <v>43435</v>
      </c>
      <c r="C269" s="724">
        <v>43465</v>
      </c>
      <c r="D269" s="824">
        <v>0.19400000000000001</v>
      </c>
      <c r="E269" s="824">
        <f t="shared" si="33"/>
        <v>0.29100000000000004</v>
      </c>
      <c r="F269" s="825">
        <f t="shared" si="30"/>
        <v>7.0001780740103214E-4</v>
      </c>
      <c r="G269" s="793">
        <f t="shared" ref="G269:G303" si="35">_xlfn.DAYS(C269,B269)+1</f>
        <v>31</v>
      </c>
      <c r="H269" s="826">
        <f t="shared" si="32"/>
        <v>640354.64565985929</v>
      </c>
    </row>
    <row r="270" spans="2:8" ht="13.5">
      <c r="B270" s="724">
        <v>43466</v>
      </c>
      <c r="C270" s="724">
        <v>43496</v>
      </c>
      <c r="D270" s="824">
        <v>0.19159999999999999</v>
      </c>
      <c r="E270" s="824">
        <f t="shared" si="33"/>
        <v>0.28739999999999999</v>
      </c>
      <c r="F270" s="825">
        <f t="shared" si="30"/>
        <v>6.9236198468725085E-4</v>
      </c>
      <c r="G270" s="793">
        <f t="shared" si="35"/>
        <v>31</v>
      </c>
      <c r="H270" s="826">
        <f t="shared" si="32"/>
        <v>633351.33575933054</v>
      </c>
    </row>
    <row r="271" spans="2:8" ht="13.5">
      <c r="B271" s="724">
        <v>43497</v>
      </c>
      <c r="C271" s="724">
        <v>43524</v>
      </c>
      <c r="D271" s="824">
        <v>0.19700000000000001</v>
      </c>
      <c r="E271" s="824">
        <f t="shared" si="33"/>
        <v>0.29549999999999998</v>
      </c>
      <c r="F271" s="825">
        <f t="shared" si="30"/>
        <v>7.0955770203506852E-4</v>
      </c>
      <c r="G271" s="793">
        <f t="shared" si="35"/>
        <v>28</v>
      </c>
      <c r="H271" s="826">
        <f t="shared" si="32"/>
        <v>586267.11278486927</v>
      </c>
    </row>
    <row r="272" spans="2:8" ht="13.5">
      <c r="B272" s="724">
        <v>43525</v>
      </c>
      <c r="C272" s="724">
        <v>43555</v>
      </c>
      <c r="D272" s="824">
        <v>0.19370000000000001</v>
      </c>
      <c r="E272" s="824">
        <f t="shared" si="33"/>
        <v>0.29055000000000003</v>
      </c>
      <c r="F272" s="825">
        <f t="shared" si="30"/>
        <v>6.9906199467517638E-4</v>
      </c>
      <c r="G272" s="793">
        <f t="shared" si="35"/>
        <v>31</v>
      </c>
      <c r="H272" s="826">
        <f t="shared" si="32"/>
        <v>639480.29773197602</v>
      </c>
    </row>
    <row r="273" spans="2:8" ht="13.5">
      <c r="B273" s="724">
        <v>43556</v>
      </c>
      <c r="C273" s="724">
        <v>43585</v>
      </c>
      <c r="D273" s="824">
        <v>0.19320000000000001</v>
      </c>
      <c r="E273" s="824">
        <f t="shared" si="33"/>
        <v>0.2898</v>
      </c>
      <c r="F273" s="825">
        <f t="shared" si="30"/>
        <v>6.9746823462724095E-4</v>
      </c>
      <c r="G273" s="793">
        <f t="shared" si="35"/>
        <v>30</v>
      </c>
      <c r="H273" s="826">
        <f t="shared" si="32"/>
        <v>617441.0083734052</v>
      </c>
    </row>
    <row r="274" spans="2:8" ht="13.5">
      <c r="B274" s="724">
        <v>43586</v>
      </c>
      <c r="C274" s="724">
        <v>43616</v>
      </c>
      <c r="D274" s="824">
        <v>0.19339999999999999</v>
      </c>
      <c r="E274" s="824">
        <f t="shared" si="33"/>
        <v>0.29009999999999997</v>
      </c>
      <c r="F274" s="825">
        <f t="shared" si="30"/>
        <v>6.9810584952367805E-4</v>
      </c>
      <c r="G274" s="793">
        <f t="shared" si="35"/>
        <v>31</v>
      </c>
      <c r="H274" s="826">
        <f t="shared" si="32"/>
        <v>638605.64571139344</v>
      </c>
    </row>
    <row r="275" spans="2:8" ht="13.5">
      <c r="B275" s="724">
        <v>43617</v>
      </c>
      <c r="C275" s="724">
        <v>43646</v>
      </c>
      <c r="D275" s="824">
        <v>0.193</v>
      </c>
      <c r="E275" s="824">
        <f t="shared" si="33"/>
        <v>0.28949999999999998</v>
      </c>
      <c r="F275" s="825">
        <f t="shared" si="30"/>
        <v>6.9683047181468005E-4</v>
      </c>
      <c r="G275" s="793">
        <f t="shared" si="35"/>
        <v>30</v>
      </c>
      <c r="H275" s="826">
        <f t="shared" si="32"/>
        <v>616876.42221085238</v>
      </c>
    </row>
    <row r="276" spans="2:8" ht="13.5">
      <c r="B276" s="724">
        <v>43647</v>
      </c>
      <c r="C276" s="724">
        <v>43677</v>
      </c>
      <c r="D276" s="824">
        <v>0.1928</v>
      </c>
      <c r="E276" s="824">
        <f t="shared" si="33"/>
        <v>0.28920000000000001</v>
      </c>
      <c r="F276" s="825">
        <f t="shared" si="30"/>
        <v>6.9619256101671745E-4</v>
      </c>
      <c r="G276" s="793">
        <f t="shared" si="35"/>
        <v>31</v>
      </c>
      <c r="H276" s="826">
        <f t="shared" si="32"/>
        <v>636855.42854410643</v>
      </c>
    </row>
    <row r="277" spans="2:8" ht="13.5">
      <c r="B277" s="724">
        <v>43678</v>
      </c>
      <c r="C277" s="724">
        <v>43708</v>
      </c>
      <c r="D277" s="824">
        <v>0.19320000000000001</v>
      </c>
      <c r="E277" s="824">
        <f t="shared" si="33"/>
        <v>0.2898</v>
      </c>
      <c r="F277" s="825">
        <f t="shared" si="30"/>
        <v>6.9746823462724095E-4</v>
      </c>
      <c r="G277" s="793">
        <f t="shared" si="35"/>
        <v>31</v>
      </c>
      <c r="H277" s="826">
        <f t="shared" si="32"/>
        <v>638022.37531918543</v>
      </c>
    </row>
    <row r="278" spans="2:8" ht="13.5">
      <c r="B278" s="724">
        <v>43709</v>
      </c>
      <c r="C278" s="724">
        <v>43738</v>
      </c>
      <c r="D278" s="824">
        <v>0.19320000000000001</v>
      </c>
      <c r="E278" s="824">
        <f t="shared" si="33"/>
        <v>0.2898</v>
      </c>
      <c r="F278" s="825">
        <f t="shared" si="30"/>
        <v>6.9746823462724095E-4</v>
      </c>
      <c r="G278" s="793">
        <f t="shared" si="35"/>
        <v>30</v>
      </c>
      <c r="H278" s="826">
        <f t="shared" si="32"/>
        <v>617441.0083734052</v>
      </c>
    </row>
    <row r="279" spans="2:8" ht="13.5">
      <c r="B279" s="724">
        <v>43739</v>
      </c>
      <c r="C279" s="724">
        <v>43769</v>
      </c>
      <c r="D279" s="824">
        <v>0.191</v>
      </c>
      <c r="E279" s="824">
        <f t="shared" si="33"/>
        <v>0.28649999999999998</v>
      </c>
      <c r="F279" s="825">
        <f t="shared" si="30"/>
        <v>6.9044469314105683E-4</v>
      </c>
      <c r="G279" s="793">
        <f t="shared" si="35"/>
        <v>31</v>
      </c>
      <c r="H279" s="826">
        <f t="shared" si="32"/>
        <v>631597.45673552691</v>
      </c>
    </row>
    <row r="280" spans="2:8" ht="13.5">
      <c r="B280" s="724">
        <v>43770</v>
      </c>
      <c r="C280" s="724">
        <v>43799</v>
      </c>
      <c r="D280" s="824">
        <v>0.1903</v>
      </c>
      <c r="E280" s="824">
        <f t="shared" si="33"/>
        <v>0.28544999999999998</v>
      </c>
      <c r="F280" s="825">
        <f t="shared" si="30"/>
        <v>6.8820616169262827E-4</v>
      </c>
      <c r="G280" s="793">
        <f t="shared" si="35"/>
        <v>30</v>
      </c>
      <c r="H280" s="826">
        <f t="shared" si="32"/>
        <v>609241.66198248079</v>
      </c>
    </row>
    <row r="281" spans="2:8" ht="13.5">
      <c r="B281" s="724">
        <v>43800</v>
      </c>
      <c r="C281" s="724">
        <v>43830</v>
      </c>
      <c r="D281" s="824">
        <v>0.18909999999999999</v>
      </c>
      <c r="E281" s="824">
        <f t="shared" si="33"/>
        <v>0.28364999999999996</v>
      </c>
      <c r="F281" s="825">
        <f t="shared" si="30"/>
        <v>6.8436443340047504E-4</v>
      </c>
      <c r="G281" s="793">
        <f t="shared" si="35"/>
        <v>31</v>
      </c>
      <c r="H281" s="826">
        <f t="shared" si="32"/>
        <v>626035.42312647379</v>
      </c>
    </row>
    <row r="282" spans="2:8" ht="13.5">
      <c r="B282" s="724">
        <v>43831</v>
      </c>
      <c r="C282" s="724">
        <v>43861</v>
      </c>
      <c r="D282" s="824">
        <v>0.18770000000000001</v>
      </c>
      <c r="E282" s="824">
        <f t="shared" si="33"/>
        <v>0.28155000000000002</v>
      </c>
      <c r="F282" s="825">
        <f t="shared" si="30"/>
        <v>6.7987562124560696E-4</v>
      </c>
      <c r="G282" s="793">
        <f t="shared" si="35"/>
        <v>31</v>
      </c>
      <c r="H282" s="826">
        <f t="shared" si="32"/>
        <v>621929.19656127226</v>
      </c>
    </row>
    <row r="283" spans="2:8" ht="13.5">
      <c r="B283" s="724">
        <v>43862</v>
      </c>
      <c r="C283" s="724">
        <v>43890</v>
      </c>
      <c r="D283" s="824">
        <v>0.19059999999999999</v>
      </c>
      <c r="E283" s="824">
        <f t="shared" si="33"/>
        <v>0.28589999999999999</v>
      </c>
      <c r="F283" s="825">
        <f t="shared" si="30"/>
        <v>6.8916575551658532E-4</v>
      </c>
      <c r="G283" s="793">
        <f t="shared" si="35"/>
        <v>29</v>
      </c>
      <c r="H283" s="826">
        <f t="shared" si="32"/>
        <v>589754.78064841742</v>
      </c>
    </row>
    <row r="284" spans="2:8" ht="13.5">
      <c r="B284" s="724">
        <v>43891</v>
      </c>
      <c r="C284" s="724">
        <v>43921</v>
      </c>
      <c r="D284" s="824">
        <v>0.1895</v>
      </c>
      <c r="E284" s="824">
        <f t="shared" si="33"/>
        <v>0.28425</v>
      </c>
      <c r="F284" s="825">
        <f t="shared" si="30"/>
        <v>6.8564560609574166E-4</v>
      </c>
      <c r="G284" s="793">
        <f t="shared" si="35"/>
        <v>31</v>
      </c>
      <c r="H284" s="826">
        <f t="shared" si="32"/>
        <v>627207.40029424394</v>
      </c>
    </row>
    <row r="285" spans="2:8" ht="13.5">
      <c r="B285" s="724">
        <v>43922</v>
      </c>
      <c r="C285" s="724">
        <v>43951</v>
      </c>
      <c r="D285" s="824">
        <v>0.18690000000000001</v>
      </c>
      <c r="E285" s="824">
        <f t="shared" si="33"/>
        <v>0.28034999999999999</v>
      </c>
      <c r="F285" s="825">
        <f t="shared" si="30"/>
        <v>6.7730729113191224E-4</v>
      </c>
      <c r="G285" s="793">
        <f t="shared" si="35"/>
        <v>30</v>
      </c>
      <c r="H285" s="826">
        <f t="shared" si="32"/>
        <v>599593.32347035303</v>
      </c>
    </row>
    <row r="286" spans="2:8" ht="13.5">
      <c r="B286" s="724">
        <v>43952</v>
      </c>
      <c r="C286" s="724">
        <v>43982</v>
      </c>
      <c r="D286" s="824">
        <v>0.18190000000000001</v>
      </c>
      <c r="E286" s="824">
        <f t="shared" si="33"/>
        <v>0.27285000000000004</v>
      </c>
      <c r="F286" s="825">
        <f t="shared" si="30"/>
        <v>6.6120063584418354E-4</v>
      </c>
      <c r="G286" s="793">
        <f t="shared" si="35"/>
        <v>31</v>
      </c>
      <c r="H286" s="826">
        <f t="shared" si="32"/>
        <v>604845.89734659879</v>
      </c>
    </row>
    <row r="287" spans="2:8" ht="13.5">
      <c r="B287" s="724">
        <v>43983</v>
      </c>
      <c r="C287" s="724">
        <v>44012</v>
      </c>
      <c r="D287" s="824">
        <v>0.1812</v>
      </c>
      <c r="E287" s="824">
        <f t="shared" si="33"/>
        <v>0.27179999999999999</v>
      </c>
      <c r="F287" s="825">
        <f t="shared" si="30"/>
        <v>6.5893815469997286E-4</v>
      </c>
      <c r="G287" s="793">
        <f t="shared" si="35"/>
        <v>30</v>
      </c>
      <c r="H287" s="826">
        <f t="shared" si="32"/>
        <v>583331.85440495983</v>
      </c>
    </row>
    <row r="288" spans="2:8" ht="13.5">
      <c r="B288" s="724">
        <v>44013</v>
      </c>
      <c r="C288" s="724">
        <v>44043</v>
      </c>
      <c r="D288" s="824">
        <v>0.1812</v>
      </c>
      <c r="E288" s="824">
        <f t="shared" si="33"/>
        <v>0.27179999999999999</v>
      </c>
      <c r="F288" s="825">
        <f t="shared" si="30"/>
        <v>6.5893815469997286E-4</v>
      </c>
      <c r="G288" s="793">
        <f t="shared" si="35"/>
        <v>31</v>
      </c>
      <c r="H288" s="826">
        <f t="shared" si="32"/>
        <v>602776.24955179181</v>
      </c>
    </row>
    <row r="289" spans="2:8" ht="13.5">
      <c r="B289" s="724">
        <v>44044</v>
      </c>
      <c r="C289" s="724">
        <v>44074</v>
      </c>
      <c r="D289" s="824">
        <v>0.18290000000000001</v>
      </c>
      <c r="E289" s="824">
        <f t="shared" si="33"/>
        <v>0.27434999999999998</v>
      </c>
      <c r="F289" s="825">
        <f t="shared" si="30"/>
        <v>6.6442952514544906E-4</v>
      </c>
      <c r="G289" s="793">
        <f t="shared" si="35"/>
        <v>31</v>
      </c>
      <c r="H289" s="826">
        <f t="shared" si="32"/>
        <v>607799.5854421393</v>
      </c>
    </row>
    <row r="290" spans="2:8" ht="13.5">
      <c r="B290" s="724">
        <v>44075</v>
      </c>
      <c r="C290" s="724">
        <v>44104</v>
      </c>
      <c r="D290" s="824">
        <v>0.1835</v>
      </c>
      <c r="E290" s="824">
        <f t="shared" si="33"/>
        <v>0.27524999999999999</v>
      </c>
      <c r="F290" s="825">
        <f t="shared" si="30"/>
        <v>6.6636503991857055E-4</v>
      </c>
      <c r="G290" s="793">
        <f t="shared" si="35"/>
        <v>30</v>
      </c>
      <c r="H290" s="826">
        <f t="shared" si="32"/>
        <v>589906.58178432973</v>
      </c>
    </row>
    <row r="291" spans="2:8" ht="13.5">
      <c r="B291" s="724">
        <v>44105</v>
      </c>
      <c r="C291" s="724">
        <v>44135</v>
      </c>
      <c r="D291" s="824">
        <v>0.18090000000000001</v>
      </c>
      <c r="E291" s="824">
        <f t="shared" si="33"/>
        <v>0.27134999999999998</v>
      </c>
      <c r="F291" s="825">
        <f t="shared" si="30"/>
        <v>6.5796794962613703E-4</v>
      </c>
      <c r="G291" s="793">
        <f t="shared" si="35"/>
        <v>31</v>
      </c>
      <c r="H291" s="826">
        <f t="shared" si="32"/>
        <v>601888.73594898765</v>
      </c>
    </row>
    <row r="292" spans="2:8" ht="13.5">
      <c r="B292" s="724">
        <v>44136</v>
      </c>
      <c r="C292" s="724">
        <v>44165</v>
      </c>
      <c r="D292" s="824">
        <v>0.1784</v>
      </c>
      <c r="E292" s="824">
        <f t="shared" si="33"/>
        <v>0.2676</v>
      </c>
      <c r="F292" s="825">
        <f t="shared" si="30"/>
        <v>6.4986956374091243E-4</v>
      </c>
      <c r="G292" s="793">
        <f t="shared" si="35"/>
        <v>30</v>
      </c>
      <c r="H292" s="826">
        <f t="shared" si="32"/>
        <v>575303.78994510567</v>
      </c>
    </row>
    <row r="293" spans="2:8" ht="13.5">
      <c r="B293" s="724">
        <v>44166</v>
      </c>
      <c r="C293" s="724">
        <v>44196</v>
      </c>
      <c r="D293" s="824">
        <v>0.17460000000000001</v>
      </c>
      <c r="E293" s="824">
        <f t="shared" si="33"/>
        <v>0.26190000000000002</v>
      </c>
      <c r="F293" s="825">
        <f t="shared" si="30"/>
        <v>6.3751414410861962E-4</v>
      </c>
      <c r="G293" s="793">
        <f t="shared" si="35"/>
        <v>31</v>
      </c>
      <c r="H293" s="826">
        <f t="shared" si="32"/>
        <v>583178.2270932293</v>
      </c>
    </row>
    <row r="294" spans="2:8" ht="13.5">
      <c r="B294" s="724">
        <v>44197</v>
      </c>
      <c r="C294" s="724">
        <v>44227</v>
      </c>
      <c r="D294" s="824">
        <v>0.17319999999999999</v>
      </c>
      <c r="E294" s="824">
        <f t="shared" si="33"/>
        <v>0.25979999999999998</v>
      </c>
      <c r="F294" s="825">
        <f t="shared" si="30"/>
        <v>6.3294811266723094E-4</v>
      </c>
      <c r="G294" s="793">
        <f t="shared" si="35"/>
        <v>31</v>
      </c>
      <c r="H294" s="826">
        <f t="shared" si="32"/>
        <v>579001.36271233927</v>
      </c>
    </row>
    <row r="295" spans="2:8" ht="13.5">
      <c r="B295" s="724">
        <v>44228</v>
      </c>
      <c r="C295" s="724">
        <v>44255</v>
      </c>
      <c r="D295" s="824">
        <v>0.1754</v>
      </c>
      <c r="E295" s="824">
        <f t="shared" si="33"/>
        <v>0.2631</v>
      </c>
      <c r="F295" s="825">
        <f t="shared" si="30"/>
        <v>6.4011990387169426E-4</v>
      </c>
      <c r="G295" s="793">
        <f t="shared" si="35"/>
        <v>28</v>
      </c>
      <c r="H295" s="826">
        <f t="shared" si="32"/>
        <v>528894.61533945648</v>
      </c>
    </row>
    <row r="296" spans="2:8" ht="13.5">
      <c r="B296" s="724">
        <v>44256</v>
      </c>
      <c r="C296" s="724">
        <v>44286</v>
      </c>
      <c r="D296" s="824">
        <v>0.1741</v>
      </c>
      <c r="E296" s="824">
        <f t="shared" si="33"/>
        <v>0.26114999999999999</v>
      </c>
      <c r="F296" s="825">
        <f t="shared" si="30"/>
        <v>6.3588428907812578E-4</v>
      </c>
      <c r="G296" s="793">
        <f t="shared" si="35"/>
        <v>31</v>
      </c>
      <c r="H296" s="826">
        <f t="shared" si="32"/>
        <v>581687.28610645118</v>
      </c>
    </row>
    <row r="297" spans="2:8" ht="13.5">
      <c r="B297" s="724">
        <v>44287</v>
      </c>
      <c r="C297" s="724">
        <v>44316</v>
      </c>
      <c r="D297" s="824">
        <v>0.1731</v>
      </c>
      <c r="E297" s="824">
        <f t="shared" si="33"/>
        <v>0.25964999999999999</v>
      </c>
      <c r="F297" s="825">
        <f t="shared" si="30"/>
        <v>6.326216771728177E-4</v>
      </c>
      <c r="G297" s="793">
        <f t="shared" si="35"/>
        <v>30</v>
      </c>
      <c r="H297" s="826">
        <f t="shared" si="32"/>
        <v>560034.91898267937</v>
      </c>
    </row>
    <row r="298" spans="2:8" ht="13.5">
      <c r="B298" s="724">
        <v>44317</v>
      </c>
      <c r="C298" s="724">
        <v>44347</v>
      </c>
      <c r="D298" s="824">
        <v>0.17219999999999999</v>
      </c>
      <c r="E298" s="824">
        <f t="shared" si="33"/>
        <v>0.25829999999999997</v>
      </c>
      <c r="F298" s="825">
        <f t="shared" si="30"/>
        <v>6.2968201205726437E-4</v>
      </c>
      <c r="G298" s="793">
        <f t="shared" si="35"/>
        <v>31</v>
      </c>
      <c r="H298" s="826">
        <f t="shared" si="32"/>
        <v>576013.63486217265</v>
      </c>
    </row>
    <row r="299" spans="2:8" ht="13.5">
      <c r="B299" s="821">
        <v>44348</v>
      </c>
      <c r="C299" s="821">
        <v>44377</v>
      </c>
      <c r="D299" s="827">
        <v>0.1721</v>
      </c>
      <c r="E299" s="827">
        <f t="shared" si="33"/>
        <v>0.25814999999999999</v>
      </c>
      <c r="F299" s="825">
        <f t="shared" si="30"/>
        <v>6.2935518846773952E-4</v>
      </c>
      <c r="G299" s="828">
        <f t="shared" si="35"/>
        <v>30</v>
      </c>
      <c r="H299" s="826">
        <f t="shared" si="32"/>
        <v>557143.22588502651</v>
      </c>
    </row>
    <row r="300" spans="2:8" ht="13.5">
      <c r="B300" s="821">
        <v>44378</v>
      </c>
      <c r="C300" s="821">
        <v>44408</v>
      </c>
      <c r="D300" s="827">
        <v>0.17180000000000001</v>
      </c>
      <c r="E300" s="827">
        <f t="shared" si="33"/>
        <v>0.25770000000000004</v>
      </c>
      <c r="F300" s="825">
        <f t="shared" si="30"/>
        <v>6.2837448450037137E-4</v>
      </c>
      <c r="G300" s="828">
        <f t="shared" si="35"/>
        <v>31</v>
      </c>
      <c r="H300" s="826">
        <f t="shared" si="32"/>
        <v>574817.54908187897</v>
      </c>
    </row>
    <row r="301" spans="2:8" ht="13.5">
      <c r="B301" s="724">
        <v>44409</v>
      </c>
      <c r="C301" s="724">
        <v>44439</v>
      </c>
      <c r="D301" s="827">
        <v>0.1724</v>
      </c>
      <c r="E301" s="827">
        <f t="shared" si="33"/>
        <v>0.2586</v>
      </c>
      <c r="F301" s="825">
        <f t="shared" si="30"/>
        <v>6.3033554269220637E-4</v>
      </c>
      <c r="G301" s="828">
        <f t="shared" si="35"/>
        <v>31</v>
      </c>
      <c r="H301" s="826">
        <f t="shared" si="32"/>
        <v>576611.46447985037</v>
      </c>
    </row>
    <row r="302" spans="2:8" ht="13.5">
      <c r="B302" s="724">
        <v>44440</v>
      </c>
      <c r="C302" s="724">
        <v>44469</v>
      </c>
      <c r="D302" s="827">
        <v>0.1719</v>
      </c>
      <c r="E302" s="827">
        <f t="shared" si="33"/>
        <v>0.25785000000000002</v>
      </c>
      <c r="F302" s="825">
        <f t="shared" si="30"/>
        <v>6.2870142469861889E-4</v>
      </c>
      <c r="G302" s="828">
        <f t="shared" si="35"/>
        <v>30</v>
      </c>
      <c r="H302" s="826">
        <f t="shared" si="32"/>
        <v>556564.47470926924</v>
      </c>
    </row>
    <row r="303" spans="2:8" ht="13.5">
      <c r="B303" s="724">
        <v>44470</v>
      </c>
      <c r="C303" s="724">
        <v>44500</v>
      </c>
      <c r="D303" s="827">
        <v>0.17080000000000001</v>
      </c>
      <c r="E303" s="827">
        <f t="shared" si="33"/>
        <v>0.25619999999999998</v>
      </c>
      <c r="F303" s="825">
        <f t="shared" si="30"/>
        <v>6.2510294214179751E-4</v>
      </c>
      <c r="G303" s="828">
        <f t="shared" si="35"/>
        <v>31</v>
      </c>
      <c r="H303" s="826">
        <f t="shared" si="32"/>
        <v>571824.84328834538</v>
      </c>
    </row>
    <row r="304" spans="2:8" ht="13.5">
      <c r="B304" s="724">
        <v>44501</v>
      </c>
      <c r="C304" s="724">
        <v>44516</v>
      </c>
      <c r="D304" s="827">
        <v>0.17269999999999999</v>
      </c>
      <c r="E304" s="827">
        <f>+D304*1.5</f>
        <v>0.25905</v>
      </c>
      <c r="F304" s="825">
        <f t="shared" si="30"/>
        <v>6.3131554742335005E-4</v>
      </c>
      <c r="G304" s="828">
        <v>16</v>
      </c>
      <c r="H304" s="826">
        <f t="shared" si="32"/>
        <v>298068.61548704735</v>
      </c>
    </row>
    <row r="305" spans="2:8" ht="14.25" thickBot="1">
      <c r="B305" s="791"/>
      <c r="C305" s="791"/>
      <c r="D305" s="791"/>
      <c r="E305" s="2640" t="s">
        <v>616</v>
      </c>
      <c r="F305" s="2640"/>
      <c r="G305" s="2640"/>
      <c r="H305" s="829">
        <f>SUM(H254:H304)</f>
        <v>28571350.573527947</v>
      </c>
    </row>
    <row r="306" spans="2:8" ht="24.75" customHeight="1" thickBot="1">
      <c r="B306" s="2641" t="s">
        <v>627</v>
      </c>
      <c r="C306" s="2642"/>
      <c r="D306" s="2643"/>
      <c r="E306" s="637"/>
      <c r="F306" s="46"/>
    </row>
    <row r="307" spans="2:8">
      <c r="B307" s="173" t="s">
        <v>198</v>
      </c>
      <c r="C307" s="172"/>
      <c r="D307" s="171"/>
      <c r="E307" s="170">
        <f>+C252</f>
        <v>29508680</v>
      </c>
      <c r="F307" s="46"/>
    </row>
    <row r="308" spans="2:8">
      <c r="B308" s="169" t="s">
        <v>618</v>
      </c>
      <c r="C308" s="168"/>
      <c r="D308" s="167"/>
      <c r="E308" s="166">
        <f>+H305</f>
        <v>28571350.573527947</v>
      </c>
      <c r="F308" s="46"/>
    </row>
    <row r="309" spans="2:8">
      <c r="B309" s="169" t="s">
        <v>619</v>
      </c>
      <c r="E309" s="166">
        <v>2522495.514</v>
      </c>
      <c r="F309" s="46"/>
    </row>
    <row r="310" spans="2:8" ht="13.5" thickBot="1">
      <c r="B310" s="165" t="s">
        <v>61</v>
      </c>
      <c r="C310" s="164"/>
      <c r="D310" s="163"/>
      <c r="E310" s="162">
        <f>SUM(E307:E309)</f>
        <v>60602526.087527946</v>
      </c>
      <c r="F310" s="46"/>
    </row>
    <row r="311" spans="2:8" ht="13.5" thickBot="1"/>
    <row r="312" spans="2:8" ht="13.5" thickBot="1">
      <c r="B312" s="2637" t="s">
        <v>346</v>
      </c>
      <c r="C312" s="2638"/>
      <c r="D312" s="2639"/>
      <c r="E312" s="637"/>
    </row>
    <row r="313" spans="2:8">
      <c r="B313" s="173" t="s">
        <v>198</v>
      </c>
      <c r="C313" s="172"/>
      <c r="D313" s="171"/>
      <c r="E313" s="170">
        <f>+E59+E121+E183+E245+E307</f>
        <v>420415919</v>
      </c>
    </row>
    <row r="314" spans="2:8">
      <c r="B314" s="169" t="s">
        <v>618</v>
      </c>
      <c r="C314" s="168"/>
      <c r="D314" s="167"/>
      <c r="E314" s="166">
        <f>+E60+E122+E184+E246+E308</f>
        <v>407061603.85489714</v>
      </c>
    </row>
    <row r="315" spans="2:8">
      <c r="B315" s="169" t="s">
        <v>619</v>
      </c>
      <c r="E315" s="166">
        <f>+E61+E123+E185+E247+E309</f>
        <v>12612477.57</v>
      </c>
    </row>
    <row r="316" spans="2:8" ht="13.5" thickBot="1">
      <c r="B316" s="165" t="s">
        <v>61</v>
      </c>
      <c r="C316" s="164"/>
      <c r="D316" s="163"/>
      <c r="E316" s="162">
        <f>SUM(E313:E315)</f>
        <v>840090000.42489719</v>
      </c>
    </row>
    <row r="317" spans="2:8">
      <c r="B317" s="221" t="s">
        <v>62</v>
      </c>
    </row>
    <row r="318" spans="2:8">
      <c r="B318" s="217"/>
    </row>
    <row r="319" spans="2:8">
      <c r="B319" s="217"/>
    </row>
    <row r="320" spans="2:8">
      <c r="B320" s="476" t="s">
        <v>63</v>
      </c>
    </row>
    <row r="321" spans="2:2">
      <c r="B321" s="476" t="s">
        <v>64</v>
      </c>
    </row>
    <row r="322" spans="2:2">
      <c r="B322" s="221" t="s">
        <v>65</v>
      </c>
    </row>
  </sheetData>
  <mergeCells count="19">
    <mergeCell ref="E181:G181"/>
    <mergeCell ref="B182:D182"/>
    <mergeCell ref="B189:H189"/>
    <mergeCell ref="J19:P19"/>
    <mergeCell ref="J76:L76"/>
    <mergeCell ref="M73:O73"/>
    <mergeCell ref="B120:D120"/>
    <mergeCell ref="B127:H127"/>
    <mergeCell ref="B3:H3"/>
    <mergeCell ref="E57:G57"/>
    <mergeCell ref="B58:D58"/>
    <mergeCell ref="B65:H65"/>
    <mergeCell ref="E119:G119"/>
    <mergeCell ref="B312:D312"/>
    <mergeCell ref="E243:G243"/>
    <mergeCell ref="B244:D244"/>
    <mergeCell ref="B251:H251"/>
    <mergeCell ref="E305:G305"/>
    <mergeCell ref="B306:D306"/>
  </mergeCells>
  <printOptions horizontalCentered="1"/>
  <pageMargins left="0.70866141732283472" right="0.70866141732283472" top="0.74803149606299213" bottom="0.74803149606299213" header="0.31496062992125984" footer="0.31496062992125984"/>
  <pageSetup paperSize="5" scale="72" orientation="portrait" r:id="rId1"/>
  <colBreaks count="1" manualBreakCount="1">
    <brk id="8"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64696-6C60-4CA9-B146-6A90C7565EBC}">
  <sheetPr codeName="Hoja18"/>
  <dimension ref="A1:R287"/>
  <sheetViews>
    <sheetView topLeftCell="A177" zoomScale="110" zoomScaleNormal="110" workbookViewId="0">
      <selection activeCell="H191" sqref="H191"/>
    </sheetView>
  </sheetViews>
  <sheetFormatPr defaultColWidth="11.42578125" defaultRowHeight="12.75"/>
  <cols>
    <col min="1" max="1" width="3.28515625" style="217" customWidth="1"/>
    <col min="2" max="2" width="16.28515625" style="217" customWidth="1"/>
    <col min="3" max="3" width="13.85546875" style="348" customWidth="1"/>
    <col min="4" max="4" width="11.42578125" style="217"/>
    <col min="5" max="5" width="13.85546875" style="217" customWidth="1"/>
    <col min="6" max="6" width="7.42578125" style="348" customWidth="1"/>
    <col min="7" max="7" width="9.42578125" style="217" customWidth="1"/>
    <col min="8" max="8" width="12.7109375" style="348" customWidth="1"/>
    <col min="9" max="9" width="13.7109375" style="348" customWidth="1"/>
    <col min="10" max="10" width="11.85546875" style="348" customWidth="1"/>
    <col min="11" max="11" width="12" style="348" customWidth="1"/>
    <col min="12" max="12" width="10.42578125" style="348" customWidth="1"/>
    <col min="13" max="13" width="13.140625" style="348" customWidth="1"/>
    <col min="14" max="14" width="15.85546875" style="348" customWidth="1"/>
    <col min="15" max="15" width="13.42578125" style="348" customWidth="1"/>
    <col min="16" max="16" width="7" style="235" customWidth="1"/>
    <col min="17" max="17" width="8.5703125" style="217" customWidth="1"/>
    <col min="18" max="18" width="11.140625" style="217" customWidth="1"/>
    <col min="19" max="16384" width="11.42578125" style="217"/>
  </cols>
  <sheetData>
    <row r="1" spans="1:17">
      <c r="B1" s="2660" t="s">
        <v>628</v>
      </c>
      <c r="C1" s="2660"/>
      <c r="D1" s="2660"/>
      <c r="E1" s="2660"/>
      <c r="F1" s="2660"/>
      <c r="G1" s="2660"/>
      <c r="H1" s="2660"/>
      <c r="I1" s="2660"/>
      <c r="J1" s="2660"/>
      <c r="K1" s="2660"/>
      <c r="L1" s="2660"/>
      <c r="M1" s="2660"/>
    </row>
    <row r="2" spans="1:17">
      <c r="B2" s="2660"/>
      <c r="C2" s="2660"/>
      <c r="D2" s="2660"/>
      <c r="E2" s="2660"/>
      <c r="F2" s="2660"/>
      <c r="G2" s="2660"/>
      <c r="H2" s="2660"/>
      <c r="I2" s="2660"/>
      <c r="J2" s="2660"/>
      <c r="K2" s="2660"/>
      <c r="L2" s="2660"/>
      <c r="M2" s="2660"/>
    </row>
    <row r="3" spans="1:17">
      <c r="H3" s="348" t="s">
        <v>521</v>
      </c>
      <c r="I3" s="348" t="s">
        <v>629</v>
      </c>
    </row>
    <row r="4" spans="1:17">
      <c r="H4" s="348" t="s">
        <v>522</v>
      </c>
      <c r="I4" s="348" t="s">
        <v>630</v>
      </c>
    </row>
    <row r="5" spans="1:17" ht="25.5">
      <c r="A5" s="814"/>
      <c r="B5" s="1201" t="s">
        <v>538</v>
      </c>
      <c r="C5" s="741" t="s">
        <v>631</v>
      </c>
      <c r="D5" s="814"/>
      <c r="E5" s="814"/>
      <c r="F5" s="1051"/>
      <c r="G5" s="814"/>
      <c r="H5" s="1051"/>
      <c r="I5" s="1051"/>
      <c r="J5" s="1051"/>
      <c r="K5" s="1051"/>
      <c r="L5" s="1051"/>
      <c r="M5" s="1051"/>
      <c r="N5" s="1051"/>
    </row>
    <row r="6" spans="1:17" ht="13.5">
      <c r="A6" s="814"/>
      <c r="B6" s="1201" t="s">
        <v>540</v>
      </c>
      <c r="C6" s="1036">
        <v>52335069</v>
      </c>
      <c r="D6" s="814"/>
      <c r="E6" s="814"/>
      <c r="F6" s="1051"/>
      <c r="G6" s="814"/>
      <c r="H6" s="1051"/>
      <c r="I6" s="1051"/>
      <c r="J6" s="1051"/>
      <c r="K6" s="1051"/>
      <c r="L6" s="1051"/>
      <c r="M6" s="1051"/>
      <c r="N6" s="1051"/>
    </row>
    <row r="7" spans="1:17" ht="13.5">
      <c r="A7" s="814"/>
      <c r="B7" s="726" t="s">
        <v>124</v>
      </c>
      <c r="C7" s="800" t="s">
        <v>632</v>
      </c>
      <c r="D7" s="814"/>
      <c r="E7" s="814"/>
      <c r="F7" s="1051"/>
      <c r="G7" s="814"/>
      <c r="H7" s="1051"/>
      <c r="I7" s="1051"/>
      <c r="J7" s="1051"/>
      <c r="K7" s="1051"/>
      <c r="L7" s="1051"/>
      <c r="M7" s="1051"/>
      <c r="N7" s="1051"/>
    </row>
    <row r="8" spans="1:17" ht="13.5">
      <c r="A8" s="814"/>
      <c r="B8" s="726" t="s">
        <v>287</v>
      </c>
      <c r="C8" s="1234" t="s">
        <v>633</v>
      </c>
      <c r="D8" s="814"/>
      <c r="E8" s="814"/>
      <c r="F8" s="1051"/>
      <c r="G8" s="814"/>
      <c r="H8" s="1051"/>
      <c r="I8" s="1051"/>
      <c r="J8" s="1051"/>
      <c r="K8" s="1051"/>
      <c r="L8" s="1051"/>
      <c r="M8" s="1051"/>
      <c r="N8" s="1051"/>
    </row>
    <row r="9" spans="1:17" ht="13.5">
      <c r="A9" s="814"/>
      <c r="B9" s="726" t="s">
        <v>290</v>
      </c>
      <c r="C9" s="800">
        <v>43210</v>
      </c>
      <c r="D9" s="814"/>
      <c r="E9" s="814"/>
      <c r="F9" s="1051"/>
      <c r="G9" s="814"/>
      <c r="H9" s="1051"/>
      <c r="I9" s="1051"/>
      <c r="J9" s="1051"/>
      <c r="K9" s="1051"/>
      <c r="L9" s="1051"/>
      <c r="M9" s="1051"/>
      <c r="N9" s="1051"/>
    </row>
    <row r="10" spans="1:17" ht="13.5">
      <c r="A10" s="814"/>
      <c r="B10" s="726" t="s">
        <v>545</v>
      </c>
      <c r="C10" s="800">
        <v>41851</v>
      </c>
      <c r="D10" s="814"/>
      <c r="E10" s="814"/>
      <c r="F10" s="1051"/>
      <c r="G10" s="814"/>
      <c r="H10" s="1051"/>
      <c r="I10" s="1051"/>
      <c r="J10" s="1051"/>
      <c r="K10" s="1051"/>
      <c r="L10" s="1051"/>
      <c r="M10" s="1051"/>
      <c r="N10" s="1051"/>
    </row>
    <row r="11" spans="1:17" ht="13.5">
      <c r="A11" s="814"/>
      <c r="B11" s="726" t="s">
        <v>634</v>
      </c>
      <c r="C11" s="800">
        <v>44307</v>
      </c>
      <c r="D11" s="814"/>
      <c r="E11" s="1059"/>
      <c r="F11" s="1034"/>
      <c r="G11" s="1059"/>
      <c r="H11" s="1051"/>
      <c r="I11" s="1051"/>
      <c r="J11" s="1051"/>
      <c r="K11" s="1051"/>
      <c r="L11" s="1051"/>
      <c r="M11" s="1051"/>
      <c r="N11" s="1051"/>
    </row>
    <row r="12" spans="1:17" ht="13.5">
      <c r="A12" s="814"/>
      <c r="B12" s="1202"/>
      <c r="C12" s="1113" t="s">
        <v>635</v>
      </c>
      <c r="D12" s="1035">
        <v>98.91</v>
      </c>
      <c r="E12" s="814"/>
      <c r="F12" s="1051"/>
      <c r="G12" s="814"/>
      <c r="H12" s="1034"/>
      <c r="I12" s="1034"/>
      <c r="J12" s="1034"/>
      <c r="K12" s="1034"/>
      <c r="L12" s="1034"/>
      <c r="M12" s="1034"/>
      <c r="N12" s="1051"/>
    </row>
    <row r="13" spans="1:17" ht="13.5">
      <c r="A13" s="814"/>
      <c r="B13" s="1113" t="s">
        <v>11</v>
      </c>
      <c r="C13" s="761" t="s">
        <v>12</v>
      </c>
      <c r="D13" s="1113" t="s">
        <v>76</v>
      </c>
      <c r="E13" s="1113" t="s">
        <v>77</v>
      </c>
      <c r="F13" s="761" t="s">
        <v>57</v>
      </c>
      <c r="G13" s="1059"/>
      <c r="H13" s="1051"/>
      <c r="I13" s="1051"/>
      <c r="J13" s="1051"/>
      <c r="K13" s="1051"/>
      <c r="L13" s="1051"/>
      <c r="M13" s="1051"/>
      <c r="N13" s="1051"/>
    </row>
    <row r="14" spans="1:17" ht="13.5">
      <c r="A14" s="814"/>
      <c r="B14" s="741"/>
      <c r="C14" s="1036">
        <v>1559045</v>
      </c>
      <c r="D14" s="741"/>
      <c r="E14" s="741"/>
      <c r="F14" s="1036"/>
      <c r="G14" s="814"/>
      <c r="H14" s="761" t="s">
        <v>78</v>
      </c>
      <c r="I14" s="761" t="s">
        <v>79</v>
      </c>
      <c r="J14" s="761" t="s">
        <v>186</v>
      </c>
      <c r="K14" s="761" t="s">
        <v>187</v>
      </c>
      <c r="L14" s="761" t="s">
        <v>82</v>
      </c>
      <c r="M14" s="761" t="s">
        <v>83</v>
      </c>
      <c r="N14" s="1051"/>
    </row>
    <row r="15" spans="1:17" ht="13.5">
      <c r="A15" s="814"/>
      <c r="B15" s="741" t="s">
        <v>29</v>
      </c>
      <c r="C15" s="1036">
        <v>1559045</v>
      </c>
      <c r="D15" s="1037">
        <v>81.900000000000006</v>
      </c>
      <c r="E15" s="741">
        <f>$D$12/D15</f>
        <v>1.2076923076923076</v>
      </c>
      <c r="F15" s="1036">
        <f t="shared" ref="F15:F24" si="0">INT(C15*E15)</f>
        <v>1882846</v>
      </c>
      <c r="G15" s="814"/>
      <c r="H15" s="1036">
        <v>62400</v>
      </c>
      <c r="I15" s="736">
        <v>62400</v>
      </c>
      <c r="J15" s="736">
        <v>132500</v>
      </c>
      <c r="K15" s="736">
        <v>187100</v>
      </c>
      <c r="L15" s="736">
        <f t="shared" ref="L15:M19" si="1">SUM(H15+J15)</f>
        <v>194900</v>
      </c>
      <c r="M15" s="736">
        <f t="shared" si="1"/>
        <v>249500</v>
      </c>
      <c r="N15" s="1051">
        <v>519668</v>
      </c>
      <c r="P15" s="235">
        <f>INT(N15/12)</f>
        <v>43305</v>
      </c>
      <c r="Q15" s="217" t="s">
        <v>467</v>
      </c>
    </row>
    <row r="16" spans="1:17" ht="13.5">
      <c r="A16" s="814"/>
      <c r="B16" s="741" t="s">
        <v>31</v>
      </c>
      <c r="C16" s="1036">
        <v>1559045</v>
      </c>
      <c r="D16" s="1037">
        <v>82.01</v>
      </c>
      <c r="E16" s="741">
        <f t="shared" ref="E16:E24" si="2">$D$12/D16</f>
        <v>1.2060724301914401</v>
      </c>
      <c r="F16" s="1036">
        <f>INT(C16*E16)</f>
        <v>1880321</v>
      </c>
      <c r="G16" s="814"/>
      <c r="H16" s="1036">
        <v>62400</v>
      </c>
      <c r="I16" s="736">
        <v>62400</v>
      </c>
      <c r="J16" s="736">
        <v>132500</v>
      </c>
      <c r="K16" s="736">
        <v>187100</v>
      </c>
      <c r="L16" s="736">
        <f t="shared" si="1"/>
        <v>194900</v>
      </c>
      <c r="M16" s="736">
        <f t="shared" si="1"/>
        <v>249500</v>
      </c>
      <c r="N16" s="1051">
        <f>INT(C14+P15)/30*20</f>
        <v>1068233.3333333333</v>
      </c>
      <c r="P16" s="235">
        <f>INT(N16/12)</f>
        <v>89019</v>
      </c>
      <c r="Q16" s="217" t="s">
        <v>470</v>
      </c>
    </row>
    <row r="17" spans="1:17" ht="13.5">
      <c r="A17" s="814"/>
      <c r="B17" s="741" t="s">
        <v>33</v>
      </c>
      <c r="C17" s="1036">
        <v>1559045</v>
      </c>
      <c r="D17" s="1037">
        <v>82.14</v>
      </c>
      <c r="E17" s="741">
        <f t="shared" si="2"/>
        <v>1.2041636230825419</v>
      </c>
      <c r="F17" s="1036">
        <f>INT(C17*E17)</f>
        <v>1877345</v>
      </c>
      <c r="G17" s="814"/>
      <c r="H17" s="1036">
        <v>62400</v>
      </c>
      <c r="I17" s="736">
        <v>62400</v>
      </c>
      <c r="J17" s="736">
        <v>132500</v>
      </c>
      <c r="K17" s="736">
        <v>187100</v>
      </c>
      <c r="L17" s="736">
        <f t="shared" si="1"/>
        <v>194900</v>
      </c>
      <c r="M17" s="736">
        <f t="shared" si="1"/>
        <v>249500</v>
      </c>
      <c r="N17" s="1051">
        <f>INT(C14)/30*2</f>
        <v>103936.33333333333</v>
      </c>
      <c r="P17" s="235">
        <v>0</v>
      </c>
      <c r="Q17" s="217" t="s">
        <v>473</v>
      </c>
    </row>
    <row r="18" spans="1:17" ht="13.5">
      <c r="A18" s="814"/>
      <c r="B18" s="741" t="s">
        <v>34</v>
      </c>
      <c r="C18" s="1036">
        <v>1559045</v>
      </c>
      <c r="D18" s="1037">
        <v>82.25</v>
      </c>
      <c r="E18" s="741">
        <f t="shared" si="2"/>
        <v>1.2025531914893617</v>
      </c>
      <c r="F18" s="1036">
        <f t="shared" si="0"/>
        <v>1874834</v>
      </c>
      <c r="G18" s="814"/>
      <c r="H18" s="1036">
        <v>62400</v>
      </c>
      <c r="I18" s="736">
        <v>62400</v>
      </c>
      <c r="J18" s="736">
        <v>132500</v>
      </c>
      <c r="K18" s="736">
        <v>187100</v>
      </c>
      <c r="L18" s="736">
        <f t="shared" si="1"/>
        <v>194900</v>
      </c>
      <c r="M18" s="736">
        <f t="shared" si="1"/>
        <v>249500</v>
      </c>
      <c r="N18" s="1051">
        <f>INT(C14+P15)/30*21</f>
        <v>1121645</v>
      </c>
      <c r="P18" s="235">
        <v>0</v>
      </c>
      <c r="Q18" s="217" t="s">
        <v>22</v>
      </c>
    </row>
    <row r="19" spans="1:17" ht="13.5">
      <c r="A19" s="814"/>
      <c r="B19" s="741" t="s">
        <v>35</v>
      </c>
      <c r="C19" s="1036">
        <v>1559045</v>
      </c>
      <c r="D19" s="1037">
        <v>82.47</v>
      </c>
      <c r="E19" s="741">
        <f t="shared" si="2"/>
        <v>1.1993452164423426</v>
      </c>
      <c r="F19" s="1036">
        <f t="shared" si="0"/>
        <v>1869833</v>
      </c>
      <c r="G19" s="814"/>
      <c r="H19" s="1036">
        <v>62400</v>
      </c>
      <c r="I19" s="736">
        <v>62400</v>
      </c>
      <c r="J19" s="736">
        <v>132500</v>
      </c>
      <c r="K19" s="736">
        <v>187100</v>
      </c>
      <c r="L19" s="736">
        <f t="shared" si="1"/>
        <v>194900</v>
      </c>
      <c r="M19" s="736">
        <f t="shared" si="1"/>
        <v>249500</v>
      </c>
      <c r="N19" s="1051">
        <f>+(C15+P15+P16)/360*270</f>
        <v>1268526.75</v>
      </c>
      <c r="P19" s="235">
        <f>INT(N19/12)</f>
        <v>105710</v>
      </c>
      <c r="Q19" s="217" t="s">
        <v>478</v>
      </c>
    </row>
    <row r="20" spans="1:17" ht="13.5">
      <c r="A20" s="814"/>
      <c r="B20" s="741" t="s">
        <v>101</v>
      </c>
      <c r="C20" s="1036">
        <v>0</v>
      </c>
      <c r="D20" s="1037">
        <f>+D15</f>
        <v>81.900000000000006</v>
      </c>
      <c r="E20" s="741">
        <f t="shared" si="2"/>
        <v>1.2076923076923076</v>
      </c>
      <c r="F20" s="1036">
        <f t="shared" si="0"/>
        <v>0</v>
      </c>
      <c r="G20" s="814"/>
      <c r="H20" s="1036"/>
      <c r="I20" s="736"/>
      <c r="J20" s="736"/>
      <c r="K20" s="736"/>
      <c r="L20" s="736"/>
      <c r="M20" s="736"/>
      <c r="N20" s="1051">
        <f>INT(C14+P15+P16+P19)/360*270</f>
        <v>1347809.25</v>
      </c>
      <c r="Q20" s="217" t="s">
        <v>490</v>
      </c>
    </row>
    <row r="21" spans="1:17" ht="13.5">
      <c r="A21" s="814"/>
      <c r="B21" s="741" t="s">
        <v>102</v>
      </c>
      <c r="C21" s="1036">
        <v>1068233</v>
      </c>
      <c r="D21" s="1037">
        <f>+D15</f>
        <v>81.900000000000006</v>
      </c>
      <c r="E21" s="741">
        <f t="shared" si="2"/>
        <v>1.2076923076923076</v>
      </c>
      <c r="F21" s="1036">
        <f t="shared" si="0"/>
        <v>1290096</v>
      </c>
      <c r="G21" s="814"/>
      <c r="H21" s="1036"/>
      <c r="I21" s="736"/>
      <c r="J21" s="736"/>
      <c r="K21" s="736"/>
      <c r="L21" s="736"/>
      <c r="M21" s="736"/>
      <c r="N21" s="1051">
        <f>+(N20*0.12/360*270)</f>
        <v>121302.83249999999</v>
      </c>
      <c r="Q21" s="217" t="s">
        <v>636</v>
      </c>
    </row>
    <row r="22" spans="1:17" ht="13.5">
      <c r="A22" s="814"/>
      <c r="B22" s="741" t="s">
        <v>103</v>
      </c>
      <c r="C22" s="1036">
        <v>103936</v>
      </c>
      <c r="D22" s="1037">
        <v>81.900000000000006</v>
      </c>
      <c r="E22" s="741">
        <f t="shared" si="2"/>
        <v>1.2076923076923076</v>
      </c>
      <c r="F22" s="1036">
        <f t="shared" si="0"/>
        <v>125522</v>
      </c>
      <c r="G22" s="814"/>
      <c r="H22" s="1036"/>
      <c r="I22" s="736"/>
      <c r="J22" s="736"/>
      <c r="K22" s="736"/>
      <c r="L22" s="736"/>
      <c r="M22" s="736"/>
      <c r="N22" s="1051"/>
    </row>
    <row r="23" spans="1:17" ht="13.5">
      <c r="A23" s="814"/>
      <c r="B23" s="741" t="s">
        <v>104</v>
      </c>
      <c r="C23" s="1036">
        <v>1121646</v>
      </c>
      <c r="D23" s="1037">
        <v>81.900000000000006</v>
      </c>
      <c r="E23" s="741">
        <f t="shared" si="2"/>
        <v>1.2076923076923076</v>
      </c>
      <c r="F23" s="1036">
        <f t="shared" si="0"/>
        <v>1354603</v>
      </c>
      <c r="G23" s="814"/>
      <c r="H23" s="1036"/>
      <c r="I23" s="736"/>
      <c r="J23" s="736"/>
      <c r="K23" s="736"/>
      <c r="L23" s="736"/>
      <c r="M23" s="736"/>
      <c r="N23" s="1051"/>
    </row>
    <row r="24" spans="1:17" ht="13.5">
      <c r="A24" s="814"/>
      <c r="B24" s="741" t="s">
        <v>95</v>
      </c>
      <c r="C24" s="1036">
        <v>1268529</v>
      </c>
      <c r="D24" s="1037">
        <v>82.47</v>
      </c>
      <c r="E24" s="741">
        <f t="shared" si="2"/>
        <v>1.1993452164423426</v>
      </c>
      <c r="F24" s="1036">
        <f t="shared" si="0"/>
        <v>1521404</v>
      </c>
      <c r="G24" s="814"/>
      <c r="H24" s="1036"/>
      <c r="I24" s="736"/>
      <c r="J24" s="736"/>
      <c r="K24" s="736"/>
      <c r="L24" s="736"/>
      <c r="M24" s="736"/>
      <c r="N24" s="1051"/>
    </row>
    <row r="25" spans="1:17" ht="13.5">
      <c r="A25" s="814"/>
      <c r="B25" s="741" t="s">
        <v>96</v>
      </c>
      <c r="C25" s="1036"/>
      <c r="D25" s="1037"/>
      <c r="E25" s="741"/>
      <c r="F25" s="1036">
        <f>SUM(F15:F24)</f>
        <v>13676804</v>
      </c>
      <c r="G25" s="814"/>
      <c r="H25" s="1036"/>
      <c r="I25" s="736"/>
      <c r="J25" s="736"/>
      <c r="K25" s="736"/>
      <c r="L25" s="736"/>
      <c r="M25" s="736"/>
      <c r="N25" s="1051"/>
    </row>
    <row r="26" spans="1:17" ht="13.5">
      <c r="A26" s="814"/>
      <c r="B26" s="741" t="s">
        <v>98</v>
      </c>
      <c r="C26" s="1036"/>
      <c r="D26" s="1037"/>
      <c r="E26" s="741"/>
      <c r="F26" s="1036">
        <f>SUM(H26+I26)</f>
        <v>624000</v>
      </c>
      <c r="G26" s="814"/>
      <c r="H26" s="1036">
        <f t="shared" ref="H26:M26" si="3">SUM(H15:H19)</f>
        <v>312000</v>
      </c>
      <c r="I26" s="736">
        <f t="shared" si="3"/>
        <v>312000</v>
      </c>
      <c r="J26" s="736">
        <f t="shared" si="3"/>
        <v>662500</v>
      </c>
      <c r="K26" s="736">
        <f t="shared" si="3"/>
        <v>935500</v>
      </c>
      <c r="L26" s="736">
        <f t="shared" si="3"/>
        <v>974500</v>
      </c>
      <c r="M26" s="736">
        <f t="shared" si="3"/>
        <v>1247500</v>
      </c>
      <c r="N26" s="1051"/>
    </row>
    <row r="27" spans="1:17" ht="13.5">
      <c r="A27" s="814"/>
      <c r="B27" s="741" t="s">
        <v>99</v>
      </c>
      <c r="C27" s="1036"/>
      <c r="D27" s="1037"/>
      <c r="E27" s="741"/>
      <c r="F27" s="1036">
        <f>(F25-F26)</f>
        <v>13052804</v>
      </c>
      <c r="G27" s="814"/>
      <c r="H27" s="1051"/>
      <c r="I27" s="1051"/>
      <c r="J27" s="1051"/>
      <c r="K27" s="1051"/>
      <c r="L27" s="1051"/>
      <c r="M27" s="1051"/>
      <c r="N27" s="1051"/>
    </row>
    <row r="28" spans="1:17" ht="13.5">
      <c r="A28" s="814"/>
      <c r="B28" s="735" t="s">
        <v>11</v>
      </c>
      <c r="C28" s="734" t="s">
        <v>13</v>
      </c>
      <c r="D28" s="735" t="s">
        <v>76</v>
      </c>
      <c r="E28" s="735" t="s">
        <v>77</v>
      </c>
      <c r="F28" s="734" t="s">
        <v>57</v>
      </c>
      <c r="G28" s="1059"/>
      <c r="H28" s="1051"/>
      <c r="I28" s="1051"/>
      <c r="J28" s="1051"/>
      <c r="K28" s="1051"/>
      <c r="L28" s="1051"/>
      <c r="M28" s="1051"/>
      <c r="N28" s="1051"/>
    </row>
    <row r="29" spans="1:17" ht="13.5">
      <c r="A29" s="814"/>
      <c r="B29" s="741"/>
      <c r="C29" s="1036">
        <v>1652587</v>
      </c>
      <c r="D29" s="741"/>
      <c r="E29" s="741"/>
      <c r="F29" s="1036"/>
      <c r="G29" s="814"/>
      <c r="H29" s="734" t="s">
        <v>78</v>
      </c>
      <c r="I29" s="734" t="s">
        <v>79</v>
      </c>
      <c r="J29" s="734" t="s">
        <v>186</v>
      </c>
      <c r="K29" s="734" t="s">
        <v>187</v>
      </c>
      <c r="L29" s="734" t="s">
        <v>82</v>
      </c>
      <c r="M29" s="734" t="s">
        <v>83</v>
      </c>
      <c r="N29" s="1051"/>
    </row>
    <row r="30" spans="1:17" ht="13.5">
      <c r="A30" s="814"/>
      <c r="B30" s="741" t="s">
        <v>16</v>
      </c>
      <c r="C30" s="1036">
        <v>1652587</v>
      </c>
      <c r="D30" s="1037">
        <v>83</v>
      </c>
      <c r="E30" s="741">
        <f>$D$12/D30</f>
        <v>1.1916867469879517</v>
      </c>
      <c r="F30" s="1036">
        <f t="shared" ref="F30:F46" si="4">INT(C30*E30)</f>
        <v>1969366</v>
      </c>
      <c r="G30" s="814"/>
      <c r="H30" s="1036">
        <v>66100</v>
      </c>
      <c r="I30" s="736">
        <v>66100</v>
      </c>
      <c r="J30" s="736">
        <v>140500</v>
      </c>
      <c r="K30" s="736">
        <v>198300</v>
      </c>
      <c r="L30" s="736">
        <f t="shared" ref="L30:L41" si="5">SUM(H30+J30)</f>
        <v>206600</v>
      </c>
      <c r="M30" s="736">
        <f t="shared" ref="M30:M41" si="6">SUM(I30+K30)</f>
        <v>264400</v>
      </c>
      <c r="N30" s="1051">
        <f>INT(+C29*50%)</f>
        <v>826293</v>
      </c>
      <c r="P30" s="235">
        <f>INT(C42/12)</f>
        <v>68857</v>
      </c>
      <c r="Q30" s="217" t="s">
        <v>467</v>
      </c>
    </row>
    <row r="31" spans="1:17" ht="13.5">
      <c r="A31" s="814"/>
      <c r="B31" s="741" t="s">
        <v>17</v>
      </c>
      <c r="C31" s="1036">
        <v>1652587</v>
      </c>
      <c r="D31" s="1037">
        <v>83.96</v>
      </c>
      <c r="E31" s="741">
        <f t="shared" ref="E31:E46" si="7">$D$12/D31</f>
        <v>1.1780609814197238</v>
      </c>
      <c r="F31" s="1036">
        <f t="shared" si="4"/>
        <v>1946848</v>
      </c>
      <c r="G31" s="814"/>
      <c r="H31" s="1036">
        <v>66100</v>
      </c>
      <c r="I31" s="736">
        <v>66100</v>
      </c>
      <c r="J31" s="736">
        <v>140500</v>
      </c>
      <c r="K31" s="736">
        <v>198300</v>
      </c>
      <c r="L31" s="736">
        <f t="shared" si="5"/>
        <v>206600</v>
      </c>
      <c r="M31" s="736">
        <f t="shared" si="6"/>
        <v>264400</v>
      </c>
      <c r="N31" s="1051">
        <f>INT(C29+P30)/30*20</f>
        <v>1147629.3333333333</v>
      </c>
      <c r="P31" s="235">
        <f>INT(N31/12)</f>
        <v>95635</v>
      </c>
      <c r="Q31" s="217" t="s">
        <v>470</v>
      </c>
    </row>
    <row r="32" spans="1:17" ht="13.5">
      <c r="A32" s="814"/>
      <c r="B32" s="741" t="s">
        <v>19</v>
      </c>
      <c r="C32" s="1036">
        <v>1652587</v>
      </c>
      <c r="D32" s="1037">
        <v>84.45</v>
      </c>
      <c r="E32" s="741">
        <f t="shared" si="7"/>
        <v>1.1712255772646536</v>
      </c>
      <c r="F32" s="1036">
        <f t="shared" si="4"/>
        <v>1935552</v>
      </c>
      <c r="G32" s="814"/>
      <c r="H32" s="1036">
        <v>66100</v>
      </c>
      <c r="I32" s="736">
        <v>66100</v>
      </c>
      <c r="J32" s="736">
        <v>140500</v>
      </c>
      <c r="K32" s="736">
        <v>198300</v>
      </c>
      <c r="L32" s="736">
        <f t="shared" si="5"/>
        <v>206600</v>
      </c>
      <c r="M32" s="736">
        <f t="shared" si="6"/>
        <v>264400</v>
      </c>
      <c r="N32" s="1051">
        <f>INT(C29/30)*2</f>
        <v>110172</v>
      </c>
      <c r="P32" s="235">
        <v>0</v>
      </c>
      <c r="Q32" s="217" t="s">
        <v>473</v>
      </c>
    </row>
    <row r="33" spans="1:17" ht="13.5">
      <c r="A33" s="814"/>
      <c r="B33" s="741" t="s">
        <v>21</v>
      </c>
      <c r="C33" s="1036">
        <v>1652587</v>
      </c>
      <c r="D33" s="1037">
        <v>84.9</v>
      </c>
      <c r="E33" s="741">
        <f t="shared" si="7"/>
        <v>1.1650176678445228</v>
      </c>
      <c r="F33" s="1036">
        <f t="shared" si="4"/>
        <v>1925293</v>
      </c>
      <c r="G33" s="814"/>
      <c r="H33" s="1036">
        <v>66100</v>
      </c>
      <c r="I33" s="736">
        <v>66100</v>
      </c>
      <c r="J33" s="736">
        <v>140500</v>
      </c>
      <c r="K33" s="736">
        <v>198300</v>
      </c>
      <c r="L33" s="736">
        <f t="shared" si="5"/>
        <v>206600</v>
      </c>
      <c r="M33" s="736">
        <f t="shared" si="6"/>
        <v>264400</v>
      </c>
      <c r="N33" s="1051">
        <f>INT(C29+P30)/30*21</f>
        <v>1205010.8</v>
      </c>
      <c r="P33" s="235">
        <v>0</v>
      </c>
      <c r="Q33" s="217" t="s">
        <v>22</v>
      </c>
    </row>
    <row r="34" spans="1:17" ht="13.5">
      <c r="A34" s="814"/>
      <c r="B34" s="741" t="s">
        <v>23</v>
      </c>
      <c r="C34" s="1036">
        <v>1652587</v>
      </c>
      <c r="D34" s="1037">
        <v>85.12</v>
      </c>
      <c r="E34" s="741">
        <f t="shared" si="7"/>
        <v>1.1620065789473684</v>
      </c>
      <c r="F34" s="1036">
        <f t="shared" si="4"/>
        <v>1920316</v>
      </c>
      <c r="G34" s="814"/>
      <c r="H34" s="1036">
        <v>66100</v>
      </c>
      <c r="I34" s="736">
        <v>66100</v>
      </c>
      <c r="J34" s="736">
        <v>140500</v>
      </c>
      <c r="K34" s="736">
        <v>198300</v>
      </c>
      <c r="L34" s="736">
        <f t="shared" si="5"/>
        <v>206600</v>
      </c>
      <c r="M34" s="736">
        <f t="shared" si="6"/>
        <v>264400</v>
      </c>
      <c r="N34" s="1051">
        <f>+(C30+P30+P31)/360*360</f>
        <v>1817079</v>
      </c>
      <c r="P34" s="235">
        <f>INT(N34/12)</f>
        <v>151423</v>
      </c>
      <c r="Q34" s="217" t="s">
        <v>478</v>
      </c>
    </row>
    <row r="35" spans="1:17" ht="13.5">
      <c r="A35" s="814"/>
      <c r="B35" s="741" t="s">
        <v>25</v>
      </c>
      <c r="C35" s="1036">
        <v>1652587</v>
      </c>
      <c r="D35" s="1037">
        <v>85.21</v>
      </c>
      <c r="E35" s="741">
        <f t="shared" si="7"/>
        <v>1.1607792512615891</v>
      </c>
      <c r="F35" s="1036">
        <f t="shared" si="4"/>
        <v>1918288</v>
      </c>
      <c r="G35" s="814"/>
      <c r="H35" s="1036">
        <v>66100</v>
      </c>
      <c r="I35" s="736">
        <v>66100</v>
      </c>
      <c r="J35" s="736">
        <v>140500</v>
      </c>
      <c r="K35" s="736">
        <v>198300</v>
      </c>
      <c r="L35" s="736">
        <f t="shared" si="5"/>
        <v>206600</v>
      </c>
      <c r="M35" s="736">
        <f t="shared" si="6"/>
        <v>264400</v>
      </c>
      <c r="N35" s="1051">
        <f>INT(C30+P30+P31+P34)/360*360</f>
        <v>1968502</v>
      </c>
      <c r="Q35" s="217" t="s">
        <v>490</v>
      </c>
    </row>
    <row r="36" spans="1:17" ht="13.5">
      <c r="A36" s="814"/>
      <c r="B36" s="741" t="s">
        <v>27</v>
      </c>
      <c r="C36" s="1036">
        <v>1652587</v>
      </c>
      <c r="D36" s="1037">
        <v>85.37</v>
      </c>
      <c r="E36" s="741">
        <f t="shared" si="7"/>
        <v>1.1586037249619303</v>
      </c>
      <c r="F36" s="1036">
        <f t="shared" si="4"/>
        <v>1914693</v>
      </c>
      <c r="G36" s="814"/>
      <c r="H36" s="1036">
        <v>66100</v>
      </c>
      <c r="I36" s="736">
        <v>66100</v>
      </c>
      <c r="J36" s="736">
        <v>140500</v>
      </c>
      <c r="K36" s="736">
        <v>198300</v>
      </c>
      <c r="L36" s="736">
        <f t="shared" si="5"/>
        <v>206600</v>
      </c>
      <c r="M36" s="736">
        <f t="shared" si="6"/>
        <v>264400</v>
      </c>
      <c r="N36" s="1051">
        <f>+(N35*0.12/360*360)</f>
        <v>236220.24</v>
      </c>
      <c r="Q36" s="217" t="s">
        <v>483</v>
      </c>
    </row>
    <row r="37" spans="1:17" ht="13.5">
      <c r="A37" s="814"/>
      <c r="B37" s="741" t="s">
        <v>29</v>
      </c>
      <c r="C37" s="1036">
        <v>1652587</v>
      </c>
      <c r="D37" s="1037">
        <v>85.78</v>
      </c>
      <c r="E37" s="741">
        <f t="shared" si="7"/>
        <v>1.153065982746561</v>
      </c>
      <c r="F37" s="1036">
        <f t="shared" si="4"/>
        <v>1905541</v>
      </c>
      <c r="G37" s="814"/>
      <c r="H37" s="1036">
        <v>66100</v>
      </c>
      <c r="I37" s="736">
        <v>66100</v>
      </c>
      <c r="J37" s="736">
        <v>140500</v>
      </c>
      <c r="K37" s="736">
        <v>198300</v>
      </c>
      <c r="L37" s="736">
        <f t="shared" si="5"/>
        <v>206600</v>
      </c>
      <c r="M37" s="736">
        <f t="shared" si="6"/>
        <v>264400</v>
      </c>
      <c r="N37" s="1051"/>
    </row>
    <row r="38" spans="1:17" ht="13.5">
      <c r="A38" s="814"/>
      <c r="B38" s="741" t="s">
        <v>31</v>
      </c>
      <c r="C38" s="1036">
        <v>1652587</v>
      </c>
      <c r="D38" s="1037">
        <v>86.39</v>
      </c>
      <c r="E38" s="741">
        <f t="shared" si="7"/>
        <v>1.1449241810394721</v>
      </c>
      <c r="F38" s="1036">
        <f t="shared" si="4"/>
        <v>1892086</v>
      </c>
      <c r="G38" s="814"/>
      <c r="H38" s="1036">
        <v>66100</v>
      </c>
      <c r="I38" s="736">
        <v>66100</v>
      </c>
      <c r="J38" s="736">
        <v>140500</v>
      </c>
      <c r="K38" s="736">
        <v>198300</v>
      </c>
      <c r="L38" s="736">
        <f t="shared" si="5"/>
        <v>206600</v>
      </c>
      <c r="M38" s="736">
        <f t="shared" si="6"/>
        <v>264400</v>
      </c>
      <c r="N38" s="1051"/>
    </row>
    <row r="39" spans="1:17" ht="13.5">
      <c r="A39" s="814"/>
      <c r="B39" s="741" t="s">
        <v>33</v>
      </c>
      <c r="C39" s="1036">
        <v>1652587</v>
      </c>
      <c r="D39" s="1037">
        <v>86.98</v>
      </c>
      <c r="E39" s="741">
        <f t="shared" si="7"/>
        <v>1.1371579673488157</v>
      </c>
      <c r="F39" s="1036">
        <f t="shared" si="4"/>
        <v>1879252</v>
      </c>
      <c r="G39" s="814"/>
      <c r="H39" s="1036">
        <v>66100</v>
      </c>
      <c r="I39" s="736">
        <v>66100</v>
      </c>
      <c r="J39" s="736">
        <v>140500</v>
      </c>
      <c r="K39" s="736">
        <v>198300</v>
      </c>
      <c r="L39" s="736">
        <f t="shared" si="5"/>
        <v>206600</v>
      </c>
      <c r="M39" s="736">
        <f t="shared" si="6"/>
        <v>264400</v>
      </c>
      <c r="N39" s="1051"/>
    </row>
    <row r="40" spans="1:17" ht="13.5">
      <c r="A40" s="814"/>
      <c r="B40" s="741" t="s">
        <v>34</v>
      </c>
      <c r="C40" s="1036">
        <v>1652587</v>
      </c>
      <c r="D40" s="1037">
        <v>87.51</v>
      </c>
      <c r="E40" s="741">
        <f t="shared" si="7"/>
        <v>1.1302708261912924</v>
      </c>
      <c r="F40" s="1036">
        <f t="shared" si="4"/>
        <v>1867870</v>
      </c>
      <c r="G40" s="814"/>
      <c r="H40" s="1036">
        <v>66100</v>
      </c>
      <c r="I40" s="736">
        <v>66100</v>
      </c>
      <c r="J40" s="736">
        <v>140500</v>
      </c>
      <c r="K40" s="736">
        <v>198300</v>
      </c>
      <c r="L40" s="736">
        <f t="shared" si="5"/>
        <v>206600</v>
      </c>
      <c r="M40" s="736">
        <f t="shared" si="6"/>
        <v>264400</v>
      </c>
      <c r="N40" s="1051"/>
    </row>
    <row r="41" spans="1:17" ht="13.5">
      <c r="A41" s="814"/>
      <c r="B41" s="741" t="s">
        <v>35</v>
      </c>
      <c r="C41" s="1036">
        <v>1652587</v>
      </c>
      <c r="D41" s="1037">
        <v>88.05</v>
      </c>
      <c r="E41" s="741">
        <f t="shared" si="7"/>
        <v>1.1233390119250426</v>
      </c>
      <c r="F41" s="1036">
        <f t="shared" si="4"/>
        <v>1856415</v>
      </c>
      <c r="G41" s="814"/>
      <c r="H41" s="1036">
        <v>66100</v>
      </c>
      <c r="I41" s="736">
        <v>66100</v>
      </c>
      <c r="J41" s="736">
        <v>140500</v>
      </c>
      <c r="K41" s="736">
        <v>198300</v>
      </c>
      <c r="L41" s="736">
        <f t="shared" si="5"/>
        <v>206600</v>
      </c>
      <c r="M41" s="736">
        <f t="shared" si="6"/>
        <v>264400</v>
      </c>
      <c r="N41" s="1051"/>
    </row>
    <row r="42" spans="1:17" ht="13.5">
      <c r="A42" s="814"/>
      <c r="B42" s="741" t="s">
        <v>101</v>
      </c>
      <c r="C42" s="1036">
        <v>826293</v>
      </c>
      <c r="D42" s="1037">
        <v>85.37</v>
      </c>
      <c r="E42" s="741">
        <f t="shared" si="7"/>
        <v>1.1586037249619303</v>
      </c>
      <c r="F42" s="1036">
        <f t="shared" si="4"/>
        <v>957346</v>
      </c>
      <c r="G42" s="814"/>
      <c r="H42" s="1036"/>
      <c r="I42" s="736"/>
      <c r="J42" s="736"/>
      <c r="K42" s="736"/>
      <c r="L42" s="736"/>
      <c r="M42" s="736"/>
      <c r="N42" s="1051"/>
    </row>
    <row r="43" spans="1:17" ht="13.5">
      <c r="A43" s="814"/>
      <c r="B43" s="741" t="s">
        <v>102</v>
      </c>
      <c r="C43" s="1036">
        <v>1147629</v>
      </c>
      <c r="D43" s="1037">
        <v>85.78</v>
      </c>
      <c r="E43" s="741">
        <f t="shared" si="7"/>
        <v>1.153065982746561</v>
      </c>
      <c r="F43" s="1036">
        <f t="shared" si="4"/>
        <v>1323291</v>
      </c>
      <c r="G43" s="814"/>
      <c r="H43" s="1036"/>
      <c r="I43" s="736"/>
      <c r="J43" s="736"/>
      <c r="K43" s="736"/>
      <c r="L43" s="736"/>
      <c r="M43" s="736"/>
      <c r="N43" s="1051"/>
    </row>
    <row r="44" spans="1:17" ht="13.5">
      <c r="A44" s="814"/>
      <c r="B44" s="741" t="s">
        <v>103</v>
      </c>
      <c r="C44" s="1036">
        <v>110172</v>
      </c>
      <c r="D44" s="1037">
        <v>85.78</v>
      </c>
      <c r="E44" s="741">
        <f t="shared" si="7"/>
        <v>1.153065982746561</v>
      </c>
      <c r="F44" s="1036">
        <f t="shared" si="4"/>
        <v>127035</v>
      </c>
      <c r="G44" s="814"/>
      <c r="H44" s="1036"/>
      <c r="I44" s="736"/>
      <c r="J44" s="736"/>
      <c r="K44" s="736"/>
      <c r="L44" s="736"/>
      <c r="M44" s="736"/>
      <c r="N44" s="1051"/>
    </row>
    <row r="45" spans="1:17" ht="13.5">
      <c r="A45" s="814"/>
      <c r="B45" s="741" t="s">
        <v>104</v>
      </c>
      <c r="C45" s="1036">
        <v>1205011</v>
      </c>
      <c r="D45" s="1037">
        <v>85.78</v>
      </c>
      <c r="E45" s="741">
        <f t="shared" si="7"/>
        <v>1.153065982746561</v>
      </c>
      <c r="F45" s="1036">
        <f t="shared" si="4"/>
        <v>1389457</v>
      </c>
      <c r="G45" s="814"/>
      <c r="H45" s="1036"/>
      <c r="I45" s="736"/>
      <c r="J45" s="736"/>
      <c r="K45" s="736"/>
      <c r="L45" s="736"/>
      <c r="M45" s="736"/>
      <c r="N45" s="1051"/>
    </row>
    <row r="46" spans="1:17" ht="13.5">
      <c r="A46" s="814"/>
      <c r="B46" s="741" t="s">
        <v>95</v>
      </c>
      <c r="C46" s="1036">
        <v>1817079</v>
      </c>
      <c r="D46" s="1037">
        <v>88.05</v>
      </c>
      <c r="E46" s="741">
        <f t="shared" si="7"/>
        <v>1.1233390119250426</v>
      </c>
      <c r="F46" s="1036">
        <f t="shared" si="4"/>
        <v>2041195</v>
      </c>
      <c r="G46" s="814"/>
      <c r="H46" s="1036"/>
      <c r="I46" s="736"/>
      <c r="J46" s="736"/>
      <c r="K46" s="736"/>
      <c r="L46" s="736"/>
      <c r="M46" s="736"/>
      <c r="N46" s="1051"/>
    </row>
    <row r="47" spans="1:17" ht="13.5">
      <c r="A47" s="814"/>
      <c r="B47" s="741" t="s">
        <v>96</v>
      </c>
      <c r="C47" s="1036"/>
      <c r="D47" s="1037"/>
      <c r="E47" s="741"/>
      <c r="F47" s="1036">
        <f>SUM(F30:F46)</f>
        <v>28769844</v>
      </c>
      <c r="G47" s="814"/>
      <c r="H47" s="1036"/>
      <c r="I47" s="736"/>
      <c r="J47" s="736"/>
      <c r="K47" s="736"/>
      <c r="L47" s="736"/>
      <c r="M47" s="736"/>
      <c r="N47" s="1051"/>
    </row>
    <row r="48" spans="1:17" ht="13.5">
      <c r="A48" s="814"/>
      <c r="B48" s="741" t="s">
        <v>98</v>
      </c>
      <c r="C48" s="1036"/>
      <c r="D48" s="1037"/>
      <c r="E48" s="741"/>
      <c r="F48" s="1036">
        <f>SUM(H48+I48)</f>
        <v>1586400</v>
      </c>
      <c r="G48" s="814"/>
      <c r="H48" s="1036">
        <f t="shared" ref="H48:M48" si="8">SUM(H30:H41)</f>
        <v>793200</v>
      </c>
      <c r="I48" s="736">
        <f t="shared" si="8"/>
        <v>793200</v>
      </c>
      <c r="J48" s="736">
        <f t="shared" si="8"/>
        <v>1686000</v>
      </c>
      <c r="K48" s="736">
        <f t="shared" si="8"/>
        <v>2379600</v>
      </c>
      <c r="L48" s="736">
        <f t="shared" si="8"/>
        <v>2479200</v>
      </c>
      <c r="M48" s="736">
        <f t="shared" si="8"/>
        <v>3172800</v>
      </c>
      <c r="N48" s="1051"/>
    </row>
    <row r="49" spans="1:17" ht="13.5">
      <c r="A49" s="814"/>
      <c r="B49" s="741" t="s">
        <v>99</v>
      </c>
      <c r="C49" s="1036"/>
      <c r="D49" s="1037"/>
      <c r="E49" s="741"/>
      <c r="F49" s="1036">
        <f>(F47-F48)</f>
        <v>27183444</v>
      </c>
      <c r="G49" s="814"/>
      <c r="H49" s="1051"/>
      <c r="I49" s="1051"/>
      <c r="J49" s="1051"/>
      <c r="K49" s="1051"/>
      <c r="L49" s="1051"/>
      <c r="M49" s="1051"/>
      <c r="N49" s="1051"/>
    </row>
    <row r="50" spans="1:17" ht="13.5">
      <c r="A50" s="814"/>
      <c r="B50" s="814"/>
      <c r="C50" s="1051"/>
      <c r="D50" s="1052"/>
      <c r="E50" s="814"/>
      <c r="F50" s="1051"/>
      <c r="G50" s="814"/>
      <c r="H50" s="1051"/>
      <c r="I50" s="1051"/>
      <c r="J50" s="1051"/>
      <c r="K50" s="1051"/>
      <c r="L50" s="1051"/>
      <c r="M50" s="1051"/>
      <c r="N50" s="1051"/>
    </row>
    <row r="51" spans="1:17" ht="13.5">
      <c r="A51" s="814"/>
      <c r="B51" s="735" t="s">
        <v>11</v>
      </c>
      <c r="C51" s="734">
        <v>2016</v>
      </c>
      <c r="D51" s="735" t="s">
        <v>76</v>
      </c>
      <c r="E51" s="735" t="s">
        <v>77</v>
      </c>
      <c r="F51" s="734" t="s">
        <v>57</v>
      </c>
      <c r="G51" s="1059"/>
      <c r="H51" s="1051"/>
      <c r="I51" s="1051"/>
      <c r="J51" s="1051"/>
      <c r="K51" s="1051"/>
      <c r="L51" s="1051"/>
      <c r="M51" s="1051"/>
      <c r="N51" s="1051"/>
    </row>
    <row r="52" spans="1:17" ht="13.5">
      <c r="A52" s="814"/>
      <c r="B52" s="741"/>
      <c r="C52" s="1036">
        <v>1829614</v>
      </c>
      <c r="D52" s="741"/>
      <c r="E52" s="741"/>
      <c r="F52" s="1036"/>
      <c r="G52" s="814"/>
      <c r="H52" s="734" t="s">
        <v>78</v>
      </c>
      <c r="I52" s="734" t="s">
        <v>79</v>
      </c>
      <c r="J52" s="734" t="s">
        <v>186</v>
      </c>
      <c r="K52" s="734" t="s">
        <v>187</v>
      </c>
      <c r="L52" s="734" t="s">
        <v>82</v>
      </c>
      <c r="M52" s="734" t="s">
        <v>83</v>
      </c>
      <c r="N52" s="1051"/>
    </row>
    <row r="53" spans="1:17" ht="13.5">
      <c r="A53" s="814"/>
      <c r="B53" s="741" t="s">
        <v>16</v>
      </c>
      <c r="C53" s="1036">
        <v>1829614</v>
      </c>
      <c r="D53" s="1037">
        <v>89.19</v>
      </c>
      <c r="E53" s="741">
        <f>$D$12/D53</f>
        <v>1.1089808274470232</v>
      </c>
      <c r="F53" s="1036">
        <f t="shared" ref="F53:F70" si="9">INT(C53*E53)</f>
        <v>2029006</v>
      </c>
      <c r="G53" s="814"/>
      <c r="H53" s="1036">
        <v>73200</v>
      </c>
      <c r="I53" s="736">
        <v>73200</v>
      </c>
      <c r="J53" s="736">
        <v>155500</v>
      </c>
      <c r="K53" s="736">
        <v>219600</v>
      </c>
      <c r="L53" s="736">
        <f t="shared" ref="L53:L64" si="10">SUM(H53+J53)</f>
        <v>228700</v>
      </c>
      <c r="M53" s="736">
        <f t="shared" ref="M53:M64" si="11">SUM(I53+K53)</f>
        <v>292800</v>
      </c>
      <c r="N53" s="1051">
        <f>INT(+C52*50%)</f>
        <v>914807</v>
      </c>
      <c r="P53" s="235">
        <f>INT(C65/12)</f>
        <v>76233</v>
      </c>
      <c r="Q53" s="217" t="s">
        <v>467</v>
      </c>
    </row>
    <row r="54" spans="1:17" ht="13.5">
      <c r="A54" s="814"/>
      <c r="B54" s="741" t="s">
        <v>17</v>
      </c>
      <c r="C54" s="1036">
        <v>1829614</v>
      </c>
      <c r="D54" s="1037">
        <v>90.33</v>
      </c>
      <c r="E54" s="741">
        <f t="shared" ref="E54:E70" si="12">$D$12/D54</f>
        <v>1.09498505479907</v>
      </c>
      <c r="F54" s="1036">
        <f t="shared" si="9"/>
        <v>2003399</v>
      </c>
      <c r="G54" s="814"/>
      <c r="H54" s="1036">
        <v>73200</v>
      </c>
      <c r="I54" s="736">
        <v>73200</v>
      </c>
      <c r="J54" s="736">
        <v>155500</v>
      </c>
      <c r="K54" s="736">
        <v>219600</v>
      </c>
      <c r="L54" s="736">
        <f t="shared" si="10"/>
        <v>228700</v>
      </c>
      <c r="M54" s="736">
        <f t="shared" si="11"/>
        <v>292800</v>
      </c>
      <c r="N54" s="1051">
        <f>INT(C52+P53+P60)/30*20</f>
        <v>1306140</v>
      </c>
      <c r="P54" s="235">
        <f>INT(N54/12)</f>
        <v>108845</v>
      </c>
      <c r="Q54" s="217" t="s">
        <v>470</v>
      </c>
    </row>
    <row r="55" spans="1:17" ht="13.5">
      <c r="A55" s="814"/>
      <c r="B55" s="741" t="s">
        <v>19</v>
      </c>
      <c r="C55" s="1036">
        <v>1829614</v>
      </c>
      <c r="D55" s="1037">
        <v>91.18</v>
      </c>
      <c r="E55" s="741">
        <f t="shared" si="12"/>
        <v>1.0847773634568982</v>
      </c>
      <c r="F55" s="1036">
        <f t="shared" si="9"/>
        <v>1984723</v>
      </c>
      <c r="G55" s="814"/>
      <c r="H55" s="1036">
        <v>73200</v>
      </c>
      <c r="I55" s="736">
        <v>73200</v>
      </c>
      <c r="J55" s="736">
        <v>155500</v>
      </c>
      <c r="K55" s="736">
        <v>219600</v>
      </c>
      <c r="L55" s="736">
        <f t="shared" si="10"/>
        <v>228700</v>
      </c>
      <c r="M55" s="736">
        <f t="shared" si="11"/>
        <v>292800</v>
      </c>
      <c r="N55" s="1051">
        <f>INT(C52/30)*2</f>
        <v>121974</v>
      </c>
      <c r="P55" s="235">
        <v>0</v>
      </c>
      <c r="Q55" s="217" t="s">
        <v>473</v>
      </c>
    </row>
    <row r="56" spans="1:17" ht="13.5">
      <c r="A56" s="814"/>
      <c r="B56" s="741" t="s">
        <v>21</v>
      </c>
      <c r="C56" s="1036">
        <v>1829614</v>
      </c>
      <c r="D56" s="1037">
        <v>91.63</v>
      </c>
      <c r="E56" s="741">
        <f t="shared" si="12"/>
        <v>1.079449961802903</v>
      </c>
      <c r="F56" s="1036">
        <f t="shared" si="9"/>
        <v>1974976</v>
      </c>
      <c r="G56" s="814"/>
      <c r="H56" s="1036">
        <v>73200</v>
      </c>
      <c r="I56" s="736">
        <v>73200</v>
      </c>
      <c r="J56" s="736">
        <v>155500</v>
      </c>
      <c r="K56" s="736">
        <v>219600</v>
      </c>
      <c r="L56" s="736">
        <f t="shared" si="10"/>
        <v>228700</v>
      </c>
      <c r="M56" s="736">
        <f t="shared" si="11"/>
        <v>292800</v>
      </c>
      <c r="N56" s="1051">
        <f>INT(C52+P53+P60)/30*21</f>
        <v>1371447</v>
      </c>
      <c r="P56" s="235">
        <v>0</v>
      </c>
      <c r="Q56" s="217" t="s">
        <v>22</v>
      </c>
    </row>
    <row r="57" spans="1:17" ht="13.5">
      <c r="A57" s="814"/>
      <c r="B57" s="741" t="s">
        <v>23</v>
      </c>
      <c r="C57" s="1036">
        <v>1829614</v>
      </c>
      <c r="D57" s="1037">
        <v>92.1</v>
      </c>
      <c r="E57" s="741">
        <f t="shared" si="12"/>
        <v>1.073941368078176</v>
      </c>
      <c r="F57" s="1036">
        <f t="shared" si="9"/>
        <v>1964898</v>
      </c>
      <c r="G57" s="814"/>
      <c r="H57" s="1036">
        <v>73200</v>
      </c>
      <c r="I57" s="736">
        <v>73200</v>
      </c>
      <c r="J57" s="736">
        <v>155500</v>
      </c>
      <c r="K57" s="736">
        <v>219600</v>
      </c>
      <c r="L57" s="736">
        <f t="shared" si="10"/>
        <v>228700</v>
      </c>
      <c r="M57" s="736">
        <f t="shared" si="11"/>
        <v>292800</v>
      </c>
      <c r="N57" s="1051">
        <f>+(C53+P53+P54+P60)/360*360</f>
        <v>2068055.0000000002</v>
      </c>
      <c r="P57" s="235">
        <f>INT(N57/12)</f>
        <v>172337</v>
      </c>
      <c r="Q57" s="217" t="s">
        <v>478</v>
      </c>
    </row>
    <row r="58" spans="1:17" ht="13.5">
      <c r="A58" s="814"/>
      <c r="B58" s="741" t="s">
        <v>25</v>
      </c>
      <c r="C58" s="1036">
        <v>1829614</v>
      </c>
      <c r="D58" s="1037">
        <v>92.54</v>
      </c>
      <c r="E58" s="741">
        <f t="shared" si="12"/>
        <v>1.0688350983358545</v>
      </c>
      <c r="F58" s="1036">
        <f t="shared" si="9"/>
        <v>1955555</v>
      </c>
      <c r="G58" s="814"/>
      <c r="H58" s="1036">
        <v>73200</v>
      </c>
      <c r="I58" s="736">
        <v>73200</v>
      </c>
      <c r="J58" s="736">
        <v>155500</v>
      </c>
      <c r="K58" s="736">
        <v>219600</v>
      </c>
      <c r="L58" s="736">
        <f t="shared" si="10"/>
        <v>228700</v>
      </c>
      <c r="M58" s="736">
        <f t="shared" si="11"/>
        <v>292800</v>
      </c>
      <c r="N58" s="1051">
        <f>INT(C53+P53+P60+P54+P57)/360*360</f>
        <v>2240392</v>
      </c>
      <c r="Q58" s="217" t="s">
        <v>490</v>
      </c>
    </row>
    <row r="59" spans="1:17" ht="13.5">
      <c r="A59" s="814"/>
      <c r="B59" s="741" t="s">
        <v>27</v>
      </c>
      <c r="C59" s="1036">
        <v>1829614</v>
      </c>
      <c r="D59" s="1037">
        <v>93.02</v>
      </c>
      <c r="E59" s="741">
        <f t="shared" si="12"/>
        <v>1.0633197161900667</v>
      </c>
      <c r="F59" s="1036">
        <f t="shared" si="9"/>
        <v>1945464</v>
      </c>
      <c r="G59" s="814"/>
      <c r="H59" s="1036">
        <v>73200</v>
      </c>
      <c r="I59" s="736">
        <v>73200</v>
      </c>
      <c r="J59" s="736">
        <v>155500</v>
      </c>
      <c r="K59" s="736">
        <v>219600</v>
      </c>
      <c r="L59" s="736">
        <f t="shared" si="10"/>
        <v>228700</v>
      </c>
      <c r="M59" s="736">
        <f t="shared" si="11"/>
        <v>292800</v>
      </c>
      <c r="N59" s="1051">
        <f>+(N58*0.12/360*360)</f>
        <v>268847.03999999998</v>
      </c>
      <c r="Q59" s="217" t="s">
        <v>483</v>
      </c>
    </row>
    <row r="60" spans="1:17" ht="13.5">
      <c r="A60" s="814"/>
      <c r="B60" s="741" t="s">
        <v>29</v>
      </c>
      <c r="C60" s="1036">
        <v>1829614</v>
      </c>
      <c r="D60" s="1037">
        <v>92.73</v>
      </c>
      <c r="E60" s="741">
        <f t="shared" si="12"/>
        <v>1.0666450986735683</v>
      </c>
      <c r="F60" s="1036">
        <f t="shared" si="9"/>
        <v>1951548</v>
      </c>
      <c r="G60" s="814"/>
      <c r="H60" s="1036">
        <v>73200</v>
      </c>
      <c r="I60" s="736">
        <v>73200</v>
      </c>
      <c r="J60" s="736">
        <v>155500</v>
      </c>
      <c r="K60" s="736">
        <v>219600</v>
      </c>
      <c r="L60" s="736">
        <f t="shared" si="10"/>
        <v>228700</v>
      </c>
      <c r="M60" s="736">
        <f t="shared" si="11"/>
        <v>292800</v>
      </c>
      <c r="N60" s="1051">
        <f>+(C52*35%)</f>
        <v>640364.89999999991</v>
      </c>
      <c r="P60" s="235">
        <f>INT(N60/12)</f>
        <v>53363</v>
      </c>
      <c r="Q60" s="217" t="s">
        <v>486</v>
      </c>
    </row>
    <row r="61" spans="1:17" ht="13.5">
      <c r="A61" s="814"/>
      <c r="B61" s="741" t="s">
        <v>31</v>
      </c>
      <c r="C61" s="1036">
        <v>1829614</v>
      </c>
      <c r="D61" s="1037">
        <v>92.68</v>
      </c>
      <c r="E61" s="741">
        <f t="shared" si="12"/>
        <v>1.0672205438066464</v>
      </c>
      <c r="F61" s="1036">
        <f t="shared" si="9"/>
        <v>1952601</v>
      </c>
      <c r="G61" s="814"/>
      <c r="H61" s="1036">
        <v>73200</v>
      </c>
      <c r="I61" s="736">
        <v>73200</v>
      </c>
      <c r="J61" s="736">
        <v>155500</v>
      </c>
      <c r="K61" s="736">
        <v>219600</v>
      </c>
      <c r="L61" s="736">
        <f t="shared" si="10"/>
        <v>228700</v>
      </c>
      <c r="M61" s="736">
        <f t="shared" si="11"/>
        <v>292800</v>
      </c>
      <c r="N61" s="1051"/>
    </row>
    <row r="62" spans="1:17" ht="13.5">
      <c r="A62" s="814"/>
      <c r="B62" s="741" t="s">
        <v>33</v>
      </c>
      <c r="C62" s="1036">
        <v>1829614</v>
      </c>
      <c r="D62" s="1037">
        <v>92.62</v>
      </c>
      <c r="E62" s="741">
        <f t="shared" si="12"/>
        <v>1.0679118980781688</v>
      </c>
      <c r="F62" s="1036">
        <f t="shared" si="9"/>
        <v>1953866</v>
      </c>
      <c r="G62" s="814"/>
      <c r="H62" s="1036">
        <v>73200</v>
      </c>
      <c r="I62" s="736">
        <v>73200</v>
      </c>
      <c r="J62" s="736">
        <v>155500</v>
      </c>
      <c r="K62" s="736">
        <v>219600</v>
      </c>
      <c r="L62" s="736">
        <f t="shared" si="10"/>
        <v>228700</v>
      </c>
      <c r="M62" s="736">
        <f t="shared" si="11"/>
        <v>292800</v>
      </c>
      <c r="N62" s="1051"/>
    </row>
    <row r="63" spans="1:17" ht="13.5">
      <c r="A63" s="814"/>
      <c r="B63" s="741" t="s">
        <v>34</v>
      </c>
      <c r="C63" s="1036">
        <v>1829614</v>
      </c>
      <c r="D63" s="1037">
        <v>92.73</v>
      </c>
      <c r="E63" s="741">
        <f t="shared" si="12"/>
        <v>1.0666450986735683</v>
      </c>
      <c r="F63" s="1036">
        <f t="shared" si="9"/>
        <v>1951548</v>
      </c>
      <c r="G63" s="814"/>
      <c r="H63" s="1036">
        <v>73200</v>
      </c>
      <c r="I63" s="736">
        <v>73200</v>
      </c>
      <c r="J63" s="736">
        <v>155500</v>
      </c>
      <c r="K63" s="736">
        <v>219600</v>
      </c>
      <c r="L63" s="736">
        <f t="shared" si="10"/>
        <v>228700</v>
      </c>
      <c r="M63" s="736">
        <f t="shared" si="11"/>
        <v>292800</v>
      </c>
      <c r="N63" s="1051"/>
    </row>
    <row r="64" spans="1:17" ht="13.5">
      <c r="A64" s="814"/>
      <c r="B64" s="741" t="s">
        <v>35</v>
      </c>
      <c r="C64" s="1036">
        <v>1829614</v>
      </c>
      <c r="D64" s="1037">
        <v>93.11</v>
      </c>
      <c r="E64" s="741">
        <f t="shared" si="12"/>
        <v>1.062291912791322</v>
      </c>
      <c r="F64" s="1036">
        <f t="shared" si="9"/>
        <v>1943584</v>
      </c>
      <c r="G64" s="814"/>
      <c r="H64" s="1036">
        <v>73200</v>
      </c>
      <c r="I64" s="736">
        <v>73200</v>
      </c>
      <c r="J64" s="736">
        <v>155500</v>
      </c>
      <c r="K64" s="736">
        <v>219600</v>
      </c>
      <c r="L64" s="736">
        <f t="shared" si="10"/>
        <v>228700</v>
      </c>
      <c r="M64" s="736">
        <f t="shared" si="11"/>
        <v>292800</v>
      </c>
      <c r="N64" s="1051"/>
    </row>
    <row r="65" spans="1:17" ht="13.5">
      <c r="A65" s="814"/>
      <c r="B65" s="741" t="s">
        <v>101</v>
      </c>
      <c r="C65" s="1036">
        <v>914807</v>
      </c>
      <c r="D65" s="1037">
        <v>93.02</v>
      </c>
      <c r="E65" s="741">
        <f t="shared" si="12"/>
        <v>1.0633197161900667</v>
      </c>
      <c r="F65" s="1036">
        <f t="shared" si="9"/>
        <v>972732</v>
      </c>
      <c r="G65" s="814"/>
      <c r="H65" s="1036"/>
      <c r="I65" s="736"/>
      <c r="J65" s="736"/>
      <c r="K65" s="736"/>
      <c r="L65" s="736"/>
      <c r="M65" s="736"/>
      <c r="N65" s="1051"/>
    </row>
    <row r="66" spans="1:17" ht="13.5">
      <c r="A66" s="814"/>
      <c r="B66" s="741" t="s">
        <v>637</v>
      </c>
      <c r="C66" s="1036">
        <v>640365</v>
      </c>
      <c r="D66" s="1037">
        <v>92.73</v>
      </c>
      <c r="E66" s="741">
        <f t="shared" si="12"/>
        <v>1.0666450986735683</v>
      </c>
      <c r="F66" s="1036">
        <f t="shared" si="9"/>
        <v>683042</v>
      </c>
      <c r="G66" s="814"/>
      <c r="H66" s="1036"/>
      <c r="I66" s="736"/>
      <c r="J66" s="736"/>
      <c r="K66" s="736"/>
      <c r="L66" s="736"/>
      <c r="M66" s="736"/>
      <c r="N66" s="1051"/>
    </row>
    <row r="67" spans="1:17" ht="13.5">
      <c r="A67" s="814"/>
      <c r="B67" s="741" t="s">
        <v>102</v>
      </c>
      <c r="C67" s="1036">
        <v>1306140</v>
      </c>
      <c r="D67" s="1037">
        <v>92.73</v>
      </c>
      <c r="E67" s="741">
        <f t="shared" si="12"/>
        <v>1.0666450986735683</v>
      </c>
      <c r="F67" s="1036">
        <f t="shared" si="9"/>
        <v>1393187</v>
      </c>
      <c r="G67" s="814"/>
      <c r="H67" s="1036"/>
      <c r="I67" s="736"/>
      <c r="J67" s="736"/>
      <c r="K67" s="736"/>
      <c r="L67" s="736"/>
      <c r="M67" s="736"/>
      <c r="N67" s="1051"/>
    </row>
    <row r="68" spans="1:17" ht="13.5">
      <c r="A68" s="814"/>
      <c r="B68" s="741" t="s">
        <v>103</v>
      </c>
      <c r="C68" s="1036">
        <v>121974</v>
      </c>
      <c r="D68" s="1037">
        <v>92.73</v>
      </c>
      <c r="E68" s="741">
        <f t="shared" si="12"/>
        <v>1.0666450986735683</v>
      </c>
      <c r="F68" s="1036">
        <f t="shared" si="9"/>
        <v>130102</v>
      </c>
      <c r="G68" s="814"/>
      <c r="H68" s="1036"/>
      <c r="I68" s="736"/>
      <c r="J68" s="736"/>
      <c r="K68" s="736"/>
      <c r="L68" s="736"/>
      <c r="M68" s="736"/>
      <c r="N68" s="1051"/>
    </row>
    <row r="69" spans="1:17" ht="13.5">
      <c r="A69" s="814"/>
      <c r="B69" s="741" t="s">
        <v>104</v>
      </c>
      <c r="C69" s="1036">
        <v>1371447</v>
      </c>
      <c r="D69" s="1037">
        <v>92.73</v>
      </c>
      <c r="E69" s="741">
        <f t="shared" si="12"/>
        <v>1.0666450986735683</v>
      </c>
      <c r="F69" s="1036">
        <f t="shared" si="9"/>
        <v>1462847</v>
      </c>
      <c r="G69" s="814"/>
      <c r="H69" s="1036"/>
      <c r="I69" s="736"/>
      <c r="J69" s="736"/>
      <c r="K69" s="736"/>
      <c r="L69" s="736"/>
      <c r="M69" s="736"/>
      <c r="N69" s="1051"/>
    </row>
    <row r="70" spans="1:17" ht="13.5">
      <c r="A70" s="814"/>
      <c r="B70" s="741" t="s">
        <v>95</v>
      </c>
      <c r="C70" s="1036">
        <v>2068055.0000000002</v>
      </c>
      <c r="D70" s="1037">
        <v>93.11</v>
      </c>
      <c r="E70" s="741">
        <f t="shared" si="12"/>
        <v>1.062291912791322</v>
      </c>
      <c r="F70" s="1036">
        <f t="shared" si="9"/>
        <v>2196878</v>
      </c>
      <c r="G70" s="814"/>
      <c r="H70" s="1036"/>
      <c r="I70" s="736"/>
      <c r="J70" s="736"/>
      <c r="K70" s="736"/>
      <c r="L70" s="736"/>
      <c r="M70" s="736"/>
      <c r="N70" s="1051"/>
    </row>
    <row r="71" spans="1:17" ht="13.5">
      <c r="A71" s="814"/>
      <c r="B71" s="741" t="s">
        <v>96</v>
      </c>
      <c r="C71" s="1036"/>
      <c r="D71" s="1037"/>
      <c r="E71" s="741"/>
      <c r="F71" s="1036">
        <f>SUM(F53:F70)</f>
        <v>30449956</v>
      </c>
      <c r="G71" s="814"/>
      <c r="H71" s="1036"/>
      <c r="I71" s="736"/>
      <c r="J71" s="736"/>
      <c r="K71" s="736"/>
      <c r="L71" s="736"/>
      <c r="M71" s="736"/>
      <c r="N71" s="1051"/>
    </row>
    <row r="72" spans="1:17" ht="13.5">
      <c r="A72" s="814"/>
      <c r="B72" s="741" t="s">
        <v>98</v>
      </c>
      <c r="C72" s="1036"/>
      <c r="D72" s="1037"/>
      <c r="E72" s="741"/>
      <c r="F72" s="1036">
        <f>SUM(H72+I72)</f>
        <v>1756800</v>
      </c>
      <c r="G72" s="814"/>
      <c r="H72" s="1036">
        <f t="shared" ref="H72:M72" si="13">SUM(H53:H64)</f>
        <v>878400</v>
      </c>
      <c r="I72" s="736">
        <f t="shared" si="13"/>
        <v>878400</v>
      </c>
      <c r="J72" s="736">
        <f t="shared" si="13"/>
        <v>1866000</v>
      </c>
      <c r="K72" s="736">
        <f t="shared" si="13"/>
        <v>2635200</v>
      </c>
      <c r="L72" s="736">
        <f t="shared" si="13"/>
        <v>2744400</v>
      </c>
      <c r="M72" s="736">
        <f t="shared" si="13"/>
        <v>3513600</v>
      </c>
      <c r="N72" s="1051"/>
    </row>
    <row r="73" spans="1:17" ht="13.5">
      <c r="A73" s="814"/>
      <c r="B73" s="741" t="s">
        <v>99</v>
      </c>
      <c r="C73" s="1036"/>
      <c r="D73" s="1037"/>
      <c r="E73" s="741"/>
      <c r="F73" s="1036">
        <f>(F71-F72)</f>
        <v>28693156</v>
      </c>
      <c r="G73" s="814"/>
      <c r="H73" s="1051"/>
      <c r="I73" s="1051"/>
      <c r="J73" s="1051"/>
      <c r="K73" s="1051"/>
      <c r="L73" s="1051"/>
      <c r="M73" s="1051"/>
      <c r="N73" s="1051"/>
    </row>
    <row r="74" spans="1:17" ht="13.5">
      <c r="A74" s="814"/>
      <c r="B74" s="1203" t="s">
        <v>11</v>
      </c>
      <c r="C74" s="734">
        <v>2017</v>
      </c>
      <c r="D74" s="735" t="s">
        <v>76</v>
      </c>
      <c r="E74" s="735" t="s">
        <v>77</v>
      </c>
      <c r="F74" s="734" t="s">
        <v>57</v>
      </c>
      <c r="G74" s="1059"/>
      <c r="H74" s="1051"/>
      <c r="I74" s="1051"/>
      <c r="J74" s="1051"/>
      <c r="K74" s="1051"/>
      <c r="L74" s="1051"/>
      <c r="M74" s="1051"/>
      <c r="N74" s="1051"/>
    </row>
    <row r="75" spans="1:17" ht="13.5">
      <c r="A75" s="814"/>
      <c r="B75" s="741"/>
      <c r="C75" s="1036">
        <v>2021723</v>
      </c>
      <c r="D75" s="741"/>
      <c r="E75" s="741"/>
      <c r="F75" s="1036"/>
      <c r="G75" s="814"/>
      <c r="H75" s="734" t="s">
        <v>78</v>
      </c>
      <c r="I75" s="734" t="s">
        <v>79</v>
      </c>
      <c r="J75" s="734" t="s">
        <v>186</v>
      </c>
      <c r="K75" s="734" t="s">
        <v>187</v>
      </c>
      <c r="L75" s="734" t="s">
        <v>82</v>
      </c>
      <c r="M75" s="734" t="s">
        <v>83</v>
      </c>
      <c r="N75" s="1051"/>
    </row>
    <row r="76" spans="1:17" ht="13.5">
      <c r="A76" s="814"/>
      <c r="B76" s="741" t="s">
        <v>16</v>
      </c>
      <c r="C76" s="1036">
        <v>2021723</v>
      </c>
      <c r="D76" s="1037">
        <v>94.07</v>
      </c>
      <c r="E76" s="741">
        <f>$D$12/D76</f>
        <v>1.0514510470925906</v>
      </c>
      <c r="F76" s="1036">
        <f t="shared" ref="F76:F93" si="14">INT(C76*E76)</f>
        <v>2125742</v>
      </c>
      <c r="G76" s="814"/>
      <c r="H76" s="1036">
        <v>80900</v>
      </c>
      <c r="I76" s="1036">
        <v>80900</v>
      </c>
      <c r="J76" s="736">
        <v>171800</v>
      </c>
      <c r="K76" s="736">
        <f>+C76*12%</f>
        <v>242606.75999999998</v>
      </c>
      <c r="L76" s="736">
        <v>252700</v>
      </c>
      <c r="M76" s="736">
        <f t="shared" ref="M76:M87" si="15">SUM(I76+K76)</f>
        <v>323506.76</v>
      </c>
      <c r="N76" s="1051">
        <f>INT(+C75*50%)</f>
        <v>1010861</v>
      </c>
      <c r="P76" s="235">
        <f>INT(N76/12)</f>
        <v>84238</v>
      </c>
      <c r="Q76" s="217" t="s">
        <v>467</v>
      </c>
    </row>
    <row r="77" spans="1:17" ht="13.5">
      <c r="A77" s="814"/>
      <c r="B77" s="741" t="s">
        <v>17</v>
      </c>
      <c r="C77" s="1036">
        <v>2021723</v>
      </c>
      <c r="D77" s="1037">
        <v>95.01</v>
      </c>
      <c r="E77" s="741">
        <f t="shared" ref="E77:E93" si="16">$D$12/D77</f>
        <v>1.0410483107041364</v>
      </c>
      <c r="F77" s="1036">
        <f t="shared" si="14"/>
        <v>2104711</v>
      </c>
      <c r="G77" s="814"/>
      <c r="H77" s="1036">
        <v>80900</v>
      </c>
      <c r="I77" s="1036">
        <v>80900</v>
      </c>
      <c r="J77" s="736">
        <f t="shared" ref="J77:J87" si="17">+C77*8.5%</f>
        <v>171846.45500000002</v>
      </c>
      <c r="K77" s="736">
        <v>242606.75999999998</v>
      </c>
      <c r="L77" s="736">
        <v>252700</v>
      </c>
      <c r="M77" s="736">
        <f t="shared" si="15"/>
        <v>323506.76</v>
      </c>
      <c r="N77" s="1051">
        <f>INT(C75+P76+P83)/30*20</f>
        <v>1443284.6666666667</v>
      </c>
      <c r="P77" s="235">
        <f>INT(N77/12)</f>
        <v>120273</v>
      </c>
      <c r="Q77" s="217" t="s">
        <v>470</v>
      </c>
    </row>
    <row r="78" spans="1:17" ht="13.5">
      <c r="A78" s="814"/>
      <c r="B78" s="741" t="s">
        <v>19</v>
      </c>
      <c r="C78" s="1036">
        <v>2021723</v>
      </c>
      <c r="D78" s="1037">
        <v>95.46</v>
      </c>
      <c r="E78" s="741">
        <f t="shared" si="16"/>
        <v>1.0361407919547454</v>
      </c>
      <c r="F78" s="1036">
        <f t="shared" si="14"/>
        <v>2094789</v>
      </c>
      <c r="G78" s="814"/>
      <c r="H78" s="1036">
        <v>80900</v>
      </c>
      <c r="I78" s="1036">
        <v>80900</v>
      </c>
      <c r="J78" s="736">
        <f t="shared" si="17"/>
        <v>171846.45500000002</v>
      </c>
      <c r="K78" s="736">
        <v>242606.75999999998</v>
      </c>
      <c r="L78" s="736">
        <v>252700</v>
      </c>
      <c r="M78" s="736">
        <f t="shared" si="15"/>
        <v>323506.76</v>
      </c>
      <c r="N78" s="1051">
        <f>INT(C75/30)*2</f>
        <v>134780</v>
      </c>
      <c r="P78" s="235">
        <v>0</v>
      </c>
      <c r="Q78" s="217" t="s">
        <v>473</v>
      </c>
    </row>
    <row r="79" spans="1:17" ht="13.5">
      <c r="A79" s="814"/>
      <c r="B79" s="741" t="s">
        <v>21</v>
      </c>
      <c r="C79" s="1036">
        <v>2021723</v>
      </c>
      <c r="D79" s="1037">
        <v>95.91</v>
      </c>
      <c r="E79" s="741">
        <f t="shared" si="16"/>
        <v>1.0312793243665936</v>
      </c>
      <c r="F79" s="1036">
        <f t="shared" si="14"/>
        <v>2084961</v>
      </c>
      <c r="G79" s="814"/>
      <c r="H79" s="1036">
        <v>80900</v>
      </c>
      <c r="I79" s="1036">
        <v>80900</v>
      </c>
      <c r="J79" s="736">
        <f t="shared" si="17"/>
        <v>171846.45500000002</v>
      </c>
      <c r="K79" s="736">
        <v>242606.75999999998</v>
      </c>
      <c r="L79" s="736">
        <v>252700</v>
      </c>
      <c r="M79" s="736">
        <f t="shared" si="15"/>
        <v>323506.76</v>
      </c>
      <c r="N79" s="1051">
        <f>INT(C75+P76+P83)/30*21</f>
        <v>1515448.9000000001</v>
      </c>
      <c r="P79" s="235">
        <v>0</v>
      </c>
      <c r="Q79" s="217" t="s">
        <v>22</v>
      </c>
    </row>
    <row r="80" spans="1:17" ht="13.5">
      <c r="A80" s="814"/>
      <c r="B80" s="741" t="s">
        <v>23</v>
      </c>
      <c r="C80" s="1036">
        <v>2021723</v>
      </c>
      <c r="D80" s="1037">
        <v>96.12</v>
      </c>
      <c r="E80" s="741">
        <f t="shared" si="16"/>
        <v>1.0290262172284643</v>
      </c>
      <c r="F80" s="1036">
        <f t="shared" si="14"/>
        <v>2080405</v>
      </c>
      <c r="G80" s="814"/>
      <c r="H80" s="1036">
        <v>80900</v>
      </c>
      <c r="I80" s="1036">
        <v>80900</v>
      </c>
      <c r="J80" s="736">
        <f t="shared" si="17"/>
        <v>171846.45500000002</v>
      </c>
      <c r="K80" s="736">
        <v>242606.75999999998</v>
      </c>
      <c r="L80" s="736">
        <v>252700</v>
      </c>
      <c r="M80" s="736">
        <f t="shared" si="15"/>
        <v>323506.76</v>
      </c>
      <c r="N80" s="1051">
        <f>+(C76+P76+P77+P83)/360*360</f>
        <v>2285200</v>
      </c>
      <c r="P80" s="235">
        <f>INT(N80/12)</f>
        <v>190433</v>
      </c>
      <c r="Q80" s="217" t="s">
        <v>478</v>
      </c>
    </row>
    <row r="81" spans="1:17" ht="13.5">
      <c r="A81" s="814"/>
      <c r="B81" s="741" t="s">
        <v>25</v>
      </c>
      <c r="C81" s="1036">
        <v>2021723</v>
      </c>
      <c r="D81" s="1037">
        <v>96.23</v>
      </c>
      <c r="E81" s="741">
        <f t="shared" si="16"/>
        <v>1.0278499428452665</v>
      </c>
      <c r="F81" s="1036">
        <f t="shared" si="14"/>
        <v>2078027</v>
      </c>
      <c r="G81" s="814"/>
      <c r="H81" s="1036">
        <v>80900</v>
      </c>
      <c r="I81" s="1036">
        <v>80900</v>
      </c>
      <c r="J81" s="736">
        <f t="shared" si="17"/>
        <v>171846.45500000002</v>
      </c>
      <c r="K81" s="736">
        <v>242606.75999999998</v>
      </c>
      <c r="L81" s="736">
        <v>252700</v>
      </c>
      <c r="M81" s="736">
        <f t="shared" si="15"/>
        <v>323506.76</v>
      </c>
      <c r="N81" s="1051">
        <f>INT(C76+P76+P77+P80+P83)/360*360</f>
        <v>2475633</v>
      </c>
      <c r="Q81" s="217" t="s">
        <v>490</v>
      </c>
    </row>
    <row r="82" spans="1:17" ht="13.5">
      <c r="A82" s="814"/>
      <c r="B82" s="741" t="s">
        <v>27</v>
      </c>
      <c r="C82" s="1036">
        <v>2021723</v>
      </c>
      <c r="D82" s="1037">
        <v>96.18</v>
      </c>
      <c r="E82" s="741">
        <f t="shared" si="16"/>
        <v>1.0283842794759823</v>
      </c>
      <c r="F82" s="1036">
        <f t="shared" si="14"/>
        <v>2079108</v>
      </c>
      <c r="G82" s="814"/>
      <c r="H82" s="1036">
        <v>80900</v>
      </c>
      <c r="I82" s="1036">
        <v>80900</v>
      </c>
      <c r="J82" s="736">
        <f t="shared" si="17"/>
        <v>171846.45500000002</v>
      </c>
      <c r="K82" s="736">
        <v>242606.75999999998</v>
      </c>
      <c r="L82" s="736">
        <v>252700</v>
      </c>
      <c r="M82" s="736">
        <f t="shared" si="15"/>
        <v>323506.76</v>
      </c>
      <c r="N82" s="1051">
        <f>+(N81*0.12/360*360)</f>
        <v>297075.95999999996</v>
      </c>
      <c r="Q82" s="217" t="s">
        <v>483</v>
      </c>
    </row>
    <row r="83" spans="1:17" ht="13.5">
      <c r="A83" s="814"/>
      <c r="B83" s="741" t="s">
        <v>29</v>
      </c>
      <c r="C83" s="1036">
        <v>2021723</v>
      </c>
      <c r="D83" s="1037">
        <v>96.32</v>
      </c>
      <c r="E83" s="741">
        <f t="shared" si="16"/>
        <v>1.026889534883721</v>
      </c>
      <c r="F83" s="1036">
        <f t="shared" si="14"/>
        <v>2076086</v>
      </c>
      <c r="G83" s="814"/>
      <c r="H83" s="1036">
        <v>80900</v>
      </c>
      <c r="I83" s="1036">
        <v>80900</v>
      </c>
      <c r="J83" s="736">
        <f t="shared" si="17"/>
        <v>171846.45500000002</v>
      </c>
      <c r="K83" s="736">
        <v>242606.75999999998</v>
      </c>
      <c r="L83" s="736">
        <v>252700</v>
      </c>
      <c r="M83" s="736">
        <f t="shared" si="15"/>
        <v>323506.76</v>
      </c>
      <c r="N83" s="1051">
        <f>+(C75*35%)</f>
        <v>707603.04999999993</v>
      </c>
      <c r="P83" s="235">
        <f>INT(N83/12)</f>
        <v>58966</v>
      </c>
      <c r="Q83" s="217" t="s">
        <v>486</v>
      </c>
    </row>
    <row r="84" spans="1:17" ht="13.5">
      <c r="A84" s="814"/>
      <c r="B84" s="741" t="s">
        <v>31</v>
      </c>
      <c r="C84" s="1036">
        <v>2021723</v>
      </c>
      <c r="D84" s="1037">
        <v>96.36</v>
      </c>
      <c r="E84" s="741">
        <f t="shared" si="16"/>
        <v>1.0264632627646326</v>
      </c>
      <c r="F84" s="1036">
        <f t="shared" si="14"/>
        <v>2075224</v>
      </c>
      <c r="G84" s="814"/>
      <c r="H84" s="1036">
        <v>80900</v>
      </c>
      <c r="I84" s="1036">
        <v>80900</v>
      </c>
      <c r="J84" s="736">
        <f t="shared" si="17"/>
        <v>171846.45500000002</v>
      </c>
      <c r="K84" s="736">
        <v>242606.75999999998</v>
      </c>
      <c r="L84" s="736">
        <v>252700</v>
      </c>
      <c r="M84" s="736">
        <f t="shared" si="15"/>
        <v>323506.76</v>
      </c>
      <c r="N84" s="1051"/>
    </row>
    <row r="85" spans="1:17" ht="13.5">
      <c r="A85" s="814"/>
      <c r="B85" s="741" t="s">
        <v>33</v>
      </c>
      <c r="C85" s="1036">
        <v>2021723</v>
      </c>
      <c r="D85" s="1037">
        <v>96.37</v>
      </c>
      <c r="E85" s="741">
        <f t="shared" si="16"/>
        <v>1.0263567500259416</v>
      </c>
      <c r="F85" s="1036">
        <f t="shared" si="14"/>
        <v>2075009</v>
      </c>
      <c r="G85" s="814"/>
      <c r="H85" s="1036">
        <v>80900</v>
      </c>
      <c r="I85" s="1036">
        <v>80900</v>
      </c>
      <c r="J85" s="736">
        <f t="shared" si="17"/>
        <v>171846.45500000002</v>
      </c>
      <c r="K85" s="736">
        <v>242606.75999999998</v>
      </c>
      <c r="L85" s="736">
        <v>252700</v>
      </c>
      <c r="M85" s="736">
        <f t="shared" si="15"/>
        <v>323506.76</v>
      </c>
      <c r="N85" s="1051"/>
    </row>
    <row r="86" spans="1:17" ht="13.5">
      <c r="A86" s="814"/>
      <c r="B86" s="741" t="s">
        <v>34</v>
      </c>
      <c r="C86" s="1036">
        <v>2021723</v>
      </c>
      <c r="D86" s="1037">
        <v>96.55</v>
      </c>
      <c r="E86" s="741">
        <f t="shared" si="16"/>
        <v>1.0244432936302434</v>
      </c>
      <c r="F86" s="1036">
        <f t="shared" si="14"/>
        <v>2071140</v>
      </c>
      <c r="G86" s="814"/>
      <c r="H86" s="1036">
        <v>80900</v>
      </c>
      <c r="I86" s="1036">
        <v>80900</v>
      </c>
      <c r="J86" s="736">
        <f t="shared" si="17"/>
        <v>171846.45500000002</v>
      </c>
      <c r="K86" s="736">
        <v>242606.75999999998</v>
      </c>
      <c r="L86" s="736">
        <v>252700</v>
      </c>
      <c r="M86" s="736">
        <f t="shared" si="15"/>
        <v>323506.76</v>
      </c>
      <c r="N86" s="1051"/>
    </row>
    <row r="87" spans="1:17" ht="13.5">
      <c r="A87" s="814"/>
      <c r="B87" s="741" t="s">
        <v>35</v>
      </c>
      <c r="C87" s="1036">
        <v>2021723</v>
      </c>
      <c r="D87" s="1037">
        <v>96.92</v>
      </c>
      <c r="E87" s="741">
        <f t="shared" si="16"/>
        <v>1.0205323978539</v>
      </c>
      <c r="F87" s="1036">
        <f t="shared" si="14"/>
        <v>2063233</v>
      </c>
      <c r="G87" s="814"/>
      <c r="H87" s="1036">
        <v>80900</v>
      </c>
      <c r="I87" s="1036">
        <v>80900</v>
      </c>
      <c r="J87" s="736">
        <f t="shared" si="17"/>
        <v>171846.45500000002</v>
      </c>
      <c r="K87" s="736">
        <v>242606.75999999998</v>
      </c>
      <c r="L87" s="736">
        <v>252700</v>
      </c>
      <c r="M87" s="736">
        <f t="shared" si="15"/>
        <v>323506.76</v>
      </c>
      <c r="N87" s="1051"/>
    </row>
    <row r="88" spans="1:17" ht="13.5">
      <c r="A88" s="814"/>
      <c r="B88" s="741" t="s">
        <v>101</v>
      </c>
      <c r="C88" s="1036">
        <v>1010861</v>
      </c>
      <c r="D88" s="1037">
        <v>96.18</v>
      </c>
      <c r="E88" s="741">
        <f t="shared" si="16"/>
        <v>1.0283842794759823</v>
      </c>
      <c r="F88" s="1036">
        <f t="shared" si="14"/>
        <v>1039553</v>
      </c>
      <c r="G88" s="814"/>
      <c r="H88" s="1036"/>
      <c r="I88" s="736"/>
      <c r="J88" s="736"/>
      <c r="K88" s="736"/>
      <c r="L88" s="736"/>
      <c r="M88" s="736"/>
      <c r="N88" s="1051"/>
    </row>
    <row r="89" spans="1:17" ht="13.5">
      <c r="A89" s="814"/>
      <c r="B89" s="741" t="s">
        <v>637</v>
      </c>
      <c r="C89" s="1036">
        <v>707603</v>
      </c>
      <c r="D89" s="1037">
        <v>96.32</v>
      </c>
      <c r="E89" s="741">
        <f t="shared" si="16"/>
        <v>1.026889534883721</v>
      </c>
      <c r="F89" s="1036">
        <f t="shared" si="14"/>
        <v>726630</v>
      </c>
      <c r="G89" s="814"/>
      <c r="H89" s="1036"/>
      <c r="I89" s="736"/>
      <c r="J89" s="736"/>
      <c r="K89" s="736"/>
      <c r="L89" s="736"/>
      <c r="M89" s="736"/>
      <c r="N89" s="1051"/>
    </row>
    <row r="90" spans="1:17" ht="13.5">
      <c r="A90" s="814"/>
      <c r="B90" s="741" t="s">
        <v>102</v>
      </c>
      <c r="C90" s="1036">
        <v>1443284.6666666667</v>
      </c>
      <c r="D90" s="1037">
        <v>96.32</v>
      </c>
      <c r="E90" s="741">
        <f t="shared" si="16"/>
        <v>1.026889534883721</v>
      </c>
      <c r="F90" s="1036">
        <f t="shared" si="14"/>
        <v>1482093</v>
      </c>
      <c r="G90" s="814"/>
      <c r="H90" s="1036"/>
      <c r="I90" s="736"/>
      <c r="J90" s="736"/>
      <c r="K90" s="736"/>
      <c r="L90" s="736"/>
      <c r="M90" s="736"/>
      <c r="N90" s="1051"/>
    </row>
    <row r="91" spans="1:17" ht="13.5">
      <c r="A91" s="814"/>
      <c r="B91" s="741" t="s">
        <v>103</v>
      </c>
      <c r="C91" s="1036">
        <v>134780</v>
      </c>
      <c r="D91" s="1037">
        <v>96.32</v>
      </c>
      <c r="E91" s="741">
        <f t="shared" si="16"/>
        <v>1.026889534883721</v>
      </c>
      <c r="F91" s="1036">
        <f t="shared" si="14"/>
        <v>138404</v>
      </c>
      <c r="G91" s="814"/>
      <c r="H91" s="1036"/>
      <c r="I91" s="736"/>
      <c r="J91" s="736"/>
      <c r="K91" s="736"/>
      <c r="L91" s="736"/>
      <c r="M91" s="736"/>
      <c r="N91" s="1051"/>
    </row>
    <row r="92" spans="1:17" ht="13.5">
      <c r="A92" s="814"/>
      <c r="B92" s="741" t="s">
        <v>104</v>
      </c>
      <c r="C92" s="1036">
        <v>1515448.9000000001</v>
      </c>
      <c r="D92" s="1037">
        <v>96.32</v>
      </c>
      <c r="E92" s="741">
        <f t="shared" si="16"/>
        <v>1.026889534883721</v>
      </c>
      <c r="F92" s="1036">
        <f t="shared" si="14"/>
        <v>1556198</v>
      </c>
      <c r="G92" s="814"/>
      <c r="H92" s="1036"/>
      <c r="I92" s="736"/>
      <c r="J92" s="736"/>
      <c r="K92" s="736"/>
      <c r="L92" s="736"/>
      <c r="M92" s="736"/>
      <c r="N92" s="1051"/>
    </row>
    <row r="93" spans="1:17" ht="13.5">
      <c r="A93" s="814"/>
      <c r="B93" s="741" t="s">
        <v>95</v>
      </c>
      <c r="C93" s="1036">
        <v>2285200</v>
      </c>
      <c r="D93" s="1037">
        <v>96.92</v>
      </c>
      <c r="E93" s="741">
        <f t="shared" si="16"/>
        <v>1.0205323978539</v>
      </c>
      <c r="F93" s="1036">
        <f t="shared" si="14"/>
        <v>2332120</v>
      </c>
      <c r="G93" s="814"/>
      <c r="H93" s="1036"/>
      <c r="I93" s="736"/>
      <c r="J93" s="736"/>
      <c r="K93" s="736"/>
      <c r="L93" s="736"/>
      <c r="M93" s="736"/>
      <c r="N93" s="1051"/>
    </row>
    <row r="94" spans="1:17" ht="13.5">
      <c r="A94" s="814"/>
      <c r="B94" s="741" t="s">
        <v>96</v>
      </c>
      <c r="C94" s="1036"/>
      <c r="D94" s="1037"/>
      <c r="E94" s="741"/>
      <c r="F94" s="1036">
        <f>SUM(F76:F93)</f>
        <v>32283433</v>
      </c>
      <c r="G94" s="814"/>
      <c r="H94" s="1036"/>
      <c r="I94" s="736"/>
      <c r="J94" s="736"/>
      <c r="K94" s="736"/>
      <c r="L94" s="736"/>
      <c r="M94" s="736"/>
      <c r="N94" s="1051"/>
    </row>
    <row r="95" spans="1:17" ht="13.5">
      <c r="A95" s="814"/>
      <c r="B95" s="741" t="s">
        <v>98</v>
      </c>
      <c r="C95" s="1036"/>
      <c r="D95" s="1037"/>
      <c r="E95" s="741"/>
      <c r="F95" s="1036">
        <f>SUM(H95+I95)</f>
        <v>1941600</v>
      </c>
      <c r="G95" s="814"/>
      <c r="H95" s="1036">
        <f t="shared" ref="H95:M95" si="18">SUM(H76:H87)</f>
        <v>970800</v>
      </c>
      <c r="I95" s="736">
        <f t="shared" si="18"/>
        <v>970800</v>
      </c>
      <c r="J95" s="736">
        <f t="shared" si="18"/>
        <v>2062111.0050000006</v>
      </c>
      <c r="K95" s="736">
        <f t="shared" si="18"/>
        <v>2911281.1199999992</v>
      </c>
      <c r="L95" s="736">
        <f t="shared" si="18"/>
        <v>3032400</v>
      </c>
      <c r="M95" s="736">
        <f t="shared" si="18"/>
        <v>3882081.1199999992</v>
      </c>
      <c r="N95" s="1051"/>
    </row>
    <row r="96" spans="1:17" ht="13.5">
      <c r="A96" s="814"/>
      <c r="B96" s="741" t="s">
        <v>99</v>
      </c>
      <c r="C96" s="1036"/>
      <c r="D96" s="1037"/>
      <c r="E96" s="741"/>
      <c r="F96" s="1036">
        <f>(F94-F95)</f>
        <v>30341833</v>
      </c>
      <c r="G96" s="814"/>
      <c r="H96" s="1051"/>
      <c r="I96" s="1051"/>
      <c r="J96" s="1051"/>
      <c r="K96" s="1051"/>
      <c r="L96" s="1051"/>
      <c r="M96" s="1051"/>
      <c r="N96" s="1051"/>
    </row>
    <row r="97" spans="1:17" ht="13.5">
      <c r="A97" s="814"/>
      <c r="B97" s="814"/>
      <c r="C97" s="1051"/>
      <c r="D97" s="1052"/>
      <c r="E97" s="814"/>
      <c r="F97" s="1051"/>
      <c r="G97" s="814"/>
      <c r="H97" s="1051"/>
      <c r="I97" s="1051"/>
      <c r="J97" s="1051"/>
      <c r="K97" s="1051"/>
      <c r="L97" s="1051"/>
      <c r="M97" s="1051"/>
      <c r="N97" s="1051"/>
    </row>
    <row r="98" spans="1:17" ht="13.5">
      <c r="A98" s="814"/>
      <c r="B98" s="1235" t="s">
        <v>11</v>
      </c>
      <c r="C98" s="1236">
        <v>2018</v>
      </c>
      <c r="D98" s="1235" t="s">
        <v>638</v>
      </c>
      <c r="E98" s="1235" t="s">
        <v>77</v>
      </c>
      <c r="F98" s="1236" t="s">
        <v>57</v>
      </c>
      <c r="G98" s="1059"/>
      <c r="H98" s="1051"/>
      <c r="I98" s="1051"/>
      <c r="J98" s="1051"/>
      <c r="K98" s="1051"/>
      <c r="L98" s="1051"/>
      <c r="M98" s="1051"/>
      <c r="N98" s="1051"/>
    </row>
    <row r="99" spans="1:17" ht="13.5">
      <c r="A99" s="814"/>
      <c r="B99" s="1145"/>
      <c r="C99" s="1237">
        <v>2244113</v>
      </c>
      <c r="D99" s="1145"/>
      <c r="E99" s="1145"/>
      <c r="F99" s="1237"/>
      <c r="G99" s="814"/>
      <c r="H99" s="734" t="s">
        <v>78</v>
      </c>
      <c r="I99" s="734" t="s">
        <v>79</v>
      </c>
      <c r="J99" s="734" t="s">
        <v>186</v>
      </c>
      <c r="K99" s="734" t="s">
        <v>187</v>
      </c>
      <c r="L99" s="734" t="s">
        <v>82</v>
      </c>
      <c r="M99" s="734" t="s">
        <v>83</v>
      </c>
      <c r="N99" s="1051"/>
    </row>
    <row r="100" spans="1:17" ht="13.5">
      <c r="A100" s="814"/>
      <c r="B100" s="1145" t="s">
        <v>16</v>
      </c>
      <c r="C100" s="1237">
        <v>2244113</v>
      </c>
      <c r="D100" s="1238">
        <v>97.53</v>
      </c>
      <c r="E100" s="1145">
        <f>$D$12/D100</f>
        <v>1.0141494924638572</v>
      </c>
      <c r="F100" s="1237">
        <f>INT(C100*E100)</f>
        <v>2275866</v>
      </c>
      <c r="G100" s="814"/>
      <c r="H100" s="1036">
        <v>89800</v>
      </c>
      <c r="I100" s="1036">
        <v>89800</v>
      </c>
      <c r="J100" s="736">
        <v>190800</v>
      </c>
      <c r="K100" s="736">
        <v>269300</v>
      </c>
      <c r="L100" s="736">
        <f t="shared" ref="L100:L111" si="19">SUM(H100+J100)</f>
        <v>280600</v>
      </c>
      <c r="M100" s="736">
        <f t="shared" ref="M100:M111" si="20">SUM(I100+K100)</f>
        <v>359100</v>
      </c>
      <c r="N100" s="1051">
        <f>INT(+C99*50%)</f>
        <v>1122056</v>
      </c>
      <c r="P100" s="235">
        <f>INT(N100/12)</f>
        <v>93504</v>
      </c>
      <c r="Q100" s="217" t="s">
        <v>467</v>
      </c>
    </row>
    <row r="101" spans="1:17" ht="13.5">
      <c r="A101" s="814"/>
      <c r="B101" s="1145" t="s">
        <v>17</v>
      </c>
      <c r="C101" s="1237">
        <v>2244113</v>
      </c>
      <c r="D101" s="1238">
        <v>98.22</v>
      </c>
      <c r="E101" s="1145">
        <f>$D$12/D101</f>
        <v>1.0070250458155161</v>
      </c>
      <c r="F101" s="1237">
        <f t="shared" ref="F101:F117" si="21">INT(C101*E101)</f>
        <v>2259877</v>
      </c>
      <c r="G101" s="814"/>
      <c r="H101" s="1036">
        <v>89800</v>
      </c>
      <c r="I101" s="1036">
        <v>89800</v>
      </c>
      <c r="J101" s="736">
        <v>190800</v>
      </c>
      <c r="K101" s="736">
        <v>269300</v>
      </c>
      <c r="L101" s="736">
        <f t="shared" si="19"/>
        <v>280600</v>
      </c>
      <c r="M101" s="736">
        <f t="shared" si="20"/>
        <v>359100</v>
      </c>
      <c r="N101" s="1051">
        <f>INT(C99+P100+P107)/30*20</f>
        <v>1602046.6666666665</v>
      </c>
      <c r="P101" s="235">
        <f>INT(N101/12)</f>
        <v>133503</v>
      </c>
      <c r="Q101" s="217" t="s">
        <v>470</v>
      </c>
    </row>
    <row r="102" spans="1:17" ht="13.5">
      <c r="A102" s="1204"/>
      <c r="B102" s="1145" t="s">
        <v>19</v>
      </c>
      <c r="C102" s="1237">
        <v>2244113</v>
      </c>
      <c r="D102" s="1238">
        <v>98.45</v>
      </c>
      <c r="E102" s="1145">
        <f>$D$12/D102</f>
        <v>1.0046724225495174</v>
      </c>
      <c r="F102" s="1237">
        <f t="shared" si="21"/>
        <v>2254598</v>
      </c>
      <c r="G102" s="814"/>
      <c r="H102" s="1036">
        <v>89800</v>
      </c>
      <c r="I102" s="1036">
        <v>89800</v>
      </c>
      <c r="J102" s="736">
        <v>190800</v>
      </c>
      <c r="K102" s="736">
        <v>269300</v>
      </c>
      <c r="L102" s="736">
        <f t="shared" si="19"/>
        <v>280600</v>
      </c>
      <c r="M102" s="736">
        <f t="shared" si="20"/>
        <v>359100</v>
      </c>
      <c r="N102" s="1051">
        <f>INT(C99/30)*2</f>
        <v>149606</v>
      </c>
      <c r="P102" s="235">
        <v>0</v>
      </c>
      <c r="Q102" s="217" t="s">
        <v>473</v>
      </c>
    </row>
    <row r="103" spans="1:17" ht="13.5">
      <c r="A103" s="814"/>
      <c r="B103" s="1145" t="s">
        <v>21</v>
      </c>
      <c r="C103" s="1237">
        <v>2244113</v>
      </c>
      <c r="D103" s="1238">
        <v>98.91</v>
      </c>
      <c r="E103" s="1145">
        <f>$D$12/D103</f>
        <v>1</v>
      </c>
      <c r="F103" s="1237">
        <f t="shared" si="21"/>
        <v>2244113</v>
      </c>
      <c r="G103" s="814"/>
      <c r="H103" s="1036">
        <v>89800</v>
      </c>
      <c r="I103" s="1036">
        <v>89800</v>
      </c>
      <c r="J103" s="736">
        <v>190800</v>
      </c>
      <c r="K103" s="736">
        <v>269300</v>
      </c>
      <c r="L103" s="736">
        <f t="shared" si="19"/>
        <v>280600</v>
      </c>
      <c r="M103" s="736">
        <f t="shared" si="20"/>
        <v>359100</v>
      </c>
      <c r="N103" s="1051">
        <f>INT(C99+P100+P107)/30*21</f>
        <v>1682149</v>
      </c>
      <c r="P103" s="235">
        <v>0</v>
      </c>
      <c r="Q103" s="217" t="s">
        <v>22</v>
      </c>
    </row>
    <row r="104" spans="1:17" ht="13.5">
      <c r="A104" s="814"/>
      <c r="B104" s="1145" t="s">
        <v>23</v>
      </c>
      <c r="C104" s="1237">
        <v>2244113</v>
      </c>
      <c r="D104" s="1238">
        <v>99.16</v>
      </c>
      <c r="E104" s="1145">
        <v>1</v>
      </c>
      <c r="F104" s="1237">
        <f t="shared" si="21"/>
        <v>2244113</v>
      </c>
      <c r="G104" s="814"/>
      <c r="H104" s="1036">
        <v>89800</v>
      </c>
      <c r="I104" s="1036">
        <v>89800</v>
      </c>
      <c r="J104" s="736">
        <v>190800</v>
      </c>
      <c r="K104" s="736">
        <v>269300</v>
      </c>
      <c r="L104" s="736">
        <f t="shared" si="19"/>
        <v>280600</v>
      </c>
      <c r="M104" s="736">
        <f t="shared" si="20"/>
        <v>359100</v>
      </c>
      <c r="N104" s="1051">
        <f>+(C100+P100+P101+P107)/360*360</f>
        <v>2536573</v>
      </c>
      <c r="P104" s="235">
        <f>INT(N104/12)</f>
        <v>211381</v>
      </c>
      <c r="Q104" s="217" t="s">
        <v>478</v>
      </c>
    </row>
    <row r="105" spans="1:17" ht="13.5">
      <c r="A105" s="814"/>
      <c r="B105" s="1145" t="s">
        <v>25</v>
      </c>
      <c r="C105" s="1237">
        <v>2244113</v>
      </c>
      <c r="D105" s="1238">
        <v>99.31</v>
      </c>
      <c r="E105" s="1145">
        <v>1</v>
      </c>
      <c r="F105" s="1237">
        <f t="shared" si="21"/>
        <v>2244113</v>
      </c>
      <c r="G105" s="814"/>
      <c r="H105" s="1036">
        <v>89800</v>
      </c>
      <c r="I105" s="1036">
        <v>89800</v>
      </c>
      <c r="J105" s="736">
        <v>190800</v>
      </c>
      <c r="K105" s="736">
        <v>269300</v>
      </c>
      <c r="L105" s="736">
        <f t="shared" si="19"/>
        <v>280600</v>
      </c>
      <c r="M105" s="736">
        <f t="shared" si="20"/>
        <v>359100</v>
      </c>
      <c r="N105" s="1051">
        <f>INT(C100+P100+P101+P104+P107)/360*360</f>
        <v>2747954</v>
      </c>
      <c r="Q105" s="217" t="s">
        <v>490</v>
      </c>
    </row>
    <row r="106" spans="1:17" ht="13.5">
      <c r="A106" s="814"/>
      <c r="B106" s="1145" t="s">
        <v>27</v>
      </c>
      <c r="C106" s="1237">
        <v>2244113</v>
      </c>
      <c r="D106" s="1238">
        <v>99.18</v>
      </c>
      <c r="E106" s="1145">
        <v>1</v>
      </c>
      <c r="F106" s="1237">
        <f t="shared" si="21"/>
        <v>2244113</v>
      </c>
      <c r="G106" s="814"/>
      <c r="H106" s="1036">
        <v>89800</v>
      </c>
      <c r="I106" s="1036">
        <v>89800</v>
      </c>
      <c r="J106" s="736">
        <v>190800</v>
      </c>
      <c r="K106" s="736">
        <v>269300</v>
      </c>
      <c r="L106" s="736">
        <f t="shared" si="19"/>
        <v>280600</v>
      </c>
      <c r="M106" s="736">
        <f t="shared" si="20"/>
        <v>359100</v>
      </c>
      <c r="N106" s="1051">
        <f>+(N105*0.12/360*360)</f>
        <v>329754.48</v>
      </c>
      <c r="Q106" s="217" t="s">
        <v>483</v>
      </c>
    </row>
    <row r="107" spans="1:17" ht="13.5">
      <c r="A107" s="814"/>
      <c r="B107" s="1145" t="s">
        <v>29</v>
      </c>
      <c r="C107" s="1237">
        <v>2244113</v>
      </c>
      <c r="D107" s="1238">
        <v>99.3</v>
      </c>
      <c r="E107" s="1145">
        <v>1</v>
      </c>
      <c r="F107" s="1237">
        <f t="shared" si="21"/>
        <v>2244113</v>
      </c>
      <c r="G107" s="814"/>
      <c r="H107" s="1036">
        <v>89800</v>
      </c>
      <c r="I107" s="1036">
        <v>89800</v>
      </c>
      <c r="J107" s="736">
        <v>190800</v>
      </c>
      <c r="K107" s="736">
        <v>269300</v>
      </c>
      <c r="L107" s="736">
        <f t="shared" si="19"/>
        <v>280600</v>
      </c>
      <c r="M107" s="736">
        <f t="shared" si="20"/>
        <v>359100</v>
      </c>
      <c r="N107" s="1051">
        <f>+(C99*35%)</f>
        <v>785439.54999999993</v>
      </c>
      <c r="P107" s="235">
        <f>INT(N107/12)</f>
        <v>65453</v>
      </c>
      <c r="Q107" s="217" t="s">
        <v>486</v>
      </c>
    </row>
    <row r="108" spans="1:17" ht="13.5">
      <c r="A108" s="814"/>
      <c r="B108" s="1145" t="s">
        <v>31</v>
      </c>
      <c r="C108" s="1237">
        <v>2244113</v>
      </c>
      <c r="D108" s="1238">
        <v>99.47</v>
      </c>
      <c r="E108" s="1145">
        <v>1</v>
      </c>
      <c r="F108" s="1237">
        <f t="shared" si="21"/>
        <v>2244113</v>
      </c>
      <c r="G108" s="814"/>
      <c r="H108" s="1036">
        <v>89800</v>
      </c>
      <c r="I108" s="1036">
        <v>89800</v>
      </c>
      <c r="J108" s="736">
        <v>190800</v>
      </c>
      <c r="K108" s="736">
        <v>269300</v>
      </c>
      <c r="L108" s="736">
        <f t="shared" si="19"/>
        <v>280600</v>
      </c>
      <c r="M108" s="736">
        <f t="shared" si="20"/>
        <v>359100</v>
      </c>
      <c r="N108" s="1051"/>
    </row>
    <row r="109" spans="1:17" ht="13.5">
      <c r="A109" s="814"/>
      <c r="B109" s="1145" t="s">
        <v>33</v>
      </c>
      <c r="C109" s="1237">
        <v>2244113</v>
      </c>
      <c r="D109" s="1238">
        <v>99.59</v>
      </c>
      <c r="E109" s="1145">
        <v>1</v>
      </c>
      <c r="F109" s="1237">
        <f t="shared" si="21"/>
        <v>2244113</v>
      </c>
      <c r="G109" s="814"/>
      <c r="H109" s="1036">
        <v>89800</v>
      </c>
      <c r="I109" s="1036">
        <v>89800</v>
      </c>
      <c r="J109" s="736">
        <v>190800</v>
      </c>
      <c r="K109" s="736">
        <v>269300</v>
      </c>
      <c r="L109" s="736">
        <f t="shared" si="19"/>
        <v>280600</v>
      </c>
      <c r="M109" s="736">
        <f t="shared" si="20"/>
        <v>359100</v>
      </c>
      <c r="N109" s="1051"/>
    </row>
    <row r="110" spans="1:17" ht="13.5">
      <c r="A110" s="814"/>
      <c r="B110" s="1145" t="s">
        <v>34</v>
      </c>
      <c r="C110" s="1237">
        <v>2244113</v>
      </c>
      <c r="D110" s="1238">
        <v>99.7</v>
      </c>
      <c r="E110" s="1145">
        <v>1</v>
      </c>
      <c r="F110" s="1237">
        <f t="shared" si="21"/>
        <v>2244113</v>
      </c>
      <c r="G110" s="814"/>
      <c r="H110" s="1036">
        <v>89800</v>
      </c>
      <c r="I110" s="1036">
        <v>89800</v>
      </c>
      <c r="J110" s="736">
        <v>190800</v>
      </c>
      <c r="K110" s="736">
        <v>269300</v>
      </c>
      <c r="L110" s="736">
        <f t="shared" si="19"/>
        <v>280600</v>
      </c>
      <c r="M110" s="736">
        <f t="shared" si="20"/>
        <v>359100</v>
      </c>
      <c r="N110" s="1051"/>
    </row>
    <row r="111" spans="1:17" ht="13.5">
      <c r="A111" s="814"/>
      <c r="B111" s="1145" t="s">
        <v>35</v>
      </c>
      <c r="C111" s="1237">
        <v>2244113</v>
      </c>
      <c r="D111" s="1238">
        <v>100</v>
      </c>
      <c r="E111" s="1145">
        <v>1</v>
      </c>
      <c r="F111" s="1237">
        <f t="shared" si="21"/>
        <v>2244113</v>
      </c>
      <c r="G111" s="814"/>
      <c r="H111" s="1036">
        <v>89800</v>
      </c>
      <c r="I111" s="1036">
        <v>89800</v>
      </c>
      <c r="J111" s="736">
        <v>190800</v>
      </c>
      <c r="K111" s="736">
        <v>269300</v>
      </c>
      <c r="L111" s="736">
        <f t="shared" si="19"/>
        <v>280600</v>
      </c>
      <c r="M111" s="736">
        <f t="shared" si="20"/>
        <v>359100</v>
      </c>
      <c r="N111" s="1051"/>
    </row>
    <row r="112" spans="1:17" ht="13.5">
      <c r="A112" s="814"/>
      <c r="B112" s="1145" t="s">
        <v>101</v>
      </c>
      <c r="C112" s="1237">
        <v>1122056</v>
      </c>
      <c r="D112" s="1238">
        <v>99.18</v>
      </c>
      <c r="E112" s="1145">
        <v>1</v>
      </c>
      <c r="F112" s="1237">
        <f t="shared" si="21"/>
        <v>1122056</v>
      </c>
      <c r="G112" s="814"/>
      <c r="H112" s="1036"/>
      <c r="I112" s="736"/>
      <c r="J112" s="736"/>
      <c r="K112" s="736"/>
      <c r="L112" s="736"/>
      <c r="M112" s="736"/>
      <c r="N112" s="1051"/>
    </row>
    <row r="113" spans="1:17" ht="13.5">
      <c r="A113" s="814"/>
      <c r="B113" s="1145" t="s">
        <v>637</v>
      </c>
      <c r="C113" s="1237">
        <v>785440</v>
      </c>
      <c r="D113" s="1238">
        <v>99.3</v>
      </c>
      <c r="E113" s="1145">
        <v>1</v>
      </c>
      <c r="F113" s="1237">
        <f t="shared" si="21"/>
        <v>785440</v>
      </c>
      <c r="G113" s="814"/>
      <c r="H113" s="1036"/>
      <c r="I113" s="736"/>
      <c r="J113" s="736"/>
      <c r="K113" s="736"/>
      <c r="L113" s="736"/>
      <c r="M113" s="736"/>
      <c r="N113" s="1051"/>
    </row>
    <row r="114" spans="1:17" ht="13.5">
      <c r="A114" s="814"/>
      <c r="B114" s="1145" t="s">
        <v>102</v>
      </c>
      <c r="C114" s="1237">
        <v>1602046.6666666665</v>
      </c>
      <c r="D114" s="1238">
        <v>99.3</v>
      </c>
      <c r="E114" s="1145">
        <v>1</v>
      </c>
      <c r="F114" s="1237">
        <f t="shared" si="21"/>
        <v>1602046</v>
      </c>
      <c r="G114" s="814"/>
      <c r="H114" s="1036"/>
      <c r="I114" s="736"/>
      <c r="J114" s="736"/>
      <c r="K114" s="736"/>
      <c r="L114" s="736"/>
      <c r="M114" s="736"/>
      <c r="N114" s="1051"/>
    </row>
    <row r="115" spans="1:17" ht="13.5">
      <c r="A115" s="814"/>
      <c r="B115" s="1145" t="s">
        <v>103</v>
      </c>
      <c r="C115" s="1237">
        <v>149606</v>
      </c>
      <c r="D115" s="1238">
        <v>99.3</v>
      </c>
      <c r="E115" s="1145">
        <v>1</v>
      </c>
      <c r="F115" s="1237">
        <f t="shared" si="21"/>
        <v>149606</v>
      </c>
      <c r="G115" s="814"/>
      <c r="H115" s="1036"/>
      <c r="I115" s="736"/>
      <c r="J115" s="736"/>
      <c r="K115" s="736"/>
      <c r="L115" s="736"/>
      <c r="M115" s="736"/>
      <c r="N115" s="1051"/>
    </row>
    <row r="116" spans="1:17" ht="13.5">
      <c r="A116" s="814"/>
      <c r="B116" s="1145" t="s">
        <v>104</v>
      </c>
      <c r="C116" s="1237">
        <v>1682149</v>
      </c>
      <c r="D116" s="1238">
        <v>99.3</v>
      </c>
      <c r="E116" s="1145">
        <v>1</v>
      </c>
      <c r="F116" s="1237">
        <f t="shared" si="21"/>
        <v>1682149</v>
      </c>
      <c r="G116" s="814"/>
      <c r="H116" s="1036"/>
      <c r="I116" s="736"/>
      <c r="J116" s="736"/>
      <c r="K116" s="736"/>
      <c r="L116" s="736"/>
      <c r="M116" s="736"/>
      <c r="N116" s="1051"/>
    </row>
    <row r="117" spans="1:17" ht="13.5">
      <c r="A117" s="814"/>
      <c r="B117" s="1145" t="s">
        <v>95</v>
      </c>
      <c r="C117" s="1237">
        <v>2536573</v>
      </c>
      <c r="D117" s="1238">
        <v>100</v>
      </c>
      <c r="E117" s="1145">
        <v>1</v>
      </c>
      <c r="F117" s="1237">
        <f t="shared" si="21"/>
        <v>2536573</v>
      </c>
      <c r="G117" s="814"/>
      <c r="H117" s="1036"/>
      <c r="I117" s="736"/>
      <c r="J117" s="736"/>
      <c r="K117" s="736"/>
      <c r="L117" s="736"/>
      <c r="M117" s="736"/>
      <c r="N117" s="1051"/>
    </row>
    <row r="118" spans="1:17" ht="13.5">
      <c r="A118" s="814"/>
      <c r="B118" s="1145" t="s">
        <v>96</v>
      </c>
      <c r="C118" s="1237"/>
      <c r="D118" s="1238"/>
      <c r="E118" s="1145"/>
      <c r="F118" s="1237">
        <f>SUM(F100:F117)</f>
        <v>34865228</v>
      </c>
      <c r="G118" s="814"/>
      <c r="H118" s="1036"/>
      <c r="I118" s="736"/>
      <c r="J118" s="736"/>
      <c r="K118" s="736"/>
      <c r="L118" s="736"/>
      <c r="M118" s="736"/>
      <c r="N118" s="1051"/>
    </row>
    <row r="119" spans="1:17" ht="13.5">
      <c r="A119" s="814"/>
      <c r="B119" s="1145" t="s">
        <v>98</v>
      </c>
      <c r="C119" s="1237"/>
      <c r="D119" s="1238"/>
      <c r="E119" s="1145"/>
      <c r="F119" s="1237">
        <f>+H100+H101+I100+I101</f>
        <v>359200</v>
      </c>
      <c r="G119" s="814"/>
      <c r="H119" s="1036">
        <f t="shared" ref="H119:M119" si="22">SUM(H100:H111)</f>
        <v>1077600</v>
      </c>
      <c r="I119" s="736">
        <f t="shared" si="22"/>
        <v>1077600</v>
      </c>
      <c r="J119" s="736">
        <f t="shared" si="22"/>
        <v>2289600</v>
      </c>
      <c r="K119" s="736">
        <f t="shared" si="22"/>
        <v>3231600</v>
      </c>
      <c r="L119" s="736">
        <f t="shared" si="22"/>
        <v>3367200</v>
      </c>
      <c r="M119" s="736">
        <f t="shared" si="22"/>
        <v>4309200</v>
      </c>
      <c r="N119" s="1051"/>
    </row>
    <row r="120" spans="1:17" ht="13.5">
      <c r="A120" s="814"/>
      <c r="B120" s="1145" t="s">
        <v>99</v>
      </c>
      <c r="C120" s="1237"/>
      <c r="D120" s="1238"/>
      <c r="E120" s="1145"/>
      <c r="F120" s="1237">
        <f>(F118-F119)</f>
        <v>34506028</v>
      </c>
      <c r="G120" s="814"/>
      <c r="H120" s="1051"/>
      <c r="I120" s="1051"/>
      <c r="J120" s="1051"/>
      <c r="K120" s="1051"/>
      <c r="L120" s="1051"/>
      <c r="M120" s="1051"/>
      <c r="N120" s="1051"/>
    </row>
    <row r="121" spans="1:17" ht="13.5">
      <c r="A121" s="814"/>
      <c r="B121" s="814"/>
      <c r="C121" s="1051"/>
      <c r="D121" s="1052"/>
      <c r="E121" s="814"/>
      <c r="F121" s="1051"/>
      <c r="G121" s="814"/>
      <c r="H121" s="1051"/>
      <c r="I121" s="1051"/>
      <c r="J121" s="1051"/>
      <c r="K121" s="1051"/>
      <c r="L121" s="1051"/>
      <c r="M121" s="1051"/>
      <c r="N121" s="1051"/>
    </row>
    <row r="122" spans="1:17" ht="13.5">
      <c r="A122" s="814"/>
      <c r="B122" s="735" t="s">
        <v>11</v>
      </c>
      <c r="C122" s="734">
        <v>2019</v>
      </c>
      <c r="D122" s="735" t="s">
        <v>638</v>
      </c>
      <c r="E122" s="735" t="s">
        <v>77</v>
      </c>
      <c r="F122" s="734" t="s">
        <v>57</v>
      </c>
      <c r="G122" s="1059"/>
      <c r="H122" s="1051"/>
      <c r="I122" s="1051"/>
      <c r="J122" s="1051"/>
      <c r="K122" s="1051"/>
      <c r="L122" s="1051"/>
      <c r="M122" s="1051"/>
      <c r="N122" s="1051"/>
    </row>
    <row r="123" spans="1:17" ht="13.5">
      <c r="A123" s="814"/>
      <c r="B123" s="741"/>
      <c r="C123" s="1036">
        <v>2502186</v>
      </c>
      <c r="D123" s="741"/>
      <c r="E123" s="741"/>
      <c r="F123" s="1036"/>
      <c r="G123" s="814"/>
      <c r="H123" s="734" t="s">
        <v>78</v>
      </c>
      <c r="I123" s="734" t="s">
        <v>79</v>
      </c>
      <c r="J123" s="734" t="s">
        <v>186</v>
      </c>
      <c r="K123" s="734" t="s">
        <v>187</v>
      </c>
      <c r="L123" s="734" t="s">
        <v>82</v>
      </c>
      <c r="M123" s="734" t="s">
        <v>83</v>
      </c>
      <c r="N123" s="1051"/>
    </row>
    <row r="124" spans="1:17" ht="13.5">
      <c r="A124" s="814"/>
      <c r="B124" s="741" t="s">
        <v>16</v>
      </c>
      <c r="C124" s="1036">
        <v>2502186</v>
      </c>
      <c r="D124" s="1037">
        <v>100.6</v>
      </c>
      <c r="E124" s="741">
        <v>1</v>
      </c>
      <c r="F124" s="1036">
        <f t="shared" ref="F124:F141" si="23">INT(C124*E124)</f>
        <v>2502186</v>
      </c>
      <c r="G124" s="814"/>
      <c r="H124" s="1036">
        <v>100100</v>
      </c>
      <c r="I124" s="1036">
        <v>100100</v>
      </c>
      <c r="J124" s="736">
        <v>212700</v>
      </c>
      <c r="K124" s="736">
        <v>300300</v>
      </c>
      <c r="L124" s="736">
        <f t="shared" ref="L124:L135" si="24">SUM(H124+J124)</f>
        <v>312800</v>
      </c>
      <c r="M124" s="736">
        <f t="shared" ref="M124:M135" si="25">SUM(I124+K124)</f>
        <v>400400</v>
      </c>
      <c r="N124" s="1051">
        <f>INT(+C123*50%)</f>
        <v>1251093</v>
      </c>
      <c r="P124" s="235">
        <f>INT(N124/12)</f>
        <v>104257</v>
      </c>
      <c r="Q124" s="217" t="s">
        <v>467</v>
      </c>
    </row>
    <row r="125" spans="1:17" ht="13.5">
      <c r="A125" s="814"/>
      <c r="B125" s="741" t="s">
        <v>17</v>
      </c>
      <c r="C125" s="1036">
        <v>2502186</v>
      </c>
      <c r="D125" s="1037">
        <v>101.18</v>
      </c>
      <c r="E125" s="741">
        <v>1</v>
      </c>
      <c r="F125" s="1036">
        <f t="shared" si="23"/>
        <v>2502186</v>
      </c>
      <c r="G125" s="814"/>
      <c r="H125" s="1036">
        <v>100100</v>
      </c>
      <c r="I125" s="1036">
        <v>100100</v>
      </c>
      <c r="J125" s="736">
        <v>212700</v>
      </c>
      <c r="K125" s="736">
        <v>300300</v>
      </c>
      <c r="L125" s="736">
        <f t="shared" si="24"/>
        <v>312800</v>
      </c>
      <c r="M125" s="736">
        <f t="shared" si="25"/>
        <v>400400</v>
      </c>
      <c r="N125" s="1051">
        <f>INT(C123+P124+P131)/30*20</f>
        <v>1786282</v>
      </c>
      <c r="P125" s="235">
        <f>INT(N125/12)</f>
        <v>148856</v>
      </c>
      <c r="Q125" s="217" t="s">
        <v>470</v>
      </c>
    </row>
    <row r="126" spans="1:17" ht="13.5">
      <c r="A126" s="814"/>
      <c r="B126" s="741" t="s">
        <v>19</v>
      </c>
      <c r="C126" s="1036">
        <v>2502186</v>
      </c>
      <c r="D126" s="1037">
        <v>101.62</v>
      </c>
      <c r="E126" s="741">
        <v>1</v>
      </c>
      <c r="F126" s="1036">
        <f t="shared" si="23"/>
        <v>2502186</v>
      </c>
      <c r="G126" s="814"/>
      <c r="H126" s="1036">
        <v>100100</v>
      </c>
      <c r="I126" s="1036">
        <v>100100</v>
      </c>
      <c r="J126" s="736">
        <v>212700</v>
      </c>
      <c r="K126" s="736">
        <v>300300</v>
      </c>
      <c r="L126" s="736">
        <f t="shared" si="24"/>
        <v>312800</v>
      </c>
      <c r="M126" s="736">
        <f t="shared" si="25"/>
        <v>400400</v>
      </c>
      <c r="N126" s="1051">
        <f>INT(C123/30)*2</f>
        <v>166812</v>
      </c>
      <c r="P126" s="235">
        <v>0</v>
      </c>
      <c r="Q126" s="217" t="s">
        <v>473</v>
      </c>
    </row>
    <row r="127" spans="1:17" ht="13.5">
      <c r="A127" s="814"/>
      <c r="B127" s="741" t="s">
        <v>21</v>
      </c>
      <c r="C127" s="1036">
        <v>2502186</v>
      </c>
      <c r="D127" s="1037">
        <v>102.12</v>
      </c>
      <c r="E127" s="741">
        <v>1</v>
      </c>
      <c r="F127" s="1036">
        <f t="shared" si="23"/>
        <v>2502186</v>
      </c>
      <c r="G127" s="814"/>
      <c r="H127" s="1036">
        <v>100100</v>
      </c>
      <c r="I127" s="1036">
        <v>100100</v>
      </c>
      <c r="J127" s="736">
        <v>212700</v>
      </c>
      <c r="K127" s="736">
        <v>300300</v>
      </c>
      <c r="L127" s="736">
        <f t="shared" si="24"/>
        <v>312800</v>
      </c>
      <c r="M127" s="736">
        <f t="shared" si="25"/>
        <v>400400</v>
      </c>
      <c r="N127" s="1051">
        <f>INT(C123+P124+P131)/30*21</f>
        <v>1875596.1</v>
      </c>
      <c r="P127" s="235">
        <v>0</v>
      </c>
      <c r="Q127" s="217" t="s">
        <v>22</v>
      </c>
    </row>
    <row r="128" spans="1:17" ht="13.5">
      <c r="A128" s="814"/>
      <c r="B128" s="741" t="s">
        <v>23</v>
      </c>
      <c r="C128" s="1036">
        <v>2502186</v>
      </c>
      <c r="D128" s="1037">
        <v>102.44</v>
      </c>
      <c r="E128" s="741">
        <v>1</v>
      </c>
      <c r="F128" s="1036">
        <f t="shared" si="23"/>
        <v>2502186</v>
      </c>
      <c r="G128" s="814"/>
      <c r="H128" s="1036">
        <v>100100</v>
      </c>
      <c r="I128" s="1036">
        <v>100100</v>
      </c>
      <c r="J128" s="736">
        <v>212700</v>
      </c>
      <c r="K128" s="736">
        <v>300300</v>
      </c>
      <c r="L128" s="736">
        <f t="shared" si="24"/>
        <v>312800</v>
      </c>
      <c r="M128" s="736">
        <f t="shared" si="25"/>
        <v>400400</v>
      </c>
      <c r="N128" s="1051">
        <f>+(C124+P124+P125+P131)/360*360</f>
        <v>2828279</v>
      </c>
      <c r="P128" s="235">
        <f>INT(N128/12)</f>
        <v>235689</v>
      </c>
      <c r="Q128" s="217" t="s">
        <v>478</v>
      </c>
    </row>
    <row r="129" spans="1:17" ht="13.5">
      <c r="A129" s="814"/>
      <c r="B129" s="741" t="s">
        <v>25</v>
      </c>
      <c r="C129" s="1036">
        <v>2502186</v>
      </c>
      <c r="D129" s="1037">
        <v>102.71</v>
      </c>
      <c r="E129" s="741">
        <v>1</v>
      </c>
      <c r="F129" s="1036">
        <f t="shared" si="23"/>
        <v>2502186</v>
      </c>
      <c r="G129" s="814"/>
      <c r="H129" s="1036">
        <v>100100</v>
      </c>
      <c r="I129" s="1036">
        <v>100100</v>
      </c>
      <c r="J129" s="736">
        <v>212700</v>
      </c>
      <c r="K129" s="736">
        <v>300300</v>
      </c>
      <c r="L129" s="736">
        <f t="shared" si="24"/>
        <v>312800</v>
      </c>
      <c r="M129" s="736">
        <f t="shared" si="25"/>
        <v>400400</v>
      </c>
      <c r="N129" s="1051">
        <f>INT(C124+P124+P125+P128+P131)/360*360</f>
        <v>3063968</v>
      </c>
      <c r="Q129" s="217" t="s">
        <v>490</v>
      </c>
    </row>
    <row r="130" spans="1:17" ht="13.5">
      <c r="A130" s="814"/>
      <c r="B130" s="741" t="s">
        <v>27</v>
      </c>
      <c r="C130" s="1036">
        <v>2502186</v>
      </c>
      <c r="D130" s="1037">
        <v>102.94</v>
      </c>
      <c r="E130" s="741">
        <v>1</v>
      </c>
      <c r="F130" s="1036">
        <f t="shared" si="23"/>
        <v>2502186</v>
      </c>
      <c r="G130" s="814"/>
      <c r="H130" s="1036">
        <v>100100</v>
      </c>
      <c r="I130" s="1036">
        <v>100100</v>
      </c>
      <c r="J130" s="736">
        <v>212700</v>
      </c>
      <c r="K130" s="736">
        <v>300300</v>
      </c>
      <c r="L130" s="736">
        <f t="shared" si="24"/>
        <v>312800</v>
      </c>
      <c r="M130" s="736">
        <f t="shared" si="25"/>
        <v>400400</v>
      </c>
      <c r="N130" s="1051">
        <f>+(N129*0.12/360*360)</f>
        <v>367676.15999999997</v>
      </c>
      <c r="Q130" s="217" t="s">
        <v>483</v>
      </c>
    </row>
    <row r="131" spans="1:17" ht="13.5">
      <c r="A131" s="814"/>
      <c r="B131" s="741" t="s">
        <v>29</v>
      </c>
      <c r="C131" s="1036">
        <v>2502186</v>
      </c>
      <c r="D131" s="1037">
        <v>103.03</v>
      </c>
      <c r="E131" s="741">
        <v>1</v>
      </c>
      <c r="F131" s="1036">
        <f t="shared" si="23"/>
        <v>2502186</v>
      </c>
      <c r="G131" s="814"/>
      <c r="H131" s="1036">
        <v>100100</v>
      </c>
      <c r="I131" s="1036">
        <v>100100</v>
      </c>
      <c r="J131" s="736">
        <v>212700</v>
      </c>
      <c r="K131" s="736">
        <v>300300</v>
      </c>
      <c r="L131" s="736">
        <f t="shared" si="24"/>
        <v>312800</v>
      </c>
      <c r="M131" s="736">
        <f t="shared" si="25"/>
        <v>400400</v>
      </c>
      <c r="N131" s="1051">
        <f>+(C123*35%)</f>
        <v>875765.1</v>
      </c>
      <c r="P131" s="235">
        <f>INT(N131/12)</f>
        <v>72980</v>
      </c>
      <c r="Q131" s="217" t="s">
        <v>486</v>
      </c>
    </row>
    <row r="132" spans="1:17" ht="13.5">
      <c r="A132" s="814"/>
      <c r="B132" s="741" t="s">
        <v>31</v>
      </c>
      <c r="C132" s="1036">
        <v>2502186</v>
      </c>
      <c r="D132" s="1037">
        <v>103.26</v>
      </c>
      <c r="E132" s="741">
        <v>1</v>
      </c>
      <c r="F132" s="1036">
        <f t="shared" si="23"/>
        <v>2502186</v>
      </c>
      <c r="G132" s="814"/>
      <c r="H132" s="1036">
        <v>100100</v>
      </c>
      <c r="I132" s="1036">
        <v>100100</v>
      </c>
      <c r="J132" s="736">
        <v>212700</v>
      </c>
      <c r="K132" s="736">
        <v>300300</v>
      </c>
      <c r="L132" s="736">
        <f t="shared" si="24"/>
        <v>312800</v>
      </c>
      <c r="M132" s="736">
        <f t="shared" si="25"/>
        <v>400400</v>
      </c>
      <c r="N132" s="1051"/>
    </row>
    <row r="133" spans="1:17" ht="13.5">
      <c r="A133" s="814"/>
      <c r="B133" s="741" t="s">
        <v>33</v>
      </c>
      <c r="C133" s="1036">
        <v>2502186</v>
      </c>
      <c r="D133" s="1037">
        <v>103.43</v>
      </c>
      <c r="E133" s="741">
        <v>1</v>
      </c>
      <c r="F133" s="1036">
        <f t="shared" si="23"/>
        <v>2502186</v>
      </c>
      <c r="G133" s="814"/>
      <c r="H133" s="1036">
        <v>100100</v>
      </c>
      <c r="I133" s="1036">
        <v>100100</v>
      </c>
      <c r="J133" s="736">
        <v>212700</v>
      </c>
      <c r="K133" s="736">
        <v>300300</v>
      </c>
      <c r="L133" s="736">
        <f t="shared" si="24"/>
        <v>312800</v>
      </c>
      <c r="M133" s="736">
        <f t="shared" si="25"/>
        <v>400400</v>
      </c>
      <c r="N133" s="1051"/>
    </row>
    <row r="134" spans="1:17" ht="13.5">
      <c r="A134" s="814"/>
      <c r="B134" s="741" t="s">
        <v>34</v>
      </c>
      <c r="C134" s="1036">
        <v>2502186</v>
      </c>
      <c r="D134" s="1037">
        <v>103.54</v>
      </c>
      <c r="E134" s="741">
        <v>1</v>
      </c>
      <c r="F134" s="1036">
        <f t="shared" si="23"/>
        <v>2502186</v>
      </c>
      <c r="G134" s="814"/>
      <c r="H134" s="1036">
        <v>100100</v>
      </c>
      <c r="I134" s="1036">
        <v>100100</v>
      </c>
      <c r="J134" s="736">
        <v>212700</v>
      </c>
      <c r="K134" s="736">
        <v>300300</v>
      </c>
      <c r="L134" s="736">
        <f t="shared" si="24"/>
        <v>312800</v>
      </c>
      <c r="M134" s="736">
        <f t="shared" si="25"/>
        <v>400400</v>
      </c>
      <c r="N134" s="1051"/>
    </row>
    <row r="135" spans="1:17" ht="13.5">
      <c r="A135" s="814"/>
      <c r="B135" s="741" t="s">
        <v>35</v>
      </c>
      <c r="C135" s="1036">
        <v>2502186</v>
      </c>
      <c r="D135" s="1037">
        <v>103.8</v>
      </c>
      <c r="E135" s="741">
        <v>1</v>
      </c>
      <c r="F135" s="1036">
        <f t="shared" si="23"/>
        <v>2502186</v>
      </c>
      <c r="G135" s="814"/>
      <c r="H135" s="1036">
        <v>100100</v>
      </c>
      <c r="I135" s="1036">
        <v>100100</v>
      </c>
      <c r="J135" s="736">
        <v>212700</v>
      </c>
      <c r="K135" s="736">
        <v>300300</v>
      </c>
      <c r="L135" s="736">
        <f t="shared" si="24"/>
        <v>312800</v>
      </c>
      <c r="M135" s="736">
        <f t="shared" si="25"/>
        <v>400400</v>
      </c>
      <c r="N135" s="1051"/>
    </row>
    <row r="136" spans="1:17" ht="13.5">
      <c r="A136" s="814"/>
      <c r="B136" s="741" t="s">
        <v>101</v>
      </c>
      <c r="C136" s="1036">
        <v>1251093</v>
      </c>
      <c r="D136" s="1037">
        <v>102.94</v>
      </c>
      <c r="E136" s="741">
        <v>1</v>
      </c>
      <c r="F136" s="1036">
        <f t="shared" si="23"/>
        <v>1251093</v>
      </c>
      <c r="G136" s="814"/>
      <c r="H136" s="1036"/>
      <c r="I136" s="736"/>
      <c r="J136" s="736"/>
      <c r="K136" s="736"/>
      <c r="L136" s="736"/>
      <c r="M136" s="736"/>
      <c r="N136" s="1051"/>
    </row>
    <row r="137" spans="1:17" ht="13.5">
      <c r="A137" s="814"/>
      <c r="B137" s="741" t="s">
        <v>637</v>
      </c>
      <c r="C137" s="1036">
        <v>875765.1</v>
      </c>
      <c r="D137" s="1037">
        <v>103.03</v>
      </c>
      <c r="E137" s="741">
        <v>1</v>
      </c>
      <c r="F137" s="1036">
        <f t="shared" si="23"/>
        <v>875765</v>
      </c>
      <c r="G137" s="814"/>
      <c r="H137" s="1036"/>
      <c r="I137" s="736"/>
      <c r="J137" s="736"/>
      <c r="K137" s="736"/>
      <c r="L137" s="736"/>
      <c r="M137" s="736"/>
      <c r="N137" s="1051"/>
    </row>
    <row r="138" spans="1:17" ht="13.5">
      <c r="A138" s="814"/>
      <c r="B138" s="741" t="s">
        <v>102</v>
      </c>
      <c r="C138" s="1036">
        <v>1786282</v>
      </c>
      <c r="D138" s="1037">
        <v>103.03</v>
      </c>
      <c r="E138" s="741">
        <v>1</v>
      </c>
      <c r="F138" s="1036">
        <f t="shared" si="23"/>
        <v>1786282</v>
      </c>
      <c r="G138" s="814"/>
      <c r="H138" s="1036"/>
      <c r="I138" s="736"/>
      <c r="J138" s="736"/>
      <c r="K138" s="736"/>
      <c r="L138" s="736"/>
      <c r="M138" s="736"/>
      <c r="N138" s="1051"/>
    </row>
    <row r="139" spans="1:17" ht="13.5">
      <c r="A139" s="814"/>
      <c r="B139" s="741" t="s">
        <v>103</v>
      </c>
      <c r="C139" s="1036">
        <v>166812</v>
      </c>
      <c r="D139" s="1037">
        <v>103.03</v>
      </c>
      <c r="E139" s="741">
        <v>1</v>
      </c>
      <c r="F139" s="1036">
        <f t="shared" si="23"/>
        <v>166812</v>
      </c>
      <c r="G139" s="814"/>
      <c r="H139" s="1036"/>
      <c r="I139" s="736"/>
      <c r="J139" s="736"/>
      <c r="K139" s="736"/>
      <c r="L139" s="736"/>
      <c r="M139" s="736"/>
      <c r="N139" s="1051"/>
    </row>
    <row r="140" spans="1:17" ht="13.5">
      <c r="A140" s="814"/>
      <c r="B140" s="741" t="s">
        <v>104</v>
      </c>
      <c r="C140" s="1036">
        <v>1875596.1</v>
      </c>
      <c r="D140" s="1037">
        <v>103.03</v>
      </c>
      <c r="E140" s="741">
        <v>1</v>
      </c>
      <c r="F140" s="1036">
        <f t="shared" si="23"/>
        <v>1875596</v>
      </c>
      <c r="G140" s="814"/>
      <c r="H140" s="1036"/>
      <c r="I140" s="736"/>
      <c r="J140" s="736"/>
      <c r="K140" s="736"/>
      <c r="L140" s="736"/>
      <c r="M140" s="736"/>
      <c r="N140" s="1051"/>
    </row>
    <row r="141" spans="1:17" ht="13.5">
      <c r="A141" s="814"/>
      <c r="B141" s="741" t="s">
        <v>95</v>
      </c>
      <c r="C141" s="1036">
        <v>2828279</v>
      </c>
      <c r="D141" s="1037">
        <v>103.8</v>
      </c>
      <c r="E141" s="741">
        <v>1</v>
      </c>
      <c r="F141" s="1036">
        <f t="shared" si="23"/>
        <v>2828279</v>
      </c>
      <c r="G141" s="814"/>
      <c r="H141" s="1036"/>
      <c r="I141" s="736"/>
      <c r="J141" s="736"/>
      <c r="K141" s="736"/>
      <c r="L141" s="736"/>
      <c r="M141" s="736"/>
      <c r="N141" s="1051"/>
    </row>
    <row r="142" spans="1:17" ht="13.5">
      <c r="A142" s="814"/>
      <c r="B142" s="741" t="s">
        <v>96</v>
      </c>
      <c r="C142" s="1036"/>
      <c r="D142" s="1037"/>
      <c r="E142" s="741"/>
      <c r="F142" s="1036">
        <f>SUM(F124:F141)</f>
        <v>38810059</v>
      </c>
      <c r="G142" s="814"/>
      <c r="H142" s="1036"/>
      <c r="I142" s="736"/>
      <c r="J142" s="736"/>
      <c r="K142" s="736"/>
      <c r="L142" s="736"/>
      <c r="M142" s="736"/>
      <c r="N142" s="1051"/>
    </row>
    <row r="143" spans="1:17" ht="13.5">
      <c r="A143" s="814"/>
      <c r="B143" s="741" t="s">
        <v>98</v>
      </c>
      <c r="C143" s="1036"/>
      <c r="D143" s="1037"/>
      <c r="E143" s="741"/>
      <c r="F143" s="1036">
        <v>0</v>
      </c>
      <c r="G143" s="814"/>
      <c r="H143" s="1036">
        <f t="shared" ref="H143:M143" si="26">SUM(H124:H135)</f>
        <v>1201200</v>
      </c>
      <c r="I143" s="736">
        <f t="shared" si="26"/>
        <v>1201200</v>
      </c>
      <c r="J143" s="736">
        <f t="shared" si="26"/>
        <v>2552400</v>
      </c>
      <c r="K143" s="736">
        <f t="shared" si="26"/>
        <v>3603600</v>
      </c>
      <c r="L143" s="736">
        <f t="shared" si="26"/>
        <v>3753600</v>
      </c>
      <c r="M143" s="736">
        <f t="shared" si="26"/>
        <v>4804800</v>
      </c>
      <c r="N143" s="1051"/>
    </row>
    <row r="144" spans="1:17" ht="13.5">
      <c r="A144" s="814"/>
      <c r="B144" s="741" t="s">
        <v>99</v>
      </c>
      <c r="C144" s="1036"/>
      <c r="D144" s="1037"/>
      <c r="E144" s="741"/>
      <c r="F144" s="1036">
        <f>(F142-F143)</f>
        <v>38810059</v>
      </c>
      <c r="G144" s="814"/>
      <c r="H144" s="1051"/>
      <c r="I144" s="1051"/>
      <c r="J144" s="1051"/>
      <c r="K144" s="1051"/>
      <c r="L144" s="1051"/>
      <c r="M144" s="1051"/>
      <c r="N144" s="1051"/>
    </row>
    <row r="145" spans="1:17" ht="13.5">
      <c r="A145" s="814"/>
      <c r="B145" s="814"/>
      <c r="C145" s="1051"/>
      <c r="D145" s="1052"/>
      <c r="E145" s="814"/>
      <c r="F145" s="1051"/>
      <c r="G145" s="814"/>
      <c r="H145" s="734" t="s">
        <v>78</v>
      </c>
      <c r="I145" s="734" t="s">
        <v>79</v>
      </c>
      <c r="J145" s="734" t="s">
        <v>186</v>
      </c>
      <c r="K145" s="734" t="s">
        <v>187</v>
      </c>
      <c r="L145" s="734" t="s">
        <v>82</v>
      </c>
      <c r="M145" s="734" t="s">
        <v>83</v>
      </c>
      <c r="N145" s="1051"/>
    </row>
    <row r="146" spans="1:17" ht="13.5">
      <c r="A146" s="814"/>
      <c r="B146" s="735" t="s">
        <v>11</v>
      </c>
      <c r="C146" s="734">
        <v>2020</v>
      </c>
      <c r="D146" s="735" t="s">
        <v>638</v>
      </c>
      <c r="E146" s="735" t="s">
        <v>77</v>
      </c>
      <c r="F146" s="734" t="s">
        <v>57</v>
      </c>
      <c r="G146" s="1059"/>
      <c r="H146" s="1036">
        <v>105300</v>
      </c>
      <c r="I146" s="1036">
        <v>105300</v>
      </c>
      <c r="J146" s="736">
        <v>223600</v>
      </c>
      <c r="K146" s="736">
        <v>315600</v>
      </c>
      <c r="L146" s="736">
        <f t="shared" ref="L146:M157" si="27">SUM(H146+J146)</f>
        <v>328900</v>
      </c>
      <c r="M146" s="736">
        <f t="shared" si="27"/>
        <v>420900</v>
      </c>
      <c r="N146" s="1051"/>
    </row>
    <row r="147" spans="1:17" ht="13.5">
      <c r="A147" s="814"/>
      <c r="B147" s="741"/>
      <c r="C147" s="1036">
        <v>2630298</v>
      </c>
      <c r="D147" s="741"/>
      <c r="E147" s="741"/>
      <c r="F147" s="1036"/>
      <c r="G147" s="814"/>
      <c r="H147" s="1036">
        <v>105300</v>
      </c>
      <c r="I147" s="1036">
        <v>105300</v>
      </c>
      <c r="J147" s="736">
        <v>223600</v>
      </c>
      <c r="K147" s="736">
        <v>315600</v>
      </c>
      <c r="L147" s="736">
        <f t="shared" si="27"/>
        <v>328900</v>
      </c>
      <c r="M147" s="736">
        <f t="shared" si="27"/>
        <v>420900</v>
      </c>
      <c r="N147" s="1051"/>
    </row>
    <row r="148" spans="1:17" ht="13.5">
      <c r="A148" s="814"/>
      <c r="B148" s="741" t="s">
        <v>16</v>
      </c>
      <c r="C148" s="1036">
        <v>2630298</v>
      </c>
      <c r="D148" s="1037">
        <v>104.24</v>
      </c>
      <c r="E148" s="741">
        <v>1</v>
      </c>
      <c r="F148" s="1036">
        <f t="shared" ref="F148:F165" si="28">INT(C148*E148)</f>
        <v>2630298</v>
      </c>
      <c r="G148" s="814"/>
      <c r="H148" s="1036">
        <v>105300</v>
      </c>
      <c r="I148" s="1036">
        <v>105300</v>
      </c>
      <c r="J148" s="736">
        <v>223600</v>
      </c>
      <c r="K148" s="736">
        <v>315600</v>
      </c>
      <c r="L148" s="736">
        <f t="shared" si="27"/>
        <v>328900</v>
      </c>
      <c r="M148" s="736">
        <f t="shared" si="27"/>
        <v>420900</v>
      </c>
      <c r="N148" s="1051">
        <f>INT(+C147*50%)</f>
        <v>1315149</v>
      </c>
      <c r="P148" s="235">
        <f>INT(N148/12)</f>
        <v>109595</v>
      </c>
      <c r="Q148" s="217" t="s">
        <v>467</v>
      </c>
    </row>
    <row r="149" spans="1:17" ht="13.5">
      <c r="A149" s="814"/>
      <c r="B149" s="741" t="s">
        <v>17</v>
      </c>
      <c r="C149" s="1036">
        <v>2630298</v>
      </c>
      <c r="D149" s="1037">
        <v>104.94</v>
      </c>
      <c r="E149" s="741">
        <v>1</v>
      </c>
      <c r="F149" s="1036">
        <f t="shared" si="28"/>
        <v>2630298</v>
      </c>
      <c r="G149" s="814"/>
      <c r="H149" s="1036">
        <v>105300</v>
      </c>
      <c r="I149" s="1036">
        <v>105300</v>
      </c>
      <c r="J149" s="736">
        <v>223600</v>
      </c>
      <c r="K149" s="736">
        <v>315600</v>
      </c>
      <c r="L149" s="736">
        <f t="shared" si="27"/>
        <v>328900</v>
      </c>
      <c r="M149" s="736">
        <f t="shared" si="27"/>
        <v>420900</v>
      </c>
      <c r="N149" s="1051">
        <f>INT(C147+P148+P155)/30*20</f>
        <v>1877740</v>
      </c>
      <c r="P149" s="235">
        <f>INT(N149/12)</f>
        <v>156478</v>
      </c>
      <c r="Q149" s="217" t="s">
        <v>470</v>
      </c>
    </row>
    <row r="150" spans="1:17" ht="13.5">
      <c r="A150" s="814"/>
      <c r="B150" s="741" t="s">
        <v>19</v>
      </c>
      <c r="C150" s="1036">
        <v>2630298</v>
      </c>
      <c r="D150" s="1037">
        <v>105.53</v>
      </c>
      <c r="E150" s="741">
        <v>1</v>
      </c>
      <c r="F150" s="1036">
        <f t="shared" si="28"/>
        <v>2630298</v>
      </c>
      <c r="G150" s="814"/>
      <c r="H150" s="1036">
        <v>105300</v>
      </c>
      <c r="I150" s="1036">
        <v>105300</v>
      </c>
      <c r="J150" s="736">
        <v>223600</v>
      </c>
      <c r="K150" s="736">
        <v>315600</v>
      </c>
      <c r="L150" s="736">
        <f t="shared" si="27"/>
        <v>328900</v>
      </c>
      <c r="M150" s="736">
        <f t="shared" si="27"/>
        <v>420900</v>
      </c>
      <c r="N150" s="1051">
        <f>INT(C147/30)*2</f>
        <v>175352</v>
      </c>
      <c r="P150" s="235">
        <v>0</v>
      </c>
      <c r="Q150" s="217" t="s">
        <v>473</v>
      </c>
    </row>
    <row r="151" spans="1:17" ht="13.5">
      <c r="A151" s="814"/>
      <c r="B151" s="741" t="s">
        <v>21</v>
      </c>
      <c r="C151" s="1036">
        <v>2630298</v>
      </c>
      <c r="D151" s="1037">
        <v>105.7</v>
      </c>
      <c r="E151" s="741">
        <v>1</v>
      </c>
      <c r="F151" s="1036">
        <f t="shared" si="28"/>
        <v>2630298</v>
      </c>
      <c r="G151" s="814"/>
      <c r="H151" s="1036">
        <v>105300</v>
      </c>
      <c r="I151" s="1036">
        <v>105300</v>
      </c>
      <c r="J151" s="736">
        <v>223600</v>
      </c>
      <c r="K151" s="736">
        <v>315600</v>
      </c>
      <c r="L151" s="736">
        <f t="shared" si="27"/>
        <v>328900</v>
      </c>
      <c r="M151" s="736">
        <f t="shared" si="27"/>
        <v>420900</v>
      </c>
      <c r="N151" s="1051">
        <f>INT(C147+P148+P155)/30*21</f>
        <v>1971627</v>
      </c>
      <c r="P151" s="235">
        <v>0</v>
      </c>
      <c r="Q151" s="217" t="s">
        <v>22</v>
      </c>
    </row>
    <row r="152" spans="1:17" ht="13.5">
      <c r="A152" s="814"/>
      <c r="B152" s="741" t="s">
        <v>23</v>
      </c>
      <c r="C152" s="1036">
        <v>2630298</v>
      </c>
      <c r="D152" s="1037">
        <v>105.36</v>
      </c>
      <c r="E152" s="741">
        <v>1</v>
      </c>
      <c r="F152" s="1036">
        <f t="shared" si="28"/>
        <v>2630298</v>
      </c>
      <c r="G152" s="814"/>
      <c r="H152" s="1036">
        <v>105300</v>
      </c>
      <c r="I152" s="1036">
        <v>105300</v>
      </c>
      <c r="J152" s="736">
        <v>223600</v>
      </c>
      <c r="K152" s="736">
        <v>315600</v>
      </c>
      <c r="L152" s="736">
        <f t="shared" si="27"/>
        <v>328900</v>
      </c>
      <c r="M152" s="736">
        <f t="shared" si="27"/>
        <v>420900</v>
      </c>
      <c r="N152" s="1051">
        <f>+(C148+P148+P149+P155)/360*360</f>
        <v>2973088.0000000005</v>
      </c>
      <c r="P152" s="235">
        <f>INT(N152/12)</f>
        <v>247757</v>
      </c>
      <c r="Q152" s="217" t="s">
        <v>478</v>
      </c>
    </row>
    <row r="153" spans="1:17" ht="13.5">
      <c r="A153" s="814"/>
      <c r="B153" s="741" t="s">
        <v>25</v>
      </c>
      <c r="C153" s="1036">
        <v>2630298</v>
      </c>
      <c r="D153" s="1037">
        <v>104.97</v>
      </c>
      <c r="E153" s="741">
        <v>1</v>
      </c>
      <c r="F153" s="1036">
        <f t="shared" si="28"/>
        <v>2630298</v>
      </c>
      <c r="G153" s="814"/>
      <c r="H153" s="1036">
        <v>105300</v>
      </c>
      <c r="I153" s="1036">
        <v>105300</v>
      </c>
      <c r="J153" s="736">
        <v>223600</v>
      </c>
      <c r="K153" s="736">
        <v>315600</v>
      </c>
      <c r="L153" s="736">
        <f t="shared" si="27"/>
        <v>328900</v>
      </c>
      <c r="M153" s="736">
        <f t="shared" si="27"/>
        <v>420900</v>
      </c>
      <c r="N153" s="1051">
        <f>INT(C148+P148+P149+P152+P155)/360*360</f>
        <v>3220845</v>
      </c>
      <c r="Q153" s="217" t="s">
        <v>490</v>
      </c>
    </row>
    <row r="154" spans="1:17" ht="13.5">
      <c r="A154" s="814"/>
      <c r="B154" s="741" t="s">
        <v>27</v>
      </c>
      <c r="C154" s="1036">
        <v>2630298</v>
      </c>
      <c r="D154" s="1037">
        <v>104.97</v>
      </c>
      <c r="E154" s="741">
        <v>1</v>
      </c>
      <c r="F154" s="1036">
        <f t="shared" si="28"/>
        <v>2630298</v>
      </c>
      <c r="G154" s="814"/>
      <c r="H154" s="1036">
        <v>105300</v>
      </c>
      <c r="I154" s="1036">
        <v>105300</v>
      </c>
      <c r="J154" s="736">
        <v>223600</v>
      </c>
      <c r="K154" s="736">
        <v>315600</v>
      </c>
      <c r="L154" s="736">
        <f t="shared" si="27"/>
        <v>328900</v>
      </c>
      <c r="M154" s="736">
        <f t="shared" si="27"/>
        <v>420900</v>
      </c>
      <c r="N154" s="1051">
        <f>+(N153*0.12/360*360)</f>
        <v>386501.4</v>
      </c>
      <c r="Q154" s="217" t="s">
        <v>483</v>
      </c>
    </row>
    <row r="155" spans="1:17" ht="13.5">
      <c r="A155" s="814"/>
      <c r="B155" s="741" t="s">
        <v>29</v>
      </c>
      <c r="C155" s="1036">
        <v>2630298</v>
      </c>
      <c r="D155" s="1037">
        <v>104.96</v>
      </c>
      <c r="E155" s="741">
        <v>1</v>
      </c>
      <c r="F155" s="1036">
        <f t="shared" si="28"/>
        <v>2630298</v>
      </c>
      <c r="G155" s="814"/>
      <c r="H155" s="1036">
        <v>105300</v>
      </c>
      <c r="I155" s="1036">
        <v>105300</v>
      </c>
      <c r="J155" s="736">
        <v>223600</v>
      </c>
      <c r="K155" s="736">
        <v>315600</v>
      </c>
      <c r="L155" s="736">
        <f t="shared" si="27"/>
        <v>328900</v>
      </c>
      <c r="M155" s="736">
        <f t="shared" si="27"/>
        <v>420900</v>
      </c>
      <c r="N155" s="1051">
        <f>+(C147*35%)</f>
        <v>920604.29999999993</v>
      </c>
      <c r="P155" s="235">
        <f>INT(N155/12)</f>
        <v>76717</v>
      </c>
      <c r="Q155" s="217" t="s">
        <v>486</v>
      </c>
    </row>
    <row r="156" spans="1:17" ht="13.5">
      <c r="A156" s="814"/>
      <c r="B156" s="741" t="s">
        <v>31</v>
      </c>
      <c r="C156" s="1036">
        <v>2630298</v>
      </c>
      <c r="D156" s="1037">
        <v>105.29</v>
      </c>
      <c r="E156" s="741">
        <v>1</v>
      </c>
      <c r="F156" s="1036">
        <f t="shared" si="28"/>
        <v>2630298</v>
      </c>
      <c r="G156" s="814"/>
      <c r="H156" s="1036">
        <v>105300</v>
      </c>
      <c r="I156" s="1036">
        <v>105300</v>
      </c>
      <c r="J156" s="736">
        <v>223600</v>
      </c>
      <c r="K156" s="736">
        <v>315600</v>
      </c>
      <c r="L156" s="736">
        <f t="shared" si="27"/>
        <v>328900</v>
      </c>
      <c r="M156" s="736">
        <f t="shared" si="27"/>
        <v>420900</v>
      </c>
      <c r="N156" s="1051"/>
    </row>
    <row r="157" spans="1:17" ht="13.5">
      <c r="A157" s="814"/>
      <c r="B157" s="741" t="s">
        <v>33</v>
      </c>
      <c r="C157" s="1036">
        <v>2630298</v>
      </c>
      <c r="D157" s="1037">
        <v>105.23</v>
      </c>
      <c r="E157" s="741">
        <v>1</v>
      </c>
      <c r="F157" s="1036">
        <f t="shared" si="28"/>
        <v>2630298</v>
      </c>
      <c r="G157" s="814"/>
      <c r="H157" s="1036">
        <v>105300</v>
      </c>
      <c r="I157" s="1036">
        <v>105300</v>
      </c>
      <c r="J157" s="736">
        <v>223600</v>
      </c>
      <c r="K157" s="736">
        <v>315600</v>
      </c>
      <c r="L157" s="736">
        <f t="shared" si="27"/>
        <v>328900</v>
      </c>
      <c r="M157" s="736">
        <f t="shared" si="27"/>
        <v>420900</v>
      </c>
      <c r="N157" s="1051"/>
    </row>
    <row r="158" spans="1:17" ht="13.5">
      <c r="A158" s="814"/>
      <c r="B158" s="741" t="s">
        <v>34</v>
      </c>
      <c r="C158" s="1036">
        <v>2630298</v>
      </c>
      <c r="D158" s="1037">
        <v>105.08</v>
      </c>
      <c r="E158" s="741">
        <v>1</v>
      </c>
      <c r="F158" s="1036">
        <f t="shared" si="28"/>
        <v>2630298</v>
      </c>
      <c r="G158" s="814"/>
      <c r="H158" s="1036"/>
      <c r="I158" s="736"/>
      <c r="J158" s="736"/>
      <c r="K158" s="736"/>
      <c r="L158" s="736"/>
      <c r="M158" s="736"/>
      <c r="N158" s="1051"/>
    </row>
    <row r="159" spans="1:17" ht="13.5">
      <c r="A159" s="814"/>
      <c r="B159" s="741" t="s">
        <v>35</v>
      </c>
      <c r="C159" s="1036">
        <v>2630298</v>
      </c>
      <c r="D159" s="1037">
        <v>105.48</v>
      </c>
      <c r="E159" s="741">
        <v>1</v>
      </c>
      <c r="F159" s="1036">
        <f t="shared" si="28"/>
        <v>2630298</v>
      </c>
      <c r="G159" s="814"/>
      <c r="H159" s="1036"/>
      <c r="I159" s="736"/>
      <c r="J159" s="736"/>
      <c r="K159" s="736"/>
      <c r="L159" s="736"/>
      <c r="M159" s="736"/>
      <c r="N159" s="1051"/>
    </row>
    <row r="160" spans="1:17" ht="13.5">
      <c r="A160" s="814"/>
      <c r="B160" s="741" t="s">
        <v>101</v>
      </c>
      <c r="C160" s="1036">
        <v>1315149</v>
      </c>
      <c r="D160" s="1037">
        <v>104.97</v>
      </c>
      <c r="E160" s="741">
        <v>1</v>
      </c>
      <c r="F160" s="1036">
        <f t="shared" si="28"/>
        <v>1315149</v>
      </c>
      <c r="G160" s="814"/>
      <c r="H160" s="1036"/>
      <c r="I160" s="736"/>
      <c r="J160" s="736"/>
      <c r="K160" s="736"/>
      <c r="L160" s="736"/>
      <c r="M160" s="736"/>
      <c r="N160" s="1051"/>
    </row>
    <row r="161" spans="1:14" ht="13.5">
      <c r="A161" s="814"/>
      <c r="B161" s="741" t="s">
        <v>637</v>
      </c>
      <c r="C161" s="1036">
        <v>920604.29999999993</v>
      </c>
      <c r="D161" s="1037">
        <v>104.96</v>
      </c>
      <c r="E161" s="741">
        <v>1</v>
      </c>
      <c r="F161" s="1036">
        <f t="shared" si="28"/>
        <v>920604</v>
      </c>
      <c r="G161" s="814"/>
      <c r="H161" s="1036"/>
      <c r="I161" s="736"/>
      <c r="J161" s="736"/>
      <c r="K161" s="736"/>
      <c r="L161" s="736"/>
      <c r="M161" s="736"/>
      <c r="N161" s="1051"/>
    </row>
    <row r="162" spans="1:14" ht="13.5">
      <c r="A162" s="814"/>
      <c r="B162" s="741" t="s">
        <v>102</v>
      </c>
      <c r="C162" s="1036">
        <v>1877740</v>
      </c>
      <c r="D162" s="1037">
        <v>104.96</v>
      </c>
      <c r="E162" s="741">
        <v>1</v>
      </c>
      <c r="F162" s="1036">
        <f t="shared" si="28"/>
        <v>1877740</v>
      </c>
      <c r="G162" s="814"/>
      <c r="H162" s="1036"/>
      <c r="I162" s="736"/>
      <c r="J162" s="736"/>
      <c r="K162" s="736"/>
      <c r="L162" s="736"/>
      <c r="M162" s="736"/>
      <c r="N162" s="1051"/>
    </row>
    <row r="163" spans="1:14" ht="13.5">
      <c r="A163" s="814"/>
      <c r="B163" s="741" t="s">
        <v>103</v>
      </c>
      <c r="C163" s="1036">
        <v>175352</v>
      </c>
      <c r="D163" s="1037">
        <v>104.96</v>
      </c>
      <c r="E163" s="741">
        <v>1</v>
      </c>
      <c r="F163" s="1036">
        <f t="shared" si="28"/>
        <v>175352</v>
      </c>
      <c r="G163" s="814"/>
      <c r="H163" s="1036"/>
      <c r="I163" s="736"/>
      <c r="J163" s="736"/>
      <c r="K163" s="736"/>
      <c r="L163" s="736"/>
      <c r="M163" s="736"/>
      <c r="N163" s="1051"/>
    </row>
    <row r="164" spans="1:14" ht="13.5">
      <c r="A164" s="814"/>
      <c r="B164" s="741" t="s">
        <v>104</v>
      </c>
      <c r="C164" s="1036">
        <v>1971627</v>
      </c>
      <c r="D164" s="1037">
        <v>104.96</v>
      </c>
      <c r="E164" s="741">
        <v>1</v>
      </c>
      <c r="F164" s="1036">
        <f t="shared" si="28"/>
        <v>1971627</v>
      </c>
      <c r="G164" s="814"/>
      <c r="H164" s="1036"/>
      <c r="I164" s="736"/>
      <c r="J164" s="736"/>
      <c r="K164" s="736"/>
      <c r="L164" s="736"/>
      <c r="M164" s="736"/>
      <c r="N164" s="1051"/>
    </row>
    <row r="165" spans="1:14" ht="13.5">
      <c r="A165" s="814"/>
      <c r="B165" s="741" t="s">
        <v>95</v>
      </c>
      <c r="C165" s="1036">
        <v>2973088.0000000005</v>
      </c>
      <c r="D165" s="1037">
        <v>105.48</v>
      </c>
      <c r="E165" s="741">
        <v>1</v>
      </c>
      <c r="F165" s="1036">
        <f t="shared" si="28"/>
        <v>2973088</v>
      </c>
      <c r="G165" s="814"/>
      <c r="H165" s="1036">
        <f t="shared" ref="H165:M165" si="29">SUM(H146:H157)</f>
        <v>1263600</v>
      </c>
      <c r="I165" s="736">
        <f t="shared" si="29"/>
        <v>1263600</v>
      </c>
      <c r="J165" s="736">
        <f t="shared" si="29"/>
        <v>2683200</v>
      </c>
      <c r="K165" s="736">
        <f t="shared" si="29"/>
        <v>3787200</v>
      </c>
      <c r="L165" s="736">
        <f t="shared" si="29"/>
        <v>3946800</v>
      </c>
      <c r="M165" s="736">
        <f t="shared" si="29"/>
        <v>5050800</v>
      </c>
      <c r="N165" s="1051"/>
    </row>
    <row r="166" spans="1:14" ht="13.5">
      <c r="A166" s="814"/>
      <c r="B166" s="741" t="s">
        <v>96</v>
      </c>
      <c r="C166" s="1036"/>
      <c r="D166" s="1037"/>
      <c r="E166" s="741"/>
      <c r="F166" s="1036">
        <f>SUM(F148:F165)</f>
        <v>40797136</v>
      </c>
      <c r="G166" s="814"/>
      <c r="H166" s="1051"/>
      <c r="I166" s="1051"/>
      <c r="J166" s="1051"/>
      <c r="K166" s="1051"/>
      <c r="L166" s="1051"/>
      <c r="M166" s="1051"/>
      <c r="N166" s="1051"/>
    </row>
    <row r="167" spans="1:14" ht="13.5">
      <c r="A167" s="814"/>
      <c r="B167" s="741" t="s">
        <v>98</v>
      </c>
      <c r="C167" s="1036"/>
      <c r="D167" s="1037"/>
      <c r="E167" s="741"/>
      <c r="F167" s="1036">
        <v>0</v>
      </c>
      <c r="G167" s="814"/>
      <c r="H167" s="1051"/>
      <c r="I167" s="1051"/>
      <c r="J167" s="1051"/>
      <c r="K167" s="1051"/>
      <c r="L167" s="1051"/>
      <c r="M167" s="1051"/>
      <c r="N167" s="1051"/>
    </row>
    <row r="168" spans="1:14" ht="13.5">
      <c r="A168" s="814"/>
      <c r="B168" s="741" t="s">
        <v>99</v>
      </c>
      <c r="C168" s="1036"/>
      <c r="D168" s="1037"/>
      <c r="E168" s="741"/>
      <c r="F168" s="1036">
        <f>(F166-F167)</f>
        <v>40797136</v>
      </c>
      <c r="G168" s="814"/>
      <c r="H168" s="1051"/>
      <c r="I168" s="1051"/>
      <c r="J168" s="1051"/>
      <c r="K168" s="1051"/>
      <c r="L168" s="1051"/>
      <c r="M168" s="1051"/>
      <c r="N168" s="1051"/>
    </row>
    <row r="169" spans="1:14" ht="13.5">
      <c r="A169" s="814"/>
      <c r="B169" s="814"/>
      <c r="C169" s="1051"/>
      <c r="D169" s="1052"/>
      <c r="E169" s="814"/>
      <c r="F169" s="1051"/>
      <c r="G169" s="814"/>
      <c r="H169" s="734" t="s">
        <v>78</v>
      </c>
      <c r="I169" s="734" t="s">
        <v>79</v>
      </c>
      <c r="J169" s="734" t="s">
        <v>186</v>
      </c>
      <c r="K169" s="734" t="s">
        <v>187</v>
      </c>
      <c r="L169" s="734" t="s">
        <v>82</v>
      </c>
      <c r="M169" s="734" t="s">
        <v>83</v>
      </c>
      <c r="N169" s="1051"/>
    </row>
    <row r="170" spans="1:14" ht="13.5">
      <c r="A170" s="814"/>
      <c r="B170" s="735" t="s">
        <v>11</v>
      </c>
      <c r="C170" s="734">
        <v>2021</v>
      </c>
      <c r="D170" s="735" t="s">
        <v>638</v>
      </c>
      <c r="E170" s="735" t="s">
        <v>77</v>
      </c>
      <c r="F170" s="734" t="s">
        <v>57</v>
      </c>
      <c r="G170" s="1059"/>
      <c r="H170" s="1036">
        <v>108100</v>
      </c>
      <c r="I170" s="736">
        <v>108100</v>
      </c>
      <c r="J170" s="736">
        <v>229700</v>
      </c>
      <c r="K170" s="736">
        <v>324300</v>
      </c>
      <c r="L170" s="736">
        <f t="shared" ref="L170:M172" si="30">SUM(H170+J170)</f>
        <v>337800</v>
      </c>
      <c r="M170" s="736">
        <f t="shared" si="30"/>
        <v>432400</v>
      </c>
      <c r="N170" s="1051"/>
    </row>
    <row r="171" spans="1:14" ht="13.5">
      <c r="A171" s="814"/>
      <c r="B171" s="741"/>
      <c r="C171" s="1036">
        <v>2702361</v>
      </c>
      <c r="D171" s="741"/>
      <c r="E171" s="741"/>
      <c r="F171" s="1036"/>
      <c r="G171" s="814"/>
      <c r="H171" s="1036">
        <v>108100</v>
      </c>
      <c r="I171" s="736">
        <v>108100</v>
      </c>
      <c r="J171" s="736">
        <v>229700</v>
      </c>
      <c r="K171" s="736">
        <v>324300</v>
      </c>
      <c r="L171" s="736">
        <f t="shared" si="30"/>
        <v>337800</v>
      </c>
      <c r="M171" s="736">
        <f t="shared" si="30"/>
        <v>432400</v>
      </c>
      <c r="N171" s="1051"/>
    </row>
    <row r="172" spans="1:14" ht="13.5">
      <c r="A172" s="814"/>
      <c r="B172" s="741" t="s">
        <v>16</v>
      </c>
      <c r="C172" s="1036">
        <v>2702361</v>
      </c>
      <c r="D172" s="1037">
        <v>97.53</v>
      </c>
      <c r="E172" s="741">
        <f>$D$12/D172</f>
        <v>1.0141494924638572</v>
      </c>
      <c r="F172" s="1036">
        <f>INT(C172*E172)</f>
        <v>2740598</v>
      </c>
      <c r="G172" s="814"/>
      <c r="H172" s="1036">
        <v>108100</v>
      </c>
      <c r="I172" s="736">
        <v>108100</v>
      </c>
      <c r="J172" s="736">
        <v>229700</v>
      </c>
      <c r="K172" s="736">
        <v>324300</v>
      </c>
      <c r="L172" s="736">
        <f t="shared" si="30"/>
        <v>337800</v>
      </c>
      <c r="M172" s="736">
        <f t="shared" si="30"/>
        <v>432400</v>
      </c>
      <c r="N172" s="1051"/>
    </row>
    <row r="173" spans="1:14" ht="13.5">
      <c r="A173" s="814"/>
      <c r="B173" s="741" t="s">
        <v>17</v>
      </c>
      <c r="C173" s="1036">
        <v>2702361</v>
      </c>
      <c r="D173" s="1037">
        <v>98.22</v>
      </c>
      <c r="E173" s="741">
        <f>$D$12/D173</f>
        <v>1.0070250458155161</v>
      </c>
      <c r="F173" s="1036">
        <f>INT(C173*E173)</f>
        <v>2721345</v>
      </c>
      <c r="G173" s="814"/>
      <c r="H173" s="1036"/>
      <c r="I173" s="736"/>
      <c r="J173" s="736"/>
      <c r="K173" s="736"/>
      <c r="L173" s="736"/>
      <c r="M173" s="736"/>
      <c r="N173" s="1051"/>
    </row>
    <row r="174" spans="1:14" ht="13.5">
      <c r="A174" s="814"/>
      <c r="B174" s="741" t="s">
        <v>19</v>
      </c>
      <c r="C174" s="1036">
        <v>2702361</v>
      </c>
      <c r="D174" s="1037">
        <v>98.45</v>
      </c>
      <c r="E174" s="741">
        <f>$D$12/D174</f>
        <v>1.0046724225495174</v>
      </c>
      <c r="F174" s="1036">
        <f>INT(C174*E174)</f>
        <v>2714987</v>
      </c>
      <c r="G174" s="814"/>
      <c r="H174" s="1036">
        <f t="shared" ref="H174:M174" si="31">SUM(H170:H172)</f>
        <v>324300</v>
      </c>
      <c r="I174" s="736">
        <f t="shared" si="31"/>
        <v>324300</v>
      </c>
      <c r="J174" s="736">
        <f t="shared" si="31"/>
        <v>689100</v>
      </c>
      <c r="K174" s="736">
        <f t="shared" si="31"/>
        <v>972900</v>
      </c>
      <c r="L174" s="736">
        <f t="shared" si="31"/>
        <v>1013400</v>
      </c>
      <c r="M174" s="736">
        <f t="shared" si="31"/>
        <v>1297200</v>
      </c>
      <c r="N174" s="1051"/>
    </row>
    <row r="175" spans="1:14" ht="13.5">
      <c r="A175" s="814"/>
      <c r="B175" s="741" t="s">
        <v>21</v>
      </c>
      <c r="C175" s="1036">
        <f>+(2702361/30*20)</f>
        <v>1801574</v>
      </c>
      <c r="D175" s="1037">
        <v>107.76</v>
      </c>
      <c r="E175" s="741">
        <v>1</v>
      </c>
      <c r="F175" s="1036">
        <f>INT(C175*E175)</f>
        <v>1801574</v>
      </c>
      <c r="G175" s="814"/>
      <c r="H175" s="1051"/>
      <c r="I175" s="1205"/>
      <c r="J175" s="1205"/>
      <c r="K175" s="1205"/>
      <c r="L175" s="1205"/>
      <c r="M175" s="1205"/>
      <c r="N175" s="1051"/>
    </row>
    <row r="176" spans="1:14" ht="13.5">
      <c r="A176" s="814"/>
      <c r="B176" s="741" t="s">
        <v>96</v>
      </c>
      <c r="C176" s="1036"/>
      <c r="D176" s="1037"/>
      <c r="E176" s="741"/>
      <c r="F176" s="1036">
        <f>SUM(F172:F175)</f>
        <v>9978504</v>
      </c>
      <c r="G176" s="814"/>
      <c r="H176" s="1051"/>
      <c r="I176" s="1051"/>
      <c r="J176" s="1051"/>
      <c r="K176" s="1051"/>
      <c r="L176" s="1051"/>
      <c r="M176" s="1051"/>
      <c r="N176" s="1051"/>
    </row>
    <row r="177" spans="1:16" ht="13.5">
      <c r="A177" s="814"/>
      <c r="B177" s="741" t="s">
        <v>98</v>
      </c>
      <c r="C177" s="1036"/>
      <c r="D177" s="1037"/>
      <c r="E177" s="741"/>
      <c r="F177" s="1036">
        <v>0</v>
      </c>
      <c r="G177" s="814"/>
      <c r="H177" s="734" t="s">
        <v>639</v>
      </c>
      <c r="I177" s="734" t="s">
        <v>639</v>
      </c>
      <c r="J177" s="1206" t="s">
        <v>640</v>
      </c>
      <c r="K177" s="734" t="s">
        <v>641</v>
      </c>
      <c r="L177" s="734" t="s">
        <v>642</v>
      </c>
      <c r="M177" s="734" t="s">
        <v>643</v>
      </c>
      <c r="N177" s="1051"/>
    </row>
    <row r="178" spans="1:16" ht="13.5">
      <c r="A178" s="814"/>
      <c r="B178" s="741" t="s">
        <v>99</v>
      </c>
      <c r="C178" s="1036"/>
      <c r="D178" s="1037"/>
      <c r="E178" s="741"/>
      <c r="F178" s="1036">
        <f>(F176-F177)</f>
        <v>9978504</v>
      </c>
      <c r="G178" s="814"/>
      <c r="H178" s="1036"/>
      <c r="I178" s="1036"/>
      <c r="J178" s="1207"/>
      <c r="K178" s="1036"/>
      <c r="L178" s="1036"/>
      <c r="M178" s="1036"/>
      <c r="N178" s="1051"/>
    </row>
    <row r="179" spans="1:16" ht="13.5">
      <c r="A179" s="814"/>
      <c r="B179" s="814"/>
      <c r="C179" s="1051"/>
      <c r="D179" s="1052"/>
      <c r="E179" s="814"/>
      <c r="F179" s="1051"/>
      <c r="G179" s="814"/>
      <c r="H179" s="1136">
        <f t="shared" ref="H179:M179" si="32">SUM(H26+H48+H72+H95+H119+H143+H165+H174)</f>
        <v>6821100</v>
      </c>
      <c r="I179" s="1136">
        <f t="shared" si="32"/>
        <v>6821100</v>
      </c>
      <c r="J179" s="1136">
        <f t="shared" si="32"/>
        <v>14490911.005000001</v>
      </c>
      <c r="K179" s="1136">
        <f t="shared" si="32"/>
        <v>20456881.119999997</v>
      </c>
      <c r="L179" s="1136">
        <f t="shared" si="32"/>
        <v>21311500</v>
      </c>
      <c r="M179" s="1136">
        <f t="shared" si="32"/>
        <v>27277981.119999997</v>
      </c>
      <c r="N179" s="1051"/>
    </row>
    <row r="180" spans="1:16" ht="13.5">
      <c r="A180" s="814"/>
      <c r="B180" s="900"/>
      <c r="C180" s="1208"/>
      <c r="D180" s="1209"/>
      <c r="E180" s="1209"/>
      <c r="F180" s="1051"/>
      <c r="G180" s="814"/>
      <c r="H180" s="1051"/>
      <c r="I180" s="1051"/>
      <c r="J180" s="1051"/>
      <c r="K180" s="1051"/>
      <c r="L180" s="1051"/>
      <c r="M180" s="1051"/>
      <c r="N180" s="1051"/>
    </row>
    <row r="181" spans="1:16" s="348" customFormat="1" ht="13.5">
      <c r="A181" s="1051"/>
      <c r="B181" s="726" t="s">
        <v>192</v>
      </c>
      <c r="C181" s="1136"/>
      <c r="D181" s="726"/>
      <c r="E181" s="1136">
        <f>SUM(F25+F47+F71+F94+F118+F142+F166+F176)</f>
        <v>229630964</v>
      </c>
      <c r="G181" s="814" t="s">
        <v>644</v>
      </c>
      <c r="H181" s="1051"/>
      <c r="I181" s="1051"/>
      <c r="J181" s="1051"/>
      <c r="K181" s="1051"/>
      <c r="L181" s="1051"/>
      <c r="M181" s="1051"/>
      <c r="N181" s="1051"/>
      <c r="P181" s="235"/>
    </row>
    <row r="182" spans="1:16" s="348" customFormat="1" ht="13.5">
      <c r="A182" s="1051"/>
      <c r="B182" s="726" t="s">
        <v>193</v>
      </c>
      <c r="C182" s="1136"/>
      <c r="D182" s="726"/>
      <c r="E182" s="1136">
        <f>SUM(F26+F48+F72+F95+F119+F143+F167+F177)</f>
        <v>6268000</v>
      </c>
      <c r="G182" s="814"/>
      <c r="H182" s="1051"/>
      <c r="I182" s="1051"/>
      <c r="J182" s="1051"/>
      <c r="K182" s="1051"/>
      <c r="L182" s="1051"/>
      <c r="M182" s="1051"/>
      <c r="N182" s="1051"/>
      <c r="P182" s="235"/>
    </row>
    <row r="183" spans="1:16" s="348" customFormat="1" ht="13.5">
      <c r="A183" s="1051"/>
      <c r="B183" s="726" t="s">
        <v>194</v>
      </c>
      <c r="C183" s="1136"/>
      <c r="D183" s="726"/>
      <c r="E183" s="1136">
        <f>(E181-E182)</f>
        <v>223362964</v>
      </c>
      <c r="G183" s="814"/>
      <c r="H183" s="1051"/>
      <c r="I183" s="1051"/>
      <c r="J183" s="1051"/>
      <c r="K183" s="1051"/>
      <c r="L183" s="1051"/>
      <c r="M183" s="1051"/>
      <c r="N183" s="1051"/>
      <c r="P183" s="235"/>
    </row>
    <row r="184" spans="1:16" ht="13.5">
      <c r="A184" s="814"/>
      <c r="B184" s="726" t="s">
        <v>532</v>
      </c>
      <c r="C184" s="1136"/>
      <c r="D184" s="726"/>
      <c r="E184" s="1136">
        <v>0</v>
      </c>
      <c r="G184" s="814"/>
      <c r="H184" s="1051"/>
      <c r="I184" s="1051"/>
      <c r="J184" s="1051"/>
      <c r="K184" s="1051"/>
      <c r="L184" s="1051"/>
      <c r="M184" s="1051"/>
      <c r="N184" s="1051"/>
    </row>
    <row r="185" spans="1:16" ht="13.5">
      <c r="A185" s="814"/>
      <c r="B185" s="726" t="s">
        <v>533</v>
      </c>
      <c r="C185" s="1136"/>
      <c r="D185" s="726"/>
      <c r="E185" s="1136">
        <f>(E183-E184)</f>
        <v>223362964</v>
      </c>
      <c r="G185" s="814"/>
      <c r="H185" s="1051"/>
      <c r="I185" s="1051"/>
      <c r="J185" s="1051"/>
      <c r="K185" s="1051"/>
      <c r="L185" s="1051"/>
      <c r="M185" s="1051"/>
      <c r="N185" s="1051"/>
    </row>
    <row r="186" spans="1:16" s="348" customFormat="1" ht="13.5">
      <c r="A186" s="1051"/>
      <c r="B186" s="814"/>
      <c r="C186" s="1051"/>
      <c r="D186" s="814"/>
      <c r="E186" s="814"/>
      <c r="F186" s="1051"/>
      <c r="G186" s="814"/>
      <c r="H186" s="1051"/>
      <c r="I186" s="1051"/>
      <c r="J186" s="1051"/>
      <c r="K186" s="1051"/>
      <c r="L186" s="1051"/>
      <c r="M186" s="1051"/>
      <c r="N186" s="1051"/>
      <c r="P186" s="235"/>
    </row>
    <row r="187" spans="1:16" s="348" customFormat="1" ht="13.5">
      <c r="A187" s="1051"/>
      <c r="B187" s="1133"/>
      <c r="C187" s="726" t="s">
        <v>208</v>
      </c>
      <c r="D187" s="741"/>
      <c r="E187" s="741"/>
      <c r="F187" s="1036"/>
      <c r="G187" s="814"/>
      <c r="H187" s="1051"/>
      <c r="I187" s="1051"/>
      <c r="J187" s="1051"/>
      <c r="K187" s="1051"/>
      <c r="L187" s="1051"/>
      <c r="M187" s="1051"/>
      <c r="N187" s="1051"/>
      <c r="P187" s="235"/>
    </row>
    <row r="188" spans="1:16" s="348" customFormat="1" ht="13.5">
      <c r="A188" s="1051"/>
      <c r="B188" s="741" t="s">
        <v>209</v>
      </c>
      <c r="C188" s="741"/>
      <c r="D188" s="735" t="s">
        <v>76</v>
      </c>
      <c r="E188" s="735" t="s">
        <v>77</v>
      </c>
      <c r="F188" s="1036" t="s">
        <v>57</v>
      </c>
      <c r="G188" s="814"/>
      <c r="H188" s="1051"/>
      <c r="I188" s="1051"/>
      <c r="J188" s="1051"/>
      <c r="K188" s="1051"/>
      <c r="L188" s="1051"/>
      <c r="M188" s="1051"/>
      <c r="N188" s="1051"/>
      <c r="P188" s="235"/>
    </row>
    <row r="189" spans="1:16" s="348" customFormat="1" ht="13.5">
      <c r="A189" s="1051"/>
      <c r="B189" s="741" t="s">
        <v>210</v>
      </c>
      <c r="C189" s="741"/>
      <c r="D189" s="1134">
        <f>+D12</f>
        <v>98.91</v>
      </c>
      <c r="E189" s="735"/>
      <c r="F189" s="1036"/>
      <c r="G189" s="814"/>
      <c r="H189" s="1051"/>
      <c r="I189" s="1051"/>
      <c r="J189" s="1051"/>
      <c r="K189" s="1051"/>
      <c r="L189" s="1051"/>
      <c r="M189" s="1051"/>
      <c r="N189" s="1051"/>
      <c r="P189" s="235"/>
    </row>
    <row r="190" spans="1:16" s="348" customFormat="1" ht="13.5">
      <c r="A190" s="1051"/>
      <c r="B190" s="735">
        <v>2014</v>
      </c>
      <c r="C190" s="1036">
        <v>1347809.25</v>
      </c>
      <c r="D190" s="1134">
        <f>+D19</f>
        <v>82.47</v>
      </c>
      <c r="E190" s="1135">
        <f>$D$189/D190</f>
        <v>1.1993452164423426</v>
      </c>
      <c r="F190" s="1036">
        <f t="shared" ref="F190:F196" si="33">+C190*E190</f>
        <v>1616488.5766642415</v>
      </c>
      <c r="G190" s="814"/>
      <c r="H190" s="1051"/>
      <c r="I190" s="1051"/>
      <c r="J190" s="1051"/>
      <c r="K190" s="1051"/>
      <c r="L190" s="1051"/>
      <c r="M190" s="1051"/>
      <c r="N190" s="1051"/>
      <c r="P190" s="235"/>
    </row>
    <row r="191" spans="1:16" s="348" customFormat="1" ht="13.5">
      <c r="A191" s="1051"/>
      <c r="B191" s="735">
        <v>2015</v>
      </c>
      <c r="C191" s="1036">
        <v>1968502</v>
      </c>
      <c r="D191" s="1134">
        <f>+D41</f>
        <v>88.05</v>
      </c>
      <c r="E191" s="1135">
        <f>$D$189/D191</f>
        <v>1.1233390119250426</v>
      </c>
      <c r="F191" s="1036">
        <f t="shared" si="33"/>
        <v>2211295.0916524702</v>
      </c>
      <c r="G191" s="814"/>
      <c r="H191" s="1051"/>
      <c r="I191" s="1051"/>
      <c r="J191" s="1051"/>
      <c r="K191" s="1051"/>
      <c r="L191" s="1051"/>
      <c r="M191" s="1051"/>
      <c r="N191" s="1051"/>
      <c r="P191" s="235"/>
    </row>
    <row r="192" spans="1:16" s="348" customFormat="1" ht="13.5">
      <c r="A192" s="1051"/>
      <c r="B192" s="735">
        <v>2016</v>
      </c>
      <c r="C192" s="1036">
        <v>2240392</v>
      </c>
      <c r="D192" s="1134">
        <f>+D64</f>
        <v>93.11</v>
      </c>
      <c r="E192" s="1135">
        <f>$D$189/D192</f>
        <v>1.062291912791322</v>
      </c>
      <c r="F192" s="1036">
        <f t="shared" si="33"/>
        <v>2379950.3030823753</v>
      </c>
      <c r="G192" s="814"/>
      <c r="H192" s="1051"/>
      <c r="I192" s="1051"/>
      <c r="J192" s="1051"/>
      <c r="K192" s="1051"/>
      <c r="L192" s="1051"/>
      <c r="M192" s="1051"/>
      <c r="N192" s="1051"/>
      <c r="P192" s="235"/>
    </row>
    <row r="193" spans="1:16" s="348" customFormat="1" ht="13.5">
      <c r="A193" s="1051"/>
      <c r="B193" s="735">
        <v>2017</v>
      </c>
      <c r="C193" s="1036">
        <v>2475633</v>
      </c>
      <c r="D193" s="1134">
        <f>+D87</f>
        <v>96.92</v>
      </c>
      <c r="E193" s="1135">
        <f>$D$189/D193</f>
        <v>1.0205323978539</v>
      </c>
      <c r="F193" s="1036">
        <f t="shared" si="33"/>
        <v>2526463.681696244</v>
      </c>
      <c r="G193" s="814"/>
      <c r="H193" s="1051"/>
      <c r="I193" s="1051"/>
      <c r="J193" s="1051"/>
      <c r="K193" s="1051"/>
      <c r="L193" s="1051"/>
      <c r="M193" s="1051"/>
      <c r="N193" s="1051"/>
      <c r="P193" s="235"/>
    </row>
    <row r="194" spans="1:16" s="348" customFormat="1" ht="13.5">
      <c r="A194" s="1051"/>
      <c r="B194" s="735">
        <v>2018</v>
      </c>
      <c r="C194" s="1036">
        <v>2747954</v>
      </c>
      <c r="D194" s="1134">
        <f>+D111</f>
        <v>100</v>
      </c>
      <c r="E194" s="741">
        <v>1</v>
      </c>
      <c r="F194" s="1036">
        <f t="shared" si="33"/>
        <v>2747954</v>
      </c>
      <c r="G194" s="814"/>
      <c r="H194" s="1051"/>
      <c r="I194" s="1051"/>
      <c r="J194" s="1051"/>
      <c r="K194" s="1051"/>
      <c r="L194" s="1051"/>
      <c r="M194" s="1051"/>
      <c r="N194" s="1051"/>
      <c r="P194" s="235"/>
    </row>
    <row r="195" spans="1:16" s="348" customFormat="1" ht="13.5">
      <c r="A195" s="1051"/>
      <c r="B195" s="735">
        <v>2019</v>
      </c>
      <c r="C195" s="1036">
        <v>3063968</v>
      </c>
      <c r="D195" s="1134">
        <f>+D135</f>
        <v>103.8</v>
      </c>
      <c r="E195" s="741">
        <v>1</v>
      </c>
      <c r="F195" s="1036">
        <f t="shared" si="33"/>
        <v>3063968</v>
      </c>
      <c r="G195" s="814"/>
      <c r="H195" s="1051"/>
      <c r="I195" s="1051"/>
      <c r="J195" s="1051"/>
      <c r="K195" s="1051"/>
      <c r="L195" s="1051"/>
      <c r="M195" s="1051"/>
      <c r="N195" s="1051"/>
      <c r="P195" s="235"/>
    </row>
    <row r="196" spans="1:16" s="348" customFormat="1" ht="13.5">
      <c r="A196" s="1051"/>
      <c r="B196" s="735">
        <v>2020</v>
      </c>
      <c r="C196" s="1036">
        <v>3220845</v>
      </c>
      <c r="D196" s="1134">
        <f>+D159</f>
        <v>105.48</v>
      </c>
      <c r="E196" s="741">
        <v>1</v>
      </c>
      <c r="F196" s="1036">
        <f t="shared" si="33"/>
        <v>3220845</v>
      </c>
      <c r="G196" s="814"/>
      <c r="H196" s="1051"/>
      <c r="I196" s="1051"/>
      <c r="J196" s="1051"/>
      <c r="K196" s="1051"/>
      <c r="L196" s="1051"/>
      <c r="M196" s="1051"/>
      <c r="N196" s="1051"/>
      <c r="P196" s="235"/>
    </row>
    <row r="197" spans="1:16" s="348" customFormat="1" ht="13.5">
      <c r="A197" s="1051"/>
      <c r="B197" s="814"/>
      <c r="C197" s="1051"/>
      <c r="D197" s="2591" t="s">
        <v>211</v>
      </c>
      <c r="E197" s="2591"/>
      <c r="F197" s="1136">
        <f>SUM(F190:F196)</f>
        <v>17766964.653095331</v>
      </c>
      <c r="G197" s="814"/>
      <c r="H197" s="1051"/>
      <c r="I197" s="1051"/>
      <c r="J197" s="1051"/>
      <c r="K197" s="1051"/>
      <c r="L197" s="1051"/>
      <c r="M197" s="1051"/>
      <c r="N197" s="1051"/>
      <c r="P197" s="235"/>
    </row>
    <row r="198" spans="1:16" s="348" customFormat="1" ht="13.5">
      <c r="A198" s="1051"/>
      <c r="B198" s="814"/>
      <c r="C198" s="1051"/>
      <c r="D198" s="814"/>
      <c r="E198" s="1051"/>
      <c r="F198" s="1051"/>
      <c r="G198" s="814"/>
      <c r="H198" s="1051"/>
      <c r="I198" s="1051"/>
      <c r="J198" s="1051"/>
      <c r="K198" s="1051"/>
      <c r="L198" s="1051"/>
      <c r="M198" s="1051"/>
      <c r="N198" s="1051"/>
      <c r="P198" s="235"/>
    </row>
    <row r="199" spans="1:16" s="348" customFormat="1" ht="13.5">
      <c r="A199" s="1051"/>
      <c r="B199" s="1133"/>
      <c r="C199" s="1036"/>
      <c r="D199" s="741"/>
      <c r="E199" s="1036"/>
      <c r="F199" s="1036"/>
      <c r="G199" s="814"/>
      <c r="H199" s="1051"/>
      <c r="I199" s="1051"/>
      <c r="J199" s="1051">
        <v>352929625</v>
      </c>
      <c r="K199" s="1115">
        <f>J200/J199</f>
        <v>0.70440376125976956</v>
      </c>
      <c r="L199" s="1051"/>
      <c r="M199" s="1051"/>
      <c r="N199" s="1051"/>
      <c r="P199" s="235"/>
    </row>
    <row r="200" spans="1:16" s="348" customFormat="1" ht="13.5">
      <c r="A200" s="1051"/>
      <c r="B200" s="741"/>
      <c r="C200" s="1136" t="s">
        <v>212</v>
      </c>
      <c r="D200" s="735"/>
      <c r="E200" s="734"/>
      <c r="F200" s="1036"/>
      <c r="G200" s="814"/>
      <c r="H200" s="1051"/>
      <c r="I200" s="1051"/>
      <c r="J200" s="1051">
        <v>248604955.31</v>
      </c>
      <c r="K200" s="1051"/>
      <c r="L200" s="1051"/>
      <c r="M200" s="1051"/>
      <c r="N200" s="1051"/>
      <c r="P200" s="235"/>
    </row>
    <row r="201" spans="1:16" s="348" customFormat="1" ht="13.5">
      <c r="A201" s="1051"/>
      <c r="B201" s="741" t="s">
        <v>209</v>
      </c>
      <c r="C201" s="1036"/>
      <c r="D201" s="735" t="s">
        <v>76</v>
      </c>
      <c r="E201" s="734" t="s">
        <v>77</v>
      </c>
      <c r="F201" s="1036" t="s">
        <v>57</v>
      </c>
      <c r="G201" s="814"/>
      <c r="H201" s="1051"/>
      <c r="I201" s="1051"/>
      <c r="J201" s="1051"/>
      <c r="K201" s="1051"/>
      <c r="L201" s="1051"/>
      <c r="M201" s="1051"/>
      <c r="N201" s="1051"/>
      <c r="P201" s="235"/>
    </row>
    <row r="202" spans="1:16" s="348" customFormat="1" ht="13.5">
      <c r="A202" s="1051"/>
      <c r="B202" s="741"/>
      <c r="C202" s="1036"/>
      <c r="D202" s="1134">
        <f>+D189</f>
        <v>98.91</v>
      </c>
      <c r="E202" s="734"/>
      <c r="F202" s="1036"/>
      <c r="G202" s="814"/>
      <c r="H202" s="1051"/>
      <c r="I202" s="1051"/>
      <c r="J202" s="1051"/>
      <c r="K202" s="1051"/>
      <c r="L202" s="1051"/>
      <c r="M202" s="1051"/>
      <c r="N202" s="1051"/>
      <c r="P202" s="235"/>
    </row>
    <row r="203" spans="1:16" s="348" customFormat="1" ht="13.5">
      <c r="A203" s="1051"/>
      <c r="B203" s="735">
        <v>2014</v>
      </c>
      <c r="C203" s="1036">
        <v>121303</v>
      </c>
      <c r="D203" s="1134">
        <f>+D32</f>
        <v>84.45</v>
      </c>
      <c r="E203" s="1135">
        <f>$D$202/D203</f>
        <v>1.1712255772646536</v>
      </c>
      <c r="F203" s="1036">
        <f t="shared" ref="F203:F209" si="34">+C203*E203</f>
        <v>142073.17619893426</v>
      </c>
      <c r="G203" s="814"/>
      <c r="H203" s="1051"/>
      <c r="I203" s="1051"/>
      <c r="J203" s="1051"/>
      <c r="K203" s="1051"/>
      <c r="L203" s="1051"/>
      <c r="M203" s="1051"/>
      <c r="N203" s="1051"/>
      <c r="P203" s="235"/>
    </row>
    <row r="204" spans="1:16" s="348" customFormat="1" ht="13.5">
      <c r="A204" s="1051"/>
      <c r="B204" s="735">
        <v>2015</v>
      </c>
      <c r="C204" s="1036">
        <v>236220.24</v>
      </c>
      <c r="D204" s="1134">
        <f>+D54</f>
        <v>90.33</v>
      </c>
      <c r="E204" s="1135">
        <f t="shared" ref="E204:E209" si="35">$D$202/D204</f>
        <v>1.09498505479907</v>
      </c>
      <c r="F204" s="1036">
        <f t="shared" si="34"/>
        <v>258657.63244104947</v>
      </c>
      <c r="G204" s="814"/>
      <c r="H204" s="1051"/>
      <c r="I204" s="1051"/>
      <c r="J204" s="1051"/>
      <c r="K204" s="1051"/>
      <c r="L204" s="1051"/>
      <c r="M204" s="1051"/>
      <c r="N204" s="1051"/>
      <c r="P204" s="235"/>
    </row>
    <row r="205" spans="1:16" s="348" customFormat="1" ht="13.5">
      <c r="A205" s="1051"/>
      <c r="B205" s="735">
        <v>2016</v>
      </c>
      <c r="C205" s="1036">
        <v>268847.03999999998</v>
      </c>
      <c r="D205" s="1134">
        <f>+D77</f>
        <v>95.01</v>
      </c>
      <c r="E205" s="1135">
        <f t="shared" si="35"/>
        <v>1.0410483107041364</v>
      </c>
      <c r="F205" s="1036">
        <f t="shared" si="34"/>
        <v>279882.75682980736</v>
      </c>
      <c r="G205" s="814"/>
      <c r="H205" s="1051"/>
      <c r="I205" s="1051"/>
      <c r="J205" s="1051"/>
      <c r="K205" s="1051"/>
      <c r="L205" s="1051"/>
      <c r="M205" s="1051"/>
      <c r="N205" s="1051"/>
      <c r="P205" s="235"/>
    </row>
    <row r="206" spans="1:16" ht="13.5">
      <c r="A206" s="814"/>
      <c r="B206" s="735">
        <v>2017</v>
      </c>
      <c r="C206" s="1036">
        <v>297075.95999999996</v>
      </c>
      <c r="D206" s="1134">
        <f>+D100</f>
        <v>97.53</v>
      </c>
      <c r="E206" s="1135">
        <f t="shared" si="35"/>
        <v>1.0141494924638572</v>
      </c>
      <c r="F206" s="1036">
        <f t="shared" si="34"/>
        <v>301279.43405721313</v>
      </c>
      <c r="G206" s="814"/>
      <c r="H206" s="1051"/>
      <c r="I206" s="1051"/>
      <c r="J206" s="1051"/>
      <c r="K206" s="1051"/>
      <c r="L206" s="1051"/>
      <c r="M206" s="1051"/>
      <c r="N206" s="1051"/>
    </row>
    <row r="207" spans="1:16" ht="13.5">
      <c r="A207" s="814"/>
      <c r="B207" s="735">
        <v>2018</v>
      </c>
      <c r="C207" s="1036">
        <v>329754.48</v>
      </c>
      <c r="D207" s="1134">
        <f>+D124</f>
        <v>100.6</v>
      </c>
      <c r="E207" s="1135">
        <v>1</v>
      </c>
      <c r="F207" s="1036">
        <f t="shared" si="34"/>
        <v>329754.48</v>
      </c>
      <c r="G207" s="814"/>
      <c r="H207" s="1051"/>
      <c r="I207" s="1051"/>
      <c r="J207" s="1051"/>
      <c r="K207" s="1051"/>
      <c r="L207" s="1051"/>
      <c r="M207" s="1051"/>
      <c r="N207" s="1051"/>
    </row>
    <row r="208" spans="1:16" ht="13.5">
      <c r="A208" s="814"/>
      <c r="B208" s="735">
        <v>2019</v>
      </c>
      <c r="C208" s="1036">
        <v>367676.15999999997</v>
      </c>
      <c r="D208" s="1134">
        <f>+D148</f>
        <v>104.24</v>
      </c>
      <c r="E208" s="1135">
        <v>1</v>
      </c>
      <c r="F208" s="1036">
        <f t="shared" si="34"/>
        <v>367676.15999999997</v>
      </c>
      <c r="G208" s="814"/>
      <c r="H208" s="1051"/>
      <c r="I208" s="1051"/>
      <c r="J208" s="1051"/>
      <c r="K208" s="1051"/>
      <c r="L208" s="1051"/>
      <c r="M208" s="1051"/>
      <c r="N208" s="1051"/>
    </row>
    <row r="209" spans="1:18" ht="13.5">
      <c r="A209" s="814"/>
      <c r="B209" s="735">
        <v>2020</v>
      </c>
      <c r="C209" s="1036">
        <v>386501.4</v>
      </c>
      <c r="D209" s="1134">
        <f>+D172</f>
        <v>97.53</v>
      </c>
      <c r="E209" s="1135">
        <f t="shared" si="35"/>
        <v>1.0141494924638572</v>
      </c>
      <c r="F209" s="1036">
        <f t="shared" si="34"/>
        <v>391970.19864657026</v>
      </c>
      <c r="G209" s="814"/>
      <c r="H209" s="1051"/>
      <c r="I209" s="1210"/>
      <c r="J209" s="1210"/>
      <c r="K209" s="1210"/>
      <c r="L209" s="1211"/>
      <c r="M209" s="814"/>
      <c r="N209" s="814"/>
      <c r="O209" s="234"/>
      <c r="P209" s="234"/>
    </row>
    <row r="210" spans="1:18" ht="13.5">
      <c r="A210" s="814"/>
      <c r="B210" s="1051"/>
      <c r="C210" s="1051">
        <f>SUM(C203:C209)</f>
        <v>2007378.2799999998</v>
      </c>
      <c r="D210" s="2661" t="s">
        <v>213</v>
      </c>
      <c r="E210" s="2661"/>
      <c r="F210" s="1136">
        <f>SUM(F203:F209)</f>
        <v>2071293.8381735745</v>
      </c>
      <c r="G210" s="1051">
        <f>+E185+F197+F210</f>
        <v>243201222.4912689</v>
      </c>
      <c r="H210" s="1051"/>
      <c r="I210" s="1051"/>
      <c r="J210" s="1051"/>
      <c r="K210" s="1051"/>
      <c r="L210" s="814"/>
      <c r="M210" s="814"/>
      <c r="N210" s="814"/>
      <c r="O210" s="234"/>
      <c r="P210" s="234"/>
    </row>
    <row r="211" spans="1:18" s="234" customFormat="1">
      <c r="A211" s="814"/>
      <c r="B211" s="814"/>
      <c r="C211" s="814"/>
      <c r="D211" s="814"/>
      <c r="E211" s="814"/>
      <c r="F211" s="814"/>
      <c r="G211" s="814"/>
      <c r="H211" s="814"/>
      <c r="I211" s="1051"/>
      <c r="J211" s="1051"/>
      <c r="K211" s="1051"/>
      <c r="L211" s="1212"/>
      <c r="M211" s="1213"/>
      <c r="N211" s="814"/>
      <c r="P211" s="586"/>
    </row>
    <row r="212" spans="1:18" s="234" customFormat="1">
      <c r="A212" s="814"/>
      <c r="B212" s="814"/>
      <c r="C212" s="814"/>
      <c r="D212" s="814"/>
      <c r="E212" s="814"/>
      <c r="F212" s="814"/>
      <c r="G212" s="814"/>
      <c r="H212" s="814"/>
      <c r="I212" s="1051"/>
      <c r="J212" s="1051"/>
      <c r="K212" s="1051"/>
      <c r="L212" s="1212"/>
      <c r="M212" s="1213"/>
      <c r="N212" s="814"/>
      <c r="P212" s="586"/>
    </row>
    <row r="213" spans="1:18" s="234" customFormat="1">
      <c r="A213" s="814"/>
      <c r="B213" s="814"/>
      <c r="C213" s="814"/>
      <c r="D213" s="814"/>
      <c r="E213" s="814"/>
      <c r="F213" s="814"/>
      <c r="G213" s="1051" t="s">
        <v>645</v>
      </c>
      <c r="H213" s="814"/>
      <c r="I213" s="814"/>
      <c r="J213" s="1051" t="s">
        <v>646</v>
      </c>
      <c r="K213" s="1051" t="s">
        <v>647</v>
      </c>
      <c r="L213" s="1051"/>
      <c r="M213" s="1212"/>
      <c r="N213" s="814"/>
      <c r="P213" s="586"/>
    </row>
    <row r="214" spans="1:18" s="234" customFormat="1">
      <c r="A214" s="814"/>
      <c r="B214" s="814"/>
      <c r="C214" s="814"/>
      <c r="D214" s="814"/>
      <c r="E214" s="814"/>
      <c r="F214" s="814"/>
      <c r="G214" s="1051" t="s">
        <v>648</v>
      </c>
      <c r="H214" s="814"/>
      <c r="I214" s="1051"/>
      <c r="J214" s="814" t="s">
        <v>649</v>
      </c>
      <c r="K214" s="1051" t="s">
        <v>650</v>
      </c>
      <c r="L214" s="1214">
        <v>0.7</v>
      </c>
      <c r="M214" s="1212" t="s">
        <v>651</v>
      </c>
      <c r="N214" s="814"/>
      <c r="P214" s="586"/>
    </row>
    <row r="215" spans="1:18" s="234" customFormat="1">
      <c r="A215" s="900" t="s">
        <v>652</v>
      </c>
      <c r="B215" s="814"/>
      <c r="C215" s="814"/>
      <c r="D215" s="814"/>
      <c r="E215" s="814"/>
      <c r="M215" s="1213"/>
      <c r="N215" s="814"/>
      <c r="P215" s="586"/>
    </row>
    <row r="216" spans="1:18" s="234" customFormat="1">
      <c r="A216" s="900" t="s">
        <v>653</v>
      </c>
      <c r="B216" s="814"/>
      <c r="C216" s="814"/>
      <c r="D216" s="814"/>
      <c r="E216" s="814"/>
      <c r="M216" s="1213"/>
      <c r="N216" s="814"/>
      <c r="P216" s="586"/>
    </row>
    <row r="217" spans="1:18" s="234" customFormat="1">
      <c r="A217" s="1210" t="s">
        <v>654</v>
      </c>
      <c r="B217" s="814"/>
      <c r="C217" s="1051"/>
      <c r="D217" s="814"/>
      <c r="E217" s="814"/>
      <c r="F217" s="814"/>
      <c r="G217" s="1051">
        <f>+F27+F49+F73+F101+F100+F190+F191+F192+F193+F203+F204+F205+F206+F205+F206+F102</f>
        <v>86016997.843509346</v>
      </c>
      <c r="H217" s="1051"/>
      <c r="I217" s="1051"/>
      <c r="J217" s="1051"/>
      <c r="K217" s="1051"/>
      <c r="L217" s="1212"/>
      <c r="M217" s="1213"/>
      <c r="N217" s="814"/>
      <c r="P217" s="586"/>
    </row>
    <row r="218" spans="1:18" s="234" customFormat="1">
      <c r="A218" s="1210" t="s">
        <v>655</v>
      </c>
      <c r="B218" s="900"/>
      <c r="C218" s="814"/>
      <c r="D218" s="814"/>
      <c r="E218" s="1070">
        <f>+F27+F49+F73+F96+F100+F101+F102+F190+F191+F192+F193+F203+F204+F205+F206</f>
        <v>115777668.65262233</v>
      </c>
      <c r="F218" s="814"/>
      <c r="G218" s="1118">
        <f>+E218+N219</f>
        <v>240123514.01126891</v>
      </c>
      <c r="H218" s="814"/>
      <c r="I218" s="814"/>
      <c r="J218" s="814"/>
      <c r="K218" s="1051"/>
      <c r="L218" s="814"/>
      <c r="M218" s="1213"/>
      <c r="N218" s="814"/>
      <c r="P218" s="586"/>
    </row>
    <row r="219" spans="1:18" s="234" customFormat="1" ht="15">
      <c r="A219" s="2662" t="s">
        <v>656</v>
      </c>
      <c r="B219" s="2662"/>
      <c r="C219" s="2662"/>
      <c r="D219" s="2662"/>
      <c r="E219" s="1070">
        <f>+E218*70%</f>
        <v>81044368.056835622</v>
      </c>
      <c r="F219" s="814"/>
      <c r="G219" s="1051">
        <f>+G218-G210</f>
        <v>-3077708.4799999893</v>
      </c>
      <c r="H219" s="814"/>
      <c r="I219" s="814"/>
      <c r="J219" s="900" t="s">
        <v>657</v>
      </c>
      <c r="K219" s="814"/>
      <c r="L219" s="814"/>
      <c r="M219" s="1213"/>
      <c r="N219" s="822">
        <f>+F103+F104+F105+F106+F107+F108+F109+F110+F111+F112+F113+F114+F115+F116+F117-F119+F144+F168+F178+F195+F196+F208+F209</f>
        <v>124345845.35864657</v>
      </c>
      <c r="O219" s="612"/>
      <c r="P219" s="586"/>
    </row>
    <row r="220" spans="1:18" s="234" customFormat="1" ht="15.75" customHeight="1">
      <c r="A220" s="741"/>
      <c r="B220" s="2591" t="s">
        <v>84</v>
      </c>
      <c r="C220" s="2591"/>
      <c r="D220" s="2591"/>
      <c r="E220" s="2591"/>
      <c r="F220" s="2591"/>
      <c r="G220" s="2591"/>
      <c r="H220" s="2591"/>
      <c r="I220" s="814"/>
      <c r="J220" s="2662" t="s">
        <v>658</v>
      </c>
      <c r="K220" s="2662"/>
      <c r="L220" s="2662"/>
      <c r="M220" s="2662"/>
      <c r="N220" s="1070">
        <f>+N219*70%</f>
        <v>87042091.751052588</v>
      </c>
      <c r="O220" s="616"/>
      <c r="P220" s="586"/>
    </row>
    <row r="221" spans="1:18" s="234" customFormat="1" ht="51.75" thickBot="1">
      <c r="A221" s="741"/>
      <c r="B221" s="1215" t="s">
        <v>199</v>
      </c>
      <c r="C221" s="1216" t="s">
        <v>200</v>
      </c>
      <c r="D221" s="1217" t="s">
        <v>659</v>
      </c>
      <c r="E221" s="1217" t="s">
        <v>45</v>
      </c>
      <c r="F221" s="1218" t="s">
        <v>203</v>
      </c>
      <c r="G221" s="1216" t="s">
        <v>204</v>
      </c>
      <c r="H221" s="1216" t="s">
        <v>205</v>
      </c>
      <c r="I221" s="814"/>
      <c r="J221" s="741"/>
      <c r="K221" s="970" t="s">
        <v>199</v>
      </c>
      <c r="L221" s="970" t="s">
        <v>200</v>
      </c>
      <c r="M221" s="970" t="s">
        <v>659</v>
      </c>
      <c r="N221" s="970" t="s">
        <v>660</v>
      </c>
      <c r="O221" s="566" t="s">
        <v>661</v>
      </c>
      <c r="P221" s="617" t="s">
        <v>203</v>
      </c>
      <c r="Q221" s="614" t="s">
        <v>204</v>
      </c>
      <c r="R221" s="614" t="s">
        <v>205</v>
      </c>
    </row>
    <row r="222" spans="1:18" s="234" customFormat="1" hidden="1">
      <c r="A222" s="741"/>
      <c r="B222" s="1219"/>
      <c r="C222" s="953"/>
      <c r="D222" s="1220"/>
      <c r="E222" s="1221"/>
      <c r="F222" s="1122"/>
      <c r="G222" s="909"/>
      <c r="H222" s="812"/>
      <c r="I222" s="1115"/>
      <c r="J222" s="741"/>
      <c r="K222" s="1219"/>
      <c r="L222" s="953"/>
      <c r="M222" s="1129"/>
      <c r="N222" s="1121"/>
      <c r="O222" s="618"/>
      <c r="P222" s="1239"/>
      <c r="Q222" s="241"/>
      <c r="R222" s="159"/>
    </row>
    <row r="223" spans="1:18" s="234" customFormat="1">
      <c r="A223" s="741">
        <v>1</v>
      </c>
      <c r="B223" s="1219">
        <v>43196</v>
      </c>
      <c r="C223" s="800">
        <v>43220</v>
      </c>
      <c r="D223" s="1129">
        <v>4.9000000000000002E-2</v>
      </c>
      <c r="E223" s="1221">
        <f t="shared" ref="E223:E269" si="36">+$E$219</f>
        <v>81044368.056835622</v>
      </c>
      <c r="F223" s="1122">
        <f>+_xlfn.DAYS(C223,B223)+1</f>
        <v>25</v>
      </c>
      <c r="G223" s="909">
        <f t="shared" ref="G223:G267" si="37">((1+D223)^(1/365))-1</f>
        <v>1.3106976536825243E-4</v>
      </c>
      <c r="H223" s="812">
        <f t="shared" ref="H223:H267" si="38">E223*F223*G223</f>
        <v>265561.65764069342</v>
      </c>
      <c r="I223" s="1115"/>
      <c r="J223" s="741">
        <v>1</v>
      </c>
      <c r="K223" s="1219">
        <v>43196</v>
      </c>
      <c r="L223" s="800">
        <v>43220</v>
      </c>
      <c r="M223" s="1129">
        <v>4.9000000000000002E-2</v>
      </c>
      <c r="N223" s="1121">
        <f>O223*70%</f>
        <v>1445159.0999999999</v>
      </c>
      <c r="O223" s="618">
        <f>O222+F103-H101-I101</f>
        <v>2064513</v>
      </c>
      <c r="P223" s="1239">
        <f>+_xlfn.DAYS(L223,K223)+1</f>
        <v>25</v>
      </c>
      <c r="Q223" s="241">
        <f t="shared" ref="Q223:Q267" si="39">((1+M223)^(1/365))-1</f>
        <v>1.3106976536825243E-4</v>
      </c>
      <c r="R223" s="159">
        <f>N223*Q223*P223</f>
        <v>4735.4166039198708</v>
      </c>
    </row>
    <row r="224" spans="1:18" s="234" customFormat="1">
      <c r="A224" s="741">
        <v>2</v>
      </c>
      <c r="B224" s="1219">
        <v>43221</v>
      </c>
      <c r="C224" s="953">
        <v>43250</v>
      </c>
      <c r="D224" s="1129">
        <v>4.7E-2</v>
      </c>
      <c r="E224" s="1221">
        <f t="shared" si="36"/>
        <v>81044368.056835622</v>
      </c>
      <c r="F224" s="1122">
        <f>+_xlfn.DAYS(C224,B224)+1</f>
        <v>30</v>
      </c>
      <c r="G224" s="909">
        <f t="shared" si="37"/>
        <v>1.2584060737030889E-4</v>
      </c>
      <c r="H224" s="812">
        <f t="shared" si="38"/>
        <v>305960.17500645167</v>
      </c>
      <c r="I224" s="1115"/>
      <c r="J224" s="741">
        <v>2</v>
      </c>
      <c r="K224" s="1219">
        <v>43221</v>
      </c>
      <c r="L224" s="953">
        <v>43250</v>
      </c>
      <c r="M224" s="1129">
        <v>4.7E-2</v>
      </c>
      <c r="N224" s="1121">
        <f t="shared" ref="N224:N267" si="40">O224*70%</f>
        <v>2890318.1999999997</v>
      </c>
      <c r="O224" s="618">
        <f>O223+F104-H102-I102</f>
        <v>4129026</v>
      </c>
      <c r="P224" s="1239">
        <f>+_xlfn.DAYS(L224,K224)+1</f>
        <v>30</v>
      </c>
      <c r="Q224" s="241">
        <f t="shared" si="39"/>
        <v>1.2584060737030889E-4</v>
      </c>
      <c r="R224" s="159">
        <f>N224*Q224*P224</f>
        <v>10911.581933443736</v>
      </c>
    </row>
    <row r="225" spans="1:18" s="234" customFormat="1">
      <c r="A225" s="741">
        <v>3</v>
      </c>
      <c r="B225" s="1219">
        <v>43252</v>
      </c>
      <c r="C225" s="800">
        <v>43281</v>
      </c>
      <c r="D225" s="1129">
        <v>4.5999999999999999E-2</v>
      </c>
      <c r="E225" s="1221">
        <f t="shared" si="36"/>
        <v>81044368.056835622</v>
      </c>
      <c r="F225" s="1122">
        <f>+_xlfn.DAYS(C225,B225)+1</f>
        <v>30</v>
      </c>
      <c r="G225" s="909">
        <f t="shared" si="37"/>
        <v>1.2322229163408416E-4</v>
      </c>
      <c r="H225" s="812">
        <f t="shared" si="38"/>
        <v>299594.18267998361</v>
      </c>
      <c r="I225" s="1115"/>
      <c r="J225" s="741">
        <v>3</v>
      </c>
      <c r="K225" s="1219">
        <v>43252</v>
      </c>
      <c r="L225" s="800">
        <v>43281</v>
      </c>
      <c r="M225" s="1129">
        <v>4.5999999999999999E-2</v>
      </c>
      <c r="N225" s="1121">
        <f t="shared" si="40"/>
        <v>5120916.5</v>
      </c>
      <c r="O225" s="618">
        <f>O224+F105-H103-I103+F112</f>
        <v>7315595</v>
      </c>
      <c r="P225" s="1239">
        <f>+_xlfn.DAYS(L225,K225)+1</f>
        <v>30</v>
      </c>
      <c r="Q225" s="241">
        <f t="shared" si="39"/>
        <v>1.2322229163408416E-4</v>
      </c>
      <c r="R225" s="159">
        <f t="shared" ref="R225:R267" si="41">N225*Q225*P225</f>
        <v>18930.331991903808</v>
      </c>
    </row>
    <row r="226" spans="1:18" s="234" customFormat="1">
      <c r="A226" s="741">
        <v>4</v>
      </c>
      <c r="B226" s="1219">
        <v>43282</v>
      </c>
      <c r="C226" s="953">
        <v>43287</v>
      </c>
      <c r="D226" s="1129">
        <v>4.5699999999999998E-2</v>
      </c>
      <c r="E226" s="1221">
        <f t="shared" si="36"/>
        <v>81044368.056835622</v>
      </c>
      <c r="F226" s="1122">
        <f>+_xlfn.DAYS(C226,B226)+1</f>
        <v>6</v>
      </c>
      <c r="G226" s="909">
        <f t="shared" si="37"/>
        <v>1.2243631011710221E-4</v>
      </c>
      <c r="H226" s="812">
        <f t="shared" si="38"/>
        <v>59536.640283907793</v>
      </c>
      <c r="I226" s="1115"/>
      <c r="J226" s="741">
        <v>4</v>
      </c>
      <c r="K226" s="1219">
        <v>43282</v>
      </c>
      <c r="L226" s="953">
        <v>43287</v>
      </c>
      <c r="M226" s="1129">
        <v>4.5699999999999998E-2</v>
      </c>
      <c r="N226" s="1121">
        <f t="shared" si="40"/>
        <v>5435092.3199999994</v>
      </c>
      <c r="O226" s="618">
        <f>O225+(F106/30)*6</f>
        <v>7764417.5999999996</v>
      </c>
      <c r="P226" s="1239">
        <f>+_xlfn.DAYS(L226,K226)+1</f>
        <v>6</v>
      </c>
      <c r="Q226" s="241">
        <f t="shared" si="39"/>
        <v>1.2243631011710221E-4</v>
      </c>
      <c r="R226" s="159">
        <f t="shared" si="41"/>
        <v>3992.7158928396029</v>
      </c>
    </row>
    <row r="227" spans="1:18" s="234" customFormat="1">
      <c r="A227" s="741">
        <v>5</v>
      </c>
      <c r="B227" s="1219">
        <v>43288</v>
      </c>
      <c r="C227" s="953">
        <v>43312</v>
      </c>
      <c r="D227" s="1129">
        <v>4.5699999999999998E-2</v>
      </c>
      <c r="E227" s="1221">
        <f t="shared" si="36"/>
        <v>81044368.056835622</v>
      </c>
      <c r="F227" s="1122">
        <v>0</v>
      </c>
      <c r="G227" s="909">
        <f>((1+D227)^(1/365))-1</f>
        <v>1.2243631011710221E-4</v>
      </c>
      <c r="H227" s="812">
        <f>E227*F227*G227</f>
        <v>0</v>
      </c>
      <c r="I227" s="1115"/>
      <c r="J227" s="741">
        <v>5</v>
      </c>
      <c r="K227" s="1219">
        <v>43288</v>
      </c>
      <c r="L227" s="953">
        <v>43312</v>
      </c>
      <c r="M227" s="1129">
        <v>4.5699999999999998E-2</v>
      </c>
      <c r="N227" s="1121">
        <f>O227*70%</f>
        <v>5309372.3199999994</v>
      </c>
      <c r="O227" s="618">
        <f>+O226+((F106/30)*P227)-H106-I106</f>
        <v>7584817.5999999996</v>
      </c>
      <c r="P227" s="1239">
        <v>0</v>
      </c>
      <c r="Q227" s="241">
        <f>((1+M227)^(1/365))-1</f>
        <v>1.2243631011710221E-4</v>
      </c>
      <c r="R227" s="159">
        <f t="shared" si="41"/>
        <v>0</v>
      </c>
    </row>
    <row r="228" spans="1:18" s="234" customFormat="1">
      <c r="A228" s="741">
        <v>6</v>
      </c>
      <c r="B228" s="1219">
        <v>43313</v>
      </c>
      <c r="C228" s="800">
        <v>43343</v>
      </c>
      <c r="D228" s="1129">
        <v>4.53E-2</v>
      </c>
      <c r="E228" s="1221">
        <f t="shared" si="36"/>
        <v>81044368.056835622</v>
      </c>
      <c r="F228" s="1122">
        <v>0</v>
      </c>
      <c r="G228" s="909">
        <f t="shared" si="37"/>
        <v>1.2138798488825486E-4</v>
      </c>
      <c r="H228" s="812">
        <f t="shared" si="38"/>
        <v>0</v>
      </c>
      <c r="I228" s="1115"/>
      <c r="J228" s="741">
        <v>6</v>
      </c>
      <c r="K228" s="1219">
        <v>43313</v>
      </c>
      <c r="L228" s="800">
        <v>43343</v>
      </c>
      <c r="M228" s="1129">
        <v>4.53E-2</v>
      </c>
      <c r="N228" s="1121">
        <f t="shared" si="40"/>
        <v>6880251.419999999</v>
      </c>
      <c r="O228" s="618">
        <f>O226+F107-H105-I105</f>
        <v>9828930.5999999996</v>
      </c>
      <c r="P228" s="1122">
        <v>0</v>
      </c>
      <c r="Q228" s="241">
        <f t="shared" si="39"/>
        <v>1.2138798488825486E-4</v>
      </c>
      <c r="R228" s="159">
        <f t="shared" si="41"/>
        <v>0</v>
      </c>
    </row>
    <row r="229" spans="1:18" s="234" customFormat="1">
      <c r="A229" s="741">
        <v>7</v>
      </c>
      <c r="B229" s="1219">
        <v>43344</v>
      </c>
      <c r="C229" s="953">
        <v>43373</v>
      </c>
      <c r="D229" s="1129">
        <v>4.53E-2</v>
      </c>
      <c r="E229" s="1221">
        <f t="shared" si="36"/>
        <v>81044368.056835622</v>
      </c>
      <c r="F229" s="1122">
        <v>0</v>
      </c>
      <c r="G229" s="909">
        <f t="shared" si="37"/>
        <v>1.2138798488825486E-4</v>
      </c>
      <c r="H229" s="812">
        <f t="shared" si="38"/>
        <v>0</v>
      </c>
      <c r="I229" s="1115"/>
      <c r="J229" s="741">
        <v>7</v>
      </c>
      <c r="K229" s="1219">
        <v>43344</v>
      </c>
      <c r="L229" s="953">
        <v>43373</v>
      </c>
      <c r="M229" s="1129">
        <v>4.53E-2</v>
      </c>
      <c r="N229" s="1121">
        <f t="shared" si="40"/>
        <v>8325410.5199999996</v>
      </c>
      <c r="O229" s="618">
        <f>O228+F108-H106-I106</f>
        <v>11893443.6</v>
      </c>
      <c r="P229" s="1122">
        <v>0</v>
      </c>
      <c r="Q229" s="241">
        <f t="shared" si="39"/>
        <v>1.2138798488825486E-4</v>
      </c>
      <c r="R229" s="159">
        <f t="shared" si="41"/>
        <v>0</v>
      </c>
    </row>
    <row r="230" spans="1:18" s="234" customFormat="1">
      <c r="A230" s="741">
        <v>8</v>
      </c>
      <c r="B230" s="1219">
        <v>43374</v>
      </c>
      <c r="C230" s="800">
        <v>43404</v>
      </c>
      <c r="D230" s="1129">
        <v>4.4299999999999999E-2</v>
      </c>
      <c r="E230" s="1221">
        <f t="shared" si="36"/>
        <v>81044368.056835622</v>
      </c>
      <c r="F230" s="1122">
        <v>0</v>
      </c>
      <c r="G230" s="909">
        <f t="shared" si="37"/>
        <v>1.187654205565547E-4</v>
      </c>
      <c r="H230" s="812">
        <f t="shared" si="38"/>
        <v>0</v>
      </c>
      <c r="I230" s="1115"/>
      <c r="J230" s="741">
        <v>8</v>
      </c>
      <c r="K230" s="1219">
        <v>43374</v>
      </c>
      <c r="L230" s="800">
        <v>43404</v>
      </c>
      <c r="M230" s="1129">
        <v>4.4299999999999999E-2</v>
      </c>
      <c r="N230" s="1121">
        <f t="shared" si="40"/>
        <v>9770569.6199999992</v>
      </c>
      <c r="O230" s="618">
        <f>O229+F109-H107-I107</f>
        <v>13957956.6</v>
      </c>
      <c r="P230" s="1122">
        <v>0</v>
      </c>
      <c r="Q230" s="241">
        <f t="shared" si="39"/>
        <v>1.187654205565547E-4</v>
      </c>
      <c r="R230" s="159">
        <f t="shared" si="41"/>
        <v>0</v>
      </c>
    </row>
    <row r="231" spans="1:18" s="234" customFormat="1">
      <c r="A231" s="741">
        <v>9</v>
      </c>
      <c r="B231" s="1219">
        <v>43405</v>
      </c>
      <c r="C231" s="953">
        <v>43434</v>
      </c>
      <c r="D231" s="1129">
        <v>4.4200000000000003E-2</v>
      </c>
      <c r="E231" s="1221">
        <f t="shared" si="36"/>
        <v>81044368.056835622</v>
      </c>
      <c r="F231" s="1122">
        <v>0</v>
      </c>
      <c r="G231" s="909">
        <f t="shared" si="37"/>
        <v>1.185030263928244E-4</v>
      </c>
      <c r="H231" s="812">
        <f t="shared" si="38"/>
        <v>0</v>
      </c>
      <c r="I231" s="1115"/>
      <c r="J231" s="741">
        <v>9</v>
      </c>
      <c r="K231" s="1219">
        <v>43405</v>
      </c>
      <c r="L231" s="953">
        <v>43434</v>
      </c>
      <c r="M231" s="1129">
        <v>4.4200000000000003E-2</v>
      </c>
      <c r="N231" s="1121">
        <f t="shared" si="40"/>
        <v>11215728.719999999</v>
      </c>
      <c r="O231" s="618">
        <f>O230+F110-H108-I108</f>
        <v>16022469.6</v>
      </c>
      <c r="P231" s="1122">
        <v>0</v>
      </c>
      <c r="Q231" s="241">
        <f t="shared" si="39"/>
        <v>1.185030263928244E-4</v>
      </c>
      <c r="R231" s="159">
        <f t="shared" si="41"/>
        <v>0</v>
      </c>
    </row>
    <row r="232" spans="1:18" s="234" customFormat="1">
      <c r="A232" s="741">
        <v>10</v>
      </c>
      <c r="B232" s="1222">
        <v>43435</v>
      </c>
      <c r="C232" s="1223">
        <v>43465</v>
      </c>
      <c r="D232" s="1224">
        <v>4.5400000000000003E-2</v>
      </c>
      <c r="E232" s="1221">
        <f t="shared" si="36"/>
        <v>81044368.056835622</v>
      </c>
      <c r="F232" s="1122">
        <v>0</v>
      </c>
      <c r="G232" s="1225">
        <f t="shared" si="37"/>
        <v>1.2165010369624696E-4</v>
      </c>
      <c r="H232" s="812">
        <f t="shared" si="38"/>
        <v>0</v>
      </c>
      <c r="I232" s="1115"/>
      <c r="J232" s="741">
        <v>10</v>
      </c>
      <c r="K232" s="1222">
        <v>43435</v>
      </c>
      <c r="L232" s="1223">
        <v>43465</v>
      </c>
      <c r="M232" s="1224">
        <v>4.5400000000000003E-2</v>
      </c>
      <c r="N232" s="1121">
        <f t="shared" si="40"/>
        <v>17389957.620000001</v>
      </c>
      <c r="O232" s="618">
        <f>O231+F111-H109-I109+F113+F114+F115+F116+F117</f>
        <v>24842796.600000001</v>
      </c>
      <c r="P232" s="1122">
        <v>0</v>
      </c>
      <c r="Q232" s="241">
        <f t="shared" si="39"/>
        <v>1.2165010369624696E-4</v>
      </c>
      <c r="R232" s="159">
        <f t="shared" si="41"/>
        <v>0</v>
      </c>
    </row>
    <row r="233" spans="1:18" s="234" customFormat="1">
      <c r="A233" s="741">
        <v>11</v>
      </c>
      <c r="B233" s="1219">
        <v>43466</v>
      </c>
      <c r="C233" s="953">
        <v>43496</v>
      </c>
      <c r="D233" s="1129">
        <v>0.28739999999999999</v>
      </c>
      <c r="E233" s="1221">
        <f t="shared" si="36"/>
        <v>81044368.056835622</v>
      </c>
      <c r="F233" s="1122">
        <v>0</v>
      </c>
      <c r="G233" s="909">
        <f t="shared" si="37"/>
        <v>6.9236198468725085E-4</v>
      </c>
      <c r="H233" s="812">
        <f t="shared" si="38"/>
        <v>0</v>
      </c>
      <c r="I233" s="1115"/>
      <c r="J233" s="741">
        <v>11</v>
      </c>
      <c r="K233" s="1219">
        <v>43466</v>
      </c>
      <c r="L233" s="953">
        <v>43496</v>
      </c>
      <c r="M233" s="1129">
        <v>0.28739999999999999</v>
      </c>
      <c r="N233" s="1121">
        <f t="shared" si="40"/>
        <v>19001347.82</v>
      </c>
      <c r="O233" s="618">
        <f>O232+F124-H124-I124</f>
        <v>27144782.600000001</v>
      </c>
      <c r="P233" s="1122">
        <v>0</v>
      </c>
      <c r="Q233" s="241">
        <f t="shared" si="39"/>
        <v>6.9236198468725085E-4</v>
      </c>
      <c r="R233" s="159">
        <f t="shared" si="41"/>
        <v>0</v>
      </c>
    </row>
    <row r="234" spans="1:18" s="234" customFormat="1">
      <c r="A234" s="741">
        <v>12</v>
      </c>
      <c r="B234" s="1219">
        <v>43497</v>
      </c>
      <c r="C234" s="800">
        <v>43524</v>
      </c>
      <c r="D234" s="1055">
        <v>0.29550000000000004</v>
      </c>
      <c r="E234" s="1221">
        <f t="shared" si="36"/>
        <v>81044368.056835622</v>
      </c>
      <c r="F234" s="1122">
        <v>0</v>
      </c>
      <c r="G234" s="909">
        <f t="shared" si="37"/>
        <v>7.0955770203506852E-4</v>
      </c>
      <c r="H234" s="812">
        <f t="shared" si="38"/>
        <v>0</v>
      </c>
      <c r="I234" s="1115"/>
      <c r="J234" s="741">
        <v>12</v>
      </c>
      <c r="K234" s="1219">
        <v>43497</v>
      </c>
      <c r="L234" s="800">
        <v>43524</v>
      </c>
      <c r="M234" s="1055">
        <v>0.29550000000000004</v>
      </c>
      <c r="N234" s="1121">
        <f t="shared" si="40"/>
        <v>20612738.02</v>
      </c>
      <c r="O234" s="618">
        <f>O233+F125-H125-I125</f>
        <v>29446768.600000001</v>
      </c>
      <c r="P234" s="1122">
        <v>0</v>
      </c>
      <c r="Q234" s="241">
        <f t="shared" si="39"/>
        <v>7.0955770203506852E-4</v>
      </c>
      <c r="R234" s="159">
        <f t="shared" si="41"/>
        <v>0</v>
      </c>
    </row>
    <row r="235" spans="1:18" s="234" customFormat="1">
      <c r="A235" s="741">
        <v>13</v>
      </c>
      <c r="B235" s="1219">
        <v>43525</v>
      </c>
      <c r="C235" s="953">
        <v>43555</v>
      </c>
      <c r="D235" s="1055">
        <v>0.29055000000000003</v>
      </c>
      <c r="E235" s="1221">
        <f t="shared" si="36"/>
        <v>81044368.056835622</v>
      </c>
      <c r="F235" s="1122">
        <v>0</v>
      </c>
      <c r="G235" s="909">
        <f t="shared" si="37"/>
        <v>6.9906199467517638E-4</v>
      </c>
      <c r="H235" s="812">
        <f t="shared" si="38"/>
        <v>0</v>
      </c>
      <c r="I235" s="1115"/>
      <c r="J235" s="741">
        <v>13</v>
      </c>
      <c r="K235" s="1219">
        <v>43525</v>
      </c>
      <c r="L235" s="953">
        <v>43555</v>
      </c>
      <c r="M235" s="1055">
        <v>0.29055000000000003</v>
      </c>
      <c r="N235" s="1121">
        <f t="shared" si="40"/>
        <v>22224128.219999999</v>
      </c>
      <c r="O235" s="618">
        <f>O234+F126-H126-I126</f>
        <v>31748754.600000001</v>
      </c>
      <c r="P235" s="1122">
        <v>0</v>
      </c>
      <c r="Q235" s="241">
        <f t="shared" si="39"/>
        <v>6.9906199467517638E-4</v>
      </c>
      <c r="R235" s="159">
        <f t="shared" si="41"/>
        <v>0</v>
      </c>
    </row>
    <row r="236" spans="1:18" s="234" customFormat="1">
      <c r="A236" s="741">
        <v>14</v>
      </c>
      <c r="B236" s="1219">
        <v>43556</v>
      </c>
      <c r="C236" s="800">
        <v>43585</v>
      </c>
      <c r="D236" s="1055">
        <v>0.2898</v>
      </c>
      <c r="E236" s="1221">
        <f t="shared" si="36"/>
        <v>81044368.056835622</v>
      </c>
      <c r="F236" s="1122">
        <v>0</v>
      </c>
      <c r="G236" s="909">
        <f t="shared" si="37"/>
        <v>6.9746823462724095E-4</v>
      </c>
      <c r="H236" s="812">
        <f t="shared" si="38"/>
        <v>0</v>
      </c>
      <c r="I236" s="1115"/>
      <c r="J236" s="741">
        <v>14</v>
      </c>
      <c r="K236" s="1219">
        <v>43556</v>
      </c>
      <c r="L236" s="800">
        <v>43585</v>
      </c>
      <c r="M236" s="1055">
        <v>0.2898</v>
      </c>
      <c r="N236" s="1121">
        <f t="shared" si="40"/>
        <v>23835518.419999998</v>
      </c>
      <c r="O236" s="618">
        <f>O235+F127-H127-I127</f>
        <v>34050740.600000001</v>
      </c>
      <c r="P236" s="1122">
        <v>0</v>
      </c>
      <c r="Q236" s="241">
        <f t="shared" si="39"/>
        <v>6.9746823462724095E-4</v>
      </c>
      <c r="R236" s="159">
        <f t="shared" si="41"/>
        <v>0</v>
      </c>
    </row>
    <row r="237" spans="1:18" s="234" customFormat="1">
      <c r="A237" s="741">
        <v>15</v>
      </c>
      <c r="B237" s="1219">
        <v>43586</v>
      </c>
      <c r="C237" s="953">
        <v>43616</v>
      </c>
      <c r="D237" s="1055">
        <v>0.29009999999999997</v>
      </c>
      <c r="E237" s="1221">
        <f t="shared" si="36"/>
        <v>81044368.056835622</v>
      </c>
      <c r="F237" s="1122">
        <v>0</v>
      </c>
      <c r="G237" s="909">
        <f t="shared" si="37"/>
        <v>6.9810584952367805E-4</v>
      </c>
      <c r="H237" s="812">
        <f t="shared" si="38"/>
        <v>0</v>
      </c>
      <c r="I237" s="1115"/>
      <c r="J237" s="741">
        <v>15</v>
      </c>
      <c r="K237" s="1219">
        <v>43586</v>
      </c>
      <c r="L237" s="953">
        <v>43616</v>
      </c>
      <c r="M237" s="1055">
        <v>0.29009999999999997</v>
      </c>
      <c r="N237" s="1121">
        <f t="shared" si="40"/>
        <v>25446908.620000001</v>
      </c>
      <c r="O237" s="618">
        <f>O236+F128-H128-I128</f>
        <v>36352726.600000001</v>
      </c>
      <c r="P237" s="1122">
        <v>0</v>
      </c>
      <c r="Q237" s="241">
        <f t="shared" si="39"/>
        <v>6.9810584952367805E-4</v>
      </c>
      <c r="R237" s="159">
        <f t="shared" si="41"/>
        <v>0</v>
      </c>
    </row>
    <row r="238" spans="1:18" s="234" customFormat="1">
      <c r="A238" s="741">
        <v>16</v>
      </c>
      <c r="B238" s="1219">
        <v>43617</v>
      </c>
      <c r="C238" s="800">
        <v>43646</v>
      </c>
      <c r="D238" s="1055">
        <v>0.28949999999999998</v>
      </c>
      <c r="E238" s="1221">
        <f t="shared" si="36"/>
        <v>81044368.056835622</v>
      </c>
      <c r="F238" s="1122">
        <v>0</v>
      </c>
      <c r="G238" s="909">
        <f t="shared" si="37"/>
        <v>6.9683047181468005E-4</v>
      </c>
      <c r="H238" s="812">
        <f t="shared" si="38"/>
        <v>0</v>
      </c>
      <c r="I238" s="1115"/>
      <c r="J238" s="741">
        <v>16</v>
      </c>
      <c r="K238" s="1219">
        <v>43617</v>
      </c>
      <c r="L238" s="800">
        <v>43646</v>
      </c>
      <c r="M238" s="1055">
        <v>0.28949999999999998</v>
      </c>
      <c r="N238" s="1121">
        <f t="shared" si="40"/>
        <v>27934063.919999998</v>
      </c>
      <c r="O238" s="618">
        <f>O237+F129-H129-I129+F136</f>
        <v>39905805.600000001</v>
      </c>
      <c r="P238" s="1122">
        <v>0</v>
      </c>
      <c r="Q238" s="241">
        <f t="shared" si="39"/>
        <v>6.9683047181468005E-4</v>
      </c>
      <c r="R238" s="159">
        <f t="shared" si="41"/>
        <v>0</v>
      </c>
    </row>
    <row r="239" spans="1:18" s="234" customFormat="1">
      <c r="A239" s="741">
        <v>17</v>
      </c>
      <c r="B239" s="1219">
        <v>43647</v>
      </c>
      <c r="C239" s="953">
        <v>43677</v>
      </c>
      <c r="D239" s="1055">
        <v>0.28920000000000001</v>
      </c>
      <c r="E239" s="1221">
        <f t="shared" si="36"/>
        <v>81044368.056835622</v>
      </c>
      <c r="F239" s="1122">
        <v>0</v>
      </c>
      <c r="G239" s="909">
        <f t="shared" si="37"/>
        <v>6.9619256101671745E-4</v>
      </c>
      <c r="H239" s="812">
        <f t="shared" si="38"/>
        <v>0</v>
      </c>
      <c r="I239" s="1115"/>
      <c r="J239" s="741">
        <v>17</v>
      </c>
      <c r="K239" s="1219">
        <v>43647</v>
      </c>
      <c r="L239" s="953">
        <v>43677</v>
      </c>
      <c r="M239" s="1055">
        <v>0.28920000000000001</v>
      </c>
      <c r="N239" s="1121">
        <f t="shared" si="40"/>
        <v>29545454.119999997</v>
      </c>
      <c r="O239" s="618">
        <f>O238+F130-H130-I130</f>
        <v>42207791.600000001</v>
      </c>
      <c r="P239" s="1122">
        <v>0</v>
      </c>
      <c r="Q239" s="241">
        <f t="shared" si="39"/>
        <v>6.9619256101671745E-4</v>
      </c>
      <c r="R239" s="159">
        <f t="shared" si="41"/>
        <v>0</v>
      </c>
    </row>
    <row r="240" spans="1:18" s="234" customFormat="1">
      <c r="A240" s="741">
        <v>18</v>
      </c>
      <c r="B240" s="1219">
        <v>43678</v>
      </c>
      <c r="C240" s="800">
        <v>43708</v>
      </c>
      <c r="D240" s="1055">
        <v>0.2898</v>
      </c>
      <c r="E240" s="1221">
        <f t="shared" si="36"/>
        <v>81044368.056835622</v>
      </c>
      <c r="F240" s="1122">
        <v>0</v>
      </c>
      <c r="G240" s="909">
        <f t="shared" si="37"/>
        <v>6.9746823462724095E-4</v>
      </c>
      <c r="H240" s="812">
        <f t="shared" si="38"/>
        <v>0</v>
      </c>
      <c r="I240" s="1115"/>
      <c r="J240" s="741">
        <v>18</v>
      </c>
      <c r="K240" s="1219">
        <v>43678</v>
      </c>
      <c r="L240" s="800">
        <v>43708</v>
      </c>
      <c r="M240" s="1055">
        <v>0.2898</v>
      </c>
      <c r="N240" s="1121">
        <f t="shared" si="40"/>
        <v>31156844.32</v>
      </c>
      <c r="O240" s="618">
        <f>O239+F131-H131-I131</f>
        <v>44509777.600000001</v>
      </c>
      <c r="P240" s="1122">
        <v>0</v>
      </c>
      <c r="Q240" s="241">
        <f t="shared" si="39"/>
        <v>6.9746823462724095E-4</v>
      </c>
      <c r="R240" s="159">
        <f t="shared" si="41"/>
        <v>0</v>
      </c>
    </row>
    <row r="241" spans="1:18" s="234" customFormat="1">
      <c r="A241" s="741">
        <v>19</v>
      </c>
      <c r="B241" s="1219">
        <v>43709</v>
      </c>
      <c r="C241" s="953">
        <v>43738</v>
      </c>
      <c r="D241" s="1055">
        <v>0.2898</v>
      </c>
      <c r="E241" s="1221">
        <f t="shared" si="36"/>
        <v>81044368.056835622</v>
      </c>
      <c r="F241" s="1122">
        <v>0</v>
      </c>
      <c r="G241" s="909">
        <f t="shared" si="37"/>
        <v>6.9746823462724095E-4</v>
      </c>
      <c r="H241" s="812">
        <f t="shared" si="38"/>
        <v>0</v>
      </c>
      <c r="I241" s="1115"/>
      <c r="J241" s="741">
        <v>19</v>
      </c>
      <c r="K241" s="1219">
        <v>43709</v>
      </c>
      <c r="L241" s="953">
        <v>43738</v>
      </c>
      <c r="M241" s="1055">
        <v>0.2898</v>
      </c>
      <c r="N241" s="1121">
        <f t="shared" si="40"/>
        <v>32768234.52</v>
      </c>
      <c r="O241" s="618">
        <f>O240+F132-H132-I132</f>
        <v>46811763.600000001</v>
      </c>
      <c r="P241" s="1122">
        <v>0</v>
      </c>
      <c r="Q241" s="241">
        <f t="shared" si="39"/>
        <v>6.9746823462724095E-4</v>
      </c>
      <c r="R241" s="159">
        <f t="shared" si="41"/>
        <v>0</v>
      </c>
    </row>
    <row r="242" spans="1:18" s="234" customFormat="1">
      <c r="A242" s="741">
        <v>20</v>
      </c>
      <c r="B242" s="1219">
        <v>43739</v>
      </c>
      <c r="C242" s="800">
        <v>43769</v>
      </c>
      <c r="D242" s="1055">
        <v>0.28649999999999998</v>
      </c>
      <c r="E242" s="1221">
        <f t="shared" si="36"/>
        <v>81044368.056835622</v>
      </c>
      <c r="F242" s="1122">
        <v>0</v>
      </c>
      <c r="G242" s="909">
        <f t="shared" si="37"/>
        <v>6.9044469314105683E-4</v>
      </c>
      <c r="H242" s="812">
        <f t="shared" si="38"/>
        <v>0</v>
      </c>
      <c r="I242" s="1115"/>
      <c r="J242" s="741">
        <v>20</v>
      </c>
      <c r="K242" s="1219">
        <v>43739</v>
      </c>
      <c r="L242" s="800">
        <v>43769</v>
      </c>
      <c r="M242" s="1055">
        <v>0.28649999999999998</v>
      </c>
      <c r="N242" s="1121">
        <f t="shared" si="40"/>
        <v>34379624.719999999</v>
      </c>
      <c r="O242" s="618">
        <f>O241+F133-H133-I133</f>
        <v>49113749.600000001</v>
      </c>
      <c r="P242" s="1122">
        <v>0</v>
      </c>
      <c r="Q242" s="241">
        <f t="shared" si="39"/>
        <v>6.9044469314105683E-4</v>
      </c>
      <c r="R242" s="159">
        <f t="shared" si="41"/>
        <v>0</v>
      </c>
    </row>
    <row r="243" spans="1:18" s="234" customFormat="1">
      <c r="A243" s="741">
        <v>21</v>
      </c>
      <c r="B243" s="1219">
        <v>43770</v>
      </c>
      <c r="C243" s="953">
        <v>43799</v>
      </c>
      <c r="D243" s="1055">
        <v>0.28544999999999998</v>
      </c>
      <c r="E243" s="1221">
        <f t="shared" si="36"/>
        <v>81044368.056835622</v>
      </c>
      <c r="F243" s="1122">
        <v>0</v>
      </c>
      <c r="G243" s="909">
        <f t="shared" si="37"/>
        <v>6.8820616169262827E-4</v>
      </c>
      <c r="H243" s="812">
        <f t="shared" si="38"/>
        <v>0</v>
      </c>
      <c r="I243" s="1115"/>
      <c r="J243" s="741">
        <v>21</v>
      </c>
      <c r="K243" s="1219">
        <v>43770</v>
      </c>
      <c r="L243" s="953">
        <v>43799</v>
      </c>
      <c r="M243" s="1055">
        <v>0.28544999999999998</v>
      </c>
      <c r="N243" s="1121">
        <f t="shared" si="40"/>
        <v>35991014.920000002</v>
      </c>
      <c r="O243" s="618">
        <f>O242+F134-H134-I134</f>
        <v>51415735.600000001</v>
      </c>
      <c r="P243" s="1122">
        <v>0</v>
      </c>
      <c r="Q243" s="241">
        <f t="shared" si="39"/>
        <v>6.8820616169262827E-4</v>
      </c>
      <c r="R243" s="159">
        <f t="shared" si="41"/>
        <v>0</v>
      </c>
    </row>
    <row r="244" spans="1:18" s="234" customFormat="1" ht="11.25" customHeight="1">
      <c r="A244" s="741">
        <v>22</v>
      </c>
      <c r="B244" s="1219">
        <v>43800</v>
      </c>
      <c r="C244" s="800">
        <v>43830</v>
      </c>
      <c r="D244" s="1055">
        <v>0.28364999999999996</v>
      </c>
      <c r="E244" s="1221">
        <f t="shared" si="36"/>
        <v>81044368.056835622</v>
      </c>
      <c r="F244" s="1122">
        <v>0</v>
      </c>
      <c r="G244" s="909">
        <f t="shared" si="37"/>
        <v>6.8436443340047504E-4</v>
      </c>
      <c r="H244" s="812">
        <f t="shared" si="38"/>
        <v>0</v>
      </c>
      <c r="I244" s="1115"/>
      <c r="J244" s="741">
        <v>22</v>
      </c>
      <c r="K244" s="1219">
        <v>43800</v>
      </c>
      <c r="L244" s="800">
        <v>43830</v>
      </c>
      <c r="M244" s="1055">
        <v>0.28364999999999996</v>
      </c>
      <c r="N244" s="1121">
        <f t="shared" si="40"/>
        <v>42875318.920000002</v>
      </c>
      <c r="O244" s="618">
        <f>O243+F135-H135-I135+F137+F138+F139+F140+F141</f>
        <v>61250455.600000001</v>
      </c>
      <c r="P244" s="1122">
        <v>0</v>
      </c>
      <c r="Q244" s="241">
        <f t="shared" si="39"/>
        <v>6.8436443340047504E-4</v>
      </c>
      <c r="R244" s="159">
        <f t="shared" si="41"/>
        <v>0</v>
      </c>
    </row>
    <row r="245" spans="1:18" s="234" customFormat="1">
      <c r="A245" s="741">
        <v>23</v>
      </c>
      <c r="B245" s="1219">
        <v>43831</v>
      </c>
      <c r="C245" s="953">
        <v>43861</v>
      </c>
      <c r="D245" s="1055">
        <v>0.28154999999999997</v>
      </c>
      <c r="E245" s="1221">
        <f t="shared" si="36"/>
        <v>81044368.056835622</v>
      </c>
      <c r="F245" s="1122">
        <v>0</v>
      </c>
      <c r="G245" s="909">
        <f t="shared" si="37"/>
        <v>6.7987562124560696E-4</v>
      </c>
      <c r="H245" s="812">
        <f t="shared" si="38"/>
        <v>0</v>
      </c>
      <c r="I245" s="1115"/>
      <c r="J245" s="741">
        <v>23</v>
      </c>
      <c r="K245" s="1219">
        <v>43831</v>
      </c>
      <c r="L245" s="953">
        <v>43861</v>
      </c>
      <c r="M245" s="1055">
        <v>0.28154999999999997</v>
      </c>
      <c r="N245" s="1121">
        <f t="shared" si="40"/>
        <v>44569107.519999996</v>
      </c>
      <c r="O245" s="618">
        <f>O244+F148-H146-I146</f>
        <v>63670153.600000001</v>
      </c>
      <c r="P245" s="1122">
        <v>0</v>
      </c>
      <c r="Q245" s="241">
        <f t="shared" si="39"/>
        <v>6.7987562124560696E-4</v>
      </c>
      <c r="R245" s="159">
        <f t="shared" si="41"/>
        <v>0</v>
      </c>
    </row>
    <row r="246" spans="1:18" s="234" customFormat="1">
      <c r="A246" s="741">
        <v>24</v>
      </c>
      <c r="B246" s="1219">
        <v>43862</v>
      </c>
      <c r="C246" s="800">
        <v>43889</v>
      </c>
      <c r="D246" s="1055">
        <v>0.28589999999999993</v>
      </c>
      <c r="E246" s="1221">
        <f t="shared" si="36"/>
        <v>81044368.056835622</v>
      </c>
      <c r="F246" s="1122">
        <v>0</v>
      </c>
      <c r="G246" s="909">
        <f t="shared" si="37"/>
        <v>6.8916575551658532E-4</v>
      </c>
      <c r="H246" s="812">
        <f t="shared" si="38"/>
        <v>0</v>
      </c>
      <c r="I246" s="1115"/>
      <c r="J246" s="741">
        <v>24</v>
      </c>
      <c r="K246" s="1219">
        <v>43862</v>
      </c>
      <c r="L246" s="800">
        <v>43889</v>
      </c>
      <c r="M246" s="1055">
        <v>0.28589999999999993</v>
      </c>
      <c r="N246" s="1121">
        <f t="shared" si="40"/>
        <v>46262896.119999997</v>
      </c>
      <c r="O246" s="618">
        <f>O245+F149-H147-I147</f>
        <v>66089851.600000001</v>
      </c>
      <c r="P246" s="1122">
        <v>0</v>
      </c>
      <c r="Q246" s="241">
        <f t="shared" si="39"/>
        <v>6.8916575551658532E-4</v>
      </c>
      <c r="R246" s="159">
        <f t="shared" si="41"/>
        <v>0</v>
      </c>
    </row>
    <row r="247" spans="1:18" s="234" customFormat="1">
      <c r="A247" s="741">
        <v>25</v>
      </c>
      <c r="B247" s="1219">
        <v>43891</v>
      </c>
      <c r="C247" s="953">
        <v>43921</v>
      </c>
      <c r="D247" s="1055">
        <v>0.28425</v>
      </c>
      <c r="E247" s="1221">
        <f t="shared" si="36"/>
        <v>81044368.056835622</v>
      </c>
      <c r="F247" s="1122">
        <v>0</v>
      </c>
      <c r="G247" s="909">
        <f t="shared" si="37"/>
        <v>6.8564560609574166E-4</v>
      </c>
      <c r="H247" s="812">
        <f t="shared" si="38"/>
        <v>0</v>
      </c>
      <c r="I247" s="1115"/>
      <c r="J247" s="741">
        <v>25</v>
      </c>
      <c r="K247" s="1219">
        <v>43891</v>
      </c>
      <c r="L247" s="953">
        <v>43921</v>
      </c>
      <c r="M247" s="1055">
        <v>0.28425</v>
      </c>
      <c r="N247" s="1121">
        <f t="shared" si="40"/>
        <v>47956684.719999991</v>
      </c>
      <c r="O247" s="618">
        <f>O246+F150-H148-I148</f>
        <v>68509549.599999994</v>
      </c>
      <c r="P247" s="1122">
        <v>0</v>
      </c>
      <c r="Q247" s="241">
        <f t="shared" si="39"/>
        <v>6.8564560609574166E-4</v>
      </c>
      <c r="R247" s="159">
        <f t="shared" si="41"/>
        <v>0</v>
      </c>
    </row>
    <row r="248" spans="1:18" s="234" customFormat="1">
      <c r="A248" s="741">
        <v>26</v>
      </c>
      <c r="B248" s="1219">
        <v>43922</v>
      </c>
      <c r="C248" s="800">
        <v>43951</v>
      </c>
      <c r="D248" s="1055">
        <v>0.28034999999999999</v>
      </c>
      <c r="E248" s="1221">
        <f t="shared" si="36"/>
        <v>81044368.056835622</v>
      </c>
      <c r="F248" s="1122">
        <v>0</v>
      </c>
      <c r="G248" s="909">
        <f t="shared" si="37"/>
        <v>6.7730729113191224E-4</v>
      </c>
      <c r="H248" s="812">
        <f t="shared" si="38"/>
        <v>0</v>
      </c>
      <c r="I248" s="1115"/>
      <c r="J248" s="741">
        <v>26</v>
      </c>
      <c r="K248" s="1219">
        <v>43922</v>
      </c>
      <c r="L248" s="800">
        <v>43951</v>
      </c>
      <c r="M248" s="1055">
        <v>0.28034999999999999</v>
      </c>
      <c r="N248" s="1121">
        <f t="shared" si="40"/>
        <v>49650473.319999993</v>
      </c>
      <c r="O248" s="618">
        <f>O247+F151-H149-I149</f>
        <v>70929247.599999994</v>
      </c>
      <c r="P248" s="1122">
        <v>0</v>
      </c>
      <c r="Q248" s="241">
        <f t="shared" si="39"/>
        <v>6.7730729113191224E-4</v>
      </c>
      <c r="R248" s="159">
        <f t="shared" si="41"/>
        <v>0</v>
      </c>
    </row>
    <row r="249" spans="1:18" ht="13.5">
      <c r="A249" s="741">
        <v>27</v>
      </c>
      <c r="B249" s="1219">
        <v>43952</v>
      </c>
      <c r="C249" s="953">
        <v>43981</v>
      </c>
      <c r="D249" s="1055">
        <v>0.27284999999999998</v>
      </c>
      <c r="E249" s="1221">
        <f t="shared" si="36"/>
        <v>81044368.056835622</v>
      </c>
      <c r="F249" s="1122">
        <v>0</v>
      </c>
      <c r="G249" s="909">
        <f t="shared" si="37"/>
        <v>6.6120063584418354E-4</v>
      </c>
      <c r="H249" s="812">
        <f t="shared" si="38"/>
        <v>0</v>
      </c>
      <c r="I249" s="1115"/>
      <c r="J249" s="741">
        <v>27</v>
      </c>
      <c r="K249" s="1219">
        <v>43952</v>
      </c>
      <c r="L249" s="953">
        <v>43981</v>
      </c>
      <c r="M249" s="1055">
        <v>0.27284999999999998</v>
      </c>
      <c r="N249" s="1121">
        <f t="shared" si="40"/>
        <v>51344261.919999994</v>
      </c>
      <c r="O249" s="618">
        <f>O248+F152-H150-I150</f>
        <v>73348945.599999994</v>
      </c>
      <c r="P249" s="1122">
        <v>0</v>
      </c>
      <c r="Q249" s="241">
        <f t="shared" si="39"/>
        <v>6.6120063584418354E-4</v>
      </c>
      <c r="R249" s="159">
        <f t="shared" si="41"/>
        <v>0</v>
      </c>
    </row>
    <row r="250" spans="1:18" ht="13.5">
      <c r="A250" s="741">
        <v>28</v>
      </c>
      <c r="B250" s="1219">
        <v>43983</v>
      </c>
      <c r="C250" s="800">
        <v>44012</v>
      </c>
      <c r="D250" s="1055">
        <v>0.27179999999999999</v>
      </c>
      <c r="E250" s="1221">
        <f t="shared" si="36"/>
        <v>81044368.056835622</v>
      </c>
      <c r="F250" s="1122">
        <v>0</v>
      </c>
      <c r="G250" s="909">
        <f t="shared" si="37"/>
        <v>6.5893815469997286E-4</v>
      </c>
      <c r="H250" s="812">
        <f t="shared" si="38"/>
        <v>0</v>
      </c>
      <c r="I250" s="1115"/>
      <c r="J250" s="741">
        <v>28</v>
      </c>
      <c r="K250" s="1219">
        <v>43983</v>
      </c>
      <c r="L250" s="800">
        <v>44012</v>
      </c>
      <c r="M250" s="1055">
        <v>0.27179999999999999</v>
      </c>
      <c r="N250" s="1121">
        <f>O250*70%</f>
        <v>53958654.819999993</v>
      </c>
      <c r="O250" s="618">
        <f>O249+F153-H151-I151+F160</f>
        <v>77083792.599999994</v>
      </c>
      <c r="P250" s="1122">
        <v>0</v>
      </c>
      <c r="Q250" s="241">
        <f t="shared" si="39"/>
        <v>6.5893815469997286E-4</v>
      </c>
      <c r="R250" s="159">
        <f t="shared" si="41"/>
        <v>0</v>
      </c>
    </row>
    <row r="251" spans="1:18" ht="13.5">
      <c r="A251" s="741">
        <v>29</v>
      </c>
      <c r="B251" s="1219">
        <v>44013</v>
      </c>
      <c r="C251" s="953">
        <v>44040</v>
      </c>
      <c r="D251" s="1055">
        <v>0.27179999999999999</v>
      </c>
      <c r="E251" s="1221">
        <f t="shared" si="36"/>
        <v>81044368.056835622</v>
      </c>
      <c r="F251" s="1122">
        <v>0</v>
      </c>
      <c r="G251" s="909">
        <f>((1+D251)^(1/365))-1</f>
        <v>6.5893815469997286E-4</v>
      </c>
      <c r="H251" s="812">
        <f>E251*F251*G251</f>
        <v>0</v>
      </c>
      <c r="I251" s="1115"/>
      <c r="J251" s="741">
        <v>29</v>
      </c>
      <c r="K251" s="1219">
        <v>44013</v>
      </c>
      <c r="L251" s="953">
        <v>44040</v>
      </c>
      <c r="M251" s="1055">
        <v>0.27179999999999999</v>
      </c>
      <c r="N251" s="1121">
        <f>O251*70%</f>
        <v>56296866.219999991</v>
      </c>
      <c r="O251" s="618">
        <f>O250+F154-H152-I152+F161</f>
        <v>80424094.599999994</v>
      </c>
      <c r="P251" s="1122">
        <v>0</v>
      </c>
      <c r="Q251" s="241">
        <f t="shared" si="39"/>
        <v>6.5893815469997286E-4</v>
      </c>
      <c r="R251" s="159">
        <f t="shared" si="41"/>
        <v>0</v>
      </c>
    </row>
    <row r="252" spans="1:18" ht="13.5">
      <c r="A252" s="741">
        <v>30</v>
      </c>
      <c r="B252" s="1219">
        <v>44041</v>
      </c>
      <c r="C252" s="953">
        <v>44043</v>
      </c>
      <c r="D252" s="1055">
        <v>0.27179999999999999</v>
      </c>
      <c r="E252" s="1221">
        <f t="shared" si="36"/>
        <v>81044368.056835622</v>
      </c>
      <c r="F252" s="1122">
        <f t="shared" ref="F252:F269" si="42">+_xlfn.DAYS(C252,B252)+1</f>
        <v>3</v>
      </c>
      <c r="G252" s="909">
        <f t="shared" si="37"/>
        <v>6.5893815469997286E-4</v>
      </c>
      <c r="H252" s="812">
        <f t="shared" si="38"/>
        <v>160209.67900859006</v>
      </c>
      <c r="I252" s="1115"/>
      <c r="J252" s="741">
        <v>30</v>
      </c>
      <c r="K252" s="1219">
        <v>44041</v>
      </c>
      <c r="L252" s="953">
        <v>44043</v>
      </c>
      <c r="M252" s="1055">
        <v>0.27179999999999999</v>
      </c>
      <c r="N252" s="1121">
        <f>O252*70%</f>
        <v>56333567.079999991</v>
      </c>
      <c r="O252" s="618">
        <f>+O251+(F154/30)*P252-H154-I154</f>
        <v>80476524.399999991</v>
      </c>
      <c r="P252" s="1239">
        <f t="shared" ref="P252:P269" si="43">+_xlfn.DAYS(L252,K252)+1</f>
        <v>3</v>
      </c>
      <c r="Q252" s="241">
        <f t="shared" si="39"/>
        <v>6.5893815469997286E-4</v>
      </c>
      <c r="R252" s="159">
        <f>N252*Q252*P252</f>
        <v>111361.010218087</v>
      </c>
    </row>
    <row r="253" spans="1:18" ht="13.5">
      <c r="A253" s="741">
        <v>31</v>
      </c>
      <c r="B253" s="1219">
        <v>44044</v>
      </c>
      <c r="C253" s="800">
        <v>44074</v>
      </c>
      <c r="D253" s="1055">
        <v>0.27434999999999998</v>
      </c>
      <c r="E253" s="1221">
        <f t="shared" si="36"/>
        <v>81044368.056835622</v>
      </c>
      <c r="F253" s="1122">
        <f t="shared" si="42"/>
        <v>31</v>
      </c>
      <c r="G253" s="909">
        <f t="shared" si="37"/>
        <v>6.6442952514544906E-4</v>
      </c>
      <c r="H253" s="812">
        <f t="shared" si="38"/>
        <v>1669296.4004952051</v>
      </c>
      <c r="I253" s="1115"/>
      <c r="J253" s="741">
        <v>31</v>
      </c>
      <c r="K253" s="1219">
        <v>44044</v>
      </c>
      <c r="L253" s="800">
        <v>44074</v>
      </c>
      <c r="M253" s="1055">
        <v>0.27434999999999998</v>
      </c>
      <c r="N253" s="1121">
        <f t="shared" si="40"/>
        <v>58027355.679999992</v>
      </c>
      <c r="O253" s="618">
        <f>O252+F155-H153-I153</f>
        <v>82896222.399999991</v>
      </c>
      <c r="P253" s="1239">
        <f t="shared" si="43"/>
        <v>31</v>
      </c>
      <c r="Q253" s="241">
        <f t="shared" si="39"/>
        <v>6.6442952514544906E-4</v>
      </c>
      <c r="R253" s="159">
        <f>N253*Q253*P253</f>
        <v>1195207.7397771627</v>
      </c>
    </row>
    <row r="254" spans="1:18" ht="13.5">
      <c r="A254" s="741">
        <v>32</v>
      </c>
      <c r="B254" s="1219">
        <v>44075</v>
      </c>
      <c r="C254" s="953">
        <v>44104</v>
      </c>
      <c r="D254" s="1055">
        <v>0.27524999999999999</v>
      </c>
      <c r="E254" s="1221">
        <f t="shared" si="36"/>
        <v>81044368.056835622</v>
      </c>
      <c r="F254" s="1122">
        <f t="shared" si="42"/>
        <v>30</v>
      </c>
      <c r="G254" s="909">
        <f t="shared" si="37"/>
        <v>6.6636503991857055E-4</v>
      </c>
      <c r="H254" s="812">
        <f t="shared" si="38"/>
        <v>1620154.0066610577</v>
      </c>
      <c r="I254" s="1115"/>
      <c r="J254" s="741">
        <v>32</v>
      </c>
      <c r="K254" s="1219">
        <v>44075</v>
      </c>
      <c r="L254" s="953">
        <v>44104</v>
      </c>
      <c r="M254" s="1055">
        <v>0.27524999999999999</v>
      </c>
      <c r="N254" s="1121">
        <f t="shared" si="40"/>
        <v>59721144.279999986</v>
      </c>
      <c r="O254" s="618">
        <f>O253+F156-H154-I154</f>
        <v>85315920.399999991</v>
      </c>
      <c r="P254" s="1239">
        <f t="shared" si="43"/>
        <v>30</v>
      </c>
      <c r="Q254" s="241">
        <f t="shared" si="39"/>
        <v>6.6636503991857055E-4</v>
      </c>
      <c r="R254" s="159">
        <f t="shared" si="41"/>
        <v>1193882.4807637471</v>
      </c>
    </row>
    <row r="255" spans="1:18" ht="13.5">
      <c r="A255" s="741">
        <v>33</v>
      </c>
      <c r="B255" s="1219">
        <v>44105</v>
      </c>
      <c r="C255" s="800">
        <v>44135</v>
      </c>
      <c r="D255" s="1055">
        <v>0.27134999999999998</v>
      </c>
      <c r="E255" s="1221">
        <f t="shared" si="36"/>
        <v>81044368.056835622</v>
      </c>
      <c r="F255" s="1122">
        <f t="shared" si="42"/>
        <v>31</v>
      </c>
      <c r="G255" s="909">
        <f t="shared" si="37"/>
        <v>6.5796794962613703E-4</v>
      </c>
      <c r="H255" s="812">
        <f t="shared" si="38"/>
        <v>1653062.4970521659</v>
      </c>
      <c r="I255" s="1115"/>
      <c r="J255" s="741">
        <v>33</v>
      </c>
      <c r="K255" s="1219">
        <v>44105</v>
      </c>
      <c r="L255" s="800">
        <v>44135</v>
      </c>
      <c r="M255" s="1055">
        <v>0.27134999999999998</v>
      </c>
      <c r="N255" s="1121">
        <f t="shared" si="40"/>
        <v>61414932.879999988</v>
      </c>
      <c r="O255" s="618">
        <f>O254+F157-H155-I155</f>
        <v>87735618.399999991</v>
      </c>
      <c r="P255" s="1239">
        <f t="shared" si="43"/>
        <v>31</v>
      </c>
      <c r="Q255" s="241">
        <f t="shared" si="39"/>
        <v>6.5796794962613703E-4</v>
      </c>
      <c r="R255" s="159">
        <f t="shared" si="41"/>
        <v>1252680.7813678931</v>
      </c>
    </row>
    <row r="256" spans="1:18" ht="13.5">
      <c r="A256" s="741">
        <v>34</v>
      </c>
      <c r="B256" s="1219">
        <v>44136</v>
      </c>
      <c r="C256" s="953">
        <v>44165</v>
      </c>
      <c r="D256" s="1055">
        <v>0.2676</v>
      </c>
      <c r="E256" s="1221">
        <f t="shared" si="36"/>
        <v>81044368.056835622</v>
      </c>
      <c r="F256" s="1122">
        <f t="shared" si="42"/>
        <v>30</v>
      </c>
      <c r="G256" s="909">
        <f t="shared" si="37"/>
        <v>6.4986956374091243E-4</v>
      </c>
      <c r="H256" s="812">
        <f t="shared" si="38"/>
        <v>1580048.0433826111</v>
      </c>
      <c r="I256" s="1115"/>
      <c r="J256" s="741">
        <v>34</v>
      </c>
      <c r="K256" s="1219">
        <v>44136</v>
      </c>
      <c r="L256" s="953">
        <v>44165</v>
      </c>
      <c r="M256" s="1055">
        <v>0.2676</v>
      </c>
      <c r="N256" s="1121">
        <f t="shared" si="40"/>
        <v>63108721.479999989</v>
      </c>
      <c r="O256" s="618">
        <f>O255+F158-H156-I156</f>
        <v>90155316.399999991</v>
      </c>
      <c r="P256" s="1239">
        <f t="shared" si="43"/>
        <v>30</v>
      </c>
      <c r="Q256" s="241">
        <f t="shared" si="39"/>
        <v>6.4986956374091243E-4</v>
      </c>
      <c r="R256" s="159">
        <f t="shared" si="41"/>
        <v>1230373.1188936303</v>
      </c>
    </row>
    <row r="257" spans="1:18" ht="13.5">
      <c r="A257" s="741">
        <v>35</v>
      </c>
      <c r="B257" s="1219">
        <v>44166</v>
      </c>
      <c r="C257" s="800">
        <v>44196</v>
      </c>
      <c r="D257" s="1055">
        <v>0.26189999999999997</v>
      </c>
      <c r="E257" s="1221">
        <f t="shared" si="36"/>
        <v>81044368.056835622</v>
      </c>
      <c r="F257" s="1122">
        <f t="shared" si="42"/>
        <v>31</v>
      </c>
      <c r="G257" s="909">
        <f t="shared" si="37"/>
        <v>6.3751414410861962E-4</v>
      </c>
      <c r="H257" s="812">
        <f t="shared" si="38"/>
        <v>1601674.8590339029</v>
      </c>
      <c r="I257" s="1115"/>
      <c r="J257" s="741">
        <v>35</v>
      </c>
      <c r="K257" s="1219">
        <v>44166</v>
      </c>
      <c r="L257" s="800">
        <v>44196</v>
      </c>
      <c r="M257" s="1055">
        <v>0.26189999999999997</v>
      </c>
      <c r="N257" s="1121">
        <f>O257*70%</f>
        <v>70345397.779999986</v>
      </c>
      <c r="O257" s="618">
        <f>O256+F159-H157-I157+F161+F162+F163+F164+F165</f>
        <v>100493425.39999999</v>
      </c>
      <c r="P257" s="1239">
        <f t="shared" si="43"/>
        <v>31</v>
      </c>
      <c r="Q257" s="241">
        <f t="shared" si="39"/>
        <v>6.3751414410861962E-4</v>
      </c>
      <c r="R257" s="159">
        <f t="shared" si="41"/>
        <v>1390231.7677886095</v>
      </c>
    </row>
    <row r="258" spans="1:18" ht="13.5">
      <c r="A258" s="741">
        <v>36</v>
      </c>
      <c r="B258" s="1219">
        <v>44197</v>
      </c>
      <c r="C258" s="953">
        <v>44227</v>
      </c>
      <c r="D258" s="1055">
        <v>0.25979999999999998</v>
      </c>
      <c r="E258" s="1221">
        <f t="shared" si="36"/>
        <v>81044368.056835622</v>
      </c>
      <c r="F258" s="1122">
        <f t="shared" si="42"/>
        <v>31</v>
      </c>
      <c r="G258" s="909">
        <f t="shared" si="37"/>
        <v>6.3294811266723094E-4</v>
      </c>
      <c r="H258" s="812">
        <f t="shared" si="38"/>
        <v>1590203.2739203584</v>
      </c>
      <c r="I258" s="1115"/>
      <c r="J258" s="741">
        <v>36</v>
      </c>
      <c r="K258" s="1219">
        <v>44197</v>
      </c>
      <c r="L258" s="953">
        <v>44227</v>
      </c>
      <c r="M258" s="1055">
        <v>0.25979999999999998</v>
      </c>
      <c r="N258" s="1121">
        <f>O258*70%</f>
        <v>72112476.379999995</v>
      </c>
      <c r="O258" s="618">
        <f>O257+F172-H170-I170</f>
        <v>103017823.39999999</v>
      </c>
      <c r="P258" s="1239">
        <f t="shared" si="43"/>
        <v>31</v>
      </c>
      <c r="Q258" s="241">
        <f t="shared" si="39"/>
        <v>6.3294811266723094E-4</v>
      </c>
      <c r="R258" s="159">
        <f t="shared" si="41"/>
        <v>1414947.1305589192</v>
      </c>
    </row>
    <row r="259" spans="1:18" ht="13.5">
      <c r="A259" s="741">
        <v>37</v>
      </c>
      <c r="B259" s="1219">
        <v>44228</v>
      </c>
      <c r="C259" s="800">
        <v>44255</v>
      </c>
      <c r="D259" s="1055">
        <v>0.2631</v>
      </c>
      <c r="E259" s="1221">
        <f t="shared" si="36"/>
        <v>81044368.056835622</v>
      </c>
      <c r="F259" s="1122">
        <f t="shared" si="42"/>
        <v>28</v>
      </c>
      <c r="G259" s="909">
        <f t="shared" si="37"/>
        <v>6.4011990387169426E-4</v>
      </c>
      <c r="H259" s="812">
        <f t="shared" si="38"/>
        <v>1452587.1665167471</v>
      </c>
      <c r="I259" s="1115"/>
      <c r="J259" s="741">
        <v>37</v>
      </c>
      <c r="K259" s="1219">
        <v>44228</v>
      </c>
      <c r="L259" s="800">
        <v>44255</v>
      </c>
      <c r="M259" s="1055">
        <v>0.2631</v>
      </c>
      <c r="N259" s="1121">
        <f>O259*70%</f>
        <v>73866077.879999995</v>
      </c>
      <c r="O259" s="618">
        <f>O258+F173-H171-I171</f>
        <v>105522968.39999999</v>
      </c>
      <c r="P259" s="1239">
        <f t="shared" si="43"/>
        <v>28</v>
      </c>
      <c r="Q259" s="241">
        <f t="shared" si="39"/>
        <v>6.4011990387169426E-4</v>
      </c>
      <c r="R259" s="159">
        <f t="shared" si="41"/>
        <v>1323928.1068138911</v>
      </c>
    </row>
    <row r="260" spans="1:18" ht="13.5">
      <c r="A260" s="741">
        <v>38</v>
      </c>
      <c r="B260" s="1219">
        <v>44256</v>
      </c>
      <c r="C260" s="953">
        <v>44286</v>
      </c>
      <c r="D260" s="1055">
        <v>0.26114999999999999</v>
      </c>
      <c r="E260" s="1221">
        <f t="shared" si="36"/>
        <v>81044368.056835622</v>
      </c>
      <c r="F260" s="1122">
        <f t="shared" si="42"/>
        <v>31</v>
      </c>
      <c r="G260" s="909">
        <f t="shared" si="37"/>
        <v>6.3588428907812578E-4</v>
      </c>
      <c r="H260" s="812">
        <f t="shared" si="38"/>
        <v>1597580.0513338135</v>
      </c>
      <c r="I260" s="1115"/>
      <c r="J260" s="741">
        <v>38</v>
      </c>
      <c r="K260" s="1219">
        <v>44256</v>
      </c>
      <c r="L260" s="953">
        <v>44286</v>
      </c>
      <c r="M260" s="1055">
        <v>0.26114999999999999</v>
      </c>
      <c r="N260" s="1121">
        <f>O260*70%</f>
        <v>75615228.779999986</v>
      </c>
      <c r="O260" s="618">
        <f>O259+F174-H172-I172</f>
        <v>108021755.39999999</v>
      </c>
      <c r="P260" s="1239">
        <f t="shared" si="43"/>
        <v>31</v>
      </c>
      <c r="Q260" s="241">
        <f t="shared" si="39"/>
        <v>6.3588428907812578E-4</v>
      </c>
      <c r="R260" s="159">
        <f t="shared" si="41"/>
        <v>1490558.6158837539</v>
      </c>
    </row>
    <row r="261" spans="1:18" ht="13.5">
      <c r="A261" s="741">
        <v>39</v>
      </c>
      <c r="B261" s="1219">
        <v>44287</v>
      </c>
      <c r="C261" s="800">
        <v>44316</v>
      </c>
      <c r="D261" s="1055">
        <f>17.31*1.5%</f>
        <v>0.25964999999999999</v>
      </c>
      <c r="E261" s="1221">
        <f t="shared" si="36"/>
        <v>81044368.056835622</v>
      </c>
      <c r="F261" s="1122">
        <f t="shared" si="42"/>
        <v>30</v>
      </c>
      <c r="G261" s="909">
        <f t="shared" si="37"/>
        <v>6.326216771728177E-4</v>
      </c>
      <c r="H261" s="812">
        <f t="shared" si="38"/>
        <v>1538112.7213657945</v>
      </c>
      <c r="I261" s="1115"/>
      <c r="J261" s="741">
        <v>39</v>
      </c>
      <c r="K261" s="1219">
        <v>44287</v>
      </c>
      <c r="L261" s="800">
        <v>44316</v>
      </c>
      <c r="M261" s="1055">
        <f>17.31*1.5%</f>
        <v>0.25964999999999999</v>
      </c>
      <c r="N261" s="1121">
        <f t="shared" si="40"/>
        <v>75615228.779999986</v>
      </c>
      <c r="O261" s="618">
        <f>O260</f>
        <v>108021755.39999999</v>
      </c>
      <c r="P261" s="1239">
        <f t="shared" si="43"/>
        <v>30</v>
      </c>
      <c r="Q261" s="241">
        <f t="shared" si="39"/>
        <v>6.326216771728177E-4</v>
      </c>
      <c r="R261" s="159">
        <f t="shared" si="41"/>
        <v>1435074.9855182972</v>
      </c>
    </row>
    <row r="262" spans="1:18" ht="13.5">
      <c r="A262" s="741">
        <v>40</v>
      </c>
      <c r="B262" s="1219">
        <v>44317</v>
      </c>
      <c r="C262" s="800">
        <v>44347</v>
      </c>
      <c r="D262" s="1055">
        <f>17.22*1.5%</f>
        <v>0.25829999999999997</v>
      </c>
      <c r="E262" s="1221">
        <f t="shared" si="36"/>
        <v>81044368.056835622</v>
      </c>
      <c r="F262" s="1122">
        <f t="shared" si="42"/>
        <v>31</v>
      </c>
      <c r="G262" s="909">
        <f t="shared" si="37"/>
        <v>6.2968201205726437E-4</v>
      </c>
      <c r="H262" s="812">
        <f t="shared" si="38"/>
        <v>1581997.60306207</v>
      </c>
      <c r="I262" s="1115"/>
      <c r="J262" s="741">
        <v>40</v>
      </c>
      <c r="K262" s="1219">
        <v>44317</v>
      </c>
      <c r="L262" s="800">
        <v>44347</v>
      </c>
      <c r="M262" s="1055">
        <f>17.22*1.5%</f>
        <v>0.25829999999999997</v>
      </c>
      <c r="N262" s="1121">
        <f t="shared" si="40"/>
        <v>75615228.779999986</v>
      </c>
      <c r="O262" s="618">
        <f t="shared" ref="O262:O269" si="44">O261</f>
        <v>108021755.39999999</v>
      </c>
      <c r="P262" s="1239">
        <f t="shared" si="43"/>
        <v>31</v>
      </c>
      <c r="Q262" s="241">
        <f t="shared" si="39"/>
        <v>6.2968201205726437E-4</v>
      </c>
      <c r="R262" s="159">
        <f t="shared" si="41"/>
        <v>1476020.0314111833</v>
      </c>
    </row>
    <row r="263" spans="1:18" ht="13.5">
      <c r="A263" s="741">
        <v>41</v>
      </c>
      <c r="B263" s="1219">
        <v>44348</v>
      </c>
      <c r="C263" s="800">
        <v>44377</v>
      </c>
      <c r="D263" s="1055">
        <f>17.21*1.5%</f>
        <v>0.25814999999999999</v>
      </c>
      <c r="E263" s="1221">
        <f t="shared" si="36"/>
        <v>81044368.056835622</v>
      </c>
      <c r="F263" s="1122">
        <f t="shared" si="42"/>
        <v>30</v>
      </c>
      <c r="G263" s="909">
        <f t="shared" si="37"/>
        <v>6.2935518846773952E-4</v>
      </c>
      <c r="H263" s="812">
        <f t="shared" si="38"/>
        <v>1530170.805979759</v>
      </c>
      <c r="I263" s="1115"/>
      <c r="J263" s="741">
        <v>41</v>
      </c>
      <c r="K263" s="1219">
        <v>44348</v>
      </c>
      <c r="L263" s="800">
        <v>44377</v>
      </c>
      <c r="M263" s="1055">
        <f>17.21*1.5%</f>
        <v>0.25814999999999999</v>
      </c>
      <c r="N263" s="1121">
        <f t="shared" si="40"/>
        <v>75615228.779999986</v>
      </c>
      <c r="O263" s="618">
        <f t="shared" si="44"/>
        <v>108021755.39999999</v>
      </c>
      <c r="P263" s="1239">
        <f t="shared" si="43"/>
        <v>30</v>
      </c>
      <c r="Q263" s="241">
        <f t="shared" si="39"/>
        <v>6.2935518846773952E-4</v>
      </c>
      <c r="R263" s="159">
        <f t="shared" si="41"/>
        <v>1427665.0967960439</v>
      </c>
    </row>
    <row r="264" spans="1:18" ht="13.5">
      <c r="A264" s="741">
        <v>42</v>
      </c>
      <c r="B264" s="1219">
        <v>44378</v>
      </c>
      <c r="C264" s="800">
        <v>44408</v>
      </c>
      <c r="D264" s="1055">
        <f>17.18%*1.5</f>
        <v>0.25770000000000004</v>
      </c>
      <c r="E264" s="1221">
        <f t="shared" si="36"/>
        <v>81044368.056835622</v>
      </c>
      <c r="F264" s="1122">
        <f t="shared" si="42"/>
        <v>31</v>
      </c>
      <c r="G264" s="909">
        <f t="shared" si="37"/>
        <v>6.2837448450037137E-4</v>
      </c>
      <c r="H264" s="812">
        <f t="shared" si="38"/>
        <v>1578712.602980546</v>
      </c>
      <c r="I264" s="1115"/>
      <c r="J264" s="741">
        <v>42</v>
      </c>
      <c r="K264" s="1219">
        <v>44378</v>
      </c>
      <c r="L264" s="800">
        <v>44408</v>
      </c>
      <c r="M264" s="1055">
        <f>17.18%*1.5</f>
        <v>0.25770000000000004</v>
      </c>
      <c r="N264" s="1121">
        <f t="shared" si="40"/>
        <v>75615228.779999986</v>
      </c>
      <c r="O264" s="618">
        <f t="shared" si="44"/>
        <v>108021755.39999999</v>
      </c>
      <c r="P264" s="1239">
        <f t="shared" si="43"/>
        <v>31</v>
      </c>
      <c r="Q264" s="241">
        <f t="shared" si="39"/>
        <v>6.2837448450037137E-4</v>
      </c>
      <c r="R264" s="159">
        <f t="shared" si="41"/>
        <v>1472955.0925553141</v>
      </c>
    </row>
    <row r="265" spans="1:18" ht="13.5">
      <c r="A265" s="741">
        <v>43</v>
      </c>
      <c r="B265" s="1219">
        <v>44409</v>
      </c>
      <c r="C265" s="800">
        <v>44439</v>
      </c>
      <c r="D265" s="1055">
        <f>17.24*1.5%</f>
        <v>0.25859999999999994</v>
      </c>
      <c r="E265" s="1221">
        <f t="shared" si="36"/>
        <v>81044368.056835622</v>
      </c>
      <c r="F265" s="1122">
        <f t="shared" si="42"/>
        <v>31</v>
      </c>
      <c r="G265" s="909">
        <f t="shared" si="37"/>
        <v>6.3033554269220637E-4</v>
      </c>
      <c r="H265" s="812">
        <f t="shared" si="38"/>
        <v>1583639.5173588244</v>
      </c>
      <c r="I265" s="1115"/>
      <c r="J265" s="741">
        <v>43</v>
      </c>
      <c r="K265" s="1219">
        <v>44409</v>
      </c>
      <c r="L265" s="800">
        <v>44439</v>
      </c>
      <c r="M265" s="1055">
        <f>17.24*1.5%</f>
        <v>0.25859999999999994</v>
      </c>
      <c r="N265" s="1121">
        <f t="shared" si="40"/>
        <v>75615228.779999986</v>
      </c>
      <c r="O265" s="618">
        <f t="shared" si="44"/>
        <v>108021755.39999999</v>
      </c>
      <c r="P265" s="1239">
        <f t="shared" si="43"/>
        <v>31</v>
      </c>
      <c r="Q265" s="241">
        <f t="shared" si="39"/>
        <v>6.3033554269220637E-4</v>
      </c>
      <c r="R265" s="159">
        <f t="shared" si="41"/>
        <v>1477551.9543339359</v>
      </c>
    </row>
    <row r="266" spans="1:18" ht="13.5">
      <c r="A266" s="741">
        <v>44</v>
      </c>
      <c r="B266" s="1219">
        <v>44440</v>
      </c>
      <c r="C266" s="800">
        <v>44469</v>
      </c>
      <c r="D266" s="1055">
        <f>17.19*1.5%</f>
        <v>0.25785000000000002</v>
      </c>
      <c r="E266" s="1221">
        <f t="shared" si="36"/>
        <v>81044368.056835622</v>
      </c>
      <c r="F266" s="1122">
        <f t="shared" si="42"/>
        <v>30</v>
      </c>
      <c r="G266" s="909">
        <f t="shared" si="37"/>
        <v>6.2870142469861889E-4</v>
      </c>
      <c r="H266" s="812">
        <f t="shared" si="38"/>
        <v>1528581.2898339538</v>
      </c>
      <c r="I266" s="1115"/>
      <c r="J266" s="741">
        <v>44</v>
      </c>
      <c r="K266" s="1219">
        <v>44440</v>
      </c>
      <c r="L266" s="800">
        <v>44469</v>
      </c>
      <c r="M266" s="1055">
        <f>17.19*1.5%</f>
        <v>0.25785000000000002</v>
      </c>
      <c r="N266" s="1121">
        <f t="shared" si="40"/>
        <v>75615228.779999986</v>
      </c>
      <c r="O266" s="618">
        <f t="shared" si="44"/>
        <v>108021755.39999999</v>
      </c>
      <c r="P266" s="1239">
        <f t="shared" si="43"/>
        <v>30</v>
      </c>
      <c r="Q266" s="241">
        <f t="shared" si="39"/>
        <v>6.2870142469861889E-4</v>
      </c>
      <c r="R266" s="159">
        <f t="shared" si="41"/>
        <v>1426182.0618869399</v>
      </c>
    </row>
    <row r="267" spans="1:18" ht="13.5">
      <c r="A267" s="741">
        <v>45</v>
      </c>
      <c r="B267" s="1219">
        <v>44470</v>
      </c>
      <c r="C267" s="800">
        <v>44500</v>
      </c>
      <c r="D267" s="1053">
        <f>17.08*1.5%</f>
        <v>0.25619999999999998</v>
      </c>
      <c r="E267" s="1221">
        <f t="shared" si="36"/>
        <v>81044368.056835622</v>
      </c>
      <c r="F267" s="1122">
        <f t="shared" si="42"/>
        <v>31</v>
      </c>
      <c r="G267" s="909">
        <f t="shared" si="37"/>
        <v>6.2510294214179751E-4</v>
      </c>
      <c r="H267" s="812">
        <f t="shared" si="38"/>
        <v>1570493.2604068704</v>
      </c>
      <c r="I267" s="1115"/>
      <c r="J267" s="741">
        <v>45</v>
      </c>
      <c r="K267" s="1219">
        <v>44470</v>
      </c>
      <c r="L267" s="800">
        <v>44500</v>
      </c>
      <c r="M267" s="1053">
        <f>17.08*1.5%</f>
        <v>0.25619999999999998</v>
      </c>
      <c r="N267" s="1121">
        <f t="shared" si="40"/>
        <v>75615228.779999986</v>
      </c>
      <c r="O267" s="618">
        <f t="shared" si="44"/>
        <v>108021755.39999999</v>
      </c>
      <c r="P267" s="1239">
        <f t="shared" si="43"/>
        <v>31</v>
      </c>
      <c r="Q267" s="241">
        <f t="shared" si="39"/>
        <v>6.2510294214179751E-4</v>
      </c>
      <c r="R267" s="159">
        <f t="shared" si="41"/>
        <v>1465286.3614141964</v>
      </c>
    </row>
    <row r="268" spans="1:18" ht="13.5">
      <c r="A268" s="741">
        <v>46</v>
      </c>
      <c r="B268" s="1219">
        <v>44501</v>
      </c>
      <c r="C268" s="800">
        <v>44530</v>
      </c>
      <c r="D268" s="1053">
        <f>17.27*1.5%</f>
        <v>0.25905</v>
      </c>
      <c r="E268" s="1221">
        <f t="shared" si="36"/>
        <v>81044368.056835622</v>
      </c>
      <c r="F268" s="1122">
        <f t="shared" si="42"/>
        <v>30</v>
      </c>
      <c r="G268" s="909">
        <f>((1+D268)^(1/365))-1</f>
        <v>6.3131554742335005E-4</v>
      </c>
      <c r="H268" s="812">
        <f>E268*F268*G268</f>
        <v>1534937.0875614192</v>
      </c>
      <c r="I268" s="1115"/>
      <c r="J268" s="741">
        <v>46</v>
      </c>
      <c r="K268" s="1219">
        <v>44501</v>
      </c>
      <c r="L268" s="800">
        <v>44530</v>
      </c>
      <c r="M268" s="1053">
        <f>17.27*1.5%</f>
        <v>0.25905</v>
      </c>
      <c r="N268" s="1121">
        <f>O268*70%</f>
        <v>75615228.779999986</v>
      </c>
      <c r="O268" s="618">
        <f t="shared" si="44"/>
        <v>108021755.39999999</v>
      </c>
      <c r="P268" s="1239">
        <f t="shared" si="43"/>
        <v>30</v>
      </c>
      <c r="Q268" s="241">
        <f>((1+M268)^(1/365))-1</f>
        <v>6.3131554742335005E-4</v>
      </c>
      <c r="R268" s="159">
        <f>N268*Q268*P268</f>
        <v>1432112.0865236262</v>
      </c>
    </row>
    <row r="269" spans="1:18" ht="13.5">
      <c r="A269" s="741">
        <v>47</v>
      </c>
      <c r="B269" s="1219">
        <v>44531</v>
      </c>
      <c r="C269" s="800">
        <v>44543</v>
      </c>
      <c r="D269" s="1053">
        <f>17.46*1.5%</f>
        <v>0.26190000000000002</v>
      </c>
      <c r="E269" s="1221">
        <f t="shared" si="36"/>
        <v>81044368.056835622</v>
      </c>
      <c r="F269" s="1122">
        <f t="shared" si="42"/>
        <v>13</v>
      </c>
      <c r="G269" s="909">
        <f>((1+D269)^(1/365))-1</f>
        <v>6.3751414410861962E-4</v>
      </c>
      <c r="H269" s="812">
        <f>E269*F269*G269</f>
        <v>671670.10217550769</v>
      </c>
      <c r="I269" s="1115"/>
      <c r="J269" s="741">
        <v>47</v>
      </c>
      <c r="K269" s="800">
        <v>44531</v>
      </c>
      <c r="L269" s="800">
        <v>44543</v>
      </c>
      <c r="M269" s="1053">
        <f>17.46*1.5%</f>
        <v>0.26190000000000002</v>
      </c>
      <c r="N269" s="1121">
        <f>O269*70%</f>
        <v>75615228.779999986</v>
      </c>
      <c r="O269" s="618">
        <f t="shared" si="44"/>
        <v>108021755.39999999</v>
      </c>
      <c r="P269" s="1239">
        <f t="shared" si="43"/>
        <v>13</v>
      </c>
      <c r="Q269" s="241">
        <f>((1+M269)^(1/365))-1</f>
        <v>6.3751414410861962E-4</v>
      </c>
      <c r="R269" s="159">
        <f>N269*Q269*P269</f>
        <v>626675.11214436905</v>
      </c>
    </row>
    <row r="270" spans="1:18" ht="13.5">
      <c r="A270" s="814"/>
      <c r="B270" s="814"/>
      <c r="C270" s="1051"/>
      <c r="D270" s="814"/>
      <c r="E270" s="814"/>
      <c r="F270" s="1226" t="s">
        <v>662</v>
      </c>
      <c r="G270" s="1227"/>
      <c r="H270" s="1121">
        <f>SUM(H222:H269)</f>
        <v>26973783.623740237</v>
      </c>
      <c r="I270" s="1115"/>
      <c r="J270" s="1051"/>
      <c r="K270" s="1228"/>
      <c r="L270" s="1228"/>
      <c r="M270" s="1229"/>
      <c r="N270" s="1118"/>
      <c r="O270" s="2655" t="s">
        <v>662</v>
      </c>
      <c r="P270" s="2655"/>
      <c r="Q270" s="2656"/>
      <c r="R270" s="618">
        <f>SUM(R222:R269)</f>
        <v>22881263.581071708</v>
      </c>
    </row>
    <row r="271" spans="1:18" ht="14.25" thickBot="1">
      <c r="A271" s="814"/>
      <c r="B271" s="2657" t="s">
        <v>663</v>
      </c>
      <c r="C271" s="2658"/>
      <c r="D271" s="2659"/>
      <c r="E271" s="741"/>
      <c r="F271" s="814"/>
      <c r="G271" s="814"/>
      <c r="H271" s="814"/>
      <c r="I271" s="1051"/>
      <c r="J271" s="1051"/>
      <c r="K271" s="1051"/>
      <c r="L271" s="1051"/>
      <c r="M271" s="1051"/>
      <c r="N271" s="1051"/>
    </row>
    <row r="272" spans="1:18" ht="14.25" thickBot="1">
      <c r="A272" s="814"/>
      <c r="B272" s="1230" t="s">
        <v>356</v>
      </c>
      <c r="C272" s="1231"/>
      <c r="D272" s="1232"/>
      <c r="E272" s="1160">
        <f>E219</f>
        <v>81044368.056835622</v>
      </c>
      <c r="F272" s="814"/>
      <c r="G272" s="814"/>
      <c r="H272" s="814"/>
      <c r="I272" s="1051"/>
      <c r="J272" s="1051"/>
      <c r="K272" s="1233" t="s">
        <v>346</v>
      </c>
      <c r="L272" s="1196"/>
      <c r="M272" s="1197"/>
      <c r="N272" s="741"/>
      <c r="O272" s="234"/>
    </row>
    <row r="273" spans="1:15" ht="13.5">
      <c r="A273" s="814"/>
      <c r="B273" s="1198" t="s">
        <v>205</v>
      </c>
      <c r="C273" s="1199"/>
      <c r="D273" s="1200"/>
      <c r="E273" s="1161">
        <f>H270</f>
        <v>26973783.623740237</v>
      </c>
      <c r="F273" s="814"/>
      <c r="G273" s="814"/>
      <c r="H273" s="814"/>
      <c r="I273" s="1051"/>
      <c r="J273" s="1051"/>
      <c r="K273" s="1230" t="s">
        <v>356</v>
      </c>
      <c r="L273" s="1231"/>
      <c r="M273" s="1232"/>
      <c r="N273" s="1160">
        <f>N220</f>
        <v>87042091.751052588</v>
      </c>
      <c r="O273" s="619"/>
    </row>
    <row r="274" spans="1:15" ht="14.25" thickBot="1">
      <c r="A274" s="814"/>
      <c r="B274" s="1162" t="s">
        <v>61</v>
      </c>
      <c r="C274" s="1163"/>
      <c r="D274" s="1164"/>
      <c r="E274" s="1165">
        <f>SUM(E272:E273)</f>
        <v>108018151.68057586</v>
      </c>
      <c r="F274" s="1051"/>
      <c r="G274" s="814"/>
      <c r="H274" s="1051"/>
      <c r="I274" s="1051"/>
      <c r="J274" s="1051"/>
      <c r="K274" s="1198" t="s">
        <v>205</v>
      </c>
      <c r="L274" s="1199"/>
      <c r="M274" s="1200"/>
      <c r="N274" s="1161">
        <f>R270</f>
        <v>22881263.581071708</v>
      </c>
      <c r="O274" s="541"/>
    </row>
    <row r="275" spans="1:15" ht="14.25" thickBot="1">
      <c r="A275" s="814"/>
      <c r="B275" s="814"/>
      <c r="C275" s="1051"/>
      <c r="D275" s="814"/>
      <c r="E275" s="814"/>
      <c r="F275" s="1051"/>
      <c r="G275" s="814"/>
      <c r="H275" s="1051"/>
      <c r="I275" s="1051"/>
      <c r="J275" s="1051"/>
      <c r="K275" s="1162" t="s">
        <v>61</v>
      </c>
      <c r="L275" s="1163"/>
      <c r="M275" s="1164"/>
      <c r="N275" s="1165">
        <f>SUM(N273:N274)</f>
        <v>109923355.33212429</v>
      </c>
      <c r="O275" s="615"/>
    </row>
    <row r="276" spans="1:15" ht="13.5">
      <c r="A276" s="814"/>
      <c r="B276" s="1260" t="s">
        <v>664</v>
      </c>
      <c r="C276" s="1113"/>
      <c r="D276" s="1113"/>
      <c r="E276" s="741"/>
      <c r="F276" s="1051"/>
      <c r="G276" s="814"/>
      <c r="H276" s="1051"/>
      <c r="I276" s="1051"/>
      <c r="J276" s="1051"/>
      <c r="K276" s="1051"/>
      <c r="L276" s="1051"/>
      <c r="M276" s="1051"/>
      <c r="N276" s="1051"/>
    </row>
    <row r="277" spans="1:15" ht="13.5">
      <c r="A277" s="814"/>
      <c r="B277" s="1256" t="s">
        <v>665</v>
      </c>
      <c r="C277" s="1257"/>
      <c r="D277" s="1258"/>
      <c r="E277" s="1259">
        <f>+E272+N273</f>
        <v>168086459.80788821</v>
      </c>
      <c r="F277" s="1051"/>
      <c r="G277" s="814"/>
      <c r="H277" s="1051"/>
      <c r="I277" s="1051"/>
      <c r="J277" s="1051"/>
      <c r="K277" s="1051"/>
      <c r="L277" s="1051"/>
      <c r="M277" s="1051"/>
      <c r="N277" s="1051"/>
    </row>
    <row r="278" spans="1:15" ht="13.5">
      <c r="A278" s="814"/>
      <c r="B278" s="1198" t="s">
        <v>59</v>
      </c>
      <c r="C278" s="1199"/>
      <c r="D278" s="1200"/>
      <c r="E278" s="1161">
        <f>+E273+N274</f>
        <v>49855047.204811946</v>
      </c>
      <c r="F278" s="1051"/>
      <c r="G278" s="814"/>
      <c r="H278" s="1051"/>
      <c r="I278" s="1051"/>
      <c r="J278" s="1051"/>
      <c r="K278" s="1051"/>
      <c r="L278" s="1051"/>
      <c r="M278" s="1051"/>
      <c r="N278" s="1051"/>
    </row>
    <row r="279" spans="1:15" ht="14.25" thickBot="1">
      <c r="A279" s="814"/>
      <c r="B279" s="1162" t="s">
        <v>61</v>
      </c>
      <c r="C279" s="1163"/>
      <c r="D279" s="1164"/>
      <c r="E279" s="1165">
        <f>SUM(E277:E278)</f>
        <v>217941507.01270014</v>
      </c>
      <c r="F279" s="1051"/>
      <c r="G279" s="814"/>
      <c r="H279" s="1051"/>
      <c r="I279" s="1051"/>
      <c r="J279" s="1051"/>
      <c r="K279" s="1051"/>
      <c r="L279" s="1051"/>
      <c r="M279" s="1051"/>
      <c r="N279" s="1051"/>
    </row>
    <row r="280" spans="1:15" ht="13.5">
      <c r="A280" s="814"/>
      <c r="B280" s="814"/>
      <c r="C280" s="1051"/>
      <c r="D280" s="814"/>
      <c r="E280" s="814"/>
      <c r="F280" s="1051"/>
      <c r="G280" s="814"/>
      <c r="H280" s="1051"/>
      <c r="I280" s="1051"/>
      <c r="J280" s="1051"/>
      <c r="K280" s="1051"/>
      <c r="L280" s="1051"/>
      <c r="M280" s="1051"/>
      <c r="N280" s="1051"/>
    </row>
    <row r="281" spans="1:15" ht="13.5">
      <c r="A281" s="814"/>
      <c r="B281" s="900" t="s">
        <v>62</v>
      </c>
      <c r="C281" s="1051"/>
      <c r="D281" s="814"/>
      <c r="E281" s="814"/>
      <c r="F281" s="1051"/>
      <c r="G281" s="814"/>
      <c r="H281" s="1051"/>
      <c r="I281" s="1051"/>
      <c r="J281" s="1051"/>
      <c r="K281" s="1051"/>
      <c r="L281" s="1051"/>
      <c r="M281" s="1051"/>
      <c r="N281" s="1051"/>
    </row>
    <row r="282" spans="1:15" ht="13.5">
      <c r="A282" s="814"/>
      <c r="B282" s="814"/>
      <c r="C282" s="1051"/>
      <c r="D282" s="814"/>
      <c r="E282" s="814"/>
      <c r="F282" s="1051"/>
      <c r="G282" s="814"/>
      <c r="H282" s="1051"/>
      <c r="I282" s="1051"/>
      <c r="J282" s="1051"/>
      <c r="K282" s="1051"/>
      <c r="L282" s="1051"/>
      <c r="M282" s="1051"/>
      <c r="N282" s="1051"/>
    </row>
    <row r="283" spans="1:15" ht="16.5">
      <c r="A283" s="814"/>
      <c r="B283" s="814"/>
      <c r="C283" s="1051"/>
      <c r="D283" s="814"/>
      <c r="E283" s="1768"/>
      <c r="F283" s="1769"/>
      <c r="G283" s="1768"/>
      <c r="H283" s="1769"/>
      <c r="I283" s="1769"/>
      <c r="J283" s="1769"/>
      <c r="K283" s="1051"/>
      <c r="L283" s="1051"/>
      <c r="M283" s="1051"/>
      <c r="N283" s="1051"/>
    </row>
    <row r="284" spans="1:15" ht="16.5">
      <c r="A284" s="814"/>
      <c r="B284" s="818" t="s">
        <v>63</v>
      </c>
      <c r="C284" s="1051"/>
      <c r="D284" s="814"/>
      <c r="E284" s="1768"/>
      <c r="F284" s="1769"/>
      <c r="G284" s="1768"/>
      <c r="H284" s="1769"/>
      <c r="I284" s="1769"/>
      <c r="J284" s="1769"/>
      <c r="K284" s="1051"/>
      <c r="L284" s="1051"/>
      <c r="M284" s="1051"/>
      <c r="N284" s="1051"/>
    </row>
    <row r="285" spans="1:15" ht="16.5">
      <c r="A285" s="814"/>
      <c r="B285" s="818" t="s">
        <v>64</v>
      </c>
      <c r="C285" s="1051"/>
      <c r="D285" s="814"/>
      <c r="E285" s="1768"/>
      <c r="F285" s="1769"/>
      <c r="G285" s="1768"/>
      <c r="H285" s="1769"/>
      <c r="I285" s="1769"/>
      <c r="J285" s="1769"/>
      <c r="K285" s="1051"/>
      <c r="L285" s="1051"/>
      <c r="M285" s="1051"/>
      <c r="N285" s="1051"/>
    </row>
    <row r="286" spans="1:15" ht="16.5">
      <c r="A286" s="814"/>
      <c r="B286" s="900" t="s">
        <v>65</v>
      </c>
      <c r="C286" s="1051"/>
      <c r="D286" s="814"/>
      <c r="E286" s="1768"/>
      <c r="F286" s="1769"/>
      <c r="G286" s="1768"/>
      <c r="H286" s="1769"/>
      <c r="I286" s="1769"/>
      <c r="J286" s="1769"/>
      <c r="K286" s="1051"/>
      <c r="L286" s="1051"/>
      <c r="M286" s="1051"/>
      <c r="N286" s="1051"/>
    </row>
    <row r="287" spans="1:15" ht="14.25">
      <c r="E287" s="1770"/>
      <c r="F287" s="1771"/>
      <c r="G287" s="1770"/>
      <c r="H287" s="1771"/>
      <c r="I287" s="1771"/>
      <c r="J287" s="1771"/>
    </row>
  </sheetData>
  <mergeCells count="8">
    <mergeCell ref="O270:Q270"/>
    <mergeCell ref="B271:D271"/>
    <mergeCell ref="B1:M2"/>
    <mergeCell ref="D197:E197"/>
    <mergeCell ref="D210:E210"/>
    <mergeCell ref="A219:D219"/>
    <mergeCell ref="B220:H220"/>
    <mergeCell ref="J220:M220"/>
  </mergeCells>
  <pageMargins left="0.25" right="0.25" top="0.75" bottom="0.75" header="0.3" footer="0.3"/>
  <pageSetup paperSize="120" scale="45" orientation="landscape" r:id="rId1"/>
  <rowBreaks count="1" manualBreakCount="1">
    <brk id="215" min="1" max="16" man="1"/>
  </rowBreaks>
  <colBreaks count="1" manualBreakCount="1">
    <brk id="13" max="269"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9"/>
  <dimension ref="A2:M65"/>
  <sheetViews>
    <sheetView topLeftCell="A23" zoomScaleNormal="100" workbookViewId="0">
      <selection activeCell="B41" sqref="B41"/>
    </sheetView>
  </sheetViews>
  <sheetFormatPr defaultColWidth="9.140625" defaultRowHeight="12.75"/>
  <cols>
    <col min="1" max="1" width="16.85546875" customWidth="1"/>
    <col min="2" max="2" width="20.85546875" customWidth="1"/>
    <col min="3" max="3" width="14.85546875" customWidth="1"/>
    <col min="4" max="4" width="15.140625" bestFit="1" customWidth="1"/>
    <col min="5" max="5" width="11.42578125" customWidth="1"/>
    <col min="6" max="6" width="13.42578125" customWidth="1"/>
    <col min="7" max="7" width="11" customWidth="1"/>
    <col min="8" max="8" width="15.7109375" customWidth="1"/>
    <col min="9" max="9" width="11.42578125" customWidth="1"/>
    <col min="10" max="10" width="15.85546875" bestFit="1" customWidth="1"/>
    <col min="11" max="11" width="13.85546875" bestFit="1" customWidth="1"/>
    <col min="12" max="256" width="11.42578125" customWidth="1"/>
  </cols>
  <sheetData>
    <row r="2" spans="1:8" ht="25.5">
      <c r="A2" s="406" t="s">
        <v>508</v>
      </c>
      <c r="B2" s="2497" t="s">
        <v>666</v>
      </c>
      <c r="C2" s="2"/>
    </row>
    <row r="3" spans="1:8" ht="14.25">
      <c r="A3" s="3" t="s">
        <v>667</v>
      </c>
      <c r="B3" s="71">
        <v>771105299</v>
      </c>
      <c r="C3" s="2"/>
      <c r="F3" s="1"/>
    </row>
    <row r="4" spans="1:8">
      <c r="A4" s="3" t="s">
        <v>11</v>
      </c>
      <c r="B4" s="2"/>
      <c r="C4" s="2"/>
      <c r="G4" s="2498"/>
    </row>
    <row r="5" spans="1:8" ht="25.5">
      <c r="A5" s="64" t="s">
        <v>180</v>
      </c>
      <c r="B5" s="16">
        <v>42877</v>
      </c>
      <c r="C5" s="16">
        <v>43100</v>
      </c>
      <c r="D5" s="40"/>
      <c r="H5" s="2499"/>
    </row>
    <row r="6" spans="1:8">
      <c r="B6" s="32"/>
      <c r="G6" s="2498"/>
      <c r="H6" s="2499"/>
    </row>
    <row r="7" spans="1:8" ht="25.5">
      <c r="A7" s="406" t="s">
        <v>219</v>
      </c>
    </row>
    <row r="8" spans="1:8" ht="15">
      <c r="A8" s="20" t="s">
        <v>226</v>
      </c>
    </row>
    <row r="9" spans="1:8" ht="51">
      <c r="A9" s="57" t="s">
        <v>572</v>
      </c>
      <c r="B9" s="152" t="s">
        <v>227</v>
      </c>
      <c r="C9" s="49" t="s">
        <v>228</v>
      </c>
      <c r="D9" s="152" t="s">
        <v>229</v>
      </c>
      <c r="E9" s="152" t="s">
        <v>230</v>
      </c>
      <c r="F9" s="49" t="s">
        <v>231</v>
      </c>
      <c r="G9" s="152" t="s">
        <v>232</v>
      </c>
      <c r="H9" s="49" t="s">
        <v>233</v>
      </c>
    </row>
    <row r="10" spans="1:8">
      <c r="A10" s="2">
        <v>2017</v>
      </c>
      <c r="B10" s="29">
        <f>+B3</f>
        <v>771105299</v>
      </c>
      <c r="C10" s="28">
        <v>5.7500000000000002E-2</v>
      </c>
      <c r="D10" s="41">
        <v>7.9</v>
      </c>
      <c r="E10" s="28">
        <v>5.7500000000000002E-2</v>
      </c>
      <c r="F10" s="19">
        <f>(((B10*C10)/12*D10))+B10</f>
        <v>800294847.50589585</v>
      </c>
      <c r="G10" s="30">
        <v>7.9000000000000001E-2</v>
      </c>
      <c r="H10" s="62">
        <f>+F10*G10</f>
        <v>63223292.952965774</v>
      </c>
    </row>
    <row r="11" spans="1:8">
      <c r="A11" s="2">
        <v>2018</v>
      </c>
      <c r="B11" s="29">
        <f>+F10</f>
        <v>800294847.50589585</v>
      </c>
      <c r="C11" s="28">
        <v>4.0899999999999999E-2</v>
      </c>
      <c r="D11" s="2">
        <v>12</v>
      </c>
      <c r="E11" s="28">
        <v>4.0899999999999999E-2</v>
      </c>
      <c r="F11" s="19">
        <f>(((B11*C11)/12*D11))+B11</f>
        <v>833026906.76888704</v>
      </c>
      <c r="G11" s="30">
        <v>0.12</v>
      </c>
      <c r="H11" s="62">
        <f>+F11*G11</f>
        <v>99963228.812266439</v>
      </c>
    </row>
    <row r="12" spans="1:8">
      <c r="A12" s="2">
        <v>2019</v>
      </c>
      <c r="B12" s="29">
        <f>+F11</f>
        <v>833026906.76888704</v>
      </c>
      <c r="C12" s="28">
        <v>3.1800000000000002E-2</v>
      </c>
      <c r="D12" s="2">
        <v>12</v>
      </c>
      <c r="E12" s="28">
        <v>3.1800000000000002E-2</v>
      </c>
      <c r="F12" s="19">
        <f>(((B12*C12)/12*D12))+B12</f>
        <v>859517162.40413761</v>
      </c>
      <c r="G12" s="30">
        <v>0.12</v>
      </c>
      <c r="H12" s="62">
        <f>+F12*G12</f>
        <v>103142059.48849651</v>
      </c>
    </row>
    <row r="13" spans="1:8">
      <c r="A13" s="2">
        <v>2020</v>
      </c>
      <c r="B13" s="29">
        <f>+F12</f>
        <v>859517162.40413761</v>
      </c>
      <c r="C13" s="28">
        <v>3.7999999999999999E-2</v>
      </c>
      <c r="D13" s="2">
        <v>12</v>
      </c>
      <c r="E13" s="28">
        <f>+C13</f>
        <v>3.7999999999999999E-2</v>
      </c>
      <c r="F13" s="19">
        <f>(((B13*C13)/12*D13))+B13</f>
        <v>892178814.57549489</v>
      </c>
      <c r="G13" s="30">
        <v>0.12</v>
      </c>
      <c r="H13" s="62">
        <f>+F13*G13</f>
        <v>107061457.74905938</v>
      </c>
    </row>
    <row r="14" spans="1:8">
      <c r="A14" s="2">
        <v>2021</v>
      </c>
      <c r="B14" s="29">
        <f>+F13</f>
        <v>892178814.57549489</v>
      </c>
      <c r="C14" s="28">
        <v>1.61E-2</v>
      </c>
      <c r="D14" s="2">
        <v>9</v>
      </c>
      <c r="E14" s="28">
        <f>+C14</f>
        <v>1.61E-2</v>
      </c>
      <c r="F14" s="19">
        <f>(((B14*C14)/12*D14))+B14</f>
        <v>902951873.76149404</v>
      </c>
      <c r="G14" s="30">
        <v>0.08</v>
      </c>
      <c r="H14" s="62">
        <f>+F14*G14</f>
        <v>72236149.900919527</v>
      </c>
    </row>
    <row r="15" spans="1:8" ht="43.5" customHeight="1" thickBot="1">
      <c r="A15" s="2"/>
      <c r="B15" s="2"/>
      <c r="C15" s="2"/>
      <c r="D15" s="2"/>
      <c r="E15" s="2"/>
      <c r="F15" s="35" t="s">
        <v>338</v>
      </c>
      <c r="G15" s="38"/>
      <c r="H15" s="70">
        <f>SUM(H10:H14)</f>
        <v>445626188.90370762</v>
      </c>
    </row>
    <row r="16" spans="1:8" ht="13.5" thickTop="1"/>
    <row r="17" spans="1:10" ht="15">
      <c r="A17" s="31" t="s">
        <v>55</v>
      </c>
      <c r="B17" s="37"/>
    </row>
    <row r="18" spans="1:10">
      <c r="A18" s="2500" t="s">
        <v>56</v>
      </c>
      <c r="B18" s="2500"/>
    </row>
    <row r="19" spans="1:10" ht="25.5">
      <c r="A19" s="536" t="s">
        <v>283</v>
      </c>
      <c r="B19" s="2501">
        <f>+B3</f>
        <v>771105299</v>
      </c>
    </row>
    <row r="20" spans="1:10" ht="25.5">
      <c r="A20" s="536" t="s">
        <v>59</v>
      </c>
      <c r="B20" s="52">
        <f>+H15</f>
        <v>445626188.90370762</v>
      </c>
    </row>
    <row r="21" spans="1:10">
      <c r="A21" s="2502" t="s">
        <v>668</v>
      </c>
      <c r="B21" s="72">
        <f>+B19*0.03</f>
        <v>23133158.969999999</v>
      </c>
    </row>
    <row r="22" spans="1:10" ht="15.75" thickBot="1">
      <c r="A22" s="25" t="s">
        <v>97</v>
      </c>
      <c r="B22" s="70">
        <f>+B19+B20+B21</f>
        <v>1239864646.8737075</v>
      </c>
    </row>
    <row r="23" spans="1:10" ht="13.5" thickTop="1"/>
    <row r="26" spans="1:10">
      <c r="A26" s="1" t="s">
        <v>669</v>
      </c>
    </row>
    <row r="28" spans="1:10">
      <c r="A28" s="217"/>
      <c r="B28" s="217"/>
      <c r="C28" s="217"/>
      <c r="D28" s="217"/>
      <c r="E28" s="217"/>
      <c r="F28" s="217"/>
      <c r="G28" s="217"/>
      <c r="H28" s="217"/>
      <c r="I28" s="217"/>
      <c r="J28" s="217"/>
    </row>
    <row r="29" spans="1:10">
      <c r="A29" s="217"/>
      <c r="B29" s="217"/>
      <c r="C29" s="217"/>
      <c r="D29" s="217"/>
      <c r="E29" s="217"/>
      <c r="F29" s="217"/>
      <c r="G29" s="217"/>
      <c r="H29" s="217"/>
      <c r="I29" s="217"/>
      <c r="J29" s="217"/>
    </row>
    <row r="30" spans="1:10">
      <c r="A30" s="217"/>
      <c r="B30" s="217"/>
      <c r="C30" s="217"/>
      <c r="D30" s="217"/>
      <c r="E30" s="217"/>
      <c r="F30" s="217"/>
      <c r="G30" s="217"/>
      <c r="H30" s="217"/>
      <c r="I30" s="217"/>
      <c r="J30" s="217"/>
    </row>
    <row r="31" spans="1:10" ht="27">
      <c r="A31" s="683" t="s">
        <v>0</v>
      </c>
      <c r="B31" s="684" t="s">
        <v>666</v>
      </c>
      <c r="C31" s="685"/>
      <c r="D31" s="686"/>
      <c r="E31" s="686"/>
      <c r="F31" s="686"/>
      <c r="G31" s="686"/>
      <c r="H31" s="686"/>
      <c r="I31" s="686"/>
      <c r="J31" s="686"/>
    </row>
    <row r="32" spans="1:10" ht="13.5">
      <c r="A32" s="2664" t="s">
        <v>670</v>
      </c>
      <c r="B32" s="2665"/>
      <c r="C32" s="2666"/>
      <c r="D32" s="687"/>
      <c r="E32" s="686"/>
      <c r="F32" s="686"/>
      <c r="G32" s="686"/>
      <c r="H32" s="686"/>
      <c r="I32" s="686"/>
      <c r="J32" s="686"/>
    </row>
    <row r="33" spans="1:13" ht="13.5">
      <c r="A33" s="688" t="s">
        <v>671</v>
      </c>
      <c r="B33" s="689">
        <v>764285519</v>
      </c>
      <c r="C33" s="690"/>
      <c r="D33" s="686"/>
      <c r="E33" s="686"/>
      <c r="F33" s="686"/>
      <c r="G33" s="686"/>
      <c r="H33" s="686"/>
      <c r="I33" s="686"/>
      <c r="J33" s="686"/>
    </row>
    <row r="34" spans="1:13" ht="13.5">
      <c r="A34" s="691" t="s">
        <v>672</v>
      </c>
      <c r="B34" s="685">
        <v>109.14</v>
      </c>
      <c r="C34" s="690"/>
      <c r="D34" s="686"/>
      <c r="E34" s="686"/>
      <c r="F34" s="686"/>
      <c r="G34" s="692"/>
      <c r="H34" s="693"/>
      <c r="I34" s="686"/>
      <c r="J34" s="686"/>
    </row>
    <row r="35" spans="1:13" ht="27">
      <c r="A35" s="691" t="s">
        <v>673</v>
      </c>
      <c r="B35" s="694">
        <v>99.47</v>
      </c>
      <c r="C35" s="690"/>
      <c r="D35" s="686"/>
      <c r="E35" s="686"/>
      <c r="F35" s="686"/>
      <c r="G35" s="692"/>
      <c r="H35" s="693"/>
      <c r="I35" s="686"/>
      <c r="J35" s="686"/>
    </row>
    <row r="36" spans="1:13" ht="27.75">
      <c r="A36" s="695" t="s">
        <v>145</v>
      </c>
      <c r="B36" s="2201">
        <f>(B34/B35)*B33</f>
        <v>838585719.75128174</v>
      </c>
      <c r="C36" s="690"/>
      <c r="D36" s="686"/>
      <c r="E36" s="686"/>
      <c r="F36" s="686"/>
      <c r="G36" s="696"/>
      <c r="H36" s="693"/>
      <c r="I36" s="686"/>
      <c r="J36" s="686"/>
    </row>
    <row r="37" spans="1:13" ht="27">
      <c r="A37" s="2328" t="s">
        <v>219</v>
      </c>
      <c r="B37" s="697"/>
      <c r="C37" s="690"/>
      <c r="D37" s="686"/>
      <c r="E37" s="686"/>
      <c r="F37" s="686"/>
      <c r="G37" s="686"/>
      <c r="H37" s="686"/>
      <c r="I37" s="686"/>
      <c r="J37" s="686"/>
    </row>
    <row r="38" spans="1:13">
      <c r="A38" s="698" t="s">
        <v>226</v>
      </c>
      <c r="B38" s="686"/>
      <c r="C38" s="686"/>
      <c r="D38" s="686"/>
      <c r="E38" s="686"/>
      <c r="F38" s="686"/>
      <c r="G38" s="686"/>
      <c r="H38" s="686"/>
      <c r="I38" s="686"/>
      <c r="J38" s="686"/>
    </row>
    <row r="39" spans="1:13">
      <c r="A39" s="698" t="s">
        <v>674</v>
      </c>
      <c r="B39" s="686"/>
      <c r="C39" s="686"/>
      <c r="D39" s="686"/>
      <c r="E39" s="686"/>
      <c r="F39" s="686"/>
      <c r="G39" s="686"/>
      <c r="H39" s="686"/>
      <c r="I39" s="686"/>
      <c r="J39" s="686"/>
    </row>
    <row r="40" spans="1:13">
      <c r="A40" s="2667" t="s">
        <v>11</v>
      </c>
      <c r="B40" s="2668"/>
      <c r="C40" s="2669"/>
      <c r="D40" s="2663" t="s">
        <v>84</v>
      </c>
      <c r="E40" s="2663"/>
      <c r="F40" s="2663"/>
      <c r="G40" s="2663"/>
      <c r="H40" s="2663"/>
      <c r="I40" s="2663"/>
      <c r="J40" s="2663"/>
    </row>
    <row r="41" spans="1:13" ht="51.75" customHeight="1">
      <c r="A41" s="699" t="s">
        <v>675</v>
      </c>
      <c r="B41" s="699" t="s">
        <v>147</v>
      </c>
      <c r="C41" s="699" t="s">
        <v>40</v>
      </c>
      <c r="D41" s="700" t="s">
        <v>227</v>
      </c>
      <c r="E41" s="701" t="s">
        <v>228</v>
      </c>
      <c r="F41" s="699" t="s">
        <v>529</v>
      </c>
      <c r="G41" s="699" t="s">
        <v>230</v>
      </c>
      <c r="H41" s="700" t="s">
        <v>231</v>
      </c>
      <c r="I41" s="699" t="s">
        <v>232</v>
      </c>
      <c r="J41" s="700" t="s">
        <v>233</v>
      </c>
    </row>
    <row r="42" spans="1:13" ht="13.5">
      <c r="A42" s="702">
        <v>2018</v>
      </c>
      <c r="B42" s="703">
        <v>43333</v>
      </c>
      <c r="C42" s="703">
        <v>43465</v>
      </c>
      <c r="D42" s="704">
        <f>+B33</f>
        <v>764285519</v>
      </c>
      <c r="E42" s="705">
        <v>4.0899999999999999E-2</v>
      </c>
      <c r="F42" s="706">
        <f>_xlfn.DAYS(C42,B42)+1</f>
        <v>133</v>
      </c>
      <c r="G42" s="705">
        <v>1.49E-2</v>
      </c>
      <c r="H42" s="707">
        <f>(((D42*E42)/365*F42))+D42</f>
        <v>775675885.95261455</v>
      </c>
      <c r="I42" s="705">
        <f>(12%*F42)/365</f>
        <v>4.3726027397260274E-2</v>
      </c>
      <c r="J42" s="745">
        <f>+H42*I42</f>
        <v>33917225.040558159</v>
      </c>
    </row>
    <row r="43" spans="1:13" ht="13.5">
      <c r="A43" s="702">
        <v>2019</v>
      </c>
      <c r="B43" s="708">
        <v>43466</v>
      </c>
      <c r="C43" s="708">
        <v>43830</v>
      </c>
      <c r="D43" s="704">
        <f>+H42</f>
        <v>775675885.95261455</v>
      </c>
      <c r="E43" s="705">
        <v>3.1800000000000002E-2</v>
      </c>
      <c r="F43" s="706">
        <f>_xlfn.DAYS(C43,B43)+1</f>
        <v>365</v>
      </c>
      <c r="G43" s="705">
        <v>3.1800000000000002E-2</v>
      </c>
      <c r="H43" s="707">
        <f>(((D43*E43)/365*F43))+D43</f>
        <v>800342379.12590766</v>
      </c>
      <c r="I43" s="705">
        <f>(12%*F43)/365</f>
        <v>0.12</v>
      </c>
      <c r="J43" s="745">
        <f>+H43*I43</f>
        <v>96041085.495108917</v>
      </c>
    </row>
    <row r="44" spans="1:13" ht="13.5">
      <c r="A44" s="702">
        <v>2020</v>
      </c>
      <c r="B44" s="703">
        <v>43831</v>
      </c>
      <c r="C44" s="703">
        <v>44196</v>
      </c>
      <c r="D44" s="704">
        <f>+H43</f>
        <v>800342379.12590766</v>
      </c>
      <c r="E44" s="705">
        <v>3.7999999999999999E-2</v>
      </c>
      <c r="F44" s="706">
        <f>_xlfn.DAYS(C44,B44)+1</f>
        <v>366</v>
      </c>
      <c r="G44" s="705">
        <v>3.7999999999999999E-2</v>
      </c>
      <c r="H44" s="707">
        <f>(((D44*E44)/366*F44))+D44</f>
        <v>830755389.53269219</v>
      </c>
      <c r="I44" s="705">
        <f>(12%*F44)/365</f>
        <v>0.12032876712328767</v>
      </c>
      <c r="J44" s="745">
        <f>+H44*I44</f>
        <v>99963771.803495452</v>
      </c>
    </row>
    <row r="45" spans="1:13" ht="13.5">
      <c r="A45" s="702">
        <v>2021</v>
      </c>
      <c r="B45" s="703">
        <v>44197</v>
      </c>
      <c r="C45" s="703">
        <v>44518</v>
      </c>
      <c r="D45" s="704">
        <f>+H44</f>
        <v>830755389.53269219</v>
      </c>
      <c r="E45" s="705">
        <v>1.61E-2</v>
      </c>
      <c r="F45" s="706">
        <v>321</v>
      </c>
      <c r="G45" s="705">
        <f>+E45</f>
        <v>1.61E-2</v>
      </c>
      <c r="H45" s="707">
        <f>(((D45*E45)/366*F45))+D45</f>
        <v>842486064.20111811</v>
      </c>
      <c r="I45" s="705">
        <v>0.107</v>
      </c>
      <c r="J45" s="745">
        <f>+H45*I45</f>
        <v>90146008.869519636</v>
      </c>
    </row>
    <row r="46" spans="1:13" ht="38.25" customHeight="1" thickBot="1">
      <c r="A46" s="686"/>
      <c r="B46" s="686"/>
      <c r="C46" s="686"/>
      <c r="D46" s="686"/>
      <c r="E46" s="686"/>
      <c r="F46" s="686"/>
      <c r="G46" s="686"/>
      <c r="H46" s="2670" t="s">
        <v>338</v>
      </c>
      <c r="I46" s="2671"/>
      <c r="J46" s="2014">
        <f>SUM(J42:J45)</f>
        <v>320068091.20868218</v>
      </c>
    </row>
    <row r="47" spans="1:13" ht="17.25" thickTop="1">
      <c r="A47" s="709" t="s">
        <v>55</v>
      </c>
      <c r="B47" s="710"/>
      <c r="C47" s="686"/>
      <c r="D47" s="686"/>
      <c r="E47" s="686"/>
      <c r="F47" s="686"/>
      <c r="G47" s="686"/>
      <c r="H47" s="686"/>
      <c r="I47" s="686"/>
      <c r="J47" s="686"/>
      <c r="L47" s="188"/>
      <c r="M47" s="27"/>
    </row>
    <row r="48" spans="1:13">
      <c r="A48" s="711" t="s">
        <v>56</v>
      </c>
      <c r="B48" s="711"/>
      <c r="C48" s="686"/>
      <c r="D48" s="686"/>
      <c r="E48" s="686"/>
      <c r="F48" s="686"/>
      <c r="G48" s="686"/>
      <c r="H48" s="686"/>
      <c r="I48" s="686"/>
      <c r="J48" s="686"/>
      <c r="K48" s="7"/>
      <c r="L48" s="7"/>
    </row>
    <row r="49" spans="1:11" ht="25.5">
      <c r="A49" s="712" t="s">
        <v>283</v>
      </c>
      <c r="B49" s="747">
        <f>+H45</f>
        <v>842486064.20111811</v>
      </c>
      <c r="C49" s="686"/>
      <c r="D49" s="686"/>
      <c r="E49" s="686"/>
      <c r="F49" s="686"/>
      <c r="G49" s="686"/>
      <c r="H49" s="686"/>
      <c r="I49" s="686"/>
      <c r="J49" s="686"/>
      <c r="K49" s="8"/>
    </row>
    <row r="50" spans="1:11" ht="25.5">
      <c r="A50" s="712" t="s">
        <v>59</v>
      </c>
      <c r="B50" s="747">
        <f>+J46</f>
        <v>320068091.20868218</v>
      </c>
      <c r="E50" s="686"/>
      <c r="F50" s="686"/>
      <c r="G50" s="713"/>
      <c r="H50" s="714"/>
      <c r="I50" s="686"/>
      <c r="J50" s="715"/>
    </row>
    <row r="51" spans="1:11">
      <c r="A51" s="716" t="s">
        <v>668</v>
      </c>
      <c r="B51" s="748">
        <f>+B49*0.03</f>
        <v>25274581.926033542</v>
      </c>
      <c r="E51" s="686"/>
      <c r="F51" s="686"/>
      <c r="G51" s="686"/>
      <c r="H51" s="686"/>
      <c r="I51" s="686"/>
      <c r="J51" s="686"/>
    </row>
    <row r="52" spans="1:11" ht="17.25" thickBot="1">
      <c r="A52" s="717" t="s">
        <v>97</v>
      </c>
      <c r="B52" s="746">
        <f>SUM(B49:B51)</f>
        <v>1187828737.3358338</v>
      </c>
      <c r="E52" s="686"/>
      <c r="F52" s="686"/>
      <c r="G52" s="686"/>
      <c r="H52" s="718"/>
      <c r="I52" s="686"/>
      <c r="J52" s="686"/>
    </row>
    <row r="53" spans="1:11" ht="13.5" thickTop="1">
      <c r="A53" s="686"/>
      <c r="B53" s="686"/>
      <c r="E53" s="686"/>
      <c r="F53" s="686"/>
      <c r="G53" s="686"/>
      <c r="H53" s="686"/>
      <c r="I53" s="686"/>
      <c r="J53" s="686"/>
    </row>
    <row r="54" spans="1:11">
      <c r="A54" s="719" t="s">
        <v>62</v>
      </c>
      <c r="B54" s="720"/>
      <c r="C54" s="686"/>
      <c r="D54" s="686"/>
      <c r="E54" s="686"/>
      <c r="F54" s="686"/>
      <c r="G54" s="686"/>
      <c r="H54" s="686"/>
      <c r="I54" s="686"/>
      <c r="J54" s="686"/>
    </row>
    <row r="55" spans="1:11">
      <c r="A55" s="721"/>
      <c r="B55" s="722"/>
      <c r="C55" s="686"/>
      <c r="D55" s="686"/>
      <c r="E55" s="686"/>
      <c r="F55" s="686"/>
      <c r="G55" s="686"/>
      <c r="H55" s="686"/>
      <c r="I55" s="686"/>
      <c r="J55" s="686"/>
    </row>
    <row r="56" spans="1:11">
      <c r="A56" s="721"/>
      <c r="B56" s="722"/>
      <c r="C56" s="686"/>
      <c r="D56" s="686"/>
      <c r="E56" s="686"/>
      <c r="F56" s="686"/>
      <c r="G56" s="686"/>
      <c r="H56" s="686"/>
      <c r="I56" s="686"/>
      <c r="J56" s="686"/>
    </row>
    <row r="57" spans="1:11">
      <c r="A57" s="719" t="s">
        <v>63</v>
      </c>
      <c r="B57" s="722"/>
      <c r="C57" s="686"/>
      <c r="D57" s="686"/>
      <c r="E57" s="686"/>
      <c r="F57" s="686"/>
      <c r="G57" s="686"/>
      <c r="H57" s="686"/>
      <c r="I57" s="686"/>
      <c r="J57" s="686"/>
    </row>
    <row r="58" spans="1:11">
      <c r="A58" s="719" t="s">
        <v>64</v>
      </c>
      <c r="B58" s="722"/>
      <c r="C58" s="697"/>
      <c r="D58" s="697"/>
      <c r="E58" s="697"/>
      <c r="F58" s="697"/>
      <c r="G58" s="697"/>
      <c r="H58" s="697"/>
      <c r="I58" s="697"/>
      <c r="J58" s="697"/>
    </row>
    <row r="59" spans="1:11">
      <c r="A59" s="719" t="s">
        <v>65</v>
      </c>
      <c r="B59" s="722"/>
      <c r="C59" s="697"/>
      <c r="D59" s="697"/>
      <c r="E59" s="697"/>
      <c r="F59" s="697"/>
      <c r="G59" s="697"/>
      <c r="H59" s="697"/>
      <c r="I59" s="697"/>
      <c r="J59" s="697"/>
    </row>
    <row r="60" spans="1:11">
      <c r="A60" s="697"/>
      <c r="B60" s="697"/>
      <c r="C60" s="697"/>
      <c r="D60" s="697"/>
      <c r="E60" s="697"/>
      <c r="F60" s="697"/>
      <c r="G60" s="697"/>
      <c r="H60" s="697"/>
      <c r="I60" s="697"/>
      <c r="J60" s="697"/>
    </row>
    <row r="61" spans="1:11">
      <c r="A61" s="697"/>
      <c r="B61" s="697"/>
      <c r="C61" s="697"/>
      <c r="D61" s="697"/>
      <c r="E61" s="697"/>
      <c r="F61" s="697"/>
      <c r="G61" s="697"/>
      <c r="H61" s="697"/>
      <c r="I61" s="697"/>
      <c r="J61" s="697"/>
    </row>
    <row r="62" spans="1:11">
      <c r="A62" s="686"/>
      <c r="B62" s="686"/>
    </row>
    <row r="63" spans="1:11">
      <c r="A63" s="715">
        <v>842486064.20000005</v>
      </c>
      <c r="B63" s="686"/>
    </row>
    <row r="64" spans="1:11">
      <c r="A64" s="1889">
        <f>+A63*0.03</f>
        <v>25274581.925999999</v>
      </c>
      <c r="B64" s="1890">
        <v>1187870288</v>
      </c>
    </row>
    <row r="65" spans="1:2">
      <c r="A65" s="686"/>
      <c r="B65" s="1889">
        <f>+B52-B64</f>
        <v>-41550.664166212082</v>
      </c>
    </row>
  </sheetData>
  <mergeCells count="4">
    <mergeCell ref="D40:J40"/>
    <mergeCell ref="A32:C32"/>
    <mergeCell ref="A40:C40"/>
    <mergeCell ref="H46:I46"/>
  </mergeCells>
  <pageMargins left="0.7" right="0.7" top="0.75" bottom="0.75" header="0.3" footer="0.3"/>
  <pageSetup paperSize="131" scale="63"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20"/>
  <dimension ref="A2:I285"/>
  <sheetViews>
    <sheetView topLeftCell="A261" zoomScaleNormal="100" workbookViewId="0">
      <selection activeCell="D61" sqref="D61"/>
    </sheetView>
  </sheetViews>
  <sheetFormatPr defaultColWidth="9.140625" defaultRowHeight="12.75"/>
  <cols>
    <col min="1" max="1" width="3.28515625" customWidth="1"/>
    <col min="2" max="2" width="18.28515625" customWidth="1"/>
    <col min="3" max="3" width="21.7109375" customWidth="1"/>
    <col min="4" max="4" width="17.7109375" customWidth="1"/>
    <col min="5" max="5" width="12.42578125" customWidth="1"/>
    <col min="6" max="6" width="13" customWidth="1"/>
    <col min="7" max="7" width="16.42578125" customWidth="1"/>
    <col min="8" max="8" width="11.7109375" style="523" customWidth="1"/>
    <col min="9" max="9" width="16.5703125" customWidth="1"/>
    <col min="10" max="10" width="12.140625" customWidth="1"/>
    <col min="11" max="259" width="11.42578125" customWidth="1"/>
  </cols>
  <sheetData>
    <row r="2" spans="2:9" ht="13.5">
      <c r="B2" s="731"/>
      <c r="C2" s="731"/>
      <c r="D2" s="731"/>
    </row>
    <row r="3" spans="2:9" ht="13.5">
      <c r="B3" s="725" t="s">
        <v>121</v>
      </c>
      <c r="C3" s="762" t="s">
        <v>676</v>
      </c>
      <c r="D3" s="729"/>
      <c r="E3" s="731"/>
      <c r="F3" s="731"/>
      <c r="G3" s="731"/>
      <c r="H3" s="777"/>
      <c r="I3" s="731"/>
    </row>
    <row r="4" spans="2:9" ht="13.5">
      <c r="B4" s="755" t="s">
        <v>541</v>
      </c>
      <c r="C4" s="759">
        <v>43374</v>
      </c>
      <c r="D4" s="729"/>
      <c r="E4" s="731"/>
      <c r="F4" s="731"/>
      <c r="G4" s="731"/>
      <c r="H4" s="777"/>
      <c r="I4" s="731"/>
    </row>
    <row r="5" spans="2:9" s="80" customFormat="1" ht="27">
      <c r="B5" s="763" t="s">
        <v>677</v>
      </c>
      <c r="C5" s="764" t="s">
        <v>678</v>
      </c>
      <c r="D5" s="765"/>
      <c r="E5" s="778"/>
      <c r="F5" s="778"/>
      <c r="G5" s="778"/>
      <c r="H5" s="777"/>
      <c r="I5" s="778"/>
    </row>
    <row r="6" spans="2:9" ht="13.5">
      <c r="B6" s="755" t="s">
        <v>287</v>
      </c>
      <c r="C6" s="759">
        <v>43420</v>
      </c>
      <c r="D6" s="729"/>
      <c r="E6" s="731"/>
      <c r="F6" s="779"/>
      <c r="G6" s="731"/>
      <c r="H6" s="777"/>
      <c r="I6" s="731"/>
    </row>
    <row r="7" spans="2:9" ht="27">
      <c r="B7" s="766" t="s">
        <v>351</v>
      </c>
      <c r="C7" s="767" t="s">
        <v>679</v>
      </c>
      <c r="D7" s="729"/>
      <c r="E7" s="731"/>
      <c r="F7" s="731"/>
      <c r="G7" s="731"/>
      <c r="H7" s="777"/>
      <c r="I7" s="731"/>
    </row>
    <row r="8" spans="2:9" ht="13.5">
      <c r="B8" s="766" t="s">
        <v>124</v>
      </c>
      <c r="C8" s="764" t="s">
        <v>680</v>
      </c>
      <c r="D8" s="729"/>
      <c r="E8" s="731"/>
      <c r="F8" s="731"/>
      <c r="G8" s="731"/>
      <c r="H8" s="777"/>
      <c r="I8" s="731"/>
    </row>
    <row r="9" spans="2:9" ht="13.5">
      <c r="B9" s="729"/>
      <c r="C9" s="729"/>
      <c r="D9" s="770" t="s">
        <v>681</v>
      </c>
      <c r="E9" s="731"/>
      <c r="F9" s="731"/>
      <c r="G9" s="731"/>
      <c r="H9" s="777"/>
      <c r="I9" s="731"/>
    </row>
    <row r="10" spans="2:9" ht="13.5">
      <c r="B10" s="755" t="s">
        <v>682</v>
      </c>
      <c r="C10" s="729"/>
      <c r="D10" s="756">
        <v>781242</v>
      </c>
      <c r="E10" s="731"/>
      <c r="F10" s="731"/>
      <c r="G10" s="731"/>
      <c r="H10" s="777"/>
      <c r="I10" s="731"/>
    </row>
    <row r="11" spans="2:9" ht="13.5">
      <c r="B11" s="729" t="s">
        <v>683</v>
      </c>
      <c r="C11" s="729" t="s">
        <v>684</v>
      </c>
      <c r="D11" s="756">
        <f>+D10*60</f>
        <v>46874520</v>
      </c>
      <c r="E11" s="731" t="s">
        <v>685</v>
      </c>
      <c r="F11" s="731"/>
      <c r="G11" s="731"/>
      <c r="H11" s="777"/>
      <c r="I11" s="731"/>
    </row>
    <row r="12" spans="2:9" ht="27">
      <c r="B12" s="775" t="s">
        <v>686</v>
      </c>
      <c r="C12" s="729" t="s">
        <v>684</v>
      </c>
      <c r="D12" s="756">
        <f>+D10*60</f>
        <v>46874520</v>
      </c>
      <c r="E12" s="731" t="s">
        <v>685</v>
      </c>
      <c r="F12" s="731"/>
      <c r="G12" s="731"/>
      <c r="H12" s="777"/>
      <c r="I12" s="731"/>
    </row>
    <row r="13" spans="2:9" ht="27">
      <c r="B13" s="775" t="s">
        <v>687</v>
      </c>
      <c r="C13" s="729" t="s">
        <v>688</v>
      </c>
      <c r="D13" s="756">
        <f>+D10*50</f>
        <v>39062100</v>
      </c>
      <c r="E13" s="731"/>
      <c r="F13" s="731"/>
      <c r="G13" s="731"/>
      <c r="H13" s="777"/>
      <c r="I13" s="731"/>
    </row>
    <row r="14" spans="2:9" ht="27">
      <c r="B14" s="775" t="s">
        <v>689</v>
      </c>
      <c r="C14" s="729" t="s">
        <v>688</v>
      </c>
      <c r="D14" s="756">
        <f>+D10*50</f>
        <v>39062100</v>
      </c>
      <c r="E14" s="731"/>
      <c r="F14" s="731"/>
      <c r="G14" s="731"/>
      <c r="H14" s="777"/>
      <c r="I14" s="731"/>
    </row>
    <row r="15" spans="2:9" ht="27">
      <c r="B15" s="775" t="s">
        <v>690</v>
      </c>
      <c r="C15" s="729" t="s">
        <v>688</v>
      </c>
      <c r="D15" s="756">
        <f>+D10*50</f>
        <v>39062100</v>
      </c>
      <c r="E15" s="731"/>
      <c r="F15" s="731"/>
      <c r="G15" s="731"/>
      <c r="H15" s="777"/>
      <c r="I15" s="731"/>
    </row>
    <row r="16" spans="2:9" ht="14.25" thickBot="1">
      <c r="B16" s="729"/>
      <c r="C16" s="768" t="s">
        <v>691</v>
      </c>
      <c r="D16" s="769">
        <f>SUM(D11:D15)</f>
        <v>210935340</v>
      </c>
      <c r="E16" s="731"/>
      <c r="F16" s="731"/>
      <c r="G16" s="731"/>
      <c r="H16" s="777"/>
      <c r="I16" s="731"/>
    </row>
    <row r="17" spans="1:9" ht="14.25" thickTop="1">
      <c r="B17" s="729"/>
      <c r="C17" s="771"/>
      <c r="D17" s="772"/>
      <c r="E17" s="731"/>
      <c r="F17" s="731"/>
      <c r="G17" s="731"/>
      <c r="H17" s="777"/>
      <c r="I17" s="731"/>
    </row>
    <row r="18" spans="1:9" ht="13.5">
      <c r="B18" s="773" t="s">
        <v>683</v>
      </c>
      <c r="C18" s="755" t="s">
        <v>684</v>
      </c>
      <c r="D18" s="774">
        <f>+D11</f>
        <v>46874520</v>
      </c>
      <c r="E18" s="731"/>
      <c r="F18" s="780"/>
      <c r="G18" s="731"/>
      <c r="H18" s="777"/>
      <c r="I18" s="731"/>
    </row>
    <row r="19" spans="1:9" ht="13.5">
      <c r="B19" s="2672" t="s">
        <v>160</v>
      </c>
      <c r="C19" s="2672"/>
      <c r="D19" s="2672"/>
      <c r="E19" s="2672"/>
      <c r="F19" s="2672"/>
      <c r="G19" s="2672"/>
      <c r="H19" s="2672"/>
      <c r="I19" s="2672"/>
    </row>
    <row r="20" spans="1:9" ht="34.5" customHeight="1">
      <c r="A20" s="2"/>
      <c r="B20" s="751" t="s">
        <v>337</v>
      </c>
      <c r="C20" s="751" t="s">
        <v>40</v>
      </c>
      <c r="D20" s="751" t="s">
        <v>148</v>
      </c>
      <c r="E20" s="740" t="s">
        <v>149</v>
      </c>
      <c r="F20" s="740" t="s">
        <v>43</v>
      </c>
      <c r="G20" s="740" t="s">
        <v>129</v>
      </c>
      <c r="H20" s="776" t="s">
        <v>47</v>
      </c>
      <c r="I20" s="740" t="s">
        <v>48</v>
      </c>
    </row>
    <row r="21" spans="1:9" ht="13.5">
      <c r="A21" s="2">
        <v>1</v>
      </c>
      <c r="B21" s="752">
        <v>43421</v>
      </c>
      <c r="C21" s="752">
        <v>43434</v>
      </c>
      <c r="D21" s="753">
        <v>0.19489999999999999</v>
      </c>
      <c r="E21" s="753">
        <f>+D21*1.5</f>
        <v>0.29235</v>
      </c>
      <c r="F21" s="753">
        <f>((1+E21)^(1/365)-1)</f>
        <v>7.0288325333756063E-4</v>
      </c>
      <c r="G21" s="756">
        <f>+$D$18</f>
        <v>46874520</v>
      </c>
      <c r="H21" s="781">
        <f>_xlfn.DAYS(C21,B21)+1</f>
        <v>14</v>
      </c>
      <c r="I21" s="756">
        <f>+G21*F21*H21</f>
        <v>461262.41162731173</v>
      </c>
    </row>
    <row r="22" spans="1:9" ht="13.5">
      <c r="A22" s="2">
        <v>2</v>
      </c>
      <c r="B22" s="752">
        <v>43435</v>
      </c>
      <c r="C22" s="752">
        <v>43465</v>
      </c>
      <c r="D22" s="753">
        <v>0.19400000000000001</v>
      </c>
      <c r="E22" s="753">
        <f t="shared" ref="E22:E54" si="0">+D22*1.5</f>
        <v>0.29100000000000004</v>
      </c>
      <c r="F22" s="753">
        <f>((1+E22)^(1/365)-1)</f>
        <v>7.0001780740103214E-4</v>
      </c>
      <c r="G22" s="756">
        <f t="shared" ref="G22:G27" si="1">+$D$18</f>
        <v>46874520</v>
      </c>
      <c r="H22" s="781">
        <f t="shared" ref="H22:H54" si="2">_xlfn.DAYS(C22,B22)+1</f>
        <v>31</v>
      </c>
      <c r="I22" s="756">
        <f t="shared" ref="I22:I54" si="3">+G22*F22*H22</f>
        <v>1017202.9601146507</v>
      </c>
    </row>
    <row r="23" spans="1:9" ht="13.5">
      <c r="A23" s="2">
        <v>3</v>
      </c>
      <c r="B23" s="752">
        <v>43466</v>
      </c>
      <c r="C23" s="752">
        <v>43496</v>
      </c>
      <c r="D23" s="753">
        <v>0.19159999999999999</v>
      </c>
      <c r="E23" s="753">
        <f t="shared" si="0"/>
        <v>0.28739999999999999</v>
      </c>
      <c r="F23" s="753">
        <f>((1+E23)^(1/365)-1)</f>
        <v>6.9236198468725085E-4</v>
      </c>
      <c r="G23" s="756">
        <f t="shared" si="1"/>
        <v>46874520</v>
      </c>
      <c r="H23" s="781">
        <f t="shared" si="2"/>
        <v>31</v>
      </c>
      <c r="I23" s="756">
        <f t="shared" si="3"/>
        <v>1006078.2066523292</v>
      </c>
    </row>
    <row r="24" spans="1:9" ht="13.5">
      <c r="A24" s="2">
        <v>4</v>
      </c>
      <c r="B24" s="752">
        <v>43497</v>
      </c>
      <c r="C24" s="752">
        <v>43524</v>
      </c>
      <c r="D24" s="753">
        <v>0.19700000000000001</v>
      </c>
      <c r="E24" s="753">
        <f t="shared" si="0"/>
        <v>0.29549999999999998</v>
      </c>
      <c r="F24" s="753">
        <f>((1+E24)^(1/365)-1)</f>
        <v>7.0955770203506852E-4</v>
      </c>
      <c r="G24" s="756">
        <f t="shared" si="1"/>
        <v>46874520</v>
      </c>
      <c r="H24" s="781">
        <f t="shared" si="2"/>
        <v>28</v>
      </c>
      <c r="I24" s="756">
        <f t="shared" si="3"/>
        <v>931284.94746551209</v>
      </c>
    </row>
    <row r="25" spans="1:9" ht="13.5">
      <c r="A25" s="2">
        <v>5</v>
      </c>
      <c r="B25" s="752">
        <v>43525</v>
      </c>
      <c r="C25" s="752">
        <v>43555</v>
      </c>
      <c r="D25" s="753">
        <v>0.19370000000000001</v>
      </c>
      <c r="E25" s="753">
        <f t="shared" si="0"/>
        <v>0.29055000000000003</v>
      </c>
      <c r="F25" s="753">
        <f t="shared" ref="F25:F54" si="4">((1+E25)^(1/365)-1)</f>
        <v>6.9906199467517638E-4</v>
      </c>
      <c r="G25" s="756">
        <f t="shared" si="1"/>
        <v>46874520</v>
      </c>
      <c r="H25" s="781">
        <f t="shared" si="2"/>
        <v>31</v>
      </c>
      <c r="I25" s="756">
        <f t="shared" si="3"/>
        <v>1015814.0589698849</v>
      </c>
    </row>
    <row r="26" spans="1:9" ht="13.5">
      <c r="A26" s="2">
        <v>6</v>
      </c>
      <c r="B26" s="752">
        <v>43556</v>
      </c>
      <c r="C26" s="752">
        <v>43585</v>
      </c>
      <c r="D26" s="753">
        <v>0.19320000000000001</v>
      </c>
      <c r="E26" s="753">
        <f t="shared" si="0"/>
        <v>0.2898</v>
      </c>
      <c r="F26" s="753">
        <f t="shared" si="4"/>
        <v>6.9746823462724095E-4</v>
      </c>
      <c r="G26" s="756">
        <f t="shared" si="1"/>
        <v>46874520</v>
      </c>
      <c r="H26" s="781">
        <f t="shared" si="2"/>
        <v>30</v>
      </c>
      <c r="I26" s="756">
        <f t="shared" si="3"/>
        <v>980804.66140197904</v>
      </c>
    </row>
    <row r="27" spans="1:9" ht="13.5">
      <c r="A27" s="2">
        <v>7</v>
      </c>
      <c r="B27" s="752">
        <v>43586</v>
      </c>
      <c r="C27" s="752">
        <v>43601</v>
      </c>
      <c r="D27" s="753">
        <v>0.19339999999999999</v>
      </c>
      <c r="E27" s="753">
        <f t="shared" si="0"/>
        <v>0.29009999999999997</v>
      </c>
      <c r="F27" s="753">
        <f t="shared" si="4"/>
        <v>6.9810584952367805E-4</v>
      </c>
      <c r="G27" s="756">
        <f t="shared" si="1"/>
        <v>46874520</v>
      </c>
      <c r="H27" s="781">
        <f t="shared" si="2"/>
        <v>16</v>
      </c>
      <c r="I27" s="756">
        <f t="shared" si="3"/>
        <v>523574.0256898342</v>
      </c>
    </row>
    <row r="28" spans="1:9" ht="13.5">
      <c r="A28" s="2">
        <v>8</v>
      </c>
      <c r="B28" s="752">
        <v>43602</v>
      </c>
      <c r="C28" s="752">
        <v>43616</v>
      </c>
      <c r="D28" s="753">
        <v>0</v>
      </c>
      <c r="E28" s="753">
        <v>0</v>
      </c>
      <c r="F28" s="753">
        <v>0</v>
      </c>
      <c r="G28" s="756">
        <v>0</v>
      </c>
      <c r="H28" s="781">
        <v>0</v>
      </c>
      <c r="I28" s="756">
        <f>+G28*F28*H28</f>
        <v>0</v>
      </c>
    </row>
    <row r="29" spans="1:9" ht="13.5">
      <c r="A29" s="2">
        <v>9</v>
      </c>
      <c r="B29" s="752">
        <v>43617</v>
      </c>
      <c r="C29" s="752">
        <v>43646</v>
      </c>
      <c r="D29" s="753">
        <v>0</v>
      </c>
      <c r="E29" s="753">
        <v>0</v>
      </c>
      <c r="F29" s="753">
        <v>0</v>
      </c>
      <c r="G29" s="756">
        <v>0</v>
      </c>
      <c r="H29" s="781">
        <v>0</v>
      </c>
      <c r="I29" s="756">
        <f t="shared" si="3"/>
        <v>0</v>
      </c>
    </row>
    <row r="30" spans="1:9" ht="13.5">
      <c r="A30" s="2">
        <v>10</v>
      </c>
      <c r="B30" s="752">
        <v>43647</v>
      </c>
      <c r="C30" s="752">
        <v>43677</v>
      </c>
      <c r="D30" s="753">
        <v>0</v>
      </c>
      <c r="E30" s="753">
        <v>0</v>
      </c>
      <c r="F30" s="753">
        <v>0</v>
      </c>
      <c r="G30" s="756">
        <v>0</v>
      </c>
      <c r="H30" s="781">
        <v>0</v>
      </c>
      <c r="I30" s="756">
        <f t="shared" si="3"/>
        <v>0</v>
      </c>
    </row>
    <row r="31" spans="1:9" ht="13.5">
      <c r="A31" s="2">
        <v>11</v>
      </c>
      <c r="B31" s="752">
        <v>43678</v>
      </c>
      <c r="C31" s="752">
        <v>43708</v>
      </c>
      <c r="D31" s="753">
        <v>0</v>
      </c>
      <c r="E31" s="753">
        <v>0</v>
      </c>
      <c r="F31" s="753">
        <v>0</v>
      </c>
      <c r="G31" s="756">
        <v>0</v>
      </c>
      <c r="H31" s="781">
        <v>0</v>
      </c>
      <c r="I31" s="756">
        <f t="shared" si="3"/>
        <v>0</v>
      </c>
    </row>
    <row r="32" spans="1:9" ht="13.5">
      <c r="A32" s="2">
        <v>12</v>
      </c>
      <c r="B32" s="752">
        <v>43709</v>
      </c>
      <c r="C32" s="752">
        <v>43738</v>
      </c>
      <c r="D32" s="753">
        <v>0</v>
      </c>
      <c r="E32" s="753">
        <v>0</v>
      </c>
      <c r="F32" s="753">
        <v>0</v>
      </c>
      <c r="G32" s="756">
        <v>0</v>
      </c>
      <c r="H32" s="781">
        <v>0</v>
      </c>
      <c r="I32" s="756">
        <f t="shared" si="3"/>
        <v>0</v>
      </c>
    </row>
    <row r="33" spans="1:9" ht="13.5">
      <c r="A33" s="2">
        <v>13</v>
      </c>
      <c r="B33" s="752">
        <v>43739</v>
      </c>
      <c r="C33" s="752">
        <v>43767</v>
      </c>
      <c r="D33" s="753">
        <v>0</v>
      </c>
      <c r="E33" s="753">
        <v>0</v>
      </c>
      <c r="F33" s="753">
        <v>0</v>
      </c>
      <c r="G33" s="756">
        <v>0</v>
      </c>
      <c r="H33" s="781">
        <v>0</v>
      </c>
      <c r="I33" s="756">
        <f t="shared" si="3"/>
        <v>0</v>
      </c>
    </row>
    <row r="34" spans="1:9" ht="13.5">
      <c r="A34" s="2">
        <v>14</v>
      </c>
      <c r="B34" s="752">
        <v>43768</v>
      </c>
      <c r="C34" s="752">
        <v>43769</v>
      </c>
      <c r="D34" s="753">
        <v>0.191</v>
      </c>
      <c r="E34" s="753">
        <f>+D34*1.5</f>
        <v>0.28649999999999998</v>
      </c>
      <c r="F34" s="753">
        <f>((1+E34)^(1/365)-1)</f>
        <v>6.9044469314105683E-4</v>
      </c>
      <c r="G34" s="756">
        <f>+$D$18</f>
        <v>46874520</v>
      </c>
      <c r="H34" s="781">
        <f t="shared" si="2"/>
        <v>2</v>
      </c>
      <c r="I34" s="756">
        <f>+G34*F34*H34</f>
        <v>64728.527155068659</v>
      </c>
    </row>
    <row r="35" spans="1:9" ht="13.5">
      <c r="A35" s="2">
        <v>15</v>
      </c>
      <c r="B35" s="752">
        <v>43770</v>
      </c>
      <c r="C35" s="752">
        <v>43799</v>
      </c>
      <c r="D35" s="753">
        <v>0.1903</v>
      </c>
      <c r="E35" s="753">
        <f t="shared" si="0"/>
        <v>0.28544999999999998</v>
      </c>
      <c r="F35" s="753">
        <f t="shared" si="4"/>
        <v>6.8820616169262827E-4</v>
      </c>
      <c r="G35" s="756">
        <f t="shared" ref="G35:G59" si="5">+$D$18</f>
        <v>46874520</v>
      </c>
      <c r="H35" s="781">
        <f t="shared" si="2"/>
        <v>30</v>
      </c>
      <c r="I35" s="756">
        <f t="shared" si="3"/>
        <v>967780.00471153017</v>
      </c>
    </row>
    <row r="36" spans="1:9" ht="13.5">
      <c r="A36" s="2">
        <v>16</v>
      </c>
      <c r="B36" s="752">
        <v>43800</v>
      </c>
      <c r="C36" s="752">
        <v>43830</v>
      </c>
      <c r="D36" s="753">
        <v>0.18909999999999999</v>
      </c>
      <c r="E36" s="753">
        <f t="shared" si="0"/>
        <v>0.28364999999999996</v>
      </c>
      <c r="F36" s="753">
        <f t="shared" si="4"/>
        <v>6.8436443340047504E-4</v>
      </c>
      <c r="G36" s="756">
        <f t="shared" si="5"/>
        <v>46874520</v>
      </c>
      <c r="H36" s="781">
        <f t="shared" si="2"/>
        <v>31</v>
      </c>
      <c r="I36" s="756">
        <f t="shared" si="3"/>
        <v>994456.88394229626</v>
      </c>
    </row>
    <row r="37" spans="1:9" ht="13.5">
      <c r="A37" s="2">
        <v>17</v>
      </c>
      <c r="B37" s="752">
        <v>43831</v>
      </c>
      <c r="C37" s="752">
        <v>43861</v>
      </c>
      <c r="D37" s="753">
        <v>0.18770000000000001</v>
      </c>
      <c r="E37" s="753">
        <f t="shared" si="0"/>
        <v>0.28155000000000002</v>
      </c>
      <c r="F37" s="753">
        <f t="shared" si="4"/>
        <v>6.7987562124560696E-4</v>
      </c>
      <c r="G37" s="756">
        <f t="shared" si="5"/>
        <v>46874520</v>
      </c>
      <c r="H37" s="781">
        <f t="shared" si="2"/>
        <v>31</v>
      </c>
      <c r="I37" s="756">
        <f t="shared" si="3"/>
        <v>987934.14557327854</v>
      </c>
    </row>
    <row r="38" spans="1:9" ht="13.5">
      <c r="A38" s="2">
        <v>18</v>
      </c>
      <c r="B38" s="752">
        <v>43862</v>
      </c>
      <c r="C38" s="752">
        <v>43890</v>
      </c>
      <c r="D38" s="753">
        <v>0.19059999999999999</v>
      </c>
      <c r="E38" s="753">
        <f t="shared" si="0"/>
        <v>0.28589999999999999</v>
      </c>
      <c r="F38" s="753">
        <f t="shared" si="4"/>
        <v>6.8916575551658532E-4</v>
      </c>
      <c r="G38" s="756">
        <f t="shared" si="5"/>
        <v>46874520</v>
      </c>
      <c r="H38" s="781">
        <f t="shared" si="2"/>
        <v>29</v>
      </c>
      <c r="I38" s="756">
        <f t="shared" si="3"/>
        <v>936825.10571804142</v>
      </c>
    </row>
    <row r="39" spans="1:9" ht="13.5">
      <c r="A39" s="2">
        <v>19</v>
      </c>
      <c r="B39" s="752">
        <v>43891</v>
      </c>
      <c r="C39" s="752">
        <v>43921</v>
      </c>
      <c r="D39" s="753">
        <v>0.1895</v>
      </c>
      <c r="E39" s="753">
        <f t="shared" si="0"/>
        <v>0.28425</v>
      </c>
      <c r="F39" s="753">
        <f t="shared" si="4"/>
        <v>6.8564560609574166E-4</v>
      </c>
      <c r="G39" s="756">
        <f t="shared" si="5"/>
        <v>46874520</v>
      </c>
      <c r="H39" s="781">
        <f t="shared" si="2"/>
        <v>31</v>
      </c>
      <c r="I39" s="756">
        <f t="shared" si="3"/>
        <v>996318.56895125587</v>
      </c>
    </row>
    <row r="40" spans="1:9" ht="13.5">
      <c r="A40" s="2">
        <v>20</v>
      </c>
      <c r="B40" s="752">
        <v>43922</v>
      </c>
      <c r="C40" s="752">
        <v>43951</v>
      </c>
      <c r="D40" s="753">
        <v>0.18690000000000001</v>
      </c>
      <c r="E40" s="753">
        <f t="shared" si="0"/>
        <v>0.28034999999999999</v>
      </c>
      <c r="F40" s="753">
        <f t="shared" si="4"/>
        <v>6.7730729113191224E-4</v>
      </c>
      <c r="G40" s="756">
        <f t="shared" si="5"/>
        <v>46874520</v>
      </c>
      <c r="H40" s="781">
        <f t="shared" si="2"/>
        <v>30</v>
      </c>
      <c r="I40" s="756">
        <f t="shared" si="3"/>
        <v>952453.6249292593</v>
      </c>
    </row>
    <row r="41" spans="1:9" ht="13.5">
      <c r="A41" s="2">
        <v>21</v>
      </c>
      <c r="B41" s="752">
        <v>43952</v>
      </c>
      <c r="C41" s="752">
        <v>43982</v>
      </c>
      <c r="D41" s="753">
        <v>0.18190000000000001</v>
      </c>
      <c r="E41" s="753">
        <f t="shared" si="0"/>
        <v>0.27285000000000004</v>
      </c>
      <c r="F41" s="753">
        <f t="shared" si="4"/>
        <v>6.6120063584418354E-4</v>
      </c>
      <c r="G41" s="756">
        <f t="shared" si="5"/>
        <v>46874520</v>
      </c>
      <c r="H41" s="781">
        <f t="shared" si="2"/>
        <v>31</v>
      </c>
      <c r="I41" s="756">
        <f t="shared" si="3"/>
        <v>960797.33529561793</v>
      </c>
    </row>
    <row r="42" spans="1:9" ht="13.5">
      <c r="A42" s="2">
        <v>22</v>
      </c>
      <c r="B42" s="752">
        <v>43983</v>
      </c>
      <c r="C42" s="752">
        <v>44012</v>
      </c>
      <c r="D42" s="753">
        <v>0.1812</v>
      </c>
      <c r="E42" s="753">
        <f t="shared" si="0"/>
        <v>0.27179999999999999</v>
      </c>
      <c r="F42" s="753">
        <f t="shared" si="4"/>
        <v>6.5893815469997286E-4</v>
      </c>
      <c r="G42" s="756">
        <f t="shared" si="5"/>
        <v>46874520</v>
      </c>
      <c r="H42" s="781">
        <f t="shared" si="2"/>
        <v>30</v>
      </c>
      <c r="I42" s="756">
        <f t="shared" si="3"/>
        <v>926622.29133740917</v>
      </c>
    </row>
    <row r="43" spans="1:9" ht="13.5">
      <c r="A43" s="2">
        <v>23</v>
      </c>
      <c r="B43" s="752">
        <v>44013</v>
      </c>
      <c r="C43" s="752">
        <v>44043</v>
      </c>
      <c r="D43" s="753">
        <v>0.1812</v>
      </c>
      <c r="E43" s="753">
        <f t="shared" si="0"/>
        <v>0.27179999999999999</v>
      </c>
      <c r="F43" s="753">
        <f t="shared" si="4"/>
        <v>6.5893815469997286E-4</v>
      </c>
      <c r="G43" s="756">
        <f t="shared" si="5"/>
        <v>46874520</v>
      </c>
      <c r="H43" s="781">
        <f t="shared" si="2"/>
        <v>31</v>
      </c>
      <c r="I43" s="756">
        <f t="shared" si="3"/>
        <v>957509.70104865613</v>
      </c>
    </row>
    <row r="44" spans="1:9" ht="13.5">
      <c r="A44" s="2">
        <v>24</v>
      </c>
      <c r="B44" s="752">
        <v>44044</v>
      </c>
      <c r="C44" s="752">
        <v>44074</v>
      </c>
      <c r="D44" s="753">
        <v>0.18290000000000001</v>
      </c>
      <c r="E44" s="753">
        <f t="shared" si="0"/>
        <v>0.27434999999999998</v>
      </c>
      <c r="F44" s="753">
        <f t="shared" si="4"/>
        <v>6.6442952514544906E-4</v>
      </c>
      <c r="G44" s="756">
        <f t="shared" si="5"/>
        <v>46874520</v>
      </c>
      <c r="H44" s="781">
        <f t="shared" si="2"/>
        <v>31</v>
      </c>
      <c r="I44" s="756">
        <f t="shared" si="3"/>
        <v>965489.26701564656</v>
      </c>
    </row>
    <row r="45" spans="1:9" ht="13.5">
      <c r="A45" s="2">
        <v>25</v>
      </c>
      <c r="B45" s="752">
        <v>44075</v>
      </c>
      <c r="C45" s="752">
        <v>44104</v>
      </c>
      <c r="D45" s="753">
        <v>0.1835</v>
      </c>
      <c r="E45" s="753">
        <f t="shared" si="0"/>
        <v>0.27524999999999999</v>
      </c>
      <c r="F45" s="753">
        <f t="shared" si="4"/>
        <v>6.6636503991857055E-4</v>
      </c>
      <c r="G45" s="756">
        <f t="shared" si="5"/>
        <v>46874520</v>
      </c>
      <c r="H45" s="781">
        <f t="shared" si="2"/>
        <v>30</v>
      </c>
      <c r="I45" s="756">
        <f t="shared" si="3"/>
        <v>937066.24172891502</v>
      </c>
    </row>
    <row r="46" spans="1:9" ht="13.5">
      <c r="A46" s="2">
        <v>26</v>
      </c>
      <c r="B46" s="752">
        <v>44105</v>
      </c>
      <c r="C46" s="752">
        <v>44135</v>
      </c>
      <c r="D46" s="753">
        <v>0.18090000000000001</v>
      </c>
      <c r="E46" s="753">
        <f t="shared" si="0"/>
        <v>0.27134999999999998</v>
      </c>
      <c r="F46" s="753">
        <f t="shared" si="4"/>
        <v>6.5796794962613703E-4</v>
      </c>
      <c r="G46" s="756">
        <f t="shared" si="5"/>
        <v>46874520</v>
      </c>
      <c r="H46" s="781">
        <f t="shared" si="2"/>
        <v>31</v>
      </c>
      <c r="I46" s="756">
        <f t="shared" si="3"/>
        <v>956099.88623738999</v>
      </c>
    </row>
    <row r="47" spans="1:9" ht="13.5">
      <c r="A47" s="2">
        <v>27</v>
      </c>
      <c r="B47" s="752">
        <v>44136</v>
      </c>
      <c r="C47" s="752">
        <v>44165</v>
      </c>
      <c r="D47" s="753">
        <v>0.1784</v>
      </c>
      <c r="E47" s="753">
        <f t="shared" si="0"/>
        <v>0.2676</v>
      </c>
      <c r="F47" s="753">
        <f t="shared" si="4"/>
        <v>6.4986956374091243E-4</v>
      </c>
      <c r="G47" s="756">
        <f t="shared" si="5"/>
        <v>46874520</v>
      </c>
      <c r="H47" s="781">
        <f t="shared" si="2"/>
        <v>30</v>
      </c>
      <c r="I47" s="756">
        <f t="shared" si="3"/>
        <v>913869.71588894015</v>
      </c>
    </row>
    <row r="48" spans="1:9" ht="13.5">
      <c r="A48" s="2">
        <v>28</v>
      </c>
      <c r="B48" s="752">
        <v>44166</v>
      </c>
      <c r="C48" s="752">
        <v>44196</v>
      </c>
      <c r="D48" s="753">
        <v>0.17460000000000001</v>
      </c>
      <c r="E48" s="753">
        <f t="shared" si="0"/>
        <v>0.26190000000000002</v>
      </c>
      <c r="F48" s="753">
        <f t="shared" si="4"/>
        <v>6.3751414410861962E-4</v>
      </c>
      <c r="G48" s="756">
        <f t="shared" si="5"/>
        <v>46874520</v>
      </c>
      <c r="H48" s="781">
        <f t="shared" si="2"/>
        <v>31</v>
      </c>
      <c r="I48" s="756">
        <f t="shared" si="3"/>
        <v>926378.25444737356</v>
      </c>
    </row>
    <row r="49" spans="1:9" ht="13.5">
      <c r="A49" s="2">
        <v>29</v>
      </c>
      <c r="B49" s="752">
        <v>44197</v>
      </c>
      <c r="C49" s="752">
        <v>44227</v>
      </c>
      <c r="D49" s="753">
        <v>0.17319999999999999</v>
      </c>
      <c r="E49" s="753">
        <f t="shared" si="0"/>
        <v>0.25979999999999998</v>
      </c>
      <c r="F49" s="753">
        <f t="shared" si="4"/>
        <v>6.3294811266723094E-4</v>
      </c>
      <c r="G49" s="756">
        <f t="shared" si="5"/>
        <v>46874520</v>
      </c>
      <c r="H49" s="781">
        <f t="shared" si="2"/>
        <v>31</v>
      </c>
      <c r="I49" s="756">
        <f t="shared" si="3"/>
        <v>919743.30795165349</v>
      </c>
    </row>
    <row r="50" spans="1:9" ht="13.5">
      <c r="A50" s="2">
        <v>30</v>
      </c>
      <c r="B50" s="752">
        <v>44228</v>
      </c>
      <c r="C50" s="752">
        <v>44255</v>
      </c>
      <c r="D50" s="753">
        <v>0.1754</v>
      </c>
      <c r="E50" s="753">
        <f t="shared" si="0"/>
        <v>0.2631</v>
      </c>
      <c r="F50" s="753">
        <f t="shared" si="4"/>
        <v>6.4011990387169426E-4</v>
      </c>
      <c r="G50" s="756">
        <f t="shared" si="5"/>
        <v>46874520</v>
      </c>
      <c r="H50" s="781">
        <f t="shared" si="2"/>
        <v>28</v>
      </c>
      <c r="I50" s="756">
        <f t="shared" si="3"/>
        <v>840148.77062009077</v>
      </c>
    </row>
    <row r="51" spans="1:9" ht="13.5">
      <c r="A51" s="2">
        <v>31</v>
      </c>
      <c r="B51" s="752">
        <v>44256</v>
      </c>
      <c r="C51" s="752">
        <v>44286</v>
      </c>
      <c r="D51" s="753">
        <v>0.1741</v>
      </c>
      <c r="E51" s="753">
        <f t="shared" si="0"/>
        <v>0.26114999999999999</v>
      </c>
      <c r="F51" s="753">
        <f t="shared" si="4"/>
        <v>6.3588428907812578E-4</v>
      </c>
      <c r="G51" s="756">
        <f t="shared" si="5"/>
        <v>46874520</v>
      </c>
      <c r="H51" s="781">
        <f t="shared" si="2"/>
        <v>31</v>
      </c>
      <c r="I51" s="756">
        <f t="shared" si="3"/>
        <v>924009.89560843003</v>
      </c>
    </row>
    <row r="52" spans="1:9" ht="13.5">
      <c r="A52" s="2">
        <v>32</v>
      </c>
      <c r="B52" s="752">
        <v>44287</v>
      </c>
      <c r="C52" s="752">
        <v>44316</v>
      </c>
      <c r="D52" s="753">
        <v>0.1731</v>
      </c>
      <c r="E52" s="753">
        <f t="shared" si="0"/>
        <v>0.25964999999999999</v>
      </c>
      <c r="F52" s="753">
        <f t="shared" si="4"/>
        <v>6.326216771728177E-4</v>
      </c>
      <c r="G52" s="756">
        <f t="shared" si="5"/>
        <v>46874520</v>
      </c>
      <c r="H52" s="781">
        <f t="shared" si="2"/>
        <v>30</v>
      </c>
      <c r="I52" s="756">
        <f t="shared" si="3"/>
        <v>889615.1237721236</v>
      </c>
    </row>
    <row r="53" spans="1:9" ht="13.5">
      <c r="A53" s="2">
        <v>33</v>
      </c>
      <c r="B53" s="752">
        <v>44317</v>
      </c>
      <c r="C53" s="752">
        <v>44347</v>
      </c>
      <c r="D53" s="753">
        <v>0.17219999999999999</v>
      </c>
      <c r="E53" s="753">
        <f t="shared" si="0"/>
        <v>0.25829999999999997</v>
      </c>
      <c r="F53" s="753">
        <f t="shared" si="4"/>
        <v>6.2968201205726437E-4</v>
      </c>
      <c r="G53" s="756">
        <f t="shared" si="5"/>
        <v>46874520</v>
      </c>
      <c r="H53" s="781">
        <f t="shared" si="2"/>
        <v>31</v>
      </c>
      <c r="I53" s="756">
        <f t="shared" si="3"/>
        <v>914997.30410237284</v>
      </c>
    </row>
    <row r="54" spans="1:9" ht="13.5">
      <c r="A54" s="2">
        <v>34</v>
      </c>
      <c r="B54" s="752">
        <v>44348</v>
      </c>
      <c r="C54" s="752">
        <v>44377</v>
      </c>
      <c r="D54" s="753">
        <v>0.1721</v>
      </c>
      <c r="E54" s="753">
        <f t="shared" si="0"/>
        <v>0.25814999999999999</v>
      </c>
      <c r="F54" s="753">
        <f t="shared" si="4"/>
        <v>6.2935518846773952E-4</v>
      </c>
      <c r="G54" s="756">
        <f t="shared" si="5"/>
        <v>46874520</v>
      </c>
      <c r="H54" s="781">
        <f t="shared" si="2"/>
        <v>30</v>
      </c>
      <c r="I54" s="756">
        <f t="shared" si="3"/>
        <v>885021.67106804473</v>
      </c>
    </row>
    <row r="55" spans="1:9" ht="13.5">
      <c r="A55" s="2">
        <v>35</v>
      </c>
      <c r="B55" s="752">
        <v>44378</v>
      </c>
      <c r="C55" s="752">
        <v>44408</v>
      </c>
      <c r="D55" s="753">
        <v>0.17180000000000001</v>
      </c>
      <c r="E55" s="753">
        <f>+D55*1.5</f>
        <v>0.25770000000000004</v>
      </c>
      <c r="F55" s="753">
        <f>((1+E55)^(1/365)-1)</f>
        <v>6.2837448450037137E-4</v>
      </c>
      <c r="G55" s="756">
        <f t="shared" si="5"/>
        <v>46874520</v>
      </c>
      <c r="H55" s="781">
        <f>_xlfn.DAYS(C55,B55)+1</f>
        <v>31</v>
      </c>
      <c r="I55" s="756">
        <f>+G55*F55*H55</f>
        <v>913097.32257727277</v>
      </c>
    </row>
    <row r="56" spans="1:9" ht="13.5">
      <c r="A56" s="2">
        <v>36</v>
      </c>
      <c r="B56" s="752">
        <v>44409</v>
      </c>
      <c r="C56" s="752">
        <v>44439</v>
      </c>
      <c r="D56" s="753">
        <v>0.1724</v>
      </c>
      <c r="E56" s="753">
        <f>+D56*1.5</f>
        <v>0.2586</v>
      </c>
      <c r="F56" s="753">
        <f>((1+E56)^(1/365)-1)</f>
        <v>6.3033554269220637E-4</v>
      </c>
      <c r="G56" s="756">
        <f t="shared" si="5"/>
        <v>46874520</v>
      </c>
      <c r="H56" s="781">
        <f>_xlfn.DAYS(C56,B56)+1</f>
        <v>31</v>
      </c>
      <c r="I56" s="756">
        <f>+G56*F56*H56</f>
        <v>915946.95608173718</v>
      </c>
    </row>
    <row r="57" spans="1:9" ht="13.5">
      <c r="A57" s="2">
        <v>37</v>
      </c>
      <c r="B57" s="752">
        <v>44440</v>
      </c>
      <c r="C57" s="752">
        <v>44469</v>
      </c>
      <c r="D57" s="753">
        <v>0.1719</v>
      </c>
      <c r="E57" s="753">
        <f>+D57*1.5</f>
        <v>0.25785000000000002</v>
      </c>
      <c r="F57" s="753">
        <f>((1+E57)^(1/365)-1)</f>
        <v>6.2870142469861889E-4</v>
      </c>
      <c r="G57" s="756">
        <f t="shared" si="5"/>
        <v>46874520</v>
      </c>
      <c r="H57" s="781">
        <f>_xlfn.DAYS(C57,B57)+1</f>
        <v>30</v>
      </c>
      <c r="I57" s="756">
        <f>+G57*F57*H57</f>
        <v>884102.32518191717</v>
      </c>
    </row>
    <row r="58" spans="1:9" ht="13.5">
      <c r="A58" s="2">
        <v>38</v>
      </c>
      <c r="B58" s="752">
        <v>44470</v>
      </c>
      <c r="C58" s="752">
        <v>44500</v>
      </c>
      <c r="D58" s="753">
        <v>0.17080000000000001</v>
      </c>
      <c r="E58" s="753">
        <f>+D58*1.5</f>
        <v>0.25619999999999998</v>
      </c>
      <c r="F58" s="753">
        <f>((1+E58)^(1/365)-1)</f>
        <v>6.2510294214179751E-4</v>
      </c>
      <c r="G58" s="756">
        <f t="shared" si="5"/>
        <v>46874520</v>
      </c>
      <c r="H58" s="781">
        <f>_xlfn.DAYS(C58,B58)+1</f>
        <v>31</v>
      </c>
      <c r="I58" s="756">
        <f>+G58*F58*H58</f>
        <v>908343.41126802051</v>
      </c>
    </row>
    <row r="59" spans="1:9" ht="13.5">
      <c r="A59" s="2">
        <v>39</v>
      </c>
      <c r="B59" s="752">
        <v>44501</v>
      </c>
      <c r="C59" s="752">
        <v>44522</v>
      </c>
      <c r="D59" s="753">
        <v>0.17269999999999999</v>
      </c>
      <c r="E59" s="753">
        <f>+D59*1.5</f>
        <v>0.25905</v>
      </c>
      <c r="F59" s="753">
        <f>((1+E59)^(1/365)-1)</f>
        <v>6.3131554742335005E-4</v>
      </c>
      <c r="G59" s="756">
        <f t="shared" si="5"/>
        <v>46874520</v>
      </c>
      <c r="H59" s="782">
        <f>_xlfn.DAYS(C59,B59)+1</f>
        <v>22</v>
      </c>
      <c r="I59" s="756">
        <f>+G59*F59*H59</f>
        <v>651037.49158814899</v>
      </c>
    </row>
    <row r="60" spans="1:9" ht="13.5">
      <c r="B60" s="731"/>
      <c r="C60" s="731"/>
      <c r="D60" s="731"/>
      <c r="E60" s="731"/>
      <c r="F60" s="731"/>
      <c r="G60" s="2673" t="s">
        <v>692</v>
      </c>
      <c r="H60" s="2673"/>
      <c r="I60" s="783">
        <f>SUM(I21:I59)</f>
        <v>29026414.405721989</v>
      </c>
    </row>
    <row r="61" spans="1:9" ht="38.25" customHeight="1">
      <c r="B61" s="2678" t="s">
        <v>693</v>
      </c>
      <c r="C61" s="2679"/>
      <c r="D61" s="731"/>
      <c r="E61" s="731"/>
      <c r="F61" s="731"/>
      <c r="G61" s="731"/>
      <c r="H61" s="731"/>
      <c r="I61" s="731"/>
    </row>
    <row r="62" spans="1:9" ht="13.5">
      <c r="B62" s="688" t="s">
        <v>56</v>
      </c>
      <c r="C62" s="688"/>
      <c r="D62" s="731"/>
      <c r="E62" s="731"/>
      <c r="F62" s="731"/>
      <c r="G62" s="731"/>
      <c r="H62" s="777"/>
      <c r="I62" s="731"/>
    </row>
    <row r="63" spans="1:9" ht="19.5" customHeight="1">
      <c r="B63" s="695" t="s">
        <v>133</v>
      </c>
      <c r="C63" s="756">
        <f>+D18</f>
        <v>46874520</v>
      </c>
      <c r="D63" s="731"/>
      <c r="E63" s="731"/>
      <c r="F63" s="731"/>
      <c r="G63" s="731"/>
      <c r="H63" s="777"/>
      <c r="I63" s="731"/>
    </row>
    <row r="64" spans="1:9" ht="27">
      <c r="B64" s="695" t="s">
        <v>134</v>
      </c>
      <c r="C64" s="756">
        <f>+I60</f>
        <v>29026414.405721989</v>
      </c>
      <c r="D64" s="731"/>
      <c r="E64" s="731"/>
      <c r="F64" s="731"/>
      <c r="G64" s="731"/>
      <c r="H64" s="777"/>
      <c r="I64" s="731"/>
    </row>
    <row r="65" spans="1:9" ht="14.25" thickBot="1">
      <c r="B65" s="754" t="s">
        <v>61</v>
      </c>
      <c r="C65" s="784">
        <f>SUM(C63:C64)</f>
        <v>75900934.405721992</v>
      </c>
      <c r="D65" s="731"/>
      <c r="E65" s="731"/>
      <c r="F65" s="731"/>
      <c r="G65" s="731"/>
      <c r="H65" s="777"/>
      <c r="I65" s="731"/>
    </row>
    <row r="66" spans="1:9" ht="7.5" customHeight="1" thickTop="1">
      <c r="B66" s="785"/>
      <c r="C66" s="786"/>
      <c r="D66" s="787"/>
      <c r="E66" s="731"/>
      <c r="F66" s="731"/>
      <c r="G66" s="731"/>
      <c r="H66" s="777"/>
      <c r="I66" s="731"/>
    </row>
    <row r="67" spans="1:9" ht="13.5">
      <c r="B67" s="731"/>
      <c r="C67" s="731"/>
      <c r="D67" s="731"/>
      <c r="E67" s="731"/>
      <c r="F67" s="731"/>
      <c r="G67" s="731"/>
      <c r="H67" s="777"/>
      <c r="I67" s="731"/>
    </row>
    <row r="68" spans="1:9" ht="25.5">
      <c r="B68" s="789" t="s">
        <v>686</v>
      </c>
      <c r="C68" s="728" t="s">
        <v>684</v>
      </c>
      <c r="D68" s="790">
        <f>+D12</f>
        <v>46874520</v>
      </c>
      <c r="E68" s="791"/>
      <c r="F68" s="791"/>
      <c r="G68" s="791"/>
      <c r="H68" s="792"/>
      <c r="I68" s="791"/>
    </row>
    <row r="69" spans="1:9" ht="13.5">
      <c r="B69" s="2559" t="s">
        <v>160</v>
      </c>
      <c r="C69" s="2559"/>
      <c r="D69" s="2559"/>
      <c r="E69" s="2559"/>
      <c r="F69" s="2559"/>
      <c r="G69" s="2559"/>
      <c r="H69" s="2559"/>
      <c r="I69" s="2559"/>
    </row>
    <row r="70" spans="1:9" ht="25.5">
      <c r="A70" s="2"/>
      <c r="B70" s="793" t="s">
        <v>337</v>
      </c>
      <c r="C70" s="793" t="s">
        <v>40</v>
      </c>
      <c r="D70" s="793" t="s">
        <v>148</v>
      </c>
      <c r="E70" s="794" t="s">
        <v>149</v>
      </c>
      <c r="F70" s="794" t="s">
        <v>43</v>
      </c>
      <c r="G70" s="794" t="s">
        <v>129</v>
      </c>
      <c r="H70" s="795" t="s">
        <v>47</v>
      </c>
      <c r="I70" s="794" t="s">
        <v>48</v>
      </c>
    </row>
    <row r="71" spans="1:9" ht="13.5">
      <c r="A71" s="2">
        <v>1</v>
      </c>
      <c r="B71" s="724">
        <v>43421</v>
      </c>
      <c r="C71" s="724">
        <v>43434</v>
      </c>
      <c r="D71" s="796">
        <v>0.19489999999999999</v>
      </c>
      <c r="E71" s="796">
        <f>+D71*1.5</f>
        <v>0.29235</v>
      </c>
      <c r="F71" s="796">
        <f t="shared" ref="F71:F77" si="6">((1+E71)^(1/365)-1)</f>
        <v>7.0288325333756063E-4</v>
      </c>
      <c r="G71" s="790">
        <f>+$D$18</f>
        <v>46874520</v>
      </c>
      <c r="H71" s="797">
        <f>_xlfn.DAYS(C71,B71)+1</f>
        <v>14</v>
      </c>
      <c r="I71" s="790">
        <f>+G71*F71*H71</f>
        <v>461262.41162731173</v>
      </c>
    </row>
    <row r="72" spans="1:9" ht="13.5">
      <c r="A72" s="2">
        <v>2</v>
      </c>
      <c r="B72" s="724">
        <v>43435</v>
      </c>
      <c r="C72" s="724">
        <v>43465</v>
      </c>
      <c r="D72" s="796">
        <v>0.19400000000000001</v>
      </c>
      <c r="E72" s="796">
        <f t="shared" ref="E72:E77" si="7">+D72*1.5</f>
        <v>0.29100000000000004</v>
      </c>
      <c r="F72" s="796">
        <f t="shared" si="6"/>
        <v>7.0001780740103214E-4</v>
      </c>
      <c r="G72" s="790">
        <f t="shared" ref="G72:G77" si="8">+$D$18</f>
        <v>46874520</v>
      </c>
      <c r="H72" s="797">
        <f t="shared" ref="H72:H77" si="9">_xlfn.DAYS(C72,B72)+1</f>
        <v>31</v>
      </c>
      <c r="I72" s="790">
        <f t="shared" ref="I72:I104" si="10">+G72*F72*H72</f>
        <v>1017202.9601146507</v>
      </c>
    </row>
    <row r="73" spans="1:9" ht="13.5">
      <c r="A73" s="2">
        <v>3</v>
      </c>
      <c r="B73" s="724">
        <v>43466</v>
      </c>
      <c r="C73" s="724">
        <v>43496</v>
      </c>
      <c r="D73" s="796">
        <v>0.19159999999999999</v>
      </c>
      <c r="E73" s="796">
        <f t="shared" si="7"/>
        <v>0.28739999999999999</v>
      </c>
      <c r="F73" s="796">
        <f t="shared" si="6"/>
        <v>6.9236198468725085E-4</v>
      </c>
      <c r="G73" s="790">
        <f t="shared" si="8"/>
        <v>46874520</v>
      </c>
      <c r="H73" s="797">
        <f t="shared" si="9"/>
        <v>31</v>
      </c>
      <c r="I73" s="790">
        <f t="shared" si="10"/>
        <v>1006078.2066523292</v>
      </c>
    </row>
    <row r="74" spans="1:9" ht="13.5">
      <c r="A74" s="2">
        <v>4</v>
      </c>
      <c r="B74" s="724">
        <v>43497</v>
      </c>
      <c r="C74" s="724">
        <v>43524</v>
      </c>
      <c r="D74" s="796">
        <v>0.19700000000000001</v>
      </c>
      <c r="E74" s="796">
        <f t="shared" si="7"/>
        <v>0.29549999999999998</v>
      </c>
      <c r="F74" s="796">
        <f t="shared" si="6"/>
        <v>7.0955770203506852E-4</v>
      </c>
      <c r="G74" s="790">
        <f t="shared" si="8"/>
        <v>46874520</v>
      </c>
      <c r="H74" s="797">
        <f t="shared" si="9"/>
        <v>28</v>
      </c>
      <c r="I74" s="790">
        <f t="shared" si="10"/>
        <v>931284.94746551209</v>
      </c>
    </row>
    <row r="75" spans="1:9" ht="13.5">
      <c r="A75" s="2">
        <v>5</v>
      </c>
      <c r="B75" s="724">
        <v>43525</v>
      </c>
      <c r="C75" s="724">
        <v>43555</v>
      </c>
      <c r="D75" s="796">
        <v>0.19370000000000001</v>
      </c>
      <c r="E75" s="796">
        <f t="shared" si="7"/>
        <v>0.29055000000000003</v>
      </c>
      <c r="F75" s="796">
        <f t="shared" si="6"/>
        <v>6.9906199467517638E-4</v>
      </c>
      <c r="G75" s="790">
        <f t="shared" si="8"/>
        <v>46874520</v>
      </c>
      <c r="H75" s="797">
        <f t="shared" si="9"/>
        <v>31</v>
      </c>
      <c r="I75" s="790">
        <f t="shared" si="10"/>
        <v>1015814.0589698849</v>
      </c>
    </row>
    <row r="76" spans="1:9" ht="13.5">
      <c r="A76" s="2">
        <v>6</v>
      </c>
      <c r="B76" s="724">
        <v>43556</v>
      </c>
      <c r="C76" s="724">
        <v>43585</v>
      </c>
      <c r="D76" s="796">
        <v>0.19320000000000001</v>
      </c>
      <c r="E76" s="796">
        <f t="shared" si="7"/>
        <v>0.2898</v>
      </c>
      <c r="F76" s="796">
        <f t="shared" si="6"/>
        <v>6.9746823462724095E-4</v>
      </c>
      <c r="G76" s="790">
        <f t="shared" si="8"/>
        <v>46874520</v>
      </c>
      <c r="H76" s="797">
        <f t="shared" si="9"/>
        <v>30</v>
      </c>
      <c r="I76" s="790">
        <f t="shared" si="10"/>
        <v>980804.66140197904</v>
      </c>
    </row>
    <row r="77" spans="1:9" ht="13.5">
      <c r="A77" s="2">
        <v>7</v>
      </c>
      <c r="B77" s="724">
        <v>43586</v>
      </c>
      <c r="C77" s="724">
        <v>43601</v>
      </c>
      <c r="D77" s="796">
        <v>0.19339999999999999</v>
      </c>
      <c r="E77" s="796">
        <f t="shared" si="7"/>
        <v>0.29009999999999997</v>
      </c>
      <c r="F77" s="796">
        <f t="shared" si="6"/>
        <v>6.9810584952367805E-4</v>
      </c>
      <c r="G77" s="790">
        <f t="shared" si="8"/>
        <v>46874520</v>
      </c>
      <c r="H77" s="797">
        <f t="shared" si="9"/>
        <v>16</v>
      </c>
      <c r="I77" s="790">
        <f t="shared" si="10"/>
        <v>523574.0256898342</v>
      </c>
    </row>
    <row r="78" spans="1:9" ht="13.5">
      <c r="A78" s="2">
        <v>8</v>
      </c>
      <c r="B78" s="724">
        <v>43602</v>
      </c>
      <c r="C78" s="724">
        <v>43616</v>
      </c>
      <c r="D78" s="796">
        <v>0</v>
      </c>
      <c r="E78" s="796">
        <v>0</v>
      </c>
      <c r="F78" s="796">
        <v>0</v>
      </c>
      <c r="G78" s="790">
        <v>0</v>
      </c>
      <c r="H78" s="797">
        <v>0</v>
      </c>
      <c r="I78" s="790">
        <f t="shared" si="10"/>
        <v>0</v>
      </c>
    </row>
    <row r="79" spans="1:9" ht="13.5">
      <c r="A79" s="2">
        <v>9</v>
      </c>
      <c r="B79" s="724">
        <v>43617</v>
      </c>
      <c r="C79" s="724">
        <v>43646</v>
      </c>
      <c r="D79" s="796">
        <v>0</v>
      </c>
      <c r="E79" s="796">
        <v>0</v>
      </c>
      <c r="F79" s="796">
        <v>0</v>
      </c>
      <c r="G79" s="790">
        <v>0</v>
      </c>
      <c r="H79" s="797">
        <v>0</v>
      </c>
      <c r="I79" s="790">
        <f t="shared" si="10"/>
        <v>0</v>
      </c>
    </row>
    <row r="80" spans="1:9" ht="13.5">
      <c r="A80" s="2">
        <v>10</v>
      </c>
      <c r="B80" s="724">
        <v>43647</v>
      </c>
      <c r="C80" s="724">
        <v>43677</v>
      </c>
      <c r="D80" s="796">
        <v>0</v>
      </c>
      <c r="E80" s="796">
        <v>0</v>
      </c>
      <c r="F80" s="796">
        <v>0</v>
      </c>
      <c r="G80" s="790">
        <v>0</v>
      </c>
      <c r="H80" s="797">
        <v>0</v>
      </c>
      <c r="I80" s="790">
        <f t="shared" si="10"/>
        <v>0</v>
      </c>
    </row>
    <row r="81" spans="1:9" ht="13.5">
      <c r="A81" s="2">
        <v>11</v>
      </c>
      <c r="B81" s="724">
        <v>43678</v>
      </c>
      <c r="C81" s="724">
        <v>43708</v>
      </c>
      <c r="D81" s="796">
        <v>0</v>
      </c>
      <c r="E81" s="796">
        <v>0</v>
      </c>
      <c r="F81" s="796">
        <v>0</v>
      </c>
      <c r="G81" s="790">
        <v>0</v>
      </c>
      <c r="H81" s="797">
        <v>0</v>
      </c>
      <c r="I81" s="790">
        <f t="shared" si="10"/>
        <v>0</v>
      </c>
    </row>
    <row r="82" spans="1:9" ht="13.5">
      <c r="A82" s="2">
        <v>12</v>
      </c>
      <c r="B82" s="724">
        <v>43709</v>
      </c>
      <c r="C82" s="724">
        <v>43738</v>
      </c>
      <c r="D82" s="796">
        <v>0</v>
      </c>
      <c r="E82" s="796">
        <v>0</v>
      </c>
      <c r="F82" s="796">
        <v>0</v>
      </c>
      <c r="G82" s="790">
        <v>0</v>
      </c>
      <c r="H82" s="797">
        <v>0</v>
      </c>
      <c r="I82" s="790">
        <f t="shared" si="10"/>
        <v>0</v>
      </c>
    </row>
    <row r="83" spans="1:9" ht="13.5">
      <c r="A83" s="2">
        <v>13</v>
      </c>
      <c r="B83" s="724">
        <v>43739</v>
      </c>
      <c r="C83" s="724">
        <v>43767</v>
      </c>
      <c r="D83" s="796">
        <v>0</v>
      </c>
      <c r="E83" s="796">
        <v>0</v>
      </c>
      <c r="F83" s="796">
        <v>0</v>
      </c>
      <c r="G83" s="790">
        <v>0</v>
      </c>
      <c r="H83" s="797">
        <v>0</v>
      </c>
      <c r="I83" s="790">
        <f t="shared" si="10"/>
        <v>0</v>
      </c>
    </row>
    <row r="84" spans="1:9" ht="13.5">
      <c r="A84" s="2">
        <v>14</v>
      </c>
      <c r="B84" s="724">
        <v>43768</v>
      </c>
      <c r="C84" s="724">
        <v>43769</v>
      </c>
      <c r="D84" s="796">
        <v>0.191</v>
      </c>
      <c r="E84" s="796">
        <f t="shared" ref="E84:E104" si="11">+D84*1.5</f>
        <v>0.28649999999999998</v>
      </c>
      <c r="F84" s="796">
        <f t="shared" ref="F84:F104" si="12">((1+E84)^(1/365)-1)</f>
        <v>6.9044469314105683E-4</v>
      </c>
      <c r="G84" s="790">
        <f>+$D$18</f>
        <v>46874520</v>
      </c>
      <c r="H84" s="797">
        <f t="shared" ref="H84:H104" si="13">_xlfn.DAYS(C84,B84)+1</f>
        <v>2</v>
      </c>
      <c r="I84" s="790">
        <f t="shared" si="10"/>
        <v>64728.527155068659</v>
      </c>
    </row>
    <row r="85" spans="1:9" ht="13.5">
      <c r="A85" s="2">
        <v>15</v>
      </c>
      <c r="B85" s="724">
        <v>43770</v>
      </c>
      <c r="C85" s="724">
        <v>43799</v>
      </c>
      <c r="D85" s="796">
        <v>0.1903</v>
      </c>
      <c r="E85" s="796">
        <f t="shared" si="11"/>
        <v>0.28544999999999998</v>
      </c>
      <c r="F85" s="796">
        <f t="shared" si="12"/>
        <v>6.8820616169262827E-4</v>
      </c>
      <c r="G85" s="790">
        <f t="shared" ref="G85:G109" si="14">+$D$18</f>
        <v>46874520</v>
      </c>
      <c r="H85" s="797">
        <f t="shared" si="13"/>
        <v>30</v>
      </c>
      <c r="I85" s="790">
        <f t="shared" si="10"/>
        <v>967780.00471153017</v>
      </c>
    </row>
    <row r="86" spans="1:9" ht="13.5">
      <c r="A86" s="2">
        <v>16</v>
      </c>
      <c r="B86" s="724">
        <v>43800</v>
      </c>
      <c r="C86" s="724">
        <v>43830</v>
      </c>
      <c r="D86" s="796">
        <v>0.18909999999999999</v>
      </c>
      <c r="E86" s="796">
        <f t="shared" si="11"/>
        <v>0.28364999999999996</v>
      </c>
      <c r="F86" s="796">
        <f t="shared" si="12"/>
        <v>6.8436443340047504E-4</v>
      </c>
      <c r="G86" s="790">
        <f t="shared" si="14"/>
        <v>46874520</v>
      </c>
      <c r="H86" s="797">
        <f t="shared" si="13"/>
        <v>31</v>
      </c>
      <c r="I86" s="790">
        <f t="shared" si="10"/>
        <v>994456.88394229626</v>
      </c>
    </row>
    <row r="87" spans="1:9" ht="13.5">
      <c r="A87" s="2">
        <v>17</v>
      </c>
      <c r="B87" s="724">
        <v>43831</v>
      </c>
      <c r="C87" s="724">
        <v>43861</v>
      </c>
      <c r="D87" s="796">
        <v>0.18770000000000001</v>
      </c>
      <c r="E87" s="796">
        <f t="shared" si="11"/>
        <v>0.28155000000000002</v>
      </c>
      <c r="F87" s="796">
        <f t="shared" si="12"/>
        <v>6.7987562124560696E-4</v>
      </c>
      <c r="G87" s="790">
        <f t="shared" si="14"/>
        <v>46874520</v>
      </c>
      <c r="H87" s="797">
        <f t="shared" si="13"/>
        <v>31</v>
      </c>
      <c r="I87" s="790">
        <f t="shared" si="10"/>
        <v>987934.14557327854</v>
      </c>
    </row>
    <row r="88" spans="1:9" ht="13.5">
      <c r="A88" s="2">
        <v>18</v>
      </c>
      <c r="B88" s="724">
        <v>43862</v>
      </c>
      <c r="C88" s="724">
        <v>43890</v>
      </c>
      <c r="D88" s="796">
        <v>0.19059999999999999</v>
      </c>
      <c r="E88" s="796">
        <f t="shared" si="11"/>
        <v>0.28589999999999999</v>
      </c>
      <c r="F88" s="796">
        <f t="shared" si="12"/>
        <v>6.8916575551658532E-4</v>
      </c>
      <c r="G88" s="790">
        <f t="shared" si="14"/>
        <v>46874520</v>
      </c>
      <c r="H88" s="797">
        <f t="shared" si="13"/>
        <v>29</v>
      </c>
      <c r="I88" s="790">
        <f t="shared" si="10"/>
        <v>936825.10571804142</v>
      </c>
    </row>
    <row r="89" spans="1:9" ht="13.5">
      <c r="A89" s="2">
        <v>19</v>
      </c>
      <c r="B89" s="724">
        <v>43891</v>
      </c>
      <c r="C89" s="724">
        <v>43921</v>
      </c>
      <c r="D89" s="796">
        <v>0.1895</v>
      </c>
      <c r="E89" s="796">
        <f t="shared" si="11"/>
        <v>0.28425</v>
      </c>
      <c r="F89" s="796">
        <f t="shared" si="12"/>
        <v>6.8564560609574166E-4</v>
      </c>
      <c r="G89" s="790">
        <f t="shared" si="14"/>
        <v>46874520</v>
      </c>
      <c r="H89" s="797">
        <f t="shared" si="13"/>
        <v>31</v>
      </c>
      <c r="I89" s="790">
        <f t="shared" si="10"/>
        <v>996318.56895125587</v>
      </c>
    </row>
    <row r="90" spans="1:9" ht="13.5">
      <c r="A90" s="2">
        <v>20</v>
      </c>
      <c r="B90" s="724">
        <v>43922</v>
      </c>
      <c r="C90" s="724">
        <v>43951</v>
      </c>
      <c r="D90" s="796">
        <v>0.18690000000000001</v>
      </c>
      <c r="E90" s="796">
        <f t="shared" si="11"/>
        <v>0.28034999999999999</v>
      </c>
      <c r="F90" s="796">
        <f t="shared" si="12"/>
        <v>6.7730729113191224E-4</v>
      </c>
      <c r="G90" s="790">
        <f t="shared" si="14"/>
        <v>46874520</v>
      </c>
      <c r="H90" s="797">
        <f t="shared" si="13"/>
        <v>30</v>
      </c>
      <c r="I90" s="790">
        <f t="shared" si="10"/>
        <v>952453.6249292593</v>
      </c>
    </row>
    <row r="91" spans="1:9" ht="13.5">
      <c r="A91" s="2">
        <v>21</v>
      </c>
      <c r="B91" s="724">
        <v>43952</v>
      </c>
      <c r="C91" s="724">
        <v>43982</v>
      </c>
      <c r="D91" s="796">
        <v>0.18190000000000001</v>
      </c>
      <c r="E91" s="796">
        <f t="shared" si="11"/>
        <v>0.27285000000000004</v>
      </c>
      <c r="F91" s="796">
        <f t="shared" si="12"/>
        <v>6.6120063584418354E-4</v>
      </c>
      <c r="G91" s="790">
        <f t="shared" si="14"/>
        <v>46874520</v>
      </c>
      <c r="H91" s="797">
        <f t="shared" si="13"/>
        <v>31</v>
      </c>
      <c r="I91" s="790">
        <f t="shared" si="10"/>
        <v>960797.33529561793</v>
      </c>
    </row>
    <row r="92" spans="1:9" ht="13.5">
      <c r="A92" s="2">
        <v>22</v>
      </c>
      <c r="B92" s="724">
        <v>43983</v>
      </c>
      <c r="C92" s="724">
        <v>44012</v>
      </c>
      <c r="D92" s="796">
        <v>0.1812</v>
      </c>
      <c r="E92" s="796">
        <f t="shared" si="11"/>
        <v>0.27179999999999999</v>
      </c>
      <c r="F92" s="796">
        <f t="shared" si="12"/>
        <v>6.5893815469997286E-4</v>
      </c>
      <c r="G92" s="790">
        <f t="shared" si="14"/>
        <v>46874520</v>
      </c>
      <c r="H92" s="797">
        <f t="shared" si="13"/>
        <v>30</v>
      </c>
      <c r="I92" s="790">
        <f t="shared" si="10"/>
        <v>926622.29133740917</v>
      </c>
    </row>
    <row r="93" spans="1:9" ht="13.5">
      <c r="A93" s="2">
        <v>23</v>
      </c>
      <c r="B93" s="724">
        <v>44013</v>
      </c>
      <c r="C93" s="724">
        <v>44043</v>
      </c>
      <c r="D93" s="796">
        <v>0.1812</v>
      </c>
      <c r="E93" s="796">
        <f t="shared" si="11"/>
        <v>0.27179999999999999</v>
      </c>
      <c r="F93" s="796">
        <f t="shared" si="12"/>
        <v>6.5893815469997286E-4</v>
      </c>
      <c r="G93" s="790">
        <f t="shared" si="14"/>
        <v>46874520</v>
      </c>
      <c r="H93" s="797">
        <f t="shared" si="13"/>
        <v>31</v>
      </c>
      <c r="I93" s="790">
        <f t="shared" si="10"/>
        <v>957509.70104865613</v>
      </c>
    </row>
    <row r="94" spans="1:9" ht="13.5">
      <c r="A94" s="2">
        <v>24</v>
      </c>
      <c r="B94" s="724">
        <v>44044</v>
      </c>
      <c r="C94" s="724">
        <v>44074</v>
      </c>
      <c r="D94" s="796">
        <v>0.18290000000000001</v>
      </c>
      <c r="E94" s="796">
        <f t="shared" si="11"/>
        <v>0.27434999999999998</v>
      </c>
      <c r="F94" s="796">
        <f t="shared" si="12"/>
        <v>6.6442952514544906E-4</v>
      </c>
      <c r="G94" s="790">
        <f t="shared" si="14"/>
        <v>46874520</v>
      </c>
      <c r="H94" s="797">
        <f t="shared" si="13"/>
        <v>31</v>
      </c>
      <c r="I94" s="790">
        <f t="shared" si="10"/>
        <v>965489.26701564656</v>
      </c>
    </row>
    <row r="95" spans="1:9" ht="13.5">
      <c r="A95" s="2">
        <v>25</v>
      </c>
      <c r="B95" s="724">
        <v>44075</v>
      </c>
      <c r="C95" s="724">
        <v>44104</v>
      </c>
      <c r="D95" s="796">
        <v>0.1835</v>
      </c>
      <c r="E95" s="796">
        <f t="shared" si="11"/>
        <v>0.27524999999999999</v>
      </c>
      <c r="F95" s="796">
        <f t="shared" si="12"/>
        <v>6.6636503991857055E-4</v>
      </c>
      <c r="G95" s="790">
        <f t="shared" si="14"/>
        <v>46874520</v>
      </c>
      <c r="H95" s="797">
        <f t="shared" si="13"/>
        <v>30</v>
      </c>
      <c r="I95" s="790">
        <f t="shared" si="10"/>
        <v>937066.24172891502</v>
      </c>
    </row>
    <row r="96" spans="1:9" ht="13.5">
      <c r="A96" s="2">
        <v>26</v>
      </c>
      <c r="B96" s="724">
        <v>44105</v>
      </c>
      <c r="C96" s="724">
        <v>44135</v>
      </c>
      <c r="D96" s="796">
        <v>0.18090000000000001</v>
      </c>
      <c r="E96" s="796">
        <f t="shared" si="11"/>
        <v>0.27134999999999998</v>
      </c>
      <c r="F96" s="796">
        <f t="shared" si="12"/>
        <v>6.5796794962613703E-4</v>
      </c>
      <c r="G96" s="790">
        <f t="shared" si="14"/>
        <v>46874520</v>
      </c>
      <c r="H96" s="797">
        <f t="shared" si="13"/>
        <v>31</v>
      </c>
      <c r="I96" s="790">
        <f t="shared" si="10"/>
        <v>956099.88623738999</v>
      </c>
    </row>
    <row r="97" spans="1:9" ht="13.5">
      <c r="A97" s="2">
        <v>27</v>
      </c>
      <c r="B97" s="724">
        <v>44136</v>
      </c>
      <c r="C97" s="724">
        <v>44165</v>
      </c>
      <c r="D97" s="796">
        <v>0.1784</v>
      </c>
      <c r="E97" s="796">
        <f t="shared" si="11"/>
        <v>0.2676</v>
      </c>
      <c r="F97" s="796">
        <f t="shared" si="12"/>
        <v>6.4986956374091243E-4</v>
      </c>
      <c r="G97" s="790">
        <f t="shared" si="14"/>
        <v>46874520</v>
      </c>
      <c r="H97" s="797">
        <f t="shared" si="13"/>
        <v>30</v>
      </c>
      <c r="I97" s="790">
        <f t="shared" si="10"/>
        <v>913869.71588894015</v>
      </c>
    </row>
    <row r="98" spans="1:9" ht="13.5">
      <c r="A98" s="2">
        <v>28</v>
      </c>
      <c r="B98" s="724">
        <v>44166</v>
      </c>
      <c r="C98" s="724">
        <v>44196</v>
      </c>
      <c r="D98" s="796">
        <v>0.17460000000000001</v>
      </c>
      <c r="E98" s="796">
        <f t="shared" si="11"/>
        <v>0.26190000000000002</v>
      </c>
      <c r="F98" s="796">
        <f t="shared" si="12"/>
        <v>6.3751414410861962E-4</v>
      </c>
      <c r="G98" s="790">
        <f t="shared" si="14"/>
        <v>46874520</v>
      </c>
      <c r="H98" s="797">
        <f t="shared" si="13"/>
        <v>31</v>
      </c>
      <c r="I98" s="790">
        <f t="shared" si="10"/>
        <v>926378.25444737356</v>
      </c>
    </row>
    <row r="99" spans="1:9" ht="13.5">
      <c r="A99" s="2">
        <v>29</v>
      </c>
      <c r="B99" s="724">
        <v>44197</v>
      </c>
      <c r="C99" s="724">
        <v>44227</v>
      </c>
      <c r="D99" s="796">
        <v>0.17319999999999999</v>
      </c>
      <c r="E99" s="796">
        <f t="shared" si="11"/>
        <v>0.25979999999999998</v>
      </c>
      <c r="F99" s="796">
        <f t="shared" si="12"/>
        <v>6.3294811266723094E-4</v>
      </c>
      <c r="G99" s="790">
        <f t="shared" si="14"/>
        <v>46874520</v>
      </c>
      <c r="H99" s="797">
        <f t="shared" si="13"/>
        <v>31</v>
      </c>
      <c r="I99" s="790">
        <f t="shared" si="10"/>
        <v>919743.30795165349</v>
      </c>
    </row>
    <row r="100" spans="1:9" ht="13.5">
      <c r="A100" s="2">
        <v>30</v>
      </c>
      <c r="B100" s="724">
        <v>44228</v>
      </c>
      <c r="C100" s="724">
        <v>44255</v>
      </c>
      <c r="D100" s="796">
        <v>0.1754</v>
      </c>
      <c r="E100" s="796">
        <f t="shared" si="11"/>
        <v>0.2631</v>
      </c>
      <c r="F100" s="796">
        <f t="shared" si="12"/>
        <v>6.4011990387169426E-4</v>
      </c>
      <c r="G100" s="790">
        <f t="shared" si="14"/>
        <v>46874520</v>
      </c>
      <c r="H100" s="797">
        <f t="shared" si="13"/>
        <v>28</v>
      </c>
      <c r="I100" s="790">
        <f t="shared" si="10"/>
        <v>840148.77062009077</v>
      </c>
    </row>
    <row r="101" spans="1:9" ht="13.5">
      <c r="A101" s="2">
        <v>31</v>
      </c>
      <c r="B101" s="724">
        <v>44256</v>
      </c>
      <c r="C101" s="724">
        <v>44286</v>
      </c>
      <c r="D101" s="796">
        <v>0.1741</v>
      </c>
      <c r="E101" s="796">
        <f t="shared" si="11"/>
        <v>0.26114999999999999</v>
      </c>
      <c r="F101" s="796">
        <f t="shared" si="12"/>
        <v>6.3588428907812578E-4</v>
      </c>
      <c r="G101" s="790">
        <f t="shared" si="14"/>
        <v>46874520</v>
      </c>
      <c r="H101" s="797">
        <f t="shared" si="13"/>
        <v>31</v>
      </c>
      <c r="I101" s="790">
        <f t="shared" si="10"/>
        <v>924009.89560843003</v>
      </c>
    </row>
    <row r="102" spans="1:9" ht="13.5">
      <c r="A102" s="2">
        <v>32</v>
      </c>
      <c r="B102" s="724">
        <v>44287</v>
      </c>
      <c r="C102" s="724">
        <v>44316</v>
      </c>
      <c r="D102" s="796">
        <v>0.1731</v>
      </c>
      <c r="E102" s="796">
        <f t="shared" si="11"/>
        <v>0.25964999999999999</v>
      </c>
      <c r="F102" s="796">
        <f t="shared" si="12"/>
        <v>6.326216771728177E-4</v>
      </c>
      <c r="G102" s="790">
        <f t="shared" si="14"/>
        <v>46874520</v>
      </c>
      <c r="H102" s="797">
        <f t="shared" si="13"/>
        <v>30</v>
      </c>
      <c r="I102" s="790">
        <f t="shared" si="10"/>
        <v>889615.1237721236</v>
      </c>
    </row>
    <row r="103" spans="1:9" ht="13.5">
      <c r="A103" s="2">
        <v>33</v>
      </c>
      <c r="B103" s="724">
        <v>44317</v>
      </c>
      <c r="C103" s="724">
        <v>44347</v>
      </c>
      <c r="D103" s="796">
        <v>0.17219999999999999</v>
      </c>
      <c r="E103" s="796">
        <f t="shared" si="11"/>
        <v>0.25829999999999997</v>
      </c>
      <c r="F103" s="796">
        <f t="shared" si="12"/>
        <v>6.2968201205726437E-4</v>
      </c>
      <c r="G103" s="790">
        <f t="shared" si="14"/>
        <v>46874520</v>
      </c>
      <c r="H103" s="797">
        <f t="shared" si="13"/>
        <v>31</v>
      </c>
      <c r="I103" s="790">
        <f t="shared" si="10"/>
        <v>914997.30410237284</v>
      </c>
    </row>
    <row r="104" spans="1:9" ht="13.5">
      <c r="A104" s="2">
        <v>34</v>
      </c>
      <c r="B104" s="724">
        <v>44348</v>
      </c>
      <c r="C104" s="724">
        <v>44377</v>
      </c>
      <c r="D104" s="796">
        <v>0.1721</v>
      </c>
      <c r="E104" s="796">
        <f t="shared" si="11"/>
        <v>0.25814999999999999</v>
      </c>
      <c r="F104" s="796">
        <f t="shared" si="12"/>
        <v>6.2935518846773952E-4</v>
      </c>
      <c r="G104" s="790">
        <f t="shared" si="14"/>
        <v>46874520</v>
      </c>
      <c r="H104" s="797">
        <f t="shared" si="13"/>
        <v>30</v>
      </c>
      <c r="I104" s="790">
        <f t="shared" si="10"/>
        <v>885021.67106804473</v>
      </c>
    </row>
    <row r="105" spans="1:9" ht="13.5">
      <c r="A105" s="2">
        <v>35</v>
      </c>
      <c r="B105" s="724">
        <v>44378</v>
      </c>
      <c r="C105" s="724">
        <v>44408</v>
      </c>
      <c r="D105" s="796">
        <v>0.17180000000000001</v>
      </c>
      <c r="E105" s="796">
        <f>+D105*1.5</f>
        <v>0.25770000000000004</v>
      </c>
      <c r="F105" s="796">
        <f>((1+E105)^(1/365)-1)</f>
        <v>6.2837448450037137E-4</v>
      </c>
      <c r="G105" s="790">
        <f t="shared" si="14"/>
        <v>46874520</v>
      </c>
      <c r="H105" s="797">
        <f>_xlfn.DAYS(C105,B105)+1</f>
        <v>31</v>
      </c>
      <c r="I105" s="790">
        <f>+G105*F105*H105</f>
        <v>913097.32257727277</v>
      </c>
    </row>
    <row r="106" spans="1:9" ht="13.5">
      <c r="A106" s="2">
        <v>36</v>
      </c>
      <c r="B106" s="724">
        <v>44409</v>
      </c>
      <c r="C106" s="724">
        <v>44439</v>
      </c>
      <c r="D106" s="796">
        <v>0.1724</v>
      </c>
      <c r="E106" s="796">
        <f>+D106*1.5</f>
        <v>0.2586</v>
      </c>
      <c r="F106" s="796">
        <f>((1+E106)^(1/365)-1)</f>
        <v>6.3033554269220637E-4</v>
      </c>
      <c r="G106" s="790">
        <f t="shared" si="14"/>
        <v>46874520</v>
      </c>
      <c r="H106" s="797">
        <f>_xlfn.DAYS(C106,B106)+1</f>
        <v>31</v>
      </c>
      <c r="I106" s="790">
        <f>+G106*F106*H106</f>
        <v>915946.95608173718</v>
      </c>
    </row>
    <row r="107" spans="1:9" ht="13.5">
      <c r="A107" s="2">
        <v>37</v>
      </c>
      <c r="B107" s="724">
        <v>44440</v>
      </c>
      <c r="C107" s="724">
        <v>44469</v>
      </c>
      <c r="D107" s="796">
        <v>0.1719</v>
      </c>
      <c r="E107" s="796">
        <f>+D107*1.5</f>
        <v>0.25785000000000002</v>
      </c>
      <c r="F107" s="796">
        <f>((1+E107)^(1/365)-1)</f>
        <v>6.2870142469861889E-4</v>
      </c>
      <c r="G107" s="790">
        <f t="shared" si="14"/>
        <v>46874520</v>
      </c>
      <c r="H107" s="797">
        <f>_xlfn.DAYS(C107,B107)+1</f>
        <v>30</v>
      </c>
      <c r="I107" s="790">
        <f>+G107*F107*H107</f>
        <v>884102.32518191717</v>
      </c>
    </row>
    <row r="108" spans="1:9" ht="13.5">
      <c r="A108" s="2">
        <v>38</v>
      </c>
      <c r="B108" s="724">
        <v>44470</v>
      </c>
      <c r="C108" s="724">
        <v>44500</v>
      </c>
      <c r="D108" s="796">
        <v>0.17080000000000001</v>
      </c>
      <c r="E108" s="796">
        <f>+D108*1.5</f>
        <v>0.25619999999999998</v>
      </c>
      <c r="F108" s="796">
        <f>((1+E108)^(1/365)-1)</f>
        <v>6.2510294214179751E-4</v>
      </c>
      <c r="G108" s="790">
        <f t="shared" si="14"/>
        <v>46874520</v>
      </c>
      <c r="H108" s="797">
        <f>_xlfn.DAYS(C108,B108)+1</f>
        <v>31</v>
      </c>
      <c r="I108" s="790">
        <f>+G108*F108*H108</f>
        <v>908343.41126802051</v>
      </c>
    </row>
    <row r="109" spans="1:9" ht="13.5">
      <c r="A109" s="2">
        <v>39</v>
      </c>
      <c r="B109" s="724">
        <v>44501</v>
      </c>
      <c r="C109" s="724">
        <v>44522</v>
      </c>
      <c r="D109" s="796">
        <v>0.17269999999999999</v>
      </c>
      <c r="E109" s="796">
        <f>+D109*1.5</f>
        <v>0.25905</v>
      </c>
      <c r="F109" s="796">
        <f>((1+E109)^(1/365)-1)</f>
        <v>6.3131554742335005E-4</v>
      </c>
      <c r="G109" s="790">
        <f t="shared" si="14"/>
        <v>46874520</v>
      </c>
      <c r="H109" s="798">
        <f>_xlfn.DAYS(C109,B109)+1</f>
        <v>22</v>
      </c>
      <c r="I109" s="790">
        <f>+G109*F109*H109</f>
        <v>651037.49158814899</v>
      </c>
    </row>
    <row r="110" spans="1:9" ht="13.5">
      <c r="B110" s="791"/>
      <c r="C110" s="791"/>
      <c r="D110" s="791"/>
      <c r="E110" s="791"/>
      <c r="F110" s="791"/>
      <c r="G110" s="2674" t="s">
        <v>692</v>
      </c>
      <c r="H110" s="2674"/>
      <c r="I110" s="799">
        <f>SUM(I71:I109)</f>
        <v>29026414.405721989</v>
      </c>
    </row>
    <row r="111" spans="1:9" ht="13.5">
      <c r="B111" s="2675" t="s">
        <v>694</v>
      </c>
      <c r="C111" s="2676"/>
      <c r="D111" s="731"/>
      <c r="E111" s="731"/>
      <c r="F111" s="731"/>
      <c r="G111" s="731"/>
      <c r="H111" s="731"/>
      <c r="I111" s="731"/>
    </row>
    <row r="112" spans="1:9" ht="13.5">
      <c r="B112" s="688" t="s">
        <v>56</v>
      </c>
      <c r="C112" s="688"/>
      <c r="D112" s="731"/>
      <c r="E112" s="731"/>
      <c r="F112" s="731"/>
      <c r="G112" s="731"/>
      <c r="H112" s="777"/>
      <c r="I112" s="731"/>
    </row>
    <row r="113" spans="1:9" ht="13.5">
      <c r="B113" s="695" t="s">
        <v>133</v>
      </c>
      <c r="C113" s="756">
        <f>+D68</f>
        <v>46874520</v>
      </c>
      <c r="D113" s="731"/>
      <c r="E113" s="731"/>
      <c r="F113" s="731"/>
      <c r="G113" s="731"/>
      <c r="H113" s="777"/>
      <c r="I113" s="731"/>
    </row>
    <row r="114" spans="1:9" ht="27">
      <c r="B114" s="695" t="s">
        <v>134</v>
      </c>
      <c r="C114" s="756">
        <f>+I110</f>
        <v>29026414.405721989</v>
      </c>
      <c r="D114" s="731"/>
      <c r="E114" s="731"/>
      <c r="F114" s="731"/>
      <c r="G114" s="731"/>
      <c r="H114" s="777"/>
      <c r="I114" s="731"/>
    </row>
    <row r="115" spans="1:9" ht="14.25" thickBot="1">
      <c r="B115" s="754" t="s">
        <v>61</v>
      </c>
      <c r="C115" s="784">
        <f>SUM(C113:C114)</f>
        <v>75900934.405721992</v>
      </c>
      <c r="D115" s="731"/>
      <c r="E115" s="731"/>
      <c r="F115" s="731"/>
      <c r="G115" s="731"/>
      <c r="H115" s="777"/>
      <c r="I115" s="731"/>
    </row>
    <row r="116" spans="1:9" ht="14.25" thickTop="1">
      <c r="B116" s="731"/>
      <c r="C116" s="731"/>
      <c r="D116" s="731"/>
      <c r="E116" s="731"/>
      <c r="F116" s="731"/>
      <c r="G116" s="731"/>
      <c r="H116" s="777"/>
      <c r="I116" s="731"/>
    </row>
    <row r="117" spans="1:9" ht="27">
      <c r="B117" s="725" t="s">
        <v>687</v>
      </c>
      <c r="C117" s="729" t="s">
        <v>688</v>
      </c>
      <c r="D117" s="756">
        <f>D13</f>
        <v>39062100</v>
      </c>
      <c r="E117" s="731"/>
      <c r="F117" s="731"/>
      <c r="G117" s="731"/>
      <c r="H117" s="777"/>
      <c r="I117" s="731"/>
    </row>
    <row r="118" spans="1:9" ht="13.5">
      <c r="B118" s="2672" t="s">
        <v>160</v>
      </c>
      <c r="C118" s="2672"/>
      <c r="D118" s="2672"/>
      <c r="E118" s="2672"/>
      <c r="F118" s="2672"/>
      <c r="G118" s="2672"/>
      <c r="H118" s="2672"/>
      <c r="I118" s="2672"/>
    </row>
    <row r="119" spans="1:9" ht="27">
      <c r="A119" s="2"/>
      <c r="B119" s="751" t="s">
        <v>337</v>
      </c>
      <c r="C119" s="751" t="s">
        <v>40</v>
      </c>
      <c r="D119" s="751" t="s">
        <v>148</v>
      </c>
      <c r="E119" s="740" t="s">
        <v>149</v>
      </c>
      <c r="F119" s="740" t="s">
        <v>43</v>
      </c>
      <c r="G119" s="740" t="s">
        <v>129</v>
      </c>
      <c r="H119" s="776" t="s">
        <v>47</v>
      </c>
      <c r="I119" s="740" t="s">
        <v>48</v>
      </c>
    </row>
    <row r="120" spans="1:9" ht="13.5">
      <c r="A120" s="2">
        <v>1</v>
      </c>
      <c r="B120" s="752">
        <v>43421</v>
      </c>
      <c r="C120" s="752">
        <v>43434</v>
      </c>
      <c r="D120" s="753">
        <v>0.19489999999999999</v>
      </c>
      <c r="E120" s="753">
        <f>+D120*1.5</f>
        <v>0.29235</v>
      </c>
      <c r="F120" s="753">
        <f t="shared" ref="F120:F126" si="15">((1+E120)^(1/365)-1)</f>
        <v>7.0288325333756063E-4</v>
      </c>
      <c r="G120" s="756">
        <f>+$D$117</f>
        <v>39062100</v>
      </c>
      <c r="H120" s="781">
        <f>_xlfn.DAYS(C120,B120)+1</f>
        <v>14</v>
      </c>
      <c r="I120" s="756">
        <f>+G120*F120*H120</f>
        <v>384385.34302275977</v>
      </c>
    </row>
    <row r="121" spans="1:9" ht="13.5">
      <c r="A121" s="2">
        <v>2</v>
      </c>
      <c r="B121" s="752">
        <v>43435</v>
      </c>
      <c r="C121" s="752">
        <v>43465</v>
      </c>
      <c r="D121" s="753">
        <v>0.19400000000000001</v>
      </c>
      <c r="E121" s="753">
        <f t="shared" ref="E121:E126" si="16">+D121*1.5</f>
        <v>0.29100000000000004</v>
      </c>
      <c r="F121" s="753">
        <f t="shared" si="15"/>
        <v>7.0001780740103214E-4</v>
      </c>
      <c r="G121" s="756">
        <f t="shared" ref="G121:G126" si="17">+$D$117</f>
        <v>39062100</v>
      </c>
      <c r="H121" s="781">
        <f t="shared" ref="H121:H126" si="18">_xlfn.DAYS(C121,B121)+1</f>
        <v>31</v>
      </c>
      <c r="I121" s="756">
        <f t="shared" ref="I121:I153" si="19">+G121*F121*H121</f>
        <v>847669.13342887559</v>
      </c>
    </row>
    <row r="122" spans="1:9" ht="13.5">
      <c r="A122" s="2">
        <v>3</v>
      </c>
      <c r="B122" s="752">
        <v>43466</v>
      </c>
      <c r="C122" s="752">
        <v>43496</v>
      </c>
      <c r="D122" s="753">
        <v>0.19159999999999999</v>
      </c>
      <c r="E122" s="753">
        <f t="shared" si="16"/>
        <v>0.28739999999999999</v>
      </c>
      <c r="F122" s="753">
        <f t="shared" si="15"/>
        <v>6.9236198468725085E-4</v>
      </c>
      <c r="G122" s="756">
        <f t="shared" si="17"/>
        <v>39062100</v>
      </c>
      <c r="H122" s="781">
        <f t="shared" si="18"/>
        <v>31</v>
      </c>
      <c r="I122" s="756">
        <f t="shared" si="19"/>
        <v>838398.50554360775</v>
      </c>
    </row>
    <row r="123" spans="1:9" ht="13.5">
      <c r="A123" s="2">
        <v>4</v>
      </c>
      <c r="B123" s="752">
        <v>43497</v>
      </c>
      <c r="C123" s="752">
        <v>43524</v>
      </c>
      <c r="D123" s="753">
        <v>0.19700000000000001</v>
      </c>
      <c r="E123" s="753">
        <f t="shared" si="16"/>
        <v>0.29549999999999998</v>
      </c>
      <c r="F123" s="753">
        <f t="shared" si="15"/>
        <v>7.0955770203506852E-4</v>
      </c>
      <c r="G123" s="756">
        <f t="shared" si="17"/>
        <v>39062100</v>
      </c>
      <c r="H123" s="781">
        <f t="shared" si="18"/>
        <v>28</v>
      </c>
      <c r="I123" s="756">
        <f t="shared" si="19"/>
        <v>776070.78955459339</v>
      </c>
    </row>
    <row r="124" spans="1:9" ht="13.5">
      <c r="A124" s="2">
        <v>5</v>
      </c>
      <c r="B124" s="752">
        <v>43525</v>
      </c>
      <c r="C124" s="752">
        <v>43555</v>
      </c>
      <c r="D124" s="753">
        <v>0.19370000000000001</v>
      </c>
      <c r="E124" s="753">
        <f t="shared" si="16"/>
        <v>0.29055000000000003</v>
      </c>
      <c r="F124" s="753">
        <f t="shared" si="15"/>
        <v>6.9906199467517638E-4</v>
      </c>
      <c r="G124" s="756">
        <f t="shared" si="17"/>
        <v>39062100</v>
      </c>
      <c r="H124" s="781">
        <f t="shared" si="18"/>
        <v>31</v>
      </c>
      <c r="I124" s="756">
        <f t="shared" si="19"/>
        <v>846511.71580823744</v>
      </c>
    </row>
    <row r="125" spans="1:9" ht="13.5">
      <c r="A125" s="2">
        <v>6</v>
      </c>
      <c r="B125" s="752">
        <v>43556</v>
      </c>
      <c r="C125" s="752">
        <v>43585</v>
      </c>
      <c r="D125" s="753">
        <v>0.19320000000000001</v>
      </c>
      <c r="E125" s="753">
        <f t="shared" si="16"/>
        <v>0.2898</v>
      </c>
      <c r="F125" s="753">
        <f t="shared" si="15"/>
        <v>6.9746823462724095E-4</v>
      </c>
      <c r="G125" s="756">
        <f t="shared" si="17"/>
        <v>39062100</v>
      </c>
      <c r="H125" s="781">
        <f t="shared" si="18"/>
        <v>30</v>
      </c>
      <c r="I125" s="756">
        <f t="shared" si="19"/>
        <v>817337.21783498244</v>
      </c>
    </row>
    <row r="126" spans="1:9" ht="13.5">
      <c r="A126" s="2">
        <v>7</v>
      </c>
      <c r="B126" s="752">
        <v>43586</v>
      </c>
      <c r="C126" s="752">
        <v>43601</v>
      </c>
      <c r="D126" s="753">
        <v>0.19339999999999999</v>
      </c>
      <c r="E126" s="753">
        <f t="shared" si="16"/>
        <v>0.29009999999999997</v>
      </c>
      <c r="F126" s="753">
        <f t="shared" si="15"/>
        <v>6.9810584952367805E-4</v>
      </c>
      <c r="G126" s="756">
        <f t="shared" si="17"/>
        <v>39062100</v>
      </c>
      <c r="H126" s="781">
        <f t="shared" si="18"/>
        <v>16</v>
      </c>
      <c r="I126" s="756">
        <f t="shared" si="19"/>
        <v>436311.68807486183</v>
      </c>
    </row>
    <row r="127" spans="1:9" ht="13.5">
      <c r="A127" s="2">
        <v>8</v>
      </c>
      <c r="B127" s="752">
        <v>43602</v>
      </c>
      <c r="C127" s="752">
        <v>43616</v>
      </c>
      <c r="D127" s="753">
        <v>0</v>
      </c>
      <c r="E127" s="753">
        <v>0</v>
      </c>
      <c r="F127" s="753">
        <v>0</v>
      </c>
      <c r="G127" s="756">
        <v>0</v>
      </c>
      <c r="H127" s="781">
        <v>0</v>
      </c>
      <c r="I127" s="756">
        <f t="shared" si="19"/>
        <v>0</v>
      </c>
    </row>
    <row r="128" spans="1:9" ht="13.5">
      <c r="A128" s="2">
        <v>9</v>
      </c>
      <c r="B128" s="752">
        <v>43617</v>
      </c>
      <c r="C128" s="752">
        <v>43646</v>
      </c>
      <c r="D128" s="753">
        <v>0</v>
      </c>
      <c r="E128" s="753">
        <v>0</v>
      </c>
      <c r="F128" s="753">
        <v>0</v>
      </c>
      <c r="G128" s="756">
        <v>0</v>
      </c>
      <c r="H128" s="781">
        <v>0</v>
      </c>
      <c r="I128" s="756">
        <f t="shared" si="19"/>
        <v>0</v>
      </c>
    </row>
    <row r="129" spans="1:9" ht="13.5">
      <c r="A129" s="2">
        <v>10</v>
      </c>
      <c r="B129" s="752">
        <v>43647</v>
      </c>
      <c r="C129" s="752">
        <v>43677</v>
      </c>
      <c r="D129" s="753">
        <v>0</v>
      </c>
      <c r="E129" s="753">
        <v>0</v>
      </c>
      <c r="F129" s="753">
        <v>0</v>
      </c>
      <c r="G129" s="756">
        <v>0</v>
      </c>
      <c r="H129" s="781">
        <v>0</v>
      </c>
      <c r="I129" s="756">
        <f t="shared" si="19"/>
        <v>0</v>
      </c>
    </row>
    <row r="130" spans="1:9" ht="13.5">
      <c r="A130" s="2">
        <v>11</v>
      </c>
      <c r="B130" s="752">
        <v>43678</v>
      </c>
      <c r="C130" s="752">
        <v>43708</v>
      </c>
      <c r="D130" s="753">
        <v>0</v>
      </c>
      <c r="E130" s="753">
        <v>0</v>
      </c>
      <c r="F130" s="753">
        <v>0</v>
      </c>
      <c r="G130" s="756">
        <v>0</v>
      </c>
      <c r="H130" s="781">
        <v>0</v>
      </c>
      <c r="I130" s="756">
        <f t="shared" si="19"/>
        <v>0</v>
      </c>
    </row>
    <row r="131" spans="1:9" ht="13.5">
      <c r="A131" s="2">
        <v>12</v>
      </c>
      <c r="B131" s="752">
        <v>43709</v>
      </c>
      <c r="C131" s="752">
        <v>43738</v>
      </c>
      <c r="D131" s="753">
        <v>0</v>
      </c>
      <c r="E131" s="753">
        <v>0</v>
      </c>
      <c r="F131" s="753">
        <v>0</v>
      </c>
      <c r="G131" s="756">
        <v>0</v>
      </c>
      <c r="H131" s="781">
        <v>0</v>
      </c>
      <c r="I131" s="756">
        <f t="shared" si="19"/>
        <v>0</v>
      </c>
    </row>
    <row r="132" spans="1:9" ht="13.5">
      <c r="A132" s="2">
        <v>13</v>
      </c>
      <c r="B132" s="752">
        <v>43739</v>
      </c>
      <c r="C132" s="752">
        <v>43767</v>
      </c>
      <c r="D132" s="753">
        <v>0</v>
      </c>
      <c r="E132" s="753">
        <v>0</v>
      </c>
      <c r="F132" s="753">
        <v>0</v>
      </c>
      <c r="G132" s="756">
        <v>0</v>
      </c>
      <c r="H132" s="781">
        <v>0</v>
      </c>
      <c r="I132" s="756">
        <f t="shared" si="19"/>
        <v>0</v>
      </c>
    </row>
    <row r="133" spans="1:9" ht="13.5">
      <c r="A133" s="2">
        <v>14</v>
      </c>
      <c r="B133" s="752">
        <v>43768</v>
      </c>
      <c r="C133" s="752">
        <v>43769</v>
      </c>
      <c r="D133" s="753">
        <v>0.191</v>
      </c>
      <c r="E133" s="753">
        <f t="shared" ref="E133:E153" si="20">+D133*1.5</f>
        <v>0.28649999999999998</v>
      </c>
      <c r="F133" s="753">
        <f t="shared" ref="F133:F153" si="21">((1+E133)^(1/365)-1)</f>
        <v>6.9044469314105683E-4</v>
      </c>
      <c r="G133" s="756">
        <f>+$D$117</f>
        <v>39062100</v>
      </c>
      <c r="H133" s="781">
        <f t="shared" ref="H133:H153" si="22">_xlfn.DAYS(C133,B133)+1</f>
        <v>2</v>
      </c>
      <c r="I133" s="756">
        <f t="shared" si="19"/>
        <v>53940.439295890552</v>
      </c>
    </row>
    <row r="134" spans="1:9" ht="13.5">
      <c r="A134" s="2">
        <v>15</v>
      </c>
      <c r="B134" s="752">
        <v>43770</v>
      </c>
      <c r="C134" s="752">
        <v>43799</v>
      </c>
      <c r="D134" s="753">
        <v>0.1903</v>
      </c>
      <c r="E134" s="753">
        <f t="shared" si="20"/>
        <v>0.28544999999999998</v>
      </c>
      <c r="F134" s="753">
        <f t="shared" si="21"/>
        <v>6.8820616169262827E-4</v>
      </c>
      <c r="G134" s="756">
        <f t="shared" ref="G134:G158" si="23">+$D$117</f>
        <v>39062100</v>
      </c>
      <c r="H134" s="781">
        <f t="shared" si="22"/>
        <v>30</v>
      </c>
      <c r="I134" s="756">
        <f t="shared" si="19"/>
        <v>806483.33725960844</v>
      </c>
    </row>
    <row r="135" spans="1:9" ht="13.5">
      <c r="A135" s="2">
        <v>16</v>
      </c>
      <c r="B135" s="752">
        <v>43800</v>
      </c>
      <c r="C135" s="752">
        <v>43830</v>
      </c>
      <c r="D135" s="753">
        <v>0.18909999999999999</v>
      </c>
      <c r="E135" s="753">
        <f t="shared" si="20"/>
        <v>0.28364999999999996</v>
      </c>
      <c r="F135" s="753">
        <f t="shared" si="21"/>
        <v>6.8436443340047504E-4</v>
      </c>
      <c r="G135" s="756">
        <f t="shared" si="23"/>
        <v>39062100</v>
      </c>
      <c r="H135" s="781">
        <f t="shared" si="22"/>
        <v>31</v>
      </c>
      <c r="I135" s="756">
        <f t="shared" si="19"/>
        <v>828714.06995191355</v>
      </c>
    </row>
    <row r="136" spans="1:9" ht="13.5">
      <c r="A136" s="2">
        <v>17</v>
      </c>
      <c r="B136" s="752">
        <v>43831</v>
      </c>
      <c r="C136" s="752">
        <v>43861</v>
      </c>
      <c r="D136" s="753">
        <v>0.18770000000000001</v>
      </c>
      <c r="E136" s="753">
        <f t="shared" si="20"/>
        <v>0.28155000000000002</v>
      </c>
      <c r="F136" s="753">
        <f t="shared" si="21"/>
        <v>6.7987562124560696E-4</v>
      </c>
      <c r="G136" s="756">
        <f t="shared" si="23"/>
        <v>39062100</v>
      </c>
      <c r="H136" s="781">
        <f t="shared" si="22"/>
        <v>31</v>
      </c>
      <c r="I136" s="756">
        <f t="shared" si="19"/>
        <v>823278.45464439876</v>
      </c>
    </row>
    <row r="137" spans="1:9" ht="13.5">
      <c r="A137" s="2">
        <v>18</v>
      </c>
      <c r="B137" s="752">
        <v>43862</v>
      </c>
      <c r="C137" s="752">
        <v>43890</v>
      </c>
      <c r="D137" s="753">
        <v>0.19059999999999999</v>
      </c>
      <c r="E137" s="753">
        <f t="shared" si="20"/>
        <v>0.28589999999999999</v>
      </c>
      <c r="F137" s="753">
        <f t="shared" si="21"/>
        <v>6.8916575551658532E-4</v>
      </c>
      <c r="G137" s="756">
        <f t="shared" si="23"/>
        <v>39062100</v>
      </c>
      <c r="H137" s="781">
        <f t="shared" si="22"/>
        <v>29</v>
      </c>
      <c r="I137" s="756">
        <f t="shared" si="19"/>
        <v>780687.58809836779</v>
      </c>
    </row>
    <row r="138" spans="1:9" ht="13.5">
      <c r="A138" s="2">
        <v>19</v>
      </c>
      <c r="B138" s="752">
        <v>43891</v>
      </c>
      <c r="C138" s="752">
        <v>43921</v>
      </c>
      <c r="D138" s="753">
        <v>0.1895</v>
      </c>
      <c r="E138" s="753">
        <f t="shared" si="20"/>
        <v>0.28425</v>
      </c>
      <c r="F138" s="753">
        <f t="shared" si="21"/>
        <v>6.8564560609574166E-4</v>
      </c>
      <c r="G138" s="756">
        <f t="shared" si="23"/>
        <v>39062100</v>
      </c>
      <c r="H138" s="781">
        <f t="shared" si="22"/>
        <v>31</v>
      </c>
      <c r="I138" s="756">
        <f t="shared" si="19"/>
        <v>830265.47412604652</v>
      </c>
    </row>
    <row r="139" spans="1:9" ht="13.5">
      <c r="A139" s="2">
        <v>20</v>
      </c>
      <c r="B139" s="752">
        <v>43922</v>
      </c>
      <c r="C139" s="752">
        <v>43951</v>
      </c>
      <c r="D139" s="753">
        <v>0.18690000000000001</v>
      </c>
      <c r="E139" s="753">
        <f t="shared" si="20"/>
        <v>0.28034999999999999</v>
      </c>
      <c r="F139" s="753">
        <f t="shared" si="21"/>
        <v>6.7730729113191224E-4</v>
      </c>
      <c r="G139" s="756">
        <f t="shared" si="23"/>
        <v>39062100</v>
      </c>
      <c r="H139" s="781">
        <f t="shared" si="22"/>
        <v>30</v>
      </c>
      <c r="I139" s="756">
        <f t="shared" si="19"/>
        <v>793711.35410771612</v>
      </c>
    </row>
    <row r="140" spans="1:9" ht="13.5">
      <c r="A140" s="2">
        <v>21</v>
      </c>
      <c r="B140" s="752">
        <v>43952</v>
      </c>
      <c r="C140" s="752">
        <v>43982</v>
      </c>
      <c r="D140" s="753">
        <v>0.18190000000000001</v>
      </c>
      <c r="E140" s="753">
        <f t="shared" si="20"/>
        <v>0.27285000000000004</v>
      </c>
      <c r="F140" s="753">
        <f t="shared" si="21"/>
        <v>6.6120063584418354E-4</v>
      </c>
      <c r="G140" s="756">
        <f t="shared" si="23"/>
        <v>39062100</v>
      </c>
      <c r="H140" s="781">
        <f t="shared" si="22"/>
        <v>31</v>
      </c>
      <c r="I140" s="756">
        <f t="shared" si="19"/>
        <v>800664.44607968151</v>
      </c>
    </row>
    <row r="141" spans="1:9" ht="13.5">
      <c r="A141" s="2">
        <v>22</v>
      </c>
      <c r="B141" s="752">
        <v>43983</v>
      </c>
      <c r="C141" s="752">
        <v>44012</v>
      </c>
      <c r="D141" s="753">
        <v>0.1812</v>
      </c>
      <c r="E141" s="753">
        <f t="shared" si="20"/>
        <v>0.27179999999999999</v>
      </c>
      <c r="F141" s="753">
        <f t="shared" si="21"/>
        <v>6.5893815469997286E-4</v>
      </c>
      <c r="G141" s="756">
        <f t="shared" si="23"/>
        <v>39062100</v>
      </c>
      <c r="H141" s="781">
        <f t="shared" si="22"/>
        <v>30</v>
      </c>
      <c r="I141" s="756">
        <f t="shared" si="19"/>
        <v>772185.24278117425</v>
      </c>
    </row>
    <row r="142" spans="1:9" ht="13.5">
      <c r="A142" s="2">
        <v>23</v>
      </c>
      <c r="B142" s="752">
        <v>44013</v>
      </c>
      <c r="C142" s="752">
        <v>44043</v>
      </c>
      <c r="D142" s="753">
        <v>0.1812</v>
      </c>
      <c r="E142" s="753">
        <f t="shared" si="20"/>
        <v>0.27179999999999999</v>
      </c>
      <c r="F142" s="753">
        <f t="shared" si="21"/>
        <v>6.5893815469997286E-4</v>
      </c>
      <c r="G142" s="756">
        <f t="shared" si="23"/>
        <v>39062100</v>
      </c>
      <c r="H142" s="781">
        <f t="shared" si="22"/>
        <v>31</v>
      </c>
      <c r="I142" s="756">
        <f t="shared" si="19"/>
        <v>797924.75087388</v>
      </c>
    </row>
    <row r="143" spans="1:9" ht="13.5">
      <c r="A143" s="2">
        <v>24</v>
      </c>
      <c r="B143" s="752">
        <v>44044</v>
      </c>
      <c r="C143" s="752">
        <v>44074</v>
      </c>
      <c r="D143" s="753">
        <v>0.18290000000000001</v>
      </c>
      <c r="E143" s="753">
        <f t="shared" si="20"/>
        <v>0.27434999999999998</v>
      </c>
      <c r="F143" s="753">
        <f t="shared" si="21"/>
        <v>6.6442952514544906E-4</v>
      </c>
      <c r="G143" s="756">
        <f t="shared" si="23"/>
        <v>39062100</v>
      </c>
      <c r="H143" s="781">
        <f t="shared" si="22"/>
        <v>31</v>
      </c>
      <c r="I143" s="756">
        <f t="shared" si="19"/>
        <v>804574.38917970541</v>
      </c>
    </row>
    <row r="144" spans="1:9" ht="13.5">
      <c r="A144" s="2">
        <v>25</v>
      </c>
      <c r="B144" s="752">
        <v>44075</v>
      </c>
      <c r="C144" s="752">
        <v>44104</v>
      </c>
      <c r="D144" s="753">
        <v>0.1835</v>
      </c>
      <c r="E144" s="753">
        <f t="shared" si="20"/>
        <v>0.27524999999999999</v>
      </c>
      <c r="F144" s="753">
        <f t="shared" si="21"/>
        <v>6.6636503991857055E-4</v>
      </c>
      <c r="G144" s="756">
        <f t="shared" si="23"/>
        <v>39062100</v>
      </c>
      <c r="H144" s="781">
        <f t="shared" si="22"/>
        <v>30</v>
      </c>
      <c r="I144" s="756">
        <f t="shared" si="19"/>
        <v>780888.53477409587</v>
      </c>
    </row>
    <row r="145" spans="1:9" ht="13.5">
      <c r="A145" s="2">
        <v>26</v>
      </c>
      <c r="B145" s="752">
        <v>44105</v>
      </c>
      <c r="C145" s="752">
        <v>44135</v>
      </c>
      <c r="D145" s="753">
        <v>0.18090000000000001</v>
      </c>
      <c r="E145" s="753">
        <f t="shared" si="20"/>
        <v>0.27134999999999998</v>
      </c>
      <c r="F145" s="753">
        <f t="shared" si="21"/>
        <v>6.5796794962613703E-4</v>
      </c>
      <c r="G145" s="756">
        <f t="shared" si="23"/>
        <v>39062100</v>
      </c>
      <c r="H145" s="781">
        <f t="shared" si="22"/>
        <v>31</v>
      </c>
      <c r="I145" s="756">
        <f t="shared" si="19"/>
        <v>796749.90519782493</v>
      </c>
    </row>
    <row r="146" spans="1:9" ht="13.5">
      <c r="A146" s="2">
        <v>27</v>
      </c>
      <c r="B146" s="752">
        <v>44136</v>
      </c>
      <c r="C146" s="752">
        <v>44165</v>
      </c>
      <c r="D146" s="753">
        <v>0.1784</v>
      </c>
      <c r="E146" s="753">
        <f t="shared" si="20"/>
        <v>0.2676</v>
      </c>
      <c r="F146" s="753">
        <f t="shared" si="21"/>
        <v>6.4986956374091243E-4</v>
      </c>
      <c r="G146" s="756">
        <f t="shared" si="23"/>
        <v>39062100</v>
      </c>
      <c r="H146" s="781">
        <f t="shared" si="22"/>
        <v>30</v>
      </c>
      <c r="I146" s="756">
        <f t="shared" si="19"/>
        <v>761558.09657411685</v>
      </c>
    </row>
    <row r="147" spans="1:9" ht="13.5">
      <c r="A147" s="2">
        <v>28</v>
      </c>
      <c r="B147" s="752">
        <v>44166</v>
      </c>
      <c r="C147" s="752">
        <v>44196</v>
      </c>
      <c r="D147" s="753">
        <v>0.17460000000000001</v>
      </c>
      <c r="E147" s="753">
        <f t="shared" si="20"/>
        <v>0.26190000000000002</v>
      </c>
      <c r="F147" s="753">
        <f t="shared" si="21"/>
        <v>6.3751414410861962E-4</v>
      </c>
      <c r="G147" s="756">
        <f t="shared" si="23"/>
        <v>39062100</v>
      </c>
      <c r="H147" s="781">
        <f t="shared" si="22"/>
        <v>31</v>
      </c>
      <c r="I147" s="756">
        <f t="shared" si="19"/>
        <v>771981.87870614463</v>
      </c>
    </row>
    <row r="148" spans="1:9" ht="13.5">
      <c r="A148" s="2">
        <v>29</v>
      </c>
      <c r="B148" s="752">
        <v>44197</v>
      </c>
      <c r="C148" s="752">
        <v>44227</v>
      </c>
      <c r="D148" s="753">
        <v>0.17319999999999999</v>
      </c>
      <c r="E148" s="753">
        <f t="shared" si="20"/>
        <v>0.25979999999999998</v>
      </c>
      <c r="F148" s="753">
        <f t="shared" si="21"/>
        <v>6.3294811266723094E-4</v>
      </c>
      <c r="G148" s="756">
        <f t="shared" si="23"/>
        <v>39062100</v>
      </c>
      <c r="H148" s="781">
        <f t="shared" si="22"/>
        <v>31</v>
      </c>
      <c r="I148" s="756">
        <f t="shared" si="19"/>
        <v>766452.75662637793</v>
      </c>
    </row>
    <row r="149" spans="1:9" ht="13.5">
      <c r="A149" s="2">
        <v>30</v>
      </c>
      <c r="B149" s="752">
        <v>44228</v>
      </c>
      <c r="C149" s="752">
        <v>44255</v>
      </c>
      <c r="D149" s="753">
        <v>0.1754</v>
      </c>
      <c r="E149" s="753">
        <f t="shared" si="20"/>
        <v>0.2631</v>
      </c>
      <c r="F149" s="753">
        <f t="shared" si="21"/>
        <v>6.4011990387169426E-4</v>
      </c>
      <c r="G149" s="756">
        <f t="shared" si="23"/>
        <v>39062100</v>
      </c>
      <c r="H149" s="781">
        <f t="shared" si="22"/>
        <v>28</v>
      </c>
      <c r="I149" s="756">
        <f t="shared" si="19"/>
        <v>700123.97551674221</v>
      </c>
    </row>
    <row r="150" spans="1:9" ht="13.5">
      <c r="A150" s="2">
        <v>31</v>
      </c>
      <c r="B150" s="752">
        <v>44256</v>
      </c>
      <c r="C150" s="752">
        <v>44286</v>
      </c>
      <c r="D150" s="753">
        <v>0.1741</v>
      </c>
      <c r="E150" s="753">
        <f t="shared" si="20"/>
        <v>0.26114999999999999</v>
      </c>
      <c r="F150" s="753">
        <f t="shared" si="21"/>
        <v>6.3588428907812578E-4</v>
      </c>
      <c r="G150" s="756">
        <f t="shared" si="23"/>
        <v>39062100</v>
      </c>
      <c r="H150" s="781">
        <f t="shared" si="22"/>
        <v>31</v>
      </c>
      <c r="I150" s="756">
        <f t="shared" si="19"/>
        <v>770008.24634035828</v>
      </c>
    </row>
    <row r="151" spans="1:9" ht="13.5">
      <c r="A151" s="2">
        <v>32</v>
      </c>
      <c r="B151" s="752">
        <v>44287</v>
      </c>
      <c r="C151" s="752">
        <v>44316</v>
      </c>
      <c r="D151" s="753">
        <v>0.1731</v>
      </c>
      <c r="E151" s="753">
        <f t="shared" si="20"/>
        <v>0.25964999999999999</v>
      </c>
      <c r="F151" s="753">
        <f t="shared" si="21"/>
        <v>6.326216771728177E-4</v>
      </c>
      <c r="G151" s="756">
        <f t="shared" si="23"/>
        <v>39062100</v>
      </c>
      <c r="H151" s="781">
        <f t="shared" si="22"/>
        <v>30</v>
      </c>
      <c r="I151" s="756">
        <f t="shared" si="19"/>
        <v>741345.93647676962</v>
      </c>
    </row>
    <row r="152" spans="1:9" ht="13.5">
      <c r="A152" s="2">
        <v>33</v>
      </c>
      <c r="B152" s="752">
        <v>44317</v>
      </c>
      <c r="C152" s="752">
        <v>44347</v>
      </c>
      <c r="D152" s="753">
        <v>0.17219999999999999</v>
      </c>
      <c r="E152" s="753">
        <f t="shared" si="20"/>
        <v>0.25829999999999997</v>
      </c>
      <c r="F152" s="753">
        <f t="shared" si="21"/>
        <v>6.2968201205726437E-4</v>
      </c>
      <c r="G152" s="756">
        <f t="shared" si="23"/>
        <v>39062100</v>
      </c>
      <c r="H152" s="781">
        <f t="shared" si="22"/>
        <v>31</v>
      </c>
      <c r="I152" s="756">
        <f t="shared" si="19"/>
        <v>762497.75341864408</v>
      </c>
    </row>
    <row r="153" spans="1:9" ht="13.5">
      <c r="A153" s="2">
        <v>34</v>
      </c>
      <c r="B153" s="752">
        <v>44348</v>
      </c>
      <c r="C153" s="752">
        <v>44377</v>
      </c>
      <c r="D153" s="753">
        <v>0.1721</v>
      </c>
      <c r="E153" s="753">
        <f t="shared" si="20"/>
        <v>0.25814999999999999</v>
      </c>
      <c r="F153" s="753">
        <f t="shared" si="21"/>
        <v>6.2935518846773952E-4</v>
      </c>
      <c r="G153" s="756">
        <f t="shared" si="23"/>
        <v>39062100</v>
      </c>
      <c r="H153" s="781">
        <f t="shared" si="22"/>
        <v>30</v>
      </c>
      <c r="I153" s="756">
        <f t="shared" si="19"/>
        <v>737518.05922337063</v>
      </c>
    </row>
    <row r="154" spans="1:9" ht="13.5">
      <c r="A154" s="2">
        <v>35</v>
      </c>
      <c r="B154" s="752">
        <v>44378</v>
      </c>
      <c r="C154" s="752">
        <v>44408</v>
      </c>
      <c r="D154" s="753">
        <v>0.17180000000000001</v>
      </c>
      <c r="E154" s="753">
        <f>+D154*1.5</f>
        <v>0.25770000000000004</v>
      </c>
      <c r="F154" s="753">
        <f>((1+E154)^(1/365)-1)</f>
        <v>6.2837448450037137E-4</v>
      </c>
      <c r="G154" s="756">
        <f t="shared" si="23"/>
        <v>39062100</v>
      </c>
      <c r="H154" s="781">
        <f>_xlfn.DAYS(C154,B154)+1</f>
        <v>31</v>
      </c>
      <c r="I154" s="756">
        <f>+G154*F154*H154</f>
        <v>760914.43548106065</v>
      </c>
    </row>
    <row r="155" spans="1:9" ht="13.5">
      <c r="A155" s="2">
        <v>36</v>
      </c>
      <c r="B155" s="752">
        <v>44409</v>
      </c>
      <c r="C155" s="752">
        <v>44439</v>
      </c>
      <c r="D155" s="753">
        <v>0.1724</v>
      </c>
      <c r="E155" s="753">
        <f>+D155*1.5</f>
        <v>0.2586</v>
      </c>
      <c r="F155" s="753">
        <f>((1+E155)^(1/365)-1)</f>
        <v>6.3033554269220637E-4</v>
      </c>
      <c r="G155" s="756">
        <f t="shared" si="23"/>
        <v>39062100</v>
      </c>
      <c r="H155" s="781">
        <f>_xlfn.DAYS(C155,B155)+1</f>
        <v>31</v>
      </c>
      <c r="I155" s="756">
        <f>+G155*F155*H155</f>
        <v>763289.13006811426</v>
      </c>
    </row>
    <row r="156" spans="1:9" ht="13.5">
      <c r="A156" s="2">
        <v>37</v>
      </c>
      <c r="B156" s="752">
        <v>44440</v>
      </c>
      <c r="C156" s="752">
        <v>44469</v>
      </c>
      <c r="D156" s="753">
        <v>0.1719</v>
      </c>
      <c r="E156" s="753">
        <f>+D156*1.5</f>
        <v>0.25785000000000002</v>
      </c>
      <c r="F156" s="753">
        <f>((1+E156)^(1/365)-1)</f>
        <v>6.2870142469861889E-4</v>
      </c>
      <c r="G156" s="756">
        <f t="shared" si="23"/>
        <v>39062100</v>
      </c>
      <c r="H156" s="781">
        <f>_xlfn.DAYS(C156,B156)+1</f>
        <v>30</v>
      </c>
      <c r="I156" s="756">
        <f>+G156*F156*H156</f>
        <v>736751.93765159755</v>
      </c>
    </row>
    <row r="157" spans="1:9" ht="13.5">
      <c r="A157" s="2">
        <v>38</v>
      </c>
      <c r="B157" s="752">
        <v>44470</v>
      </c>
      <c r="C157" s="752">
        <v>44500</v>
      </c>
      <c r="D157" s="753">
        <v>0.17080000000000001</v>
      </c>
      <c r="E157" s="753">
        <f>+D157*1.5</f>
        <v>0.25619999999999998</v>
      </c>
      <c r="F157" s="753">
        <f>((1+E157)^(1/365)-1)</f>
        <v>6.2510294214179751E-4</v>
      </c>
      <c r="G157" s="756">
        <f t="shared" si="23"/>
        <v>39062100</v>
      </c>
      <c r="H157" s="781">
        <f>_xlfn.DAYS(C157,B157)+1</f>
        <v>31</v>
      </c>
      <c r="I157" s="756">
        <f>+G157*F157*H157</f>
        <v>756952.84272335039</v>
      </c>
    </row>
    <row r="158" spans="1:9" ht="13.5">
      <c r="A158" s="2">
        <v>39</v>
      </c>
      <c r="B158" s="752">
        <v>44501</v>
      </c>
      <c r="C158" s="752">
        <v>44522</v>
      </c>
      <c r="D158" s="753">
        <v>0.17269999999999999</v>
      </c>
      <c r="E158" s="753">
        <f>+D158*1.5</f>
        <v>0.25905</v>
      </c>
      <c r="F158" s="753">
        <f>((1+E158)^(1/365)-1)</f>
        <v>6.3131554742335005E-4</v>
      </c>
      <c r="G158" s="756">
        <f t="shared" si="23"/>
        <v>39062100</v>
      </c>
      <c r="H158" s="782">
        <f>_xlfn.DAYS(C158,B158)+1</f>
        <v>22</v>
      </c>
      <c r="I158" s="756">
        <f>+G158*F158*H158</f>
        <v>542531.24299012416</v>
      </c>
    </row>
    <row r="159" spans="1:9" ht="13.5">
      <c r="B159" s="731"/>
      <c r="C159" s="731"/>
      <c r="D159" s="731"/>
      <c r="E159" s="731"/>
      <c r="F159" s="731"/>
      <c r="G159" s="2673" t="s">
        <v>692</v>
      </c>
      <c r="H159" s="2673"/>
      <c r="I159" s="783">
        <f>SUM(I120:I158)</f>
        <v>24188678.671434995</v>
      </c>
    </row>
    <row r="160" spans="1:9" ht="13.5">
      <c r="B160" s="2675" t="s">
        <v>695</v>
      </c>
      <c r="C160" s="2676"/>
      <c r="D160" s="731"/>
      <c r="E160" s="731"/>
      <c r="F160" s="731"/>
      <c r="G160" s="731"/>
      <c r="H160" s="777"/>
      <c r="I160" s="731"/>
    </row>
    <row r="161" spans="1:9" ht="13.5">
      <c r="B161" s="688" t="s">
        <v>56</v>
      </c>
      <c r="C161" s="688"/>
      <c r="D161" s="731"/>
      <c r="E161" s="731"/>
      <c r="F161" s="731"/>
      <c r="G161" s="731"/>
      <c r="H161" s="777"/>
      <c r="I161" s="731"/>
    </row>
    <row r="162" spans="1:9" ht="13.5">
      <c r="B162" s="695" t="s">
        <v>133</v>
      </c>
      <c r="C162" s="756">
        <f>+D117</f>
        <v>39062100</v>
      </c>
      <c r="D162" s="731"/>
      <c r="E162" s="731"/>
      <c r="F162" s="731"/>
      <c r="G162" s="731"/>
      <c r="H162" s="777"/>
      <c r="I162" s="731"/>
    </row>
    <row r="163" spans="1:9" ht="27">
      <c r="B163" s="695" t="s">
        <v>134</v>
      </c>
      <c r="C163" s="756">
        <f>+I159</f>
        <v>24188678.671434995</v>
      </c>
      <c r="D163" s="731"/>
      <c r="E163" s="731"/>
      <c r="F163" s="731"/>
      <c r="G163" s="731"/>
      <c r="H163" s="777"/>
      <c r="I163" s="731"/>
    </row>
    <row r="164" spans="1:9" ht="14.25" thickBot="1">
      <c r="B164" s="754" t="s">
        <v>61</v>
      </c>
      <c r="C164" s="784">
        <f>SUM(C162:C163)</f>
        <v>63250778.671434999</v>
      </c>
      <c r="D164" s="731"/>
      <c r="E164" s="731"/>
      <c r="F164" s="731"/>
      <c r="G164" s="731"/>
      <c r="H164" s="777"/>
      <c r="I164" s="731"/>
    </row>
    <row r="165" spans="1:9" ht="14.25" thickTop="1">
      <c r="B165" s="731"/>
      <c r="C165" s="731"/>
      <c r="D165" s="731"/>
      <c r="E165" s="731"/>
      <c r="F165" s="731"/>
      <c r="G165" s="731"/>
      <c r="H165" s="777"/>
      <c r="I165" s="731"/>
    </row>
    <row r="166" spans="1:9" ht="13.5">
      <c r="B166" s="731"/>
      <c r="C166" s="731"/>
      <c r="D166" s="731"/>
      <c r="E166" s="731"/>
      <c r="F166" s="731"/>
      <c r="G166" s="731"/>
      <c r="H166" s="777"/>
      <c r="I166" s="731"/>
    </row>
    <row r="167" spans="1:9" ht="27">
      <c r="B167" s="725" t="s">
        <v>689</v>
      </c>
      <c r="C167" s="729" t="s">
        <v>688</v>
      </c>
      <c r="D167" s="756">
        <f>D14</f>
        <v>39062100</v>
      </c>
      <c r="E167" s="731"/>
      <c r="F167" s="731"/>
      <c r="G167" s="731"/>
      <c r="H167" s="777"/>
      <c r="I167" s="731"/>
    </row>
    <row r="168" spans="1:9" ht="13.5">
      <c r="B168" s="2672" t="s">
        <v>160</v>
      </c>
      <c r="C168" s="2672"/>
      <c r="D168" s="2672"/>
      <c r="E168" s="2672"/>
      <c r="F168" s="2672"/>
      <c r="G168" s="2672"/>
      <c r="H168" s="2672"/>
      <c r="I168" s="2672"/>
    </row>
    <row r="169" spans="1:9" ht="27">
      <c r="A169" s="2"/>
      <c r="B169" s="751" t="s">
        <v>337</v>
      </c>
      <c r="C169" s="751" t="s">
        <v>40</v>
      </c>
      <c r="D169" s="751" t="s">
        <v>148</v>
      </c>
      <c r="E169" s="740" t="s">
        <v>149</v>
      </c>
      <c r="F169" s="740" t="s">
        <v>43</v>
      </c>
      <c r="G169" s="740" t="s">
        <v>129</v>
      </c>
      <c r="H169" s="776" t="s">
        <v>47</v>
      </c>
      <c r="I169" s="740" t="s">
        <v>48</v>
      </c>
    </row>
    <row r="170" spans="1:9" ht="13.5">
      <c r="A170" s="2">
        <v>1</v>
      </c>
      <c r="B170" s="752">
        <v>43421</v>
      </c>
      <c r="C170" s="752">
        <v>43434</v>
      </c>
      <c r="D170" s="753">
        <v>0.19489999999999999</v>
      </c>
      <c r="E170" s="753">
        <f>+D170*1.5</f>
        <v>0.29235</v>
      </c>
      <c r="F170" s="753">
        <f t="shared" ref="F170:F176" si="24">((1+E170)^(1/365)-1)</f>
        <v>7.0288325333756063E-4</v>
      </c>
      <c r="G170" s="756">
        <f>+$D$167</f>
        <v>39062100</v>
      </c>
      <c r="H170" s="781">
        <f>_xlfn.DAYS(C170,B170)+1</f>
        <v>14</v>
      </c>
      <c r="I170" s="756">
        <f>+G170*F170*H170</f>
        <v>384385.34302275977</v>
      </c>
    </row>
    <row r="171" spans="1:9" ht="13.5">
      <c r="A171" s="2">
        <v>2</v>
      </c>
      <c r="B171" s="752">
        <v>43435</v>
      </c>
      <c r="C171" s="752">
        <v>43465</v>
      </c>
      <c r="D171" s="753">
        <v>0.19400000000000001</v>
      </c>
      <c r="E171" s="753">
        <f t="shared" ref="E171:E176" si="25">+D171*1.5</f>
        <v>0.29100000000000004</v>
      </c>
      <c r="F171" s="753">
        <f t="shared" si="24"/>
        <v>7.0001780740103214E-4</v>
      </c>
      <c r="G171" s="756">
        <f t="shared" ref="G171:G176" si="26">+$D$167</f>
        <v>39062100</v>
      </c>
      <c r="H171" s="781">
        <f t="shared" ref="H171:H176" si="27">_xlfn.DAYS(C171,B171)+1</f>
        <v>31</v>
      </c>
      <c r="I171" s="756">
        <f t="shared" ref="I171:I203" si="28">+G171*F171*H171</f>
        <v>847669.13342887559</v>
      </c>
    </row>
    <row r="172" spans="1:9" ht="13.5">
      <c r="A172" s="2">
        <v>3</v>
      </c>
      <c r="B172" s="752">
        <v>43466</v>
      </c>
      <c r="C172" s="752">
        <v>43496</v>
      </c>
      <c r="D172" s="753">
        <v>0.19159999999999999</v>
      </c>
      <c r="E172" s="753">
        <f t="shared" si="25"/>
        <v>0.28739999999999999</v>
      </c>
      <c r="F172" s="753">
        <f t="shared" si="24"/>
        <v>6.9236198468725085E-4</v>
      </c>
      <c r="G172" s="756">
        <f t="shared" si="26"/>
        <v>39062100</v>
      </c>
      <c r="H172" s="781">
        <f t="shared" si="27"/>
        <v>31</v>
      </c>
      <c r="I172" s="756">
        <f t="shared" si="28"/>
        <v>838398.50554360775</v>
      </c>
    </row>
    <row r="173" spans="1:9" ht="13.5">
      <c r="A173" s="2">
        <v>4</v>
      </c>
      <c r="B173" s="752">
        <v>43497</v>
      </c>
      <c r="C173" s="752">
        <v>43524</v>
      </c>
      <c r="D173" s="753">
        <v>0.19700000000000001</v>
      </c>
      <c r="E173" s="753">
        <f t="shared" si="25"/>
        <v>0.29549999999999998</v>
      </c>
      <c r="F173" s="753">
        <f t="shared" si="24"/>
        <v>7.0955770203506852E-4</v>
      </c>
      <c r="G173" s="756">
        <f t="shared" si="26"/>
        <v>39062100</v>
      </c>
      <c r="H173" s="781">
        <f t="shared" si="27"/>
        <v>28</v>
      </c>
      <c r="I173" s="756">
        <f t="shared" si="28"/>
        <v>776070.78955459339</v>
      </c>
    </row>
    <row r="174" spans="1:9" ht="13.5">
      <c r="A174" s="2">
        <v>5</v>
      </c>
      <c r="B174" s="752">
        <v>43525</v>
      </c>
      <c r="C174" s="752">
        <v>43555</v>
      </c>
      <c r="D174" s="753">
        <v>0.19370000000000001</v>
      </c>
      <c r="E174" s="753">
        <f t="shared" si="25"/>
        <v>0.29055000000000003</v>
      </c>
      <c r="F174" s="753">
        <f t="shared" si="24"/>
        <v>6.9906199467517638E-4</v>
      </c>
      <c r="G174" s="756">
        <f t="shared" si="26"/>
        <v>39062100</v>
      </c>
      <c r="H174" s="781">
        <f t="shared" si="27"/>
        <v>31</v>
      </c>
      <c r="I174" s="756">
        <f t="shared" si="28"/>
        <v>846511.71580823744</v>
      </c>
    </row>
    <row r="175" spans="1:9" ht="13.5">
      <c r="A175" s="2">
        <v>6</v>
      </c>
      <c r="B175" s="752">
        <v>43556</v>
      </c>
      <c r="C175" s="752">
        <v>43585</v>
      </c>
      <c r="D175" s="753">
        <v>0.19320000000000001</v>
      </c>
      <c r="E175" s="753">
        <f t="shared" si="25"/>
        <v>0.2898</v>
      </c>
      <c r="F175" s="753">
        <f t="shared" si="24"/>
        <v>6.9746823462724095E-4</v>
      </c>
      <c r="G175" s="756">
        <f t="shared" si="26"/>
        <v>39062100</v>
      </c>
      <c r="H175" s="781">
        <f t="shared" si="27"/>
        <v>30</v>
      </c>
      <c r="I175" s="756">
        <f t="shared" si="28"/>
        <v>817337.21783498244</v>
      </c>
    </row>
    <row r="176" spans="1:9" ht="13.5">
      <c r="A176" s="2">
        <v>7</v>
      </c>
      <c r="B176" s="752">
        <v>43586</v>
      </c>
      <c r="C176" s="752">
        <v>43601</v>
      </c>
      <c r="D176" s="753">
        <v>0.19339999999999999</v>
      </c>
      <c r="E176" s="753">
        <f t="shared" si="25"/>
        <v>0.29009999999999997</v>
      </c>
      <c r="F176" s="753">
        <f t="shared" si="24"/>
        <v>6.9810584952367805E-4</v>
      </c>
      <c r="G176" s="756">
        <f t="shared" si="26"/>
        <v>39062100</v>
      </c>
      <c r="H176" s="781">
        <f t="shared" si="27"/>
        <v>16</v>
      </c>
      <c r="I176" s="756">
        <f t="shared" si="28"/>
        <v>436311.68807486183</v>
      </c>
    </row>
    <row r="177" spans="1:9" ht="13.5">
      <c r="A177" s="2">
        <v>8</v>
      </c>
      <c r="B177" s="752">
        <v>43602</v>
      </c>
      <c r="C177" s="752">
        <v>43616</v>
      </c>
      <c r="D177" s="753">
        <v>0</v>
      </c>
      <c r="E177" s="753">
        <v>0</v>
      </c>
      <c r="F177" s="753">
        <v>0</v>
      </c>
      <c r="G177" s="756">
        <v>0</v>
      </c>
      <c r="H177" s="781">
        <v>0</v>
      </c>
      <c r="I177" s="756">
        <f t="shared" si="28"/>
        <v>0</v>
      </c>
    </row>
    <row r="178" spans="1:9" ht="13.5">
      <c r="A178" s="2">
        <v>9</v>
      </c>
      <c r="B178" s="752">
        <v>43617</v>
      </c>
      <c r="C178" s="752">
        <v>43646</v>
      </c>
      <c r="D178" s="753">
        <v>0</v>
      </c>
      <c r="E178" s="753">
        <v>0</v>
      </c>
      <c r="F178" s="753">
        <v>0</v>
      </c>
      <c r="G178" s="756">
        <v>0</v>
      </c>
      <c r="H178" s="781">
        <v>0</v>
      </c>
      <c r="I178" s="756">
        <f t="shared" si="28"/>
        <v>0</v>
      </c>
    </row>
    <row r="179" spans="1:9" ht="13.5">
      <c r="A179" s="2">
        <v>10</v>
      </c>
      <c r="B179" s="752">
        <v>43647</v>
      </c>
      <c r="C179" s="752">
        <v>43677</v>
      </c>
      <c r="D179" s="753">
        <v>0</v>
      </c>
      <c r="E179" s="753">
        <v>0</v>
      </c>
      <c r="F179" s="753">
        <v>0</v>
      </c>
      <c r="G179" s="756">
        <v>0</v>
      </c>
      <c r="H179" s="781">
        <v>0</v>
      </c>
      <c r="I179" s="756">
        <f t="shared" si="28"/>
        <v>0</v>
      </c>
    </row>
    <row r="180" spans="1:9" ht="13.5">
      <c r="A180" s="2">
        <v>11</v>
      </c>
      <c r="B180" s="752">
        <v>43678</v>
      </c>
      <c r="C180" s="752">
        <v>43708</v>
      </c>
      <c r="D180" s="753">
        <v>0</v>
      </c>
      <c r="E180" s="753">
        <v>0</v>
      </c>
      <c r="F180" s="753">
        <v>0</v>
      </c>
      <c r="G180" s="756">
        <v>0</v>
      </c>
      <c r="H180" s="781">
        <v>0</v>
      </c>
      <c r="I180" s="756">
        <f t="shared" si="28"/>
        <v>0</v>
      </c>
    </row>
    <row r="181" spans="1:9" ht="13.5">
      <c r="A181" s="2">
        <v>12</v>
      </c>
      <c r="B181" s="752">
        <v>43709</v>
      </c>
      <c r="C181" s="752">
        <v>43738</v>
      </c>
      <c r="D181" s="753">
        <v>0</v>
      </c>
      <c r="E181" s="753">
        <v>0</v>
      </c>
      <c r="F181" s="753">
        <v>0</v>
      </c>
      <c r="G181" s="756">
        <v>0</v>
      </c>
      <c r="H181" s="781">
        <v>0</v>
      </c>
      <c r="I181" s="756">
        <f t="shared" si="28"/>
        <v>0</v>
      </c>
    </row>
    <row r="182" spans="1:9" ht="13.5">
      <c r="A182" s="2">
        <v>13</v>
      </c>
      <c r="B182" s="752">
        <v>43739</v>
      </c>
      <c r="C182" s="752">
        <v>43767</v>
      </c>
      <c r="D182" s="753">
        <v>0</v>
      </c>
      <c r="E182" s="753">
        <v>0</v>
      </c>
      <c r="F182" s="753">
        <v>0</v>
      </c>
      <c r="G182" s="756">
        <v>0</v>
      </c>
      <c r="H182" s="781">
        <v>0</v>
      </c>
      <c r="I182" s="756">
        <f t="shared" si="28"/>
        <v>0</v>
      </c>
    </row>
    <row r="183" spans="1:9" ht="13.5">
      <c r="A183" s="2">
        <v>14</v>
      </c>
      <c r="B183" s="752">
        <v>43768</v>
      </c>
      <c r="C183" s="752">
        <v>43769</v>
      </c>
      <c r="D183" s="753">
        <v>0.191</v>
      </c>
      <c r="E183" s="753">
        <f t="shared" ref="E183:E203" si="29">+D183*1.5</f>
        <v>0.28649999999999998</v>
      </c>
      <c r="F183" s="753">
        <f t="shared" ref="F183:F203" si="30">((1+E183)^(1/365)-1)</f>
        <v>6.9044469314105683E-4</v>
      </c>
      <c r="G183" s="756">
        <f>$D$167</f>
        <v>39062100</v>
      </c>
      <c r="H183" s="781">
        <f t="shared" ref="H183:H203" si="31">_xlfn.DAYS(C183,B183)+1</f>
        <v>2</v>
      </c>
      <c r="I183" s="756">
        <f t="shared" si="28"/>
        <v>53940.439295890552</v>
      </c>
    </row>
    <row r="184" spans="1:9" ht="13.5">
      <c r="A184" s="2">
        <v>15</v>
      </c>
      <c r="B184" s="752">
        <v>43770</v>
      </c>
      <c r="C184" s="752">
        <v>43799</v>
      </c>
      <c r="D184" s="753">
        <v>0.1903</v>
      </c>
      <c r="E184" s="753">
        <f t="shared" si="29"/>
        <v>0.28544999999999998</v>
      </c>
      <c r="F184" s="753">
        <f t="shared" si="30"/>
        <v>6.8820616169262827E-4</v>
      </c>
      <c r="G184" s="756">
        <f t="shared" ref="G184:G208" si="32">$D$167</f>
        <v>39062100</v>
      </c>
      <c r="H184" s="781">
        <f t="shared" si="31"/>
        <v>30</v>
      </c>
      <c r="I184" s="756">
        <f t="shared" si="28"/>
        <v>806483.33725960844</v>
      </c>
    </row>
    <row r="185" spans="1:9" ht="13.5">
      <c r="A185" s="2">
        <v>16</v>
      </c>
      <c r="B185" s="752">
        <v>43800</v>
      </c>
      <c r="C185" s="752">
        <v>43830</v>
      </c>
      <c r="D185" s="753">
        <v>0.18909999999999999</v>
      </c>
      <c r="E185" s="753">
        <f t="shared" si="29"/>
        <v>0.28364999999999996</v>
      </c>
      <c r="F185" s="753">
        <f t="shared" si="30"/>
        <v>6.8436443340047504E-4</v>
      </c>
      <c r="G185" s="756">
        <f t="shared" si="32"/>
        <v>39062100</v>
      </c>
      <c r="H185" s="781">
        <f t="shared" si="31"/>
        <v>31</v>
      </c>
      <c r="I185" s="756">
        <f t="shared" si="28"/>
        <v>828714.06995191355</v>
      </c>
    </row>
    <row r="186" spans="1:9" ht="13.5">
      <c r="A186" s="2">
        <v>17</v>
      </c>
      <c r="B186" s="752">
        <v>43831</v>
      </c>
      <c r="C186" s="752">
        <v>43861</v>
      </c>
      <c r="D186" s="753">
        <v>0.18770000000000001</v>
      </c>
      <c r="E186" s="753">
        <f t="shared" si="29"/>
        <v>0.28155000000000002</v>
      </c>
      <c r="F186" s="753">
        <f t="shared" si="30"/>
        <v>6.7987562124560696E-4</v>
      </c>
      <c r="G186" s="756">
        <f t="shared" si="32"/>
        <v>39062100</v>
      </c>
      <c r="H186" s="781">
        <f t="shared" si="31"/>
        <v>31</v>
      </c>
      <c r="I186" s="756">
        <f t="shared" si="28"/>
        <v>823278.45464439876</v>
      </c>
    </row>
    <row r="187" spans="1:9" ht="13.5">
      <c r="A187" s="2">
        <v>18</v>
      </c>
      <c r="B187" s="752">
        <v>43862</v>
      </c>
      <c r="C187" s="752">
        <v>43890</v>
      </c>
      <c r="D187" s="753">
        <v>0.19059999999999999</v>
      </c>
      <c r="E187" s="753">
        <f t="shared" si="29"/>
        <v>0.28589999999999999</v>
      </c>
      <c r="F187" s="753">
        <f t="shared" si="30"/>
        <v>6.8916575551658532E-4</v>
      </c>
      <c r="G187" s="756">
        <f t="shared" si="32"/>
        <v>39062100</v>
      </c>
      <c r="H187" s="781">
        <f t="shared" si="31"/>
        <v>29</v>
      </c>
      <c r="I187" s="756">
        <f t="shared" si="28"/>
        <v>780687.58809836779</v>
      </c>
    </row>
    <row r="188" spans="1:9" ht="13.5">
      <c r="A188" s="2">
        <v>19</v>
      </c>
      <c r="B188" s="752">
        <v>43891</v>
      </c>
      <c r="C188" s="752">
        <v>43921</v>
      </c>
      <c r="D188" s="753">
        <v>0.1895</v>
      </c>
      <c r="E188" s="753">
        <f t="shared" si="29"/>
        <v>0.28425</v>
      </c>
      <c r="F188" s="753">
        <f t="shared" si="30"/>
        <v>6.8564560609574166E-4</v>
      </c>
      <c r="G188" s="756">
        <f t="shared" si="32"/>
        <v>39062100</v>
      </c>
      <c r="H188" s="781">
        <f t="shared" si="31"/>
        <v>31</v>
      </c>
      <c r="I188" s="756">
        <f t="shared" si="28"/>
        <v>830265.47412604652</v>
      </c>
    </row>
    <row r="189" spans="1:9" ht="13.5">
      <c r="A189" s="2">
        <v>20</v>
      </c>
      <c r="B189" s="752">
        <v>43922</v>
      </c>
      <c r="C189" s="752">
        <v>43951</v>
      </c>
      <c r="D189" s="753">
        <v>0.18690000000000001</v>
      </c>
      <c r="E189" s="753">
        <f t="shared" si="29"/>
        <v>0.28034999999999999</v>
      </c>
      <c r="F189" s="753">
        <f t="shared" si="30"/>
        <v>6.7730729113191224E-4</v>
      </c>
      <c r="G189" s="756">
        <f t="shared" si="32"/>
        <v>39062100</v>
      </c>
      <c r="H189" s="781">
        <f t="shared" si="31"/>
        <v>30</v>
      </c>
      <c r="I189" s="756">
        <f t="shared" si="28"/>
        <v>793711.35410771612</v>
      </c>
    </row>
    <row r="190" spans="1:9" ht="13.5">
      <c r="A190" s="2">
        <v>21</v>
      </c>
      <c r="B190" s="752">
        <v>43952</v>
      </c>
      <c r="C190" s="752">
        <v>43982</v>
      </c>
      <c r="D190" s="753">
        <v>0.18190000000000001</v>
      </c>
      <c r="E190" s="753">
        <f t="shared" si="29"/>
        <v>0.27285000000000004</v>
      </c>
      <c r="F190" s="753">
        <f t="shared" si="30"/>
        <v>6.6120063584418354E-4</v>
      </c>
      <c r="G190" s="756">
        <f t="shared" si="32"/>
        <v>39062100</v>
      </c>
      <c r="H190" s="781">
        <f t="shared" si="31"/>
        <v>31</v>
      </c>
      <c r="I190" s="756">
        <f t="shared" si="28"/>
        <v>800664.44607968151</v>
      </c>
    </row>
    <row r="191" spans="1:9" ht="13.5">
      <c r="A191" s="2">
        <v>22</v>
      </c>
      <c r="B191" s="752">
        <v>43983</v>
      </c>
      <c r="C191" s="752">
        <v>44012</v>
      </c>
      <c r="D191" s="753">
        <v>0.1812</v>
      </c>
      <c r="E191" s="753">
        <f t="shared" si="29"/>
        <v>0.27179999999999999</v>
      </c>
      <c r="F191" s="753">
        <f t="shared" si="30"/>
        <v>6.5893815469997286E-4</v>
      </c>
      <c r="G191" s="756">
        <f t="shared" si="32"/>
        <v>39062100</v>
      </c>
      <c r="H191" s="781">
        <f t="shared" si="31"/>
        <v>30</v>
      </c>
      <c r="I191" s="756">
        <f t="shared" si="28"/>
        <v>772185.24278117425</v>
      </c>
    </row>
    <row r="192" spans="1:9" ht="13.5">
      <c r="A192" s="2">
        <v>23</v>
      </c>
      <c r="B192" s="752">
        <v>44013</v>
      </c>
      <c r="C192" s="752">
        <v>44043</v>
      </c>
      <c r="D192" s="753">
        <v>0.1812</v>
      </c>
      <c r="E192" s="753">
        <f t="shared" si="29"/>
        <v>0.27179999999999999</v>
      </c>
      <c r="F192" s="753">
        <f t="shared" si="30"/>
        <v>6.5893815469997286E-4</v>
      </c>
      <c r="G192" s="756">
        <f t="shared" si="32"/>
        <v>39062100</v>
      </c>
      <c r="H192" s="781">
        <f t="shared" si="31"/>
        <v>31</v>
      </c>
      <c r="I192" s="756">
        <f t="shared" si="28"/>
        <v>797924.75087388</v>
      </c>
    </row>
    <row r="193" spans="1:9" ht="13.5">
      <c r="A193" s="2">
        <v>24</v>
      </c>
      <c r="B193" s="752">
        <v>44044</v>
      </c>
      <c r="C193" s="752">
        <v>44074</v>
      </c>
      <c r="D193" s="753">
        <v>0.18290000000000001</v>
      </c>
      <c r="E193" s="753">
        <f t="shared" si="29"/>
        <v>0.27434999999999998</v>
      </c>
      <c r="F193" s="753">
        <f t="shared" si="30"/>
        <v>6.6442952514544906E-4</v>
      </c>
      <c r="G193" s="756">
        <f t="shared" si="32"/>
        <v>39062100</v>
      </c>
      <c r="H193" s="781">
        <f t="shared" si="31"/>
        <v>31</v>
      </c>
      <c r="I193" s="756">
        <f t="shared" si="28"/>
        <v>804574.38917970541</v>
      </c>
    </row>
    <row r="194" spans="1:9" ht="13.5">
      <c r="A194" s="2">
        <v>25</v>
      </c>
      <c r="B194" s="752">
        <v>44075</v>
      </c>
      <c r="C194" s="752">
        <v>44104</v>
      </c>
      <c r="D194" s="753">
        <v>0.1835</v>
      </c>
      <c r="E194" s="753">
        <f t="shared" si="29"/>
        <v>0.27524999999999999</v>
      </c>
      <c r="F194" s="753">
        <f t="shared" si="30"/>
        <v>6.6636503991857055E-4</v>
      </c>
      <c r="G194" s="756">
        <f t="shared" si="32"/>
        <v>39062100</v>
      </c>
      <c r="H194" s="781">
        <f t="shared" si="31"/>
        <v>30</v>
      </c>
      <c r="I194" s="756">
        <f t="shared" si="28"/>
        <v>780888.53477409587</v>
      </c>
    </row>
    <row r="195" spans="1:9" ht="13.5">
      <c r="A195" s="2">
        <v>26</v>
      </c>
      <c r="B195" s="752">
        <v>44105</v>
      </c>
      <c r="C195" s="752">
        <v>44135</v>
      </c>
      <c r="D195" s="753">
        <v>0.18090000000000001</v>
      </c>
      <c r="E195" s="753">
        <f t="shared" si="29"/>
        <v>0.27134999999999998</v>
      </c>
      <c r="F195" s="753">
        <f t="shared" si="30"/>
        <v>6.5796794962613703E-4</v>
      </c>
      <c r="G195" s="756">
        <f t="shared" si="32"/>
        <v>39062100</v>
      </c>
      <c r="H195" s="781">
        <f t="shared" si="31"/>
        <v>31</v>
      </c>
      <c r="I195" s="756">
        <f t="shared" si="28"/>
        <v>796749.90519782493</v>
      </c>
    </row>
    <row r="196" spans="1:9" ht="13.5">
      <c r="A196" s="2">
        <v>27</v>
      </c>
      <c r="B196" s="752">
        <v>44136</v>
      </c>
      <c r="C196" s="752">
        <v>44165</v>
      </c>
      <c r="D196" s="753">
        <v>0.1784</v>
      </c>
      <c r="E196" s="753">
        <f t="shared" si="29"/>
        <v>0.2676</v>
      </c>
      <c r="F196" s="753">
        <f t="shared" si="30"/>
        <v>6.4986956374091243E-4</v>
      </c>
      <c r="G196" s="756">
        <f t="shared" si="32"/>
        <v>39062100</v>
      </c>
      <c r="H196" s="781">
        <f t="shared" si="31"/>
        <v>30</v>
      </c>
      <c r="I196" s="756">
        <f t="shared" si="28"/>
        <v>761558.09657411685</v>
      </c>
    </row>
    <row r="197" spans="1:9" ht="13.5">
      <c r="A197" s="2">
        <v>28</v>
      </c>
      <c r="B197" s="752">
        <v>44166</v>
      </c>
      <c r="C197" s="752">
        <v>44196</v>
      </c>
      <c r="D197" s="753">
        <v>0.17460000000000001</v>
      </c>
      <c r="E197" s="753">
        <f t="shared" si="29"/>
        <v>0.26190000000000002</v>
      </c>
      <c r="F197" s="753">
        <f t="shared" si="30"/>
        <v>6.3751414410861962E-4</v>
      </c>
      <c r="G197" s="756">
        <f t="shared" si="32"/>
        <v>39062100</v>
      </c>
      <c r="H197" s="781">
        <f t="shared" si="31"/>
        <v>31</v>
      </c>
      <c r="I197" s="756">
        <f t="shared" si="28"/>
        <v>771981.87870614463</v>
      </c>
    </row>
    <row r="198" spans="1:9" ht="13.5">
      <c r="A198" s="2">
        <v>29</v>
      </c>
      <c r="B198" s="752">
        <v>44197</v>
      </c>
      <c r="C198" s="752">
        <v>44227</v>
      </c>
      <c r="D198" s="753">
        <v>0.17319999999999999</v>
      </c>
      <c r="E198" s="753">
        <f t="shared" si="29"/>
        <v>0.25979999999999998</v>
      </c>
      <c r="F198" s="753">
        <f t="shared" si="30"/>
        <v>6.3294811266723094E-4</v>
      </c>
      <c r="G198" s="756">
        <f t="shared" si="32"/>
        <v>39062100</v>
      </c>
      <c r="H198" s="781">
        <f t="shared" si="31"/>
        <v>31</v>
      </c>
      <c r="I198" s="756">
        <f t="shared" si="28"/>
        <v>766452.75662637793</v>
      </c>
    </row>
    <row r="199" spans="1:9" ht="13.5">
      <c r="A199" s="2">
        <v>30</v>
      </c>
      <c r="B199" s="752">
        <v>44228</v>
      </c>
      <c r="C199" s="752">
        <v>44255</v>
      </c>
      <c r="D199" s="753">
        <v>0.1754</v>
      </c>
      <c r="E199" s="753">
        <f t="shared" si="29"/>
        <v>0.2631</v>
      </c>
      <c r="F199" s="753">
        <f t="shared" si="30"/>
        <v>6.4011990387169426E-4</v>
      </c>
      <c r="G199" s="756">
        <f t="shared" si="32"/>
        <v>39062100</v>
      </c>
      <c r="H199" s="781">
        <f t="shared" si="31"/>
        <v>28</v>
      </c>
      <c r="I199" s="756">
        <f t="shared" si="28"/>
        <v>700123.97551674221</v>
      </c>
    </row>
    <row r="200" spans="1:9" ht="13.5">
      <c r="A200" s="2">
        <v>31</v>
      </c>
      <c r="B200" s="752">
        <v>44256</v>
      </c>
      <c r="C200" s="752">
        <v>44286</v>
      </c>
      <c r="D200" s="753">
        <v>0.1741</v>
      </c>
      <c r="E200" s="753">
        <f t="shared" si="29"/>
        <v>0.26114999999999999</v>
      </c>
      <c r="F200" s="753">
        <f t="shared" si="30"/>
        <v>6.3588428907812578E-4</v>
      </c>
      <c r="G200" s="756">
        <f t="shared" si="32"/>
        <v>39062100</v>
      </c>
      <c r="H200" s="781">
        <f t="shared" si="31"/>
        <v>31</v>
      </c>
      <c r="I200" s="756">
        <f t="shared" si="28"/>
        <v>770008.24634035828</v>
      </c>
    </row>
    <row r="201" spans="1:9" ht="13.5">
      <c r="A201" s="2">
        <v>32</v>
      </c>
      <c r="B201" s="752">
        <v>44287</v>
      </c>
      <c r="C201" s="752">
        <v>44316</v>
      </c>
      <c r="D201" s="753">
        <v>0.1731</v>
      </c>
      <c r="E201" s="753">
        <f t="shared" si="29"/>
        <v>0.25964999999999999</v>
      </c>
      <c r="F201" s="753">
        <f t="shared" si="30"/>
        <v>6.326216771728177E-4</v>
      </c>
      <c r="G201" s="756">
        <f t="shared" si="32"/>
        <v>39062100</v>
      </c>
      <c r="H201" s="781">
        <f t="shared" si="31"/>
        <v>30</v>
      </c>
      <c r="I201" s="756">
        <f t="shared" si="28"/>
        <v>741345.93647676962</v>
      </c>
    </row>
    <row r="202" spans="1:9" ht="13.5">
      <c r="A202" s="2">
        <v>33</v>
      </c>
      <c r="B202" s="752">
        <v>44317</v>
      </c>
      <c r="C202" s="752">
        <v>44347</v>
      </c>
      <c r="D202" s="753">
        <v>0.17219999999999999</v>
      </c>
      <c r="E202" s="753">
        <f t="shared" si="29"/>
        <v>0.25829999999999997</v>
      </c>
      <c r="F202" s="753">
        <f t="shared" si="30"/>
        <v>6.2968201205726437E-4</v>
      </c>
      <c r="G202" s="756">
        <f t="shared" si="32"/>
        <v>39062100</v>
      </c>
      <c r="H202" s="781">
        <f t="shared" si="31"/>
        <v>31</v>
      </c>
      <c r="I202" s="756">
        <f t="shared" si="28"/>
        <v>762497.75341864408</v>
      </c>
    </row>
    <row r="203" spans="1:9" ht="13.5">
      <c r="A203" s="2">
        <v>34</v>
      </c>
      <c r="B203" s="752">
        <v>44348</v>
      </c>
      <c r="C203" s="752">
        <v>44377</v>
      </c>
      <c r="D203" s="753">
        <v>0.1721</v>
      </c>
      <c r="E203" s="753">
        <f t="shared" si="29"/>
        <v>0.25814999999999999</v>
      </c>
      <c r="F203" s="753">
        <f t="shared" si="30"/>
        <v>6.2935518846773952E-4</v>
      </c>
      <c r="G203" s="756">
        <f t="shared" si="32"/>
        <v>39062100</v>
      </c>
      <c r="H203" s="781">
        <f t="shared" si="31"/>
        <v>30</v>
      </c>
      <c r="I203" s="756">
        <f t="shared" si="28"/>
        <v>737518.05922337063</v>
      </c>
    </row>
    <row r="204" spans="1:9" ht="13.5">
      <c r="A204" s="2">
        <v>35</v>
      </c>
      <c r="B204" s="752">
        <v>44378</v>
      </c>
      <c r="C204" s="752">
        <v>44408</v>
      </c>
      <c r="D204" s="753">
        <v>0.17180000000000001</v>
      </c>
      <c r="E204" s="753">
        <f>+D204*1.5</f>
        <v>0.25770000000000004</v>
      </c>
      <c r="F204" s="753">
        <f>((1+E204)^(1/365)-1)</f>
        <v>6.2837448450037137E-4</v>
      </c>
      <c r="G204" s="756">
        <f t="shared" si="32"/>
        <v>39062100</v>
      </c>
      <c r="H204" s="781">
        <f>_xlfn.DAYS(C204,B204)+1</f>
        <v>31</v>
      </c>
      <c r="I204" s="756">
        <f>+G204*F204*H204</f>
        <v>760914.43548106065</v>
      </c>
    </row>
    <row r="205" spans="1:9" ht="13.5">
      <c r="A205" s="2">
        <v>36</v>
      </c>
      <c r="B205" s="752">
        <v>44409</v>
      </c>
      <c r="C205" s="752">
        <v>44439</v>
      </c>
      <c r="D205" s="753">
        <v>0.1724</v>
      </c>
      <c r="E205" s="753">
        <f>+D205*1.5</f>
        <v>0.2586</v>
      </c>
      <c r="F205" s="753">
        <f>((1+E205)^(1/365)-1)</f>
        <v>6.3033554269220637E-4</v>
      </c>
      <c r="G205" s="756">
        <f t="shared" si="32"/>
        <v>39062100</v>
      </c>
      <c r="H205" s="781">
        <f>_xlfn.DAYS(C205,B205)+1</f>
        <v>31</v>
      </c>
      <c r="I205" s="756">
        <f>+G205*F205*H205</f>
        <v>763289.13006811426</v>
      </c>
    </row>
    <row r="206" spans="1:9" ht="13.5">
      <c r="A206" s="2">
        <v>37</v>
      </c>
      <c r="B206" s="752">
        <v>44440</v>
      </c>
      <c r="C206" s="752">
        <v>44469</v>
      </c>
      <c r="D206" s="753">
        <v>0.1719</v>
      </c>
      <c r="E206" s="753">
        <f>+D206*1.5</f>
        <v>0.25785000000000002</v>
      </c>
      <c r="F206" s="753">
        <f>((1+E206)^(1/365)-1)</f>
        <v>6.2870142469861889E-4</v>
      </c>
      <c r="G206" s="756">
        <f t="shared" si="32"/>
        <v>39062100</v>
      </c>
      <c r="H206" s="781">
        <f>_xlfn.DAYS(C206,B206)+1</f>
        <v>30</v>
      </c>
      <c r="I206" s="756">
        <f>+G206*F206*H206</f>
        <v>736751.93765159755</v>
      </c>
    </row>
    <row r="207" spans="1:9" ht="13.5">
      <c r="A207" s="2">
        <v>38</v>
      </c>
      <c r="B207" s="752">
        <v>44470</v>
      </c>
      <c r="C207" s="752">
        <v>44500</v>
      </c>
      <c r="D207" s="753">
        <v>0.17080000000000001</v>
      </c>
      <c r="E207" s="753">
        <f>+D207*1.5</f>
        <v>0.25619999999999998</v>
      </c>
      <c r="F207" s="753">
        <f>((1+E207)^(1/365)-1)</f>
        <v>6.2510294214179751E-4</v>
      </c>
      <c r="G207" s="756">
        <f t="shared" si="32"/>
        <v>39062100</v>
      </c>
      <c r="H207" s="781">
        <f>_xlfn.DAYS(C207,B207)+1</f>
        <v>31</v>
      </c>
      <c r="I207" s="756">
        <f>+G207*F207*H207</f>
        <v>756952.84272335039</v>
      </c>
    </row>
    <row r="208" spans="1:9" ht="13.5">
      <c r="A208" s="2">
        <v>39</v>
      </c>
      <c r="B208" s="752">
        <v>44501</v>
      </c>
      <c r="C208" s="752">
        <v>44522</v>
      </c>
      <c r="D208" s="753">
        <v>0.17269999999999999</v>
      </c>
      <c r="E208" s="753">
        <f>+D208*1.5</f>
        <v>0.25905</v>
      </c>
      <c r="F208" s="753">
        <f>((1+E208)^(1/365)-1)</f>
        <v>6.3131554742335005E-4</v>
      </c>
      <c r="G208" s="756">
        <f t="shared" si="32"/>
        <v>39062100</v>
      </c>
      <c r="H208" s="782">
        <f>_xlfn.DAYS(C208,B208)+1</f>
        <v>22</v>
      </c>
      <c r="I208" s="756">
        <f>+G208*F208*H208</f>
        <v>542531.24299012416</v>
      </c>
    </row>
    <row r="209" spans="1:9" ht="13.5">
      <c r="B209" s="731"/>
      <c r="C209" s="731"/>
      <c r="D209" s="731"/>
      <c r="E209" s="731"/>
      <c r="F209" s="731"/>
      <c r="G209" s="2673" t="s">
        <v>692</v>
      </c>
      <c r="H209" s="2673"/>
      <c r="I209" s="783">
        <f>SUM(I170:I208)</f>
        <v>24188678.671434995</v>
      </c>
    </row>
    <row r="210" spans="1:9" ht="13.5">
      <c r="B210" s="2675" t="s">
        <v>696</v>
      </c>
      <c r="C210" s="2676"/>
      <c r="D210" s="731"/>
      <c r="E210" s="731"/>
      <c r="F210" s="731"/>
      <c r="G210" s="731"/>
      <c r="H210" s="777"/>
      <c r="I210" s="731"/>
    </row>
    <row r="211" spans="1:9" ht="13.5">
      <c r="B211" s="688" t="s">
        <v>56</v>
      </c>
      <c r="C211" s="688"/>
      <c r="D211" s="731"/>
      <c r="E211" s="731"/>
      <c r="F211" s="731"/>
      <c r="G211" s="731"/>
      <c r="H211" s="777"/>
      <c r="I211" s="731"/>
    </row>
    <row r="212" spans="1:9" ht="13.5">
      <c r="B212" s="695" t="s">
        <v>133</v>
      </c>
      <c r="C212" s="756">
        <f>+D167</f>
        <v>39062100</v>
      </c>
      <c r="D212" s="731"/>
      <c r="E212" s="731"/>
      <c r="F212" s="731"/>
      <c r="G212" s="731"/>
      <c r="H212" s="777"/>
      <c r="I212" s="731"/>
    </row>
    <row r="213" spans="1:9" ht="27">
      <c r="B213" s="695" t="s">
        <v>134</v>
      </c>
      <c r="C213" s="756">
        <f>+I209</f>
        <v>24188678.671434995</v>
      </c>
      <c r="D213" s="731"/>
      <c r="E213" s="731"/>
      <c r="F213" s="731"/>
      <c r="G213" s="731"/>
      <c r="H213" s="777"/>
      <c r="I213" s="731"/>
    </row>
    <row r="214" spans="1:9" ht="14.25" thickBot="1">
      <c r="B214" s="754" t="s">
        <v>61</v>
      </c>
      <c r="C214" s="784">
        <f>SUM(C212:C213)</f>
        <v>63250778.671434999</v>
      </c>
      <c r="D214" s="731"/>
      <c r="E214" s="731"/>
      <c r="F214" s="731"/>
      <c r="G214" s="731"/>
      <c r="H214" s="777"/>
      <c r="I214" s="731"/>
    </row>
    <row r="215" spans="1:9" ht="14.25" thickTop="1">
      <c r="A215" s="2"/>
      <c r="B215" s="751"/>
      <c r="C215" s="751"/>
      <c r="D215" s="751"/>
      <c r="E215" s="740"/>
      <c r="F215" s="740"/>
      <c r="G215" s="740"/>
      <c r="H215" s="776"/>
      <c r="I215" s="740"/>
    </row>
    <row r="216" spans="1:9" ht="13.5">
      <c r="A216" s="2"/>
      <c r="B216" s="752"/>
      <c r="C216" s="752"/>
      <c r="D216" s="753"/>
      <c r="E216" s="753"/>
      <c r="F216" s="753"/>
      <c r="G216" s="756"/>
      <c r="H216" s="781"/>
      <c r="I216" s="756"/>
    </row>
    <row r="217" spans="1:9" ht="27">
      <c r="B217" s="725" t="s">
        <v>690</v>
      </c>
      <c r="C217" s="729" t="s">
        <v>688</v>
      </c>
      <c r="D217" s="756">
        <f>+D15</f>
        <v>39062100</v>
      </c>
      <c r="E217" s="731"/>
      <c r="F217" s="731"/>
      <c r="G217" s="731"/>
      <c r="H217" s="777"/>
      <c r="I217" s="731"/>
    </row>
    <row r="218" spans="1:9" ht="13.5">
      <c r="B218" s="2672" t="s">
        <v>160</v>
      </c>
      <c r="C218" s="2672"/>
      <c r="D218" s="2672"/>
      <c r="E218" s="2672"/>
      <c r="F218" s="2672"/>
      <c r="G218" s="2672"/>
      <c r="H218" s="2672"/>
      <c r="I218" s="2672"/>
    </row>
    <row r="219" spans="1:9" ht="27">
      <c r="A219" s="2"/>
      <c r="B219" s="751" t="s">
        <v>337</v>
      </c>
      <c r="C219" s="751" t="s">
        <v>40</v>
      </c>
      <c r="D219" s="751" t="s">
        <v>148</v>
      </c>
      <c r="E219" s="740" t="s">
        <v>149</v>
      </c>
      <c r="F219" s="740" t="s">
        <v>43</v>
      </c>
      <c r="G219" s="740" t="s">
        <v>129</v>
      </c>
      <c r="H219" s="776" t="s">
        <v>47</v>
      </c>
      <c r="I219" s="740" t="s">
        <v>48</v>
      </c>
    </row>
    <row r="220" spans="1:9" ht="13.5">
      <c r="A220" s="2">
        <v>1</v>
      </c>
      <c r="B220" s="752">
        <v>43421</v>
      </c>
      <c r="C220" s="752">
        <v>43434</v>
      </c>
      <c r="D220" s="753">
        <v>0.19489999999999999</v>
      </c>
      <c r="E220" s="753">
        <f>+D220*1.5</f>
        <v>0.29235</v>
      </c>
      <c r="F220" s="753">
        <f t="shared" ref="F220:F226" si="33">((1+E220)^(1/365)-1)</f>
        <v>7.0288325333756063E-4</v>
      </c>
      <c r="G220" s="756">
        <f>+$D$217</f>
        <v>39062100</v>
      </c>
      <c r="H220" s="781">
        <f>_xlfn.DAYS(C220,B220)+1</f>
        <v>14</v>
      </c>
      <c r="I220" s="756">
        <f>+G220*F220*H220</f>
        <v>384385.34302275977</v>
      </c>
    </row>
    <row r="221" spans="1:9" ht="13.5">
      <c r="A221" s="2">
        <v>2</v>
      </c>
      <c r="B221" s="752">
        <v>43435</v>
      </c>
      <c r="C221" s="752">
        <v>43465</v>
      </c>
      <c r="D221" s="753">
        <v>0.19400000000000001</v>
      </c>
      <c r="E221" s="753">
        <f t="shared" ref="E221:E226" si="34">+D221*1.5</f>
        <v>0.29100000000000004</v>
      </c>
      <c r="F221" s="753">
        <f t="shared" si="33"/>
        <v>7.0001780740103214E-4</v>
      </c>
      <c r="G221" s="756">
        <f t="shared" ref="G221:G226" si="35">+$D$217</f>
        <v>39062100</v>
      </c>
      <c r="H221" s="781">
        <f t="shared" ref="H221:H226" si="36">_xlfn.DAYS(C221,B221)+1</f>
        <v>31</v>
      </c>
      <c r="I221" s="756">
        <f t="shared" ref="I221:I253" si="37">+G221*F221*H221</f>
        <v>847669.13342887559</v>
      </c>
    </row>
    <row r="222" spans="1:9" ht="13.5">
      <c r="A222" s="2">
        <v>3</v>
      </c>
      <c r="B222" s="752">
        <v>43466</v>
      </c>
      <c r="C222" s="752">
        <v>43496</v>
      </c>
      <c r="D222" s="753">
        <v>0.19159999999999999</v>
      </c>
      <c r="E222" s="753">
        <f t="shared" si="34"/>
        <v>0.28739999999999999</v>
      </c>
      <c r="F222" s="753">
        <f t="shared" si="33"/>
        <v>6.9236198468725085E-4</v>
      </c>
      <c r="G222" s="756">
        <f t="shared" si="35"/>
        <v>39062100</v>
      </c>
      <c r="H222" s="781">
        <f t="shared" si="36"/>
        <v>31</v>
      </c>
      <c r="I222" s="756">
        <f t="shared" si="37"/>
        <v>838398.50554360775</v>
      </c>
    </row>
    <row r="223" spans="1:9" ht="13.5">
      <c r="A223" s="2">
        <v>4</v>
      </c>
      <c r="B223" s="752">
        <v>43497</v>
      </c>
      <c r="C223" s="752">
        <v>43524</v>
      </c>
      <c r="D223" s="753">
        <v>0.19700000000000001</v>
      </c>
      <c r="E223" s="753">
        <f t="shared" si="34"/>
        <v>0.29549999999999998</v>
      </c>
      <c r="F223" s="753">
        <f t="shared" si="33"/>
        <v>7.0955770203506852E-4</v>
      </c>
      <c r="G223" s="756">
        <f t="shared" si="35"/>
        <v>39062100</v>
      </c>
      <c r="H223" s="781">
        <f t="shared" si="36"/>
        <v>28</v>
      </c>
      <c r="I223" s="756">
        <f t="shared" si="37"/>
        <v>776070.78955459339</v>
      </c>
    </row>
    <row r="224" spans="1:9" ht="13.5">
      <c r="A224" s="2">
        <v>5</v>
      </c>
      <c r="B224" s="752">
        <v>43525</v>
      </c>
      <c r="C224" s="752">
        <v>43555</v>
      </c>
      <c r="D224" s="753">
        <v>0.19370000000000001</v>
      </c>
      <c r="E224" s="753">
        <f t="shared" si="34"/>
        <v>0.29055000000000003</v>
      </c>
      <c r="F224" s="753">
        <f t="shared" si="33"/>
        <v>6.9906199467517638E-4</v>
      </c>
      <c r="G224" s="756">
        <f t="shared" si="35"/>
        <v>39062100</v>
      </c>
      <c r="H224" s="781">
        <f t="shared" si="36"/>
        <v>31</v>
      </c>
      <c r="I224" s="756">
        <f t="shared" si="37"/>
        <v>846511.71580823744</v>
      </c>
    </row>
    <row r="225" spans="1:9" ht="13.5">
      <c r="A225" s="2">
        <v>6</v>
      </c>
      <c r="B225" s="752">
        <v>43556</v>
      </c>
      <c r="C225" s="752">
        <v>43585</v>
      </c>
      <c r="D225" s="753">
        <v>0.19320000000000001</v>
      </c>
      <c r="E225" s="753">
        <f t="shared" si="34"/>
        <v>0.2898</v>
      </c>
      <c r="F225" s="753">
        <f t="shared" si="33"/>
        <v>6.9746823462724095E-4</v>
      </c>
      <c r="G225" s="756">
        <f t="shared" si="35"/>
        <v>39062100</v>
      </c>
      <c r="H225" s="781">
        <f t="shared" si="36"/>
        <v>30</v>
      </c>
      <c r="I225" s="756">
        <f t="shared" si="37"/>
        <v>817337.21783498244</v>
      </c>
    </row>
    <row r="226" spans="1:9" ht="13.5">
      <c r="A226" s="2">
        <v>7</v>
      </c>
      <c r="B226" s="752">
        <v>43586</v>
      </c>
      <c r="C226" s="752">
        <v>43601</v>
      </c>
      <c r="D226" s="753">
        <v>0.19339999999999999</v>
      </c>
      <c r="E226" s="753">
        <f t="shared" si="34"/>
        <v>0.29009999999999997</v>
      </c>
      <c r="F226" s="753">
        <f t="shared" si="33"/>
        <v>6.9810584952367805E-4</v>
      </c>
      <c r="G226" s="756">
        <f t="shared" si="35"/>
        <v>39062100</v>
      </c>
      <c r="H226" s="781">
        <f t="shared" si="36"/>
        <v>16</v>
      </c>
      <c r="I226" s="756">
        <f t="shared" si="37"/>
        <v>436311.68807486183</v>
      </c>
    </row>
    <row r="227" spans="1:9" ht="13.5">
      <c r="A227" s="2">
        <v>8</v>
      </c>
      <c r="B227" s="752">
        <v>43602</v>
      </c>
      <c r="C227" s="752">
        <v>43616</v>
      </c>
      <c r="D227" s="753">
        <v>0</v>
      </c>
      <c r="E227" s="753">
        <v>0</v>
      </c>
      <c r="F227" s="753">
        <v>0</v>
      </c>
      <c r="G227" s="756">
        <v>0</v>
      </c>
      <c r="H227" s="781">
        <v>0</v>
      </c>
      <c r="I227" s="756">
        <f t="shared" si="37"/>
        <v>0</v>
      </c>
    </row>
    <row r="228" spans="1:9" ht="13.5">
      <c r="A228" s="2">
        <v>9</v>
      </c>
      <c r="B228" s="752">
        <v>43617</v>
      </c>
      <c r="C228" s="752">
        <v>43646</v>
      </c>
      <c r="D228" s="753">
        <v>0</v>
      </c>
      <c r="E228" s="753">
        <v>0</v>
      </c>
      <c r="F228" s="753">
        <v>0</v>
      </c>
      <c r="G228" s="756">
        <v>0</v>
      </c>
      <c r="H228" s="781">
        <v>0</v>
      </c>
      <c r="I228" s="756">
        <f t="shared" si="37"/>
        <v>0</v>
      </c>
    </row>
    <row r="229" spans="1:9" ht="13.5">
      <c r="A229" s="2">
        <v>10</v>
      </c>
      <c r="B229" s="752">
        <v>43647</v>
      </c>
      <c r="C229" s="752">
        <v>43677</v>
      </c>
      <c r="D229" s="753">
        <v>0</v>
      </c>
      <c r="E229" s="753">
        <v>0</v>
      </c>
      <c r="F229" s="753">
        <v>0</v>
      </c>
      <c r="G229" s="756">
        <v>0</v>
      </c>
      <c r="H229" s="781">
        <v>0</v>
      </c>
      <c r="I229" s="756">
        <f t="shared" si="37"/>
        <v>0</v>
      </c>
    </row>
    <row r="230" spans="1:9" ht="13.5">
      <c r="A230" s="2">
        <v>11</v>
      </c>
      <c r="B230" s="752">
        <v>43678</v>
      </c>
      <c r="C230" s="752">
        <v>43708</v>
      </c>
      <c r="D230" s="753">
        <v>0</v>
      </c>
      <c r="E230" s="753">
        <v>0</v>
      </c>
      <c r="F230" s="753">
        <v>0</v>
      </c>
      <c r="G230" s="756">
        <v>0</v>
      </c>
      <c r="H230" s="781">
        <v>0</v>
      </c>
      <c r="I230" s="756">
        <f t="shared" si="37"/>
        <v>0</v>
      </c>
    </row>
    <row r="231" spans="1:9" ht="13.5">
      <c r="A231" s="2">
        <v>12</v>
      </c>
      <c r="B231" s="752">
        <v>43709</v>
      </c>
      <c r="C231" s="752">
        <v>43738</v>
      </c>
      <c r="D231" s="753">
        <v>0</v>
      </c>
      <c r="E231" s="753">
        <v>0</v>
      </c>
      <c r="F231" s="753">
        <v>0</v>
      </c>
      <c r="G231" s="756">
        <v>0</v>
      </c>
      <c r="H231" s="781">
        <v>0</v>
      </c>
      <c r="I231" s="756">
        <f t="shared" si="37"/>
        <v>0</v>
      </c>
    </row>
    <row r="232" spans="1:9" ht="13.5">
      <c r="A232" s="2">
        <v>13</v>
      </c>
      <c r="B232" s="752">
        <v>43739</v>
      </c>
      <c r="C232" s="752">
        <v>43767</v>
      </c>
      <c r="D232" s="753">
        <v>0</v>
      </c>
      <c r="E232" s="753">
        <v>0</v>
      </c>
      <c r="F232" s="753">
        <v>0</v>
      </c>
      <c r="G232" s="756">
        <v>0</v>
      </c>
      <c r="H232" s="781">
        <v>0</v>
      </c>
      <c r="I232" s="756">
        <f t="shared" si="37"/>
        <v>0</v>
      </c>
    </row>
    <row r="233" spans="1:9" ht="13.5">
      <c r="A233" s="2">
        <v>14</v>
      </c>
      <c r="B233" s="752">
        <v>43768</v>
      </c>
      <c r="C233" s="752">
        <v>43769</v>
      </c>
      <c r="D233" s="753">
        <v>0.191</v>
      </c>
      <c r="E233" s="753">
        <f t="shared" ref="E233:E253" si="38">+D233*1.5</f>
        <v>0.28649999999999998</v>
      </c>
      <c r="F233" s="753">
        <f t="shared" ref="F233:F253" si="39">((1+E233)^(1/365)-1)</f>
        <v>6.9044469314105683E-4</v>
      </c>
      <c r="G233" s="756">
        <f>+$D$217</f>
        <v>39062100</v>
      </c>
      <c r="H233" s="781">
        <f t="shared" ref="H233:H253" si="40">_xlfn.DAYS(C233,B233)+1</f>
        <v>2</v>
      </c>
      <c r="I233" s="756">
        <f t="shared" si="37"/>
        <v>53940.439295890552</v>
      </c>
    </row>
    <row r="234" spans="1:9" ht="13.5">
      <c r="A234" s="2">
        <v>15</v>
      </c>
      <c r="B234" s="752">
        <v>43770</v>
      </c>
      <c r="C234" s="752">
        <v>43799</v>
      </c>
      <c r="D234" s="753">
        <v>0.1903</v>
      </c>
      <c r="E234" s="753">
        <f t="shared" si="38"/>
        <v>0.28544999999999998</v>
      </c>
      <c r="F234" s="753">
        <f t="shared" si="39"/>
        <v>6.8820616169262827E-4</v>
      </c>
      <c r="G234" s="756">
        <f t="shared" ref="G234:G258" si="41">+$D$217</f>
        <v>39062100</v>
      </c>
      <c r="H234" s="781">
        <f t="shared" si="40"/>
        <v>30</v>
      </c>
      <c r="I234" s="756">
        <f t="shared" si="37"/>
        <v>806483.33725960844</v>
      </c>
    </row>
    <row r="235" spans="1:9" ht="13.5">
      <c r="A235" s="2">
        <v>16</v>
      </c>
      <c r="B235" s="752">
        <v>43800</v>
      </c>
      <c r="C235" s="752">
        <v>43830</v>
      </c>
      <c r="D235" s="753">
        <v>0.18909999999999999</v>
      </c>
      <c r="E235" s="753">
        <f t="shared" si="38"/>
        <v>0.28364999999999996</v>
      </c>
      <c r="F235" s="753">
        <f t="shared" si="39"/>
        <v>6.8436443340047504E-4</v>
      </c>
      <c r="G235" s="756">
        <f t="shared" si="41"/>
        <v>39062100</v>
      </c>
      <c r="H235" s="781">
        <f t="shared" si="40"/>
        <v>31</v>
      </c>
      <c r="I235" s="756">
        <f t="shared" si="37"/>
        <v>828714.06995191355</v>
      </c>
    </row>
    <row r="236" spans="1:9" ht="13.5">
      <c r="A236" s="2">
        <v>17</v>
      </c>
      <c r="B236" s="752">
        <v>43831</v>
      </c>
      <c r="C236" s="752">
        <v>43861</v>
      </c>
      <c r="D236" s="753">
        <v>0.18770000000000001</v>
      </c>
      <c r="E236" s="753">
        <f t="shared" si="38"/>
        <v>0.28155000000000002</v>
      </c>
      <c r="F236" s="753">
        <f t="shared" si="39"/>
        <v>6.7987562124560696E-4</v>
      </c>
      <c r="G236" s="756">
        <f t="shared" si="41"/>
        <v>39062100</v>
      </c>
      <c r="H236" s="781">
        <f t="shared" si="40"/>
        <v>31</v>
      </c>
      <c r="I236" s="756">
        <f t="shared" si="37"/>
        <v>823278.45464439876</v>
      </c>
    </row>
    <row r="237" spans="1:9" ht="13.5">
      <c r="A237" s="2">
        <v>18</v>
      </c>
      <c r="B237" s="752">
        <v>43862</v>
      </c>
      <c r="C237" s="752">
        <v>43890</v>
      </c>
      <c r="D237" s="753">
        <v>0.19059999999999999</v>
      </c>
      <c r="E237" s="753">
        <f t="shared" si="38"/>
        <v>0.28589999999999999</v>
      </c>
      <c r="F237" s="753">
        <f t="shared" si="39"/>
        <v>6.8916575551658532E-4</v>
      </c>
      <c r="G237" s="756">
        <f t="shared" si="41"/>
        <v>39062100</v>
      </c>
      <c r="H237" s="781">
        <f t="shared" si="40"/>
        <v>29</v>
      </c>
      <c r="I237" s="756">
        <f t="shared" si="37"/>
        <v>780687.58809836779</v>
      </c>
    </row>
    <row r="238" spans="1:9" ht="13.5">
      <c r="A238" s="2">
        <v>19</v>
      </c>
      <c r="B238" s="752">
        <v>43891</v>
      </c>
      <c r="C238" s="752">
        <v>43921</v>
      </c>
      <c r="D238" s="753">
        <v>0.1895</v>
      </c>
      <c r="E238" s="753">
        <f t="shared" si="38"/>
        <v>0.28425</v>
      </c>
      <c r="F238" s="753">
        <f t="shared" si="39"/>
        <v>6.8564560609574166E-4</v>
      </c>
      <c r="G238" s="756">
        <f t="shared" si="41"/>
        <v>39062100</v>
      </c>
      <c r="H238" s="781">
        <f t="shared" si="40"/>
        <v>31</v>
      </c>
      <c r="I238" s="756">
        <f t="shared" si="37"/>
        <v>830265.47412604652</v>
      </c>
    </row>
    <row r="239" spans="1:9" ht="13.5">
      <c r="A239" s="2">
        <v>20</v>
      </c>
      <c r="B239" s="752">
        <v>43922</v>
      </c>
      <c r="C239" s="752">
        <v>43951</v>
      </c>
      <c r="D239" s="753">
        <v>0.18690000000000001</v>
      </c>
      <c r="E239" s="753">
        <f t="shared" si="38"/>
        <v>0.28034999999999999</v>
      </c>
      <c r="F239" s="753">
        <f t="shared" si="39"/>
        <v>6.7730729113191224E-4</v>
      </c>
      <c r="G239" s="756">
        <f t="shared" si="41"/>
        <v>39062100</v>
      </c>
      <c r="H239" s="781">
        <f t="shared" si="40"/>
        <v>30</v>
      </c>
      <c r="I239" s="756">
        <f t="shared" si="37"/>
        <v>793711.35410771612</v>
      </c>
    </row>
    <row r="240" spans="1:9" ht="13.5">
      <c r="A240" s="2">
        <v>21</v>
      </c>
      <c r="B240" s="752">
        <v>43952</v>
      </c>
      <c r="C240" s="752">
        <v>43982</v>
      </c>
      <c r="D240" s="753">
        <v>0.18190000000000001</v>
      </c>
      <c r="E240" s="753">
        <f t="shared" si="38"/>
        <v>0.27285000000000004</v>
      </c>
      <c r="F240" s="753">
        <f t="shared" si="39"/>
        <v>6.6120063584418354E-4</v>
      </c>
      <c r="G240" s="756">
        <f t="shared" si="41"/>
        <v>39062100</v>
      </c>
      <c r="H240" s="781">
        <f t="shared" si="40"/>
        <v>31</v>
      </c>
      <c r="I240" s="756">
        <f t="shared" si="37"/>
        <v>800664.44607968151</v>
      </c>
    </row>
    <row r="241" spans="1:9" ht="13.5">
      <c r="A241" s="2">
        <v>22</v>
      </c>
      <c r="B241" s="752">
        <v>43983</v>
      </c>
      <c r="C241" s="752">
        <v>44012</v>
      </c>
      <c r="D241" s="753">
        <v>0.1812</v>
      </c>
      <c r="E241" s="753">
        <f t="shared" si="38"/>
        <v>0.27179999999999999</v>
      </c>
      <c r="F241" s="753">
        <f t="shared" si="39"/>
        <v>6.5893815469997286E-4</v>
      </c>
      <c r="G241" s="756">
        <f t="shared" si="41"/>
        <v>39062100</v>
      </c>
      <c r="H241" s="781">
        <f t="shared" si="40"/>
        <v>30</v>
      </c>
      <c r="I241" s="756">
        <f t="shared" si="37"/>
        <v>772185.24278117425</v>
      </c>
    </row>
    <row r="242" spans="1:9" ht="13.5">
      <c r="A242" s="2">
        <v>23</v>
      </c>
      <c r="B242" s="752">
        <v>44013</v>
      </c>
      <c r="C242" s="752">
        <v>44043</v>
      </c>
      <c r="D242" s="753">
        <v>0.1812</v>
      </c>
      <c r="E242" s="753">
        <f t="shared" si="38"/>
        <v>0.27179999999999999</v>
      </c>
      <c r="F242" s="753">
        <f t="shared" si="39"/>
        <v>6.5893815469997286E-4</v>
      </c>
      <c r="G242" s="756">
        <f t="shared" si="41"/>
        <v>39062100</v>
      </c>
      <c r="H242" s="781">
        <f t="shared" si="40"/>
        <v>31</v>
      </c>
      <c r="I242" s="756">
        <f t="shared" si="37"/>
        <v>797924.75087388</v>
      </c>
    </row>
    <row r="243" spans="1:9" ht="13.5">
      <c r="A243" s="2">
        <v>24</v>
      </c>
      <c r="B243" s="752">
        <v>44044</v>
      </c>
      <c r="C243" s="752">
        <v>44074</v>
      </c>
      <c r="D243" s="753">
        <v>0.18290000000000001</v>
      </c>
      <c r="E243" s="753">
        <f t="shared" si="38"/>
        <v>0.27434999999999998</v>
      </c>
      <c r="F243" s="753">
        <f t="shared" si="39"/>
        <v>6.6442952514544906E-4</v>
      </c>
      <c r="G243" s="756">
        <f t="shared" si="41"/>
        <v>39062100</v>
      </c>
      <c r="H243" s="781">
        <f t="shared" si="40"/>
        <v>31</v>
      </c>
      <c r="I243" s="756">
        <f t="shared" si="37"/>
        <v>804574.38917970541</v>
      </c>
    </row>
    <row r="244" spans="1:9" ht="13.5">
      <c r="A244" s="2">
        <v>25</v>
      </c>
      <c r="B244" s="752">
        <v>44075</v>
      </c>
      <c r="C244" s="752">
        <v>44104</v>
      </c>
      <c r="D244" s="753">
        <v>0.1835</v>
      </c>
      <c r="E244" s="753">
        <f t="shared" si="38"/>
        <v>0.27524999999999999</v>
      </c>
      <c r="F244" s="753">
        <f t="shared" si="39"/>
        <v>6.6636503991857055E-4</v>
      </c>
      <c r="G244" s="756">
        <f t="shared" si="41"/>
        <v>39062100</v>
      </c>
      <c r="H244" s="781">
        <f t="shared" si="40"/>
        <v>30</v>
      </c>
      <c r="I244" s="756">
        <f t="shared" si="37"/>
        <v>780888.53477409587</v>
      </c>
    </row>
    <row r="245" spans="1:9" ht="13.5">
      <c r="A245" s="2">
        <v>26</v>
      </c>
      <c r="B245" s="752">
        <v>44105</v>
      </c>
      <c r="C245" s="752">
        <v>44135</v>
      </c>
      <c r="D245" s="753">
        <v>0.18090000000000001</v>
      </c>
      <c r="E245" s="753">
        <f t="shared" si="38"/>
        <v>0.27134999999999998</v>
      </c>
      <c r="F245" s="753">
        <f t="shared" si="39"/>
        <v>6.5796794962613703E-4</v>
      </c>
      <c r="G245" s="756">
        <f t="shared" si="41"/>
        <v>39062100</v>
      </c>
      <c r="H245" s="781">
        <f t="shared" si="40"/>
        <v>31</v>
      </c>
      <c r="I245" s="756">
        <f t="shared" si="37"/>
        <v>796749.90519782493</v>
      </c>
    </row>
    <row r="246" spans="1:9" ht="13.5">
      <c r="A246" s="2">
        <v>27</v>
      </c>
      <c r="B246" s="752">
        <v>44136</v>
      </c>
      <c r="C246" s="752">
        <v>44165</v>
      </c>
      <c r="D246" s="753">
        <v>0.1784</v>
      </c>
      <c r="E246" s="753">
        <f t="shared" si="38"/>
        <v>0.2676</v>
      </c>
      <c r="F246" s="753">
        <f t="shared" si="39"/>
        <v>6.4986956374091243E-4</v>
      </c>
      <c r="G246" s="756">
        <f t="shared" si="41"/>
        <v>39062100</v>
      </c>
      <c r="H246" s="781">
        <f t="shared" si="40"/>
        <v>30</v>
      </c>
      <c r="I246" s="756">
        <f t="shared" si="37"/>
        <v>761558.09657411685</v>
      </c>
    </row>
    <row r="247" spans="1:9" ht="13.5">
      <c r="A247" s="2">
        <v>28</v>
      </c>
      <c r="B247" s="752">
        <v>44166</v>
      </c>
      <c r="C247" s="752">
        <v>44196</v>
      </c>
      <c r="D247" s="753">
        <v>0.17460000000000001</v>
      </c>
      <c r="E247" s="753">
        <f t="shared" si="38"/>
        <v>0.26190000000000002</v>
      </c>
      <c r="F247" s="753">
        <f t="shared" si="39"/>
        <v>6.3751414410861962E-4</v>
      </c>
      <c r="G247" s="756">
        <f t="shared" si="41"/>
        <v>39062100</v>
      </c>
      <c r="H247" s="781">
        <f t="shared" si="40"/>
        <v>31</v>
      </c>
      <c r="I247" s="756">
        <f t="shared" si="37"/>
        <v>771981.87870614463</v>
      </c>
    </row>
    <row r="248" spans="1:9" ht="13.5">
      <c r="A248" s="2">
        <v>29</v>
      </c>
      <c r="B248" s="752">
        <v>44197</v>
      </c>
      <c r="C248" s="752">
        <v>44227</v>
      </c>
      <c r="D248" s="753">
        <v>0.17319999999999999</v>
      </c>
      <c r="E248" s="753">
        <f t="shared" si="38"/>
        <v>0.25979999999999998</v>
      </c>
      <c r="F248" s="753">
        <f t="shared" si="39"/>
        <v>6.3294811266723094E-4</v>
      </c>
      <c r="G248" s="756">
        <f t="shared" si="41"/>
        <v>39062100</v>
      </c>
      <c r="H248" s="781">
        <f t="shared" si="40"/>
        <v>31</v>
      </c>
      <c r="I248" s="756">
        <f t="shared" si="37"/>
        <v>766452.75662637793</v>
      </c>
    </row>
    <row r="249" spans="1:9" ht="13.5">
      <c r="A249" s="2">
        <v>30</v>
      </c>
      <c r="B249" s="752">
        <v>44228</v>
      </c>
      <c r="C249" s="752">
        <v>44255</v>
      </c>
      <c r="D249" s="753">
        <v>0.1754</v>
      </c>
      <c r="E249" s="753">
        <f t="shared" si="38"/>
        <v>0.2631</v>
      </c>
      <c r="F249" s="753">
        <f t="shared" si="39"/>
        <v>6.4011990387169426E-4</v>
      </c>
      <c r="G249" s="756">
        <f t="shared" si="41"/>
        <v>39062100</v>
      </c>
      <c r="H249" s="781">
        <f t="shared" si="40"/>
        <v>28</v>
      </c>
      <c r="I249" s="756">
        <f t="shared" si="37"/>
        <v>700123.97551674221</v>
      </c>
    </row>
    <row r="250" spans="1:9" ht="13.5">
      <c r="A250" s="2">
        <v>31</v>
      </c>
      <c r="B250" s="752">
        <v>44256</v>
      </c>
      <c r="C250" s="752">
        <v>44286</v>
      </c>
      <c r="D250" s="753">
        <v>0.1741</v>
      </c>
      <c r="E250" s="753">
        <f t="shared" si="38"/>
        <v>0.26114999999999999</v>
      </c>
      <c r="F250" s="753">
        <f t="shared" si="39"/>
        <v>6.3588428907812578E-4</v>
      </c>
      <c r="G250" s="756">
        <f t="shared" si="41"/>
        <v>39062100</v>
      </c>
      <c r="H250" s="781">
        <f t="shared" si="40"/>
        <v>31</v>
      </c>
      <c r="I250" s="756">
        <f t="shared" si="37"/>
        <v>770008.24634035828</v>
      </c>
    </row>
    <row r="251" spans="1:9" ht="13.5">
      <c r="A251" s="2">
        <v>32</v>
      </c>
      <c r="B251" s="752">
        <v>44287</v>
      </c>
      <c r="C251" s="752">
        <v>44316</v>
      </c>
      <c r="D251" s="753">
        <v>0.1731</v>
      </c>
      <c r="E251" s="753">
        <f t="shared" si="38"/>
        <v>0.25964999999999999</v>
      </c>
      <c r="F251" s="753">
        <f t="shared" si="39"/>
        <v>6.326216771728177E-4</v>
      </c>
      <c r="G251" s="756">
        <f t="shared" si="41"/>
        <v>39062100</v>
      </c>
      <c r="H251" s="781">
        <f t="shared" si="40"/>
        <v>30</v>
      </c>
      <c r="I251" s="756">
        <f t="shared" si="37"/>
        <v>741345.93647676962</v>
      </c>
    </row>
    <row r="252" spans="1:9" ht="13.5">
      <c r="A252" s="2">
        <v>33</v>
      </c>
      <c r="B252" s="752">
        <v>44317</v>
      </c>
      <c r="C252" s="752">
        <v>44347</v>
      </c>
      <c r="D252" s="753">
        <v>0.17219999999999999</v>
      </c>
      <c r="E252" s="753">
        <f t="shared" si="38"/>
        <v>0.25829999999999997</v>
      </c>
      <c r="F252" s="753">
        <f t="shared" si="39"/>
        <v>6.2968201205726437E-4</v>
      </c>
      <c r="G252" s="756">
        <f t="shared" si="41"/>
        <v>39062100</v>
      </c>
      <c r="H252" s="781">
        <f t="shared" si="40"/>
        <v>31</v>
      </c>
      <c r="I252" s="756">
        <f t="shared" si="37"/>
        <v>762497.75341864408</v>
      </c>
    </row>
    <row r="253" spans="1:9" ht="13.5">
      <c r="A253" s="2">
        <v>34</v>
      </c>
      <c r="B253" s="752">
        <v>44348</v>
      </c>
      <c r="C253" s="752">
        <v>44377</v>
      </c>
      <c r="D253" s="753">
        <v>0.1721</v>
      </c>
      <c r="E253" s="753">
        <f t="shared" si="38"/>
        <v>0.25814999999999999</v>
      </c>
      <c r="F253" s="753">
        <f t="shared" si="39"/>
        <v>6.2935518846773952E-4</v>
      </c>
      <c r="G253" s="756">
        <f t="shared" si="41"/>
        <v>39062100</v>
      </c>
      <c r="H253" s="781">
        <f t="shared" si="40"/>
        <v>30</v>
      </c>
      <c r="I253" s="756">
        <f t="shared" si="37"/>
        <v>737518.05922337063</v>
      </c>
    </row>
    <row r="254" spans="1:9" ht="13.5">
      <c r="A254" s="2">
        <v>35</v>
      </c>
      <c r="B254" s="752">
        <v>44378</v>
      </c>
      <c r="C254" s="752">
        <v>44408</v>
      </c>
      <c r="D254" s="753">
        <v>0.17180000000000001</v>
      </c>
      <c r="E254" s="753">
        <f>+D254*1.5</f>
        <v>0.25770000000000004</v>
      </c>
      <c r="F254" s="753">
        <f>((1+E254)^(1/365)-1)</f>
        <v>6.2837448450037137E-4</v>
      </c>
      <c r="G254" s="756">
        <f t="shared" si="41"/>
        <v>39062100</v>
      </c>
      <c r="H254" s="781">
        <f>_xlfn.DAYS(C254,B254)+1</f>
        <v>31</v>
      </c>
      <c r="I254" s="756">
        <f>+G254*F254*H254</f>
        <v>760914.43548106065</v>
      </c>
    </row>
    <row r="255" spans="1:9" ht="13.5">
      <c r="A255" s="2">
        <v>36</v>
      </c>
      <c r="B255" s="752">
        <v>44409</v>
      </c>
      <c r="C255" s="752">
        <v>44439</v>
      </c>
      <c r="D255" s="753">
        <v>0.1724</v>
      </c>
      <c r="E255" s="753">
        <f>+D255*1.5</f>
        <v>0.2586</v>
      </c>
      <c r="F255" s="753">
        <f>((1+E255)^(1/365)-1)</f>
        <v>6.3033554269220637E-4</v>
      </c>
      <c r="G255" s="756">
        <f t="shared" si="41"/>
        <v>39062100</v>
      </c>
      <c r="H255" s="781">
        <f>_xlfn.DAYS(C255,B255)+1</f>
        <v>31</v>
      </c>
      <c r="I255" s="756">
        <f>+G255*F255*H255</f>
        <v>763289.13006811426</v>
      </c>
    </row>
    <row r="256" spans="1:9" ht="13.5">
      <c r="A256" s="2">
        <v>37</v>
      </c>
      <c r="B256" s="752">
        <v>44440</v>
      </c>
      <c r="C256" s="752">
        <v>44469</v>
      </c>
      <c r="D256" s="753">
        <v>0.1719</v>
      </c>
      <c r="E256" s="753">
        <f>+D256*1.5</f>
        <v>0.25785000000000002</v>
      </c>
      <c r="F256" s="753">
        <f>((1+E256)^(1/365)-1)</f>
        <v>6.2870142469861889E-4</v>
      </c>
      <c r="G256" s="756">
        <f t="shared" si="41"/>
        <v>39062100</v>
      </c>
      <c r="H256" s="781">
        <f>_xlfn.DAYS(C256,B256)+1</f>
        <v>30</v>
      </c>
      <c r="I256" s="756">
        <f>+G256*F256*H256</f>
        <v>736751.93765159755</v>
      </c>
    </row>
    <row r="257" spans="1:9" ht="13.5">
      <c r="A257" s="2">
        <v>38</v>
      </c>
      <c r="B257" s="752">
        <v>44470</v>
      </c>
      <c r="C257" s="752">
        <v>44500</v>
      </c>
      <c r="D257" s="753">
        <v>0.17080000000000001</v>
      </c>
      <c r="E257" s="753">
        <f>+D257*1.5</f>
        <v>0.25619999999999998</v>
      </c>
      <c r="F257" s="753">
        <f>((1+E257)^(1/365)-1)</f>
        <v>6.2510294214179751E-4</v>
      </c>
      <c r="G257" s="756">
        <f t="shared" si="41"/>
        <v>39062100</v>
      </c>
      <c r="H257" s="781">
        <f>_xlfn.DAYS(C257,B257)+1</f>
        <v>31</v>
      </c>
      <c r="I257" s="756">
        <f>+G257*F257*H257</f>
        <v>756952.84272335039</v>
      </c>
    </row>
    <row r="258" spans="1:9" ht="13.5">
      <c r="A258" s="2">
        <v>39</v>
      </c>
      <c r="B258" s="752">
        <v>44501</v>
      </c>
      <c r="C258" s="752">
        <v>44522</v>
      </c>
      <c r="D258" s="753">
        <v>0.17269999999999999</v>
      </c>
      <c r="E258" s="753">
        <f>+D258*1.5</f>
        <v>0.25905</v>
      </c>
      <c r="F258" s="753">
        <f>((1+E258)^(1/365)-1)</f>
        <v>6.3131554742335005E-4</v>
      </c>
      <c r="G258" s="756">
        <f t="shared" si="41"/>
        <v>39062100</v>
      </c>
      <c r="H258" s="782">
        <f>_xlfn.DAYS(C258,B258)+1</f>
        <v>22</v>
      </c>
      <c r="I258" s="756">
        <f>+G258*F258*H258</f>
        <v>542531.24299012416</v>
      </c>
    </row>
    <row r="259" spans="1:9" ht="13.5">
      <c r="B259" s="731"/>
      <c r="C259" s="731"/>
      <c r="D259" s="731"/>
      <c r="E259" s="731"/>
      <c r="F259" s="731"/>
      <c r="G259" s="2673" t="s">
        <v>692</v>
      </c>
      <c r="H259" s="2673"/>
      <c r="I259" s="783">
        <f>SUM(I220:I258)</f>
        <v>24188678.671434995</v>
      </c>
    </row>
    <row r="260" spans="1:9" ht="13.5">
      <c r="B260" s="2675" t="s">
        <v>697</v>
      </c>
      <c r="C260" s="2676"/>
      <c r="D260" s="731"/>
      <c r="E260" s="731"/>
      <c r="F260" s="731"/>
      <c r="G260" s="731"/>
      <c r="H260" s="777"/>
      <c r="I260" s="731"/>
    </row>
    <row r="261" spans="1:9" ht="13.5">
      <c r="B261" s="688" t="s">
        <v>56</v>
      </c>
      <c r="C261" s="688"/>
      <c r="D261" s="731"/>
      <c r="E261" s="731"/>
      <c r="F261" s="731"/>
      <c r="G261" s="731"/>
      <c r="H261" s="777"/>
      <c r="I261" s="731"/>
    </row>
    <row r="262" spans="1:9" ht="13.5">
      <c r="B262" s="695" t="s">
        <v>133</v>
      </c>
      <c r="C262" s="756">
        <f>+D217</f>
        <v>39062100</v>
      </c>
      <c r="D262" s="731"/>
      <c r="E262" s="731"/>
      <c r="F262" s="731"/>
      <c r="G262" s="731"/>
      <c r="H262" s="777"/>
      <c r="I262" s="731"/>
    </row>
    <row r="263" spans="1:9" ht="27">
      <c r="B263" s="695" t="s">
        <v>134</v>
      </c>
      <c r="C263" s="756">
        <f>+I259</f>
        <v>24188678.671434995</v>
      </c>
      <c r="D263" s="731"/>
      <c r="E263" s="731"/>
      <c r="F263" s="731"/>
      <c r="G263" s="731"/>
      <c r="H263" s="777"/>
      <c r="I263" s="731"/>
    </row>
    <row r="264" spans="1:9" ht="14.25" thickBot="1">
      <c r="B264" s="754" t="s">
        <v>61</v>
      </c>
      <c r="C264" s="784">
        <f>SUM(C262:C263)</f>
        <v>63250778.671434999</v>
      </c>
      <c r="D264" s="731"/>
      <c r="E264" s="731"/>
      <c r="F264" s="731"/>
      <c r="G264" s="731"/>
      <c r="H264" s="777"/>
      <c r="I264" s="731"/>
    </row>
    <row r="265" spans="1:9" ht="14.25" thickTop="1">
      <c r="B265" s="731"/>
      <c r="C265" s="731"/>
      <c r="D265" s="731"/>
      <c r="E265" s="731"/>
      <c r="F265" s="731"/>
      <c r="G265" s="731"/>
      <c r="H265" s="777"/>
      <c r="I265" s="731"/>
    </row>
    <row r="266" spans="1:9" ht="13.5">
      <c r="B266" s="731"/>
      <c r="C266" s="731"/>
      <c r="D266" s="731"/>
      <c r="E266" s="731"/>
      <c r="F266" s="731"/>
      <c r="G266" s="731"/>
      <c r="H266" s="777"/>
      <c r="I266" s="731"/>
    </row>
    <row r="267" spans="1:9" ht="24.75" customHeight="1">
      <c r="B267" s="2677" t="s">
        <v>698</v>
      </c>
      <c r="C267" s="2677"/>
      <c r="D267" s="731"/>
      <c r="E267" s="731"/>
      <c r="F267" s="731"/>
      <c r="G267" s="731"/>
      <c r="H267" s="777"/>
      <c r="I267" s="731"/>
    </row>
    <row r="268" spans="1:9" ht="13.5">
      <c r="B268" s="688" t="s">
        <v>56</v>
      </c>
      <c r="C268" s="729"/>
      <c r="D268" s="731"/>
      <c r="E268" s="731"/>
      <c r="F268" s="731"/>
      <c r="G268" s="731"/>
      <c r="H268" s="777"/>
      <c r="I268" s="731"/>
    </row>
    <row r="269" spans="1:9" ht="13.5">
      <c r="B269" s="695" t="s">
        <v>133</v>
      </c>
      <c r="C269" s="788">
        <f>+D18+D68+D117+D167+D217</f>
        <v>210935340</v>
      </c>
      <c r="D269" s="731"/>
      <c r="E269" s="731"/>
      <c r="F269" s="731"/>
      <c r="G269" s="731"/>
      <c r="H269" s="777"/>
      <c r="I269" s="731"/>
    </row>
    <row r="270" spans="1:9" ht="27">
      <c r="B270" s="695" t="s">
        <v>134</v>
      </c>
      <c r="C270" s="788">
        <f>+C64+C114+C163+C213+C263</f>
        <v>130618864.82574897</v>
      </c>
      <c r="D270" s="731"/>
      <c r="E270" s="731"/>
      <c r="F270" s="731"/>
      <c r="G270" s="731"/>
      <c r="H270" s="777"/>
      <c r="I270" s="731"/>
    </row>
    <row r="271" spans="1:9" ht="14.25" thickBot="1">
      <c r="B271" s="754" t="s">
        <v>61</v>
      </c>
      <c r="C271" s="784">
        <f>SUM(C269:C270)</f>
        <v>341554204.82574898</v>
      </c>
      <c r="D271" s="731"/>
      <c r="E271" s="731"/>
      <c r="F271" s="731"/>
      <c r="G271" s="731"/>
      <c r="H271" s="777"/>
      <c r="I271" s="731"/>
    </row>
    <row r="272" spans="1:9" ht="8.25" customHeight="1" thickTop="1">
      <c r="B272" s="731"/>
      <c r="C272" s="731"/>
      <c r="D272" s="731"/>
      <c r="E272" s="731"/>
      <c r="F272" s="731"/>
      <c r="G272" s="731"/>
      <c r="H272" s="777"/>
      <c r="I272" s="731"/>
    </row>
    <row r="273" spans="2:9" ht="13.5">
      <c r="B273" s="744" t="s">
        <v>62</v>
      </c>
      <c r="C273" s="731"/>
      <c r="D273" s="731"/>
      <c r="E273" s="731"/>
      <c r="F273" s="731"/>
      <c r="G273" s="731"/>
      <c r="H273" s="777"/>
      <c r="I273" s="731"/>
    </row>
    <row r="274" spans="2:9" ht="13.5">
      <c r="B274" s="690"/>
      <c r="C274" s="731"/>
      <c r="D274" s="731"/>
      <c r="E274" s="731"/>
      <c r="F274" s="731"/>
      <c r="G274" s="731"/>
      <c r="H274" s="777"/>
      <c r="I274" s="731"/>
    </row>
    <row r="275" spans="2:9" ht="13.5">
      <c r="B275" s="690"/>
      <c r="C275" s="731"/>
      <c r="D275" s="731"/>
      <c r="E275" s="731"/>
      <c r="F275" s="731"/>
      <c r="G275" s="731"/>
      <c r="H275" s="777"/>
      <c r="I275" s="731"/>
    </row>
    <row r="276" spans="2:9" ht="13.5">
      <c r="B276" s="757" t="s">
        <v>63</v>
      </c>
      <c r="C276" s="731"/>
      <c r="D276" s="731"/>
      <c r="E276" s="731"/>
      <c r="F276" s="731"/>
      <c r="G276" s="731"/>
      <c r="H276" s="777"/>
      <c r="I276" s="731"/>
    </row>
    <row r="277" spans="2:9" ht="13.5">
      <c r="B277" s="757" t="s">
        <v>64</v>
      </c>
      <c r="C277" s="731"/>
      <c r="D277" s="731"/>
      <c r="E277" s="731"/>
      <c r="F277" s="731"/>
      <c r="G277" s="731"/>
      <c r="H277" s="777"/>
      <c r="I277" s="731"/>
    </row>
    <row r="278" spans="2:9" ht="13.5">
      <c r="B278" s="744" t="s">
        <v>65</v>
      </c>
      <c r="C278" s="731"/>
      <c r="D278" s="731"/>
      <c r="E278" s="731"/>
      <c r="F278" s="731"/>
      <c r="G278" s="731"/>
      <c r="H278" s="777"/>
      <c r="I278" s="731"/>
    </row>
    <row r="279" spans="2:9" ht="13.5">
      <c r="B279" s="731"/>
      <c r="C279" s="731"/>
      <c r="D279" s="731"/>
      <c r="E279" s="731"/>
      <c r="F279" s="731"/>
      <c r="G279" s="731"/>
      <c r="H279" s="777"/>
      <c r="I279" s="731"/>
    </row>
    <row r="280" spans="2:9" ht="13.5">
      <c r="B280" s="731"/>
      <c r="C280" s="744"/>
      <c r="D280" s="731"/>
      <c r="E280" s="731"/>
      <c r="F280" s="731"/>
      <c r="G280" s="731"/>
      <c r="H280" s="777"/>
      <c r="I280" s="731"/>
    </row>
    <row r="281" spans="2:9" ht="13.5">
      <c r="B281" s="731"/>
      <c r="C281" s="690"/>
      <c r="D281" s="731"/>
      <c r="E281" s="731"/>
      <c r="F281" s="731"/>
      <c r="G281" s="731"/>
      <c r="H281" s="777"/>
      <c r="I281" s="731"/>
    </row>
    <row r="282" spans="2:9" ht="13.5">
      <c r="B282" s="731"/>
      <c r="C282" s="690"/>
      <c r="D282" s="731"/>
      <c r="E282" s="731"/>
      <c r="F282" s="731"/>
      <c r="G282" s="731"/>
      <c r="H282" s="777"/>
      <c r="I282" s="731"/>
    </row>
    <row r="283" spans="2:9">
      <c r="C283" s="476"/>
    </row>
    <row r="284" spans="2:9">
      <c r="C284" s="476"/>
    </row>
    <row r="285" spans="2:9">
      <c r="C285" s="221"/>
    </row>
  </sheetData>
  <mergeCells count="16">
    <mergeCell ref="B260:C260"/>
    <mergeCell ref="B267:C267"/>
    <mergeCell ref="B111:C111"/>
    <mergeCell ref="B61:C61"/>
    <mergeCell ref="B160:C160"/>
    <mergeCell ref="B168:I168"/>
    <mergeCell ref="G209:H209"/>
    <mergeCell ref="B210:C210"/>
    <mergeCell ref="B218:I218"/>
    <mergeCell ref="B118:I118"/>
    <mergeCell ref="G159:H159"/>
    <mergeCell ref="B19:I19"/>
    <mergeCell ref="G60:H60"/>
    <mergeCell ref="B69:I69"/>
    <mergeCell ref="G110:H110"/>
    <mergeCell ref="G259:H259"/>
  </mergeCells>
  <conditionalFormatting sqref="B20:C20">
    <cfRule type="duplicateValues" dxfId="55" priority="8"/>
  </conditionalFormatting>
  <conditionalFormatting sqref="B70:C70">
    <cfRule type="duplicateValues" dxfId="54" priority="3"/>
  </conditionalFormatting>
  <conditionalFormatting sqref="B119:C119">
    <cfRule type="duplicateValues" dxfId="53" priority="6"/>
  </conditionalFormatting>
  <conditionalFormatting sqref="B169:C169">
    <cfRule type="duplicateValues" dxfId="52" priority="2"/>
  </conditionalFormatting>
  <conditionalFormatting sqref="B215:C215">
    <cfRule type="duplicateValues" dxfId="51" priority="4"/>
  </conditionalFormatting>
  <conditionalFormatting sqref="B219:C219">
    <cfRule type="duplicateValues" dxfId="50" priority="1"/>
  </conditionalFormatting>
  <pageMargins left="0.7" right="0.7" top="0.75" bottom="0.75" header="0.3" footer="0.3"/>
  <pageSetup paperSize="135" scale="68"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BCBA2-B0D1-4E0A-A71C-E83B227EA56A}">
  <sheetPr codeName="Hoja38">
    <pageSetUpPr fitToPage="1"/>
  </sheetPr>
  <dimension ref="A2:U480"/>
  <sheetViews>
    <sheetView topLeftCell="A226" zoomScale="120" zoomScaleNormal="120" workbookViewId="0">
      <selection activeCell="E354" sqref="E354"/>
    </sheetView>
  </sheetViews>
  <sheetFormatPr defaultColWidth="11.42578125" defaultRowHeight="12.75"/>
  <cols>
    <col min="1" max="1" width="2" style="814" customWidth="1"/>
    <col min="2" max="2" width="17.140625" style="814" customWidth="1"/>
    <col min="3" max="3" width="15.85546875" style="814" customWidth="1"/>
    <col min="4" max="4" width="12.42578125" style="814" customWidth="1"/>
    <col min="5" max="5" width="12.28515625" style="814" customWidth="1"/>
    <col min="6" max="6" width="12.85546875" style="911" bestFit="1" customWidth="1"/>
    <col min="7" max="7" width="13.85546875" style="814" customWidth="1"/>
    <col min="8" max="8" width="12.28515625" style="814" customWidth="1"/>
    <col min="9" max="9" width="12.42578125" style="814" customWidth="1"/>
    <col min="10" max="10" width="11" style="814" customWidth="1"/>
    <col min="11" max="11" width="3.28515625" style="814" customWidth="1"/>
    <col min="12" max="12" width="9.7109375" style="814" customWidth="1"/>
    <col min="13" max="13" width="12.85546875" style="979" bestFit="1" customWidth="1"/>
    <col min="14" max="14" width="10.85546875" style="979" customWidth="1"/>
    <col min="15" max="15" width="12.85546875" style="814" bestFit="1" customWidth="1"/>
    <col min="16" max="16384" width="11.42578125" style="814"/>
  </cols>
  <sheetData>
    <row r="2" spans="2:20" ht="25.5">
      <c r="B2" s="1201" t="s">
        <v>0</v>
      </c>
      <c r="C2" s="741" t="s">
        <v>699</v>
      </c>
    </row>
    <row r="3" spans="2:20">
      <c r="B3" s="1201" t="s">
        <v>238</v>
      </c>
      <c r="C3" s="1061">
        <v>73573082</v>
      </c>
    </row>
    <row r="4" spans="2:20">
      <c r="B4" s="726" t="s">
        <v>287</v>
      </c>
      <c r="C4" s="800">
        <v>43430</v>
      </c>
    </row>
    <row r="5" spans="2:20">
      <c r="B5" s="726" t="s">
        <v>700</v>
      </c>
      <c r="C5" s="1349" t="s">
        <v>701</v>
      </c>
      <c r="F5" s="1350"/>
      <c r="J5" s="1118"/>
    </row>
    <row r="6" spans="2:20">
      <c r="B6" s="726" t="s">
        <v>124</v>
      </c>
      <c r="C6" s="741" t="s">
        <v>702</v>
      </c>
      <c r="D6" s="741"/>
      <c r="F6" s="1350"/>
      <c r="G6" s="1351"/>
      <c r="J6" s="1118"/>
      <c r="M6" s="814"/>
      <c r="N6" s="814"/>
    </row>
    <row r="7" spans="2:20">
      <c r="B7" s="726" t="s">
        <v>2</v>
      </c>
      <c r="C7" s="741" t="s">
        <v>703</v>
      </c>
      <c r="J7" s="1118"/>
      <c r="M7" s="814"/>
      <c r="N7" s="814"/>
    </row>
    <row r="8" spans="2:20" ht="12.75" customHeight="1">
      <c r="B8" s="726" t="s">
        <v>290</v>
      </c>
      <c r="C8" s="800">
        <v>43538</v>
      </c>
      <c r="M8" s="814"/>
      <c r="N8" s="814"/>
    </row>
    <row r="9" spans="2:20" ht="12.75" hidden="1" customHeight="1">
      <c r="H9" s="2604" t="s">
        <v>704</v>
      </c>
      <c r="I9" s="2605"/>
      <c r="M9" s="814"/>
      <c r="N9" s="814"/>
    </row>
    <row r="10" spans="2:20" ht="12.75" hidden="1" customHeight="1">
      <c r="B10" s="726" t="s">
        <v>705</v>
      </c>
      <c r="C10" s="726" t="s">
        <v>206</v>
      </c>
      <c r="D10" s="726" t="s">
        <v>10</v>
      </c>
      <c r="E10" s="726" t="s">
        <v>706</v>
      </c>
      <c r="F10" s="1334" t="s">
        <v>707</v>
      </c>
      <c r="G10" s="726" t="s">
        <v>708</v>
      </c>
      <c r="H10" s="726" t="s">
        <v>709</v>
      </c>
      <c r="I10" s="726" t="s">
        <v>252</v>
      </c>
      <c r="J10" s="726" t="s">
        <v>710</v>
      </c>
      <c r="M10" s="2680" t="s">
        <v>711</v>
      </c>
      <c r="N10" s="2680"/>
      <c r="O10" s="2680"/>
      <c r="P10" s="2680"/>
      <c r="Q10" s="2680"/>
      <c r="R10" s="2680"/>
      <c r="S10" s="2680"/>
      <c r="T10" s="2680"/>
    </row>
    <row r="11" spans="2:20" hidden="1">
      <c r="B11" s="2604" t="s">
        <v>64</v>
      </c>
      <c r="C11" s="2681"/>
      <c r="D11" s="2681"/>
      <c r="E11" s="2681"/>
      <c r="F11" s="2605"/>
      <c r="G11" s="801"/>
      <c r="H11" s="726"/>
      <c r="I11" s="726"/>
      <c r="J11" s="726"/>
      <c r="L11" s="1093" t="s">
        <v>494</v>
      </c>
      <c r="M11" s="1093" t="s">
        <v>712</v>
      </c>
      <c r="N11" s="1093" t="s">
        <v>713</v>
      </c>
      <c r="O11" s="1093" t="s">
        <v>78</v>
      </c>
      <c r="P11" s="1093" t="s">
        <v>79</v>
      </c>
      <c r="Q11" s="1093" t="s">
        <v>186</v>
      </c>
      <c r="R11" s="1093" t="s">
        <v>187</v>
      </c>
      <c r="S11" s="1093" t="s">
        <v>82</v>
      </c>
      <c r="T11" s="1093" t="s">
        <v>83</v>
      </c>
    </row>
    <row r="12" spans="2:20" ht="26.25" hidden="1" customHeight="1">
      <c r="B12" s="1190" t="s">
        <v>714</v>
      </c>
      <c r="C12" s="1223">
        <v>38216</v>
      </c>
      <c r="D12" s="1223">
        <v>38352</v>
      </c>
      <c r="E12" s="1333">
        <f>_xlfn.DAYS(D12,C12)+1</f>
        <v>137</v>
      </c>
      <c r="F12" s="1352">
        <f>2010000/4.466</f>
        <v>450067.17420510523</v>
      </c>
      <c r="G12" s="1353">
        <f>((358000/30)*E12)</f>
        <v>1634866.6666666667</v>
      </c>
      <c r="H12" s="1333">
        <f>+G12*12%</f>
        <v>196184</v>
      </c>
      <c r="I12" s="1333">
        <f>+G12*14.51%</f>
        <v>237219.15333333335</v>
      </c>
      <c r="J12" s="1354">
        <f>SUM(H12:I12)</f>
        <v>433403.15333333332</v>
      </c>
      <c r="K12" s="1063"/>
      <c r="L12" s="1316">
        <v>44425</v>
      </c>
      <c r="M12" s="1316">
        <v>44439</v>
      </c>
      <c r="N12" s="1315">
        <v>450067</v>
      </c>
      <c r="O12" s="1088">
        <f>+N12*0.04</f>
        <v>18002.68</v>
      </c>
      <c r="P12" s="1088"/>
      <c r="Q12" s="1088"/>
      <c r="R12" s="1088"/>
      <c r="S12" s="1088"/>
      <c r="T12" s="1088"/>
    </row>
    <row r="13" spans="2:20" hidden="1">
      <c r="B13" s="1132"/>
      <c r="C13" s="802"/>
      <c r="D13" s="802"/>
      <c r="E13" s="1355"/>
      <c r="F13" s="807"/>
      <c r="G13" s="858"/>
      <c r="H13" s="1061"/>
      <c r="I13" s="1061"/>
      <c r="J13" s="1356"/>
      <c r="K13" s="1063"/>
      <c r="L13" s="1316">
        <v>44440</v>
      </c>
      <c r="M13" s="1316">
        <v>44469</v>
      </c>
      <c r="N13" s="1315">
        <v>450067</v>
      </c>
      <c r="O13" s="1088"/>
      <c r="P13" s="1088"/>
      <c r="Q13" s="1088"/>
      <c r="R13" s="1088"/>
      <c r="S13" s="1088"/>
      <c r="T13" s="1088"/>
    </row>
    <row r="14" spans="2:20" hidden="1">
      <c r="B14" s="2604" t="s">
        <v>715</v>
      </c>
      <c r="C14" s="2681"/>
      <c r="D14" s="2681"/>
      <c r="E14" s="2605"/>
      <c r="F14" s="1357">
        <f>+F12</f>
        <v>450067.17420510523</v>
      </c>
      <c r="G14" s="858">
        <f>+F14*4.5666</f>
        <v>2055276.7577250337</v>
      </c>
      <c r="H14" s="1061">
        <f>+G14*12.5%</f>
        <v>256909.59471562921</v>
      </c>
      <c r="I14" s="1061">
        <f>+G14*14.51%</f>
        <v>298220.65754590242</v>
      </c>
      <c r="J14" s="1356">
        <f>SUM(H14:I14)</f>
        <v>555130.25226153166</v>
      </c>
      <c r="K14" s="1063"/>
      <c r="L14" s="1316">
        <v>44470</v>
      </c>
      <c r="M14" s="1316">
        <v>44500</v>
      </c>
      <c r="N14" s="1315">
        <v>450067</v>
      </c>
      <c r="O14" s="1088"/>
      <c r="P14" s="1088"/>
      <c r="Q14" s="1088"/>
      <c r="R14" s="1088"/>
      <c r="S14" s="1088"/>
      <c r="T14" s="1088"/>
    </row>
    <row r="15" spans="2:20" hidden="1">
      <c r="B15" s="1132"/>
      <c r="C15" s="802"/>
      <c r="D15" s="802"/>
      <c r="E15" s="1355"/>
      <c r="F15" s="807"/>
      <c r="G15" s="2703" t="s">
        <v>716</v>
      </c>
      <c r="H15" s="2704"/>
      <c r="I15" s="2705"/>
      <c r="J15" s="1358">
        <f>+J14-J12</f>
        <v>121727.09892819833</v>
      </c>
      <c r="K15" s="1063"/>
      <c r="L15" s="1316">
        <v>44501</v>
      </c>
      <c r="M15" s="1316">
        <v>44530</v>
      </c>
      <c r="N15" s="1315">
        <v>450067</v>
      </c>
      <c r="O15" s="1088"/>
      <c r="P15" s="1088"/>
      <c r="Q15" s="1088"/>
      <c r="R15" s="1088"/>
      <c r="S15" s="1088"/>
      <c r="T15" s="1088"/>
    </row>
    <row r="16" spans="2:20" hidden="1">
      <c r="B16" s="1132"/>
      <c r="C16" s="802"/>
      <c r="D16" s="802"/>
      <c r="E16" s="1359"/>
      <c r="F16" s="807"/>
      <c r="G16" s="858"/>
      <c r="H16" s="1061"/>
      <c r="I16" s="1061"/>
      <c r="J16" s="858"/>
      <c r="K16" s="1063"/>
      <c r="L16" s="1316">
        <v>44531</v>
      </c>
      <c r="M16" s="1316">
        <v>44561</v>
      </c>
      <c r="N16" s="1315">
        <v>450067</v>
      </c>
      <c r="O16" s="1088"/>
      <c r="P16" s="1088"/>
      <c r="Q16" s="1088"/>
      <c r="R16" s="1088"/>
      <c r="S16" s="1088"/>
      <c r="T16" s="1088"/>
    </row>
    <row r="17" spans="2:21" ht="18" hidden="1" customHeight="1">
      <c r="B17" s="2604" t="s">
        <v>64</v>
      </c>
      <c r="C17" s="2681"/>
      <c r="D17" s="2681"/>
      <c r="E17" s="2681"/>
      <c r="F17" s="2605"/>
      <c r="G17" s="1061"/>
      <c r="H17" s="1061"/>
      <c r="I17" s="1061"/>
      <c r="J17" s="858"/>
      <c r="K17" s="1063"/>
      <c r="L17" s="1063"/>
      <c r="M17" s="814"/>
      <c r="N17" s="814"/>
      <c r="O17" s="1061">
        <f t="shared" ref="O17:T17" si="0">SUM(O12:O16)</f>
        <v>18002.68</v>
      </c>
      <c r="P17" s="1061">
        <f t="shared" si="0"/>
        <v>0</v>
      </c>
      <c r="Q17" s="1061">
        <f t="shared" si="0"/>
        <v>0</v>
      </c>
      <c r="R17" s="1061">
        <f t="shared" si="0"/>
        <v>0</v>
      </c>
      <c r="S17" s="1061">
        <f t="shared" si="0"/>
        <v>0</v>
      </c>
      <c r="T17" s="1061">
        <f t="shared" si="0"/>
        <v>0</v>
      </c>
      <c r="U17" s="979"/>
    </row>
    <row r="18" spans="2:21" hidden="1">
      <c r="B18" s="741" t="s">
        <v>717</v>
      </c>
      <c r="C18" s="800">
        <v>38355</v>
      </c>
      <c r="D18" s="800">
        <v>38383</v>
      </c>
      <c r="E18" s="1061">
        <f>_xlfn.DAYS(D18,C18)+1</f>
        <v>29</v>
      </c>
      <c r="F18" s="1068">
        <v>450000</v>
      </c>
      <c r="G18" s="1355">
        <f>((381500/30)*E18)</f>
        <v>368783.33333333331</v>
      </c>
      <c r="H18" s="1061">
        <f>+G18*12%</f>
        <v>44253.999999999993</v>
      </c>
      <c r="I18" s="1061">
        <f>+G18*15%</f>
        <v>55317.499999999993</v>
      </c>
      <c r="J18" s="1356">
        <f>SUM(H18:I18)</f>
        <v>99571.499999999985</v>
      </c>
      <c r="O18" s="979"/>
      <c r="P18" s="979"/>
      <c r="Q18" s="979"/>
      <c r="R18" s="979"/>
      <c r="S18" s="979"/>
      <c r="T18" s="979"/>
      <c r="U18" s="979"/>
    </row>
    <row r="19" spans="2:21" hidden="1">
      <c r="B19" s="741"/>
      <c r="C19" s="800"/>
      <c r="D19" s="800"/>
      <c r="E19" s="1061"/>
      <c r="F19" s="1068"/>
      <c r="G19" s="1355"/>
      <c r="H19" s="1061"/>
      <c r="I19" s="1061"/>
      <c r="J19" s="1356"/>
      <c r="L19" s="2680" t="s">
        <v>718</v>
      </c>
      <c r="M19" s="2680"/>
      <c r="N19" s="2680"/>
      <c r="O19" s="2680"/>
      <c r="P19" s="2680"/>
      <c r="Q19" s="2680"/>
      <c r="R19" s="2680"/>
      <c r="S19" s="2680"/>
      <c r="T19" s="2680"/>
      <c r="U19" s="979"/>
    </row>
    <row r="20" spans="2:21" hidden="1">
      <c r="B20" s="741"/>
      <c r="C20" s="800">
        <v>38384</v>
      </c>
      <c r="D20" s="800">
        <v>38533</v>
      </c>
      <c r="E20" s="1061">
        <f>_xlfn.DAYS(D20,C20)+1</f>
        <v>150</v>
      </c>
      <c r="F20" s="1068">
        <f>3300000/5</f>
        <v>660000</v>
      </c>
      <c r="G20" s="1355">
        <f>(381500*5)</f>
        <v>1907500</v>
      </c>
      <c r="H20" s="1061">
        <f>+G20*12%</f>
        <v>228900</v>
      </c>
      <c r="I20" s="1061">
        <f>+G20*15%</f>
        <v>286125</v>
      </c>
      <c r="J20" s="1356">
        <f>SUM(H20:I20)</f>
        <v>515025</v>
      </c>
      <c r="K20" s="1063"/>
      <c r="L20" s="1093" t="s">
        <v>494</v>
      </c>
      <c r="M20" s="1093" t="s">
        <v>712</v>
      </c>
      <c r="N20" s="1093" t="s">
        <v>713</v>
      </c>
      <c r="O20" s="1093" t="s">
        <v>78</v>
      </c>
      <c r="P20" s="1093" t="s">
        <v>79</v>
      </c>
      <c r="Q20" s="1093" t="s">
        <v>186</v>
      </c>
      <c r="R20" s="1093" t="s">
        <v>187</v>
      </c>
      <c r="S20" s="1093" t="s">
        <v>82</v>
      </c>
      <c r="T20" s="1093" t="s">
        <v>83</v>
      </c>
    </row>
    <row r="21" spans="2:21" hidden="1">
      <c r="B21" s="741"/>
      <c r="C21" s="800">
        <v>38539</v>
      </c>
      <c r="D21" s="800">
        <v>38630</v>
      </c>
      <c r="E21" s="1061">
        <f>_xlfn.DAYS(D21,C21)+1</f>
        <v>92</v>
      </c>
      <c r="F21" s="1068">
        <f>1980000/3</f>
        <v>660000</v>
      </c>
      <c r="G21" s="1355">
        <f>(381500*3.066)</f>
        <v>1169679</v>
      </c>
      <c r="H21" s="1061">
        <f>+G21*12%</f>
        <v>140361.47999999998</v>
      </c>
      <c r="I21" s="1061">
        <f>+G21*15%</f>
        <v>175451.85</v>
      </c>
      <c r="J21" s="1356">
        <f>SUM(H21:I21)</f>
        <v>315813.32999999996</v>
      </c>
      <c r="K21" s="1063"/>
      <c r="L21" s="1316">
        <v>44199</v>
      </c>
      <c r="M21" s="1316">
        <v>44227</v>
      </c>
      <c r="N21" s="1315">
        <v>450067</v>
      </c>
      <c r="O21" s="1088"/>
      <c r="P21" s="1088"/>
      <c r="Q21" s="1088"/>
      <c r="R21" s="1088"/>
      <c r="S21" s="1088"/>
      <c r="T21" s="1088"/>
    </row>
    <row r="22" spans="2:21" hidden="1">
      <c r="B22" s="741"/>
      <c r="C22" s="800">
        <v>38631</v>
      </c>
      <c r="D22" s="800">
        <v>38723</v>
      </c>
      <c r="E22" s="1360">
        <f>_xlfn.DAYS(D22,C22)+1</f>
        <v>93</v>
      </c>
      <c r="F22" s="1068">
        <f>1980000/3</f>
        <v>660000</v>
      </c>
      <c r="G22" s="1355">
        <f>(381500*3.1)</f>
        <v>1182650</v>
      </c>
      <c r="H22" s="1061">
        <f>+G22*12%</f>
        <v>141918</v>
      </c>
      <c r="I22" s="1061">
        <f>+G22*15%</f>
        <v>177397.5</v>
      </c>
      <c r="J22" s="1356">
        <f>SUM(H22:I22)</f>
        <v>319315.5</v>
      </c>
      <c r="K22" s="1063"/>
      <c r="L22" s="1316">
        <v>38384</v>
      </c>
      <c r="M22" s="1316">
        <v>44255</v>
      </c>
      <c r="N22" s="1315">
        <v>660000</v>
      </c>
      <c r="O22" s="1088"/>
      <c r="P22" s="1088"/>
      <c r="Q22" s="1088"/>
      <c r="R22" s="1088"/>
      <c r="S22" s="1088"/>
      <c r="T22" s="1088"/>
    </row>
    <row r="23" spans="2:21" hidden="1">
      <c r="B23" s="1132"/>
      <c r="C23" s="802"/>
      <c r="D23" s="802" t="s">
        <v>719</v>
      </c>
      <c r="E23" s="1361">
        <f>SUM(E20:E22)+1</f>
        <v>336</v>
      </c>
      <c r="F23" s="1362">
        <f>AVERAGE(F18,F22,F20,F21)</f>
        <v>607500</v>
      </c>
      <c r="G23" s="1355"/>
      <c r="H23" s="1061"/>
      <c r="I23" s="1061"/>
      <c r="J23" s="1356"/>
      <c r="K23" s="1063"/>
      <c r="L23" s="1316">
        <v>44256</v>
      </c>
      <c r="M23" s="1316">
        <v>44286</v>
      </c>
      <c r="N23" s="1315">
        <v>660000</v>
      </c>
      <c r="O23" s="1088"/>
      <c r="P23" s="1088"/>
      <c r="Q23" s="1088"/>
      <c r="R23" s="1088"/>
      <c r="S23" s="1088"/>
      <c r="T23" s="1088"/>
    </row>
    <row r="24" spans="2:21" hidden="1">
      <c r="B24" s="1132"/>
      <c r="C24" s="802"/>
      <c r="D24" s="802"/>
      <c r="E24" s="1361"/>
      <c r="F24" s="1363"/>
      <c r="G24" s="1355"/>
      <c r="H24" s="1061"/>
      <c r="I24" s="1061"/>
      <c r="J24" s="1356"/>
      <c r="K24" s="1063"/>
      <c r="L24" s="1316"/>
      <c r="M24" s="1316"/>
      <c r="N24" s="1315"/>
      <c r="O24" s="1088"/>
      <c r="P24" s="1088"/>
      <c r="Q24" s="1088"/>
      <c r="R24" s="1088"/>
      <c r="S24" s="1088"/>
      <c r="T24" s="1088"/>
    </row>
    <row r="25" spans="2:21" hidden="1">
      <c r="B25" s="2604" t="s">
        <v>715</v>
      </c>
      <c r="C25" s="2681"/>
      <c r="D25" s="2681"/>
      <c r="E25" s="2681"/>
      <c r="F25" s="2605"/>
      <c r="G25" s="858"/>
      <c r="H25" s="1061"/>
      <c r="I25" s="1061"/>
      <c r="J25" s="1356"/>
      <c r="K25" s="1063"/>
      <c r="L25" s="1316">
        <v>50131</v>
      </c>
      <c r="M25" s="1316">
        <v>44314</v>
      </c>
      <c r="N25" s="1315">
        <v>660000</v>
      </c>
      <c r="O25" s="1088"/>
      <c r="P25" s="1088"/>
      <c r="Q25" s="1088"/>
      <c r="R25" s="1088"/>
      <c r="S25" s="1088"/>
      <c r="T25" s="1088"/>
    </row>
    <row r="26" spans="2:21" hidden="1">
      <c r="B26" s="1364"/>
      <c r="C26" s="800">
        <v>38355</v>
      </c>
      <c r="D26" s="800">
        <v>38383</v>
      </c>
      <c r="E26" s="1061">
        <f>_xlfn.DAYS(D26,C26)+1</f>
        <v>29</v>
      </c>
      <c r="F26" s="1068">
        <v>450000</v>
      </c>
      <c r="G26" s="1068">
        <v>450000</v>
      </c>
      <c r="H26" s="1061">
        <f>+G26*12.5%</f>
        <v>56250</v>
      </c>
      <c r="I26" s="1061">
        <f>+G26*15%</f>
        <v>67500</v>
      </c>
      <c r="J26" s="1356">
        <f>SUM(H26:I26)</f>
        <v>123750</v>
      </c>
      <c r="K26" s="1063"/>
      <c r="L26" s="1316">
        <v>56005</v>
      </c>
      <c r="M26" s="1316">
        <v>44347</v>
      </c>
      <c r="N26" s="1315">
        <v>660000</v>
      </c>
      <c r="O26" s="1088"/>
      <c r="P26" s="1088"/>
      <c r="Q26" s="1088"/>
      <c r="R26" s="1088"/>
      <c r="S26" s="1088"/>
      <c r="T26" s="1088"/>
    </row>
    <row r="27" spans="2:21" hidden="1">
      <c r="B27" s="1364"/>
      <c r="C27" s="800">
        <v>38384</v>
      </c>
      <c r="D27" s="800">
        <v>38533</v>
      </c>
      <c r="E27" s="1061">
        <f>_xlfn.DAYS(D27,C27)+1</f>
        <v>150</v>
      </c>
      <c r="F27" s="1068">
        <f>3300000/5</f>
        <v>660000</v>
      </c>
      <c r="G27" s="1068">
        <f>3300000</f>
        <v>3300000</v>
      </c>
      <c r="H27" s="1061">
        <f>+G27*12.5%</f>
        <v>412500</v>
      </c>
      <c r="I27" s="1061">
        <f>+G27*15%</f>
        <v>495000</v>
      </c>
      <c r="J27" s="1356">
        <f>SUM(H27:I27)</f>
        <v>907500</v>
      </c>
      <c r="K27" s="1063"/>
      <c r="L27" s="1316">
        <v>61880</v>
      </c>
      <c r="M27" s="1316">
        <v>44377</v>
      </c>
      <c r="N27" s="1315">
        <v>660000</v>
      </c>
      <c r="O27" s="1061"/>
      <c r="P27" s="1061"/>
      <c r="Q27" s="1061"/>
      <c r="R27" s="1061"/>
      <c r="S27" s="1061"/>
      <c r="T27" s="1061"/>
    </row>
    <row r="28" spans="2:21" hidden="1">
      <c r="B28" s="1364"/>
      <c r="C28" s="800">
        <v>38539</v>
      </c>
      <c r="D28" s="800">
        <v>38630</v>
      </c>
      <c r="E28" s="1061">
        <f>_xlfn.DAYS(D28,C28)+1</f>
        <v>92</v>
      </c>
      <c r="F28" s="1068">
        <f>1980000/3</f>
        <v>660000</v>
      </c>
      <c r="G28" s="1068">
        <v>1980000</v>
      </c>
      <c r="H28" s="1061">
        <f>+G28*12.5%</f>
        <v>247500</v>
      </c>
      <c r="I28" s="1061">
        <f>+G28*15%</f>
        <v>297000</v>
      </c>
      <c r="J28" s="1356">
        <f>SUM(H28:I28)</f>
        <v>544500</v>
      </c>
      <c r="K28" s="1063"/>
      <c r="L28" s="1316">
        <v>67754</v>
      </c>
      <c r="M28" s="1316">
        <v>44408</v>
      </c>
      <c r="N28" s="1315">
        <v>660000</v>
      </c>
      <c r="O28" s="741"/>
      <c r="P28" s="741"/>
      <c r="Q28" s="741"/>
      <c r="R28" s="741"/>
      <c r="S28" s="741"/>
      <c r="T28" s="741"/>
    </row>
    <row r="29" spans="2:21" hidden="1">
      <c r="B29" s="1364"/>
      <c r="C29" s="800">
        <v>38631</v>
      </c>
      <c r="D29" s="800">
        <v>38723</v>
      </c>
      <c r="E29" s="1360">
        <f>_xlfn.DAYS(D29,C29)+1</f>
        <v>93</v>
      </c>
      <c r="F29" s="1068">
        <f>1980000/3</f>
        <v>660000</v>
      </c>
      <c r="G29" s="1068">
        <v>1980000</v>
      </c>
      <c r="H29" s="1061">
        <f>+G29*12.5%</f>
        <v>247500</v>
      </c>
      <c r="I29" s="1061">
        <f>+G29*15%</f>
        <v>297000</v>
      </c>
      <c r="J29" s="1356">
        <f>SUM(H29:I29)</f>
        <v>544500</v>
      </c>
      <c r="K29" s="1063"/>
      <c r="L29" s="1316">
        <v>73628</v>
      </c>
      <c r="M29" s="1316">
        <v>44438</v>
      </c>
      <c r="N29" s="1315">
        <v>660000</v>
      </c>
      <c r="O29" s="741"/>
      <c r="P29" s="741"/>
      <c r="Q29" s="741"/>
      <c r="R29" s="741"/>
      <c r="S29" s="741"/>
      <c r="T29" s="741"/>
    </row>
    <row r="30" spans="2:21" hidden="1">
      <c r="B30" s="1364"/>
      <c r="C30" s="803"/>
      <c r="D30" s="803"/>
      <c r="E30" s="1355"/>
      <c r="F30" s="1365"/>
      <c r="G30" s="2703" t="str">
        <f>+G15</f>
        <v>Diferencia Valor a completar Seg Social</v>
      </c>
      <c r="H30" s="2704"/>
      <c r="I30" s="2705"/>
      <c r="J30" s="1366">
        <f>SUM(J26:J29)- SUM(J18:J22)</f>
        <v>870524.66999999993</v>
      </c>
      <c r="K30" s="1063"/>
      <c r="L30" s="1316">
        <v>79503</v>
      </c>
      <c r="M30" s="1316">
        <v>44469</v>
      </c>
      <c r="N30" s="1315">
        <v>660000</v>
      </c>
      <c r="O30" s="741"/>
      <c r="P30" s="741"/>
      <c r="Q30" s="741"/>
      <c r="R30" s="741"/>
      <c r="S30" s="741"/>
      <c r="T30" s="741"/>
    </row>
    <row r="31" spans="2:21" hidden="1">
      <c r="B31" s="2604" t="s">
        <v>64</v>
      </c>
      <c r="C31" s="2681"/>
      <c r="D31" s="2681"/>
      <c r="E31" s="2681"/>
      <c r="F31" s="2605"/>
      <c r="G31" s="858"/>
      <c r="H31" s="1061"/>
      <c r="I31" s="1061"/>
      <c r="J31" s="1356"/>
      <c r="K31" s="1063"/>
      <c r="L31" s="1316">
        <v>85377</v>
      </c>
      <c r="M31" s="1316">
        <v>44500</v>
      </c>
      <c r="N31" s="1315">
        <v>660000</v>
      </c>
      <c r="O31" s="741"/>
      <c r="P31" s="741"/>
      <c r="Q31" s="741"/>
      <c r="R31" s="741"/>
      <c r="S31" s="741"/>
      <c r="T31" s="741"/>
    </row>
    <row r="32" spans="2:21" hidden="1">
      <c r="B32" s="1367" t="s">
        <v>720</v>
      </c>
      <c r="C32" s="804">
        <v>38728</v>
      </c>
      <c r="D32" s="804">
        <v>38898</v>
      </c>
      <c r="E32" s="1132">
        <f>_xlfn.DAYS(D32,C32)+1</f>
        <v>171</v>
      </c>
      <c r="F32" s="1068">
        <f>3927000/5.7</f>
        <v>688947.36842105258</v>
      </c>
      <c r="G32" s="1359">
        <f>+((408000/30)*E32)</f>
        <v>2325600</v>
      </c>
      <c r="H32" s="1061">
        <f>+G32*12%</f>
        <v>279072</v>
      </c>
      <c r="I32" s="1061">
        <f>+G32*15.51%</f>
        <v>360700.56</v>
      </c>
      <c r="J32" s="1356">
        <f>SUM(H32:I32)</f>
        <v>639772.56000000006</v>
      </c>
      <c r="K32" s="1063"/>
      <c r="L32" s="1316">
        <v>91252</v>
      </c>
      <c r="M32" s="1316">
        <v>44530</v>
      </c>
      <c r="N32" s="1315">
        <v>660000</v>
      </c>
      <c r="O32" s="741"/>
      <c r="P32" s="741"/>
      <c r="Q32" s="741"/>
      <c r="R32" s="741"/>
      <c r="S32" s="741"/>
      <c r="T32" s="741"/>
    </row>
    <row r="33" spans="2:20" hidden="1">
      <c r="B33" s="1368"/>
      <c r="C33" s="800"/>
      <c r="D33" s="800"/>
      <c r="E33" s="1132"/>
      <c r="F33" s="1068"/>
      <c r="G33" s="1359"/>
      <c r="H33" s="1061"/>
      <c r="I33" s="1061"/>
      <c r="J33" s="1356"/>
      <c r="K33" s="1063"/>
      <c r="L33" s="1316">
        <v>97126</v>
      </c>
      <c r="M33" s="1316">
        <v>44561</v>
      </c>
      <c r="N33" s="1315">
        <v>660000</v>
      </c>
      <c r="O33" s="741"/>
      <c r="P33" s="741"/>
      <c r="Q33" s="741"/>
      <c r="R33" s="741"/>
      <c r="S33" s="741"/>
      <c r="T33" s="741"/>
    </row>
    <row r="34" spans="2:20" hidden="1">
      <c r="B34" s="1368"/>
      <c r="C34" s="800">
        <v>38908</v>
      </c>
      <c r="D34" s="800">
        <v>38933</v>
      </c>
      <c r="E34" s="1132">
        <f t="shared" ref="E34:E40" si="1">_xlfn.DAYS(D34,C34)+1</f>
        <v>26</v>
      </c>
      <c r="F34" s="1068">
        <v>600600</v>
      </c>
      <c r="G34" s="1359">
        <f>+((408000/30)*E34)</f>
        <v>353600</v>
      </c>
      <c r="H34" s="1061">
        <f>+G34*12%</f>
        <v>42432</v>
      </c>
      <c r="I34" s="1061">
        <f>+G34*15.51%</f>
        <v>54843.359999999993</v>
      </c>
      <c r="J34" s="1356">
        <f t="shared" ref="J34:J40" si="2">SUM(H34:I34)</f>
        <v>97275.359999999986</v>
      </c>
      <c r="K34" s="1063"/>
      <c r="L34" s="1063"/>
      <c r="N34" s="814"/>
    </row>
    <row r="35" spans="2:20" hidden="1">
      <c r="B35" s="1368"/>
      <c r="C35" s="800"/>
      <c r="D35" s="800"/>
      <c r="E35" s="1132"/>
      <c r="F35" s="1068"/>
      <c r="G35" s="1359"/>
      <c r="H35" s="1061"/>
      <c r="I35" s="1061"/>
      <c r="J35" s="1356"/>
      <c r="K35" s="1063"/>
      <c r="L35" s="1063"/>
      <c r="M35" s="2680" t="s">
        <v>721</v>
      </c>
      <c r="N35" s="2680"/>
      <c r="O35" s="2680"/>
      <c r="P35" s="2680"/>
      <c r="Q35" s="2680"/>
      <c r="R35" s="2680"/>
      <c r="S35" s="2680"/>
      <c r="T35" s="2680"/>
    </row>
    <row r="36" spans="2:20" hidden="1">
      <c r="B36" s="1369"/>
      <c r="C36" s="800">
        <v>38934</v>
      </c>
      <c r="D36" s="800">
        <v>38964</v>
      </c>
      <c r="E36" s="1132">
        <f t="shared" si="1"/>
        <v>31</v>
      </c>
      <c r="F36" s="1068">
        <v>693000</v>
      </c>
      <c r="G36" s="1359">
        <f>+((408000/30)*E36)</f>
        <v>421600</v>
      </c>
      <c r="H36" s="1061">
        <f>+G36*12%</f>
        <v>50592</v>
      </c>
      <c r="I36" s="1061">
        <f>+G36*15.51%</f>
        <v>65390.159999999996</v>
      </c>
      <c r="J36" s="1356">
        <f t="shared" si="2"/>
        <v>115982.16</v>
      </c>
      <c r="K36" s="1063"/>
      <c r="L36" s="1093" t="s">
        <v>494</v>
      </c>
      <c r="M36" s="1093" t="s">
        <v>712</v>
      </c>
      <c r="N36" s="1093" t="s">
        <v>713</v>
      </c>
      <c r="O36" s="1093" t="s">
        <v>78</v>
      </c>
      <c r="P36" s="1093" t="s">
        <v>79</v>
      </c>
      <c r="Q36" s="1093" t="s">
        <v>186</v>
      </c>
      <c r="R36" s="1093" t="s">
        <v>187</v>
      </c>
      <c r="S36" s="1093" t="s">
        <v>82</v>
      </c>
      <c r="T36" s="1093" t="s">
        <v>83</v>
      </c>
    </row>
    <row r="37" spans="2:20" hidden="1">
      <c r="C37" s="800">
        <v>38965</v>
      </c>
      <c r="D37" s="800">
        <v>38994</v>
      </c>
      <c r="E37" s="1132">
        <f t="shared" si="1"/>
        <v>30</v>
      </c>
      <c r="F37" s="1068">
        <v>693000</v>
      </c>
      <c r="G37" s="1359">
        <f>+((408000/30)*E37)</f>
        <v>408000</v>
      </c>
      <c r="H37" s="1061">
        <f>+G37*12%</f>
        <v>48960</v>
      </c>
      <c r="I37" s="1061">
        <f>+G37*15.51%</f>
        <v>63280.799999999996</v>
      </c>
      <c r="J37" s="1356">
        <f t="shared" si="2"/>
        <v>112240.79999999999</v>
      </c>
      <c r="K37" s="1370"/>
      <c r="L37" s="1316">
        <v>44207</v>
      </c>
      <c r="M37" s="1316">
        <v>44227</v>
      </c>
      <c r="N37" s="1315">
        <f t="shared" ref="N37:N42" si="3">3927000/5.7</f>
        <v>688947.36842105258</v>
      </c>
      <c r="O37" s="1088"/>
      <c r="P37" s="1088"/>
      <c r="Q37" s="1088"/>
      <c r="R37" s="1088"/>
      <c r="S37" s="1088"/>
      <c r="T37" s="1088"/>
    </row>
    <row r="38" spans="2:20" hidden="1">
      <c r="C38" s="800">
        <v>38995</v>
      </c>
      <c r="D38" s="800">
        <v>39025</v>
      </c>
      <c r="E38" s="1132">
        <f t="shared" si="1"/>
        <v>31</v>
      </c>
      <c r="F38" s="1068">
        <v>693000</v>
      </c>
      <c r="G38" s="1359">
        <f>+((408000/30)*E38)</f>
        <v>421600</v>
      </c>
      <c r="H38" s="1061">
        <f>+G38*12%</f>
        <v>50592</v>
      </c>
      <c r="I38" s="1061">
        <f>+G38*15.51%</f>
        <v>65390.159999999996</v>
      </c>
      <c r="J38" s="1356">
        <f t="shared" si="2"/>
        <v>115982.16</v>
      </c>
      <c r="K38" s="1370"/>
      <c r="L38" s="1316">
        <v>38384</v>
      </c>
      <c r="M38" s="1316">
        <v>44255</v>
      </c>
      <c r="N38" s="1315">
        <f t="shared" si="3"/>
        <v>688947.36842105258</v>
      </c>
      <c r="O38" s="1088"/>
      <c r="P38" s="1088"/>
      <c r="Q38" s="1088"/>
      <c r="R38" s="1088"/>
      <c r="S38" s="1088"/>
      <c r="T38" s="1088"/>
    </row>
    <row r="39" spans="2:20" hidden="1">
      <c r="C39" s="800">
        <v>39026</v>
      </c>
      <c r="D39" s="800">
        <v>39055</v>
      </c>
      <c r="E39" s="1132">
        <f t="shared" si="1"/>
        <v>30</v>
      </c>
      <c r="F39" s="1068">
        <v>693000</v>
      </c>
      <c r="G39" s="1359">
        <f>+((408000/30)*E39)</f>
        <v>408000</v>
      </c>
      <c r="H39" s="1061">
        <f>+G39*12%</f>
        <v>48960</v>
      </c>
      <c r="I39" s="1061">
        <f>+G39*15.51%</f>
        <v>63280.799999999996</v>
      </c>
      <c r="J39" s="1356">
        <f t="shared" si="2"/>
        <v>112240.79999999999</v>
      </c>
      <c r="K39" s="1370"/>
      <c r="L39" s="1316">
        <v>44256</v>
      </c>
      <c r="M39" s="1316">
        <v>44286</v>
      </c>
      <c r="N39" s="1315">
        <f t="shared" si="3"/>
        <v>688947.36842105258</v>
      </c>
      <c r="O39" s="1088"/>
      <c r="P39" s="1088"/>
      <c r="Q39" s="1088"/>
      <c r="R39" s="1088"/>
      <c r="S39" s="1088"/>
      <c r="T39" s="1088"/>
    </row>
    <row r="40" spans="2:20" hidden="1">
      <c r="C40" s="800">
        <v>39056</v>
      </c>
      <c r="D40" s="800">
        <v>39082</v>
      </c>
      <c r="E40" s="1132">
        <f t="shared" si="1"/>
        <v>27</v>
      </c>
      <c r="F40" s="1068">
        <v>693000</v>
      </c>
      <c r="G40" s="1359">
        <f>+((408000/30)*E40)</f>
        <v>367200</v>
      </c>
      <c r="H40" s="1061">
        <f>+G40*12%</f>
        <v>44064</v>
      </c>
      <c r="I40" s="1061">
        <f>+G40*15.51%</f>
        <v>56952.719999999994</v>
      </c>
      <c r="J40" s="1356">
        <f t="shared" si="2"/>
        <v>101016.72</v>
      </c>
      <c r="K40" s="1370"/>
      <c r="L40" s="1316">
        <v>50131</v>
      </c>
      <c r="M40" s="1316">
        <v>44314</v>
      </c>
      <c r="N40" s="1315">
        <f t="shared" si="3"/>
        <v>688947.36842105258</v>
      </c>
      <c r="O40" s="1088"/>
      <c r="P40" s="1088"/>
      <c r="Q40" s="1088"/>
      <c r="R40" s="1088"/>
      <c r="S40" s="1088"/>
      <c r="T40" s="1088"/>
    </row>
    <row r="41" spans="2:20" hidden="1">
      <c r="C41" s="803"/>
      <c r="D41" s="802" t="s">
        <v>719</v>
      </c>
      <c r="E41" s="1361">
        <f>SUM(E36:E40)+1</f>
        <v>150</v>
      </c>
      <c r="F41" s="1362">
        <f>AVERAGE(F36,F40,F38,F39,F37,F34,F32)</f>
        <v>679221.05263157899</v>
      </c>
      <c r="G41" s="1355"/>
      <c r="H41" s="1061"/>
      <c r="I41" s="1061"/>
      <c r="J41" s="1356"/>
      <c r="K41" s="1370"/>
      <c r="L41" s="1316">
        <v>56005</v>
      </c>
      <c r="M41" s="1316">
        <v>44347</v>
      </c>
      <c r="N41" s="1315">
        <f t="shared" si="3"/>
        <v>688947.36842105258</v>
      </c>
      <c r="O41" s="1088"/>
      <c r="P41" s="1088"/>
      <c r="Q41" s="1088"/>
      <c r="R41" s="1088"/>
      <c r="S41" s="1088"/>
      <c r="T41" s="1088"/>
    </row>
    <row r="42" spans="2:20" hidden="1">
      <c r="B42" s="1364" t="s">
        <v>715</v>
      </c>
      <c r="C42" s="2681"/>
      <c r="D42" s="2681"/>
      <c r="E42" s="2681"/>
      <c r="F42" s="1371"/>
      <c r="G42" s="1068"/>
      <c r="H42" s="1061"/>
      <c r="I42" s="1061"/>
      <c r="J42" s="1061"/>
      <c r="K42" s="1370"/>
      <c r="L42" s="1316">
        <v>61880</v>
      </c>
      <c r="M42" s="1316">
        <v>44377</v>
      </c>
      <c r="N42" s="1315">
        <f t="shared" si="3"/>
        <v>688947.36842105258</v>
      </c>
      <c r="O42" s="1061"/>
      <c r="P42" s="1061"/>
      <c r="Q42" s="1061"/>
      <c r="R42" s="1061"/>
      <c r="S42" s="1061"/>
      <c r="T42" s="1061"/>
    </row>
    <row r="43" spans="2:20" hidden="1">
      <c r="C43" s="800">
        <v>38728</v>
      </c>
      <c r="D43" s="800">
        <v>38898</v>
      </c>
      <c r="E43" s="741">
        <f t="shared" ref="E43:E49" si="4">_xlfn.DAYS(D43,C43)+1</f>
        <v>171</v>
      </c>
      <c r="F43" s="1068">
        <f>3927000/5.7</f>
        <v>688947.36842105258</v>
      </c>
      <c r="G43" s="1355">
        <v>3927000</v>
      </c>
      <c r="H43" s="1061">
        <f>+G43*12%</f>
        <v>471240</v>
      </c>
      <c r="I43" s="1061">
        <f>+G43*15.51%</f>
        <v>609077.69999999995</v>
      </c>
      <c r="J43" s="1356">
        <f t="shared" ref="J43:J49" si="5">SUM(H43:I43)</f>
        <v>1080317.7</v>
      </c>
      <c r="K43" s="1370"/>
      <c r="L43" s="1316">
        <v>67763</v>
      </c>
      <c r="M43" s="1316">
        <v>44408</v>
      </c>
      <c r="N43" s="1315">
        <v>600600</v>
      </c>
      <c r="O43" s="741"/>
      <c r="P43" s="741"/>
      <c r="Q43" s="741"/>
      <c r="R43" s="741"/>
      <c r="S43" s="741"/>
      <c r="T43" s="741"/>
    </row>
    <row r="44" spans="2:20" hidden="1">
      <c r="C44" s="800">
        <v>38908</v>
      </c>
      <c r="D44" s="800">
        <v>38933</v>
      </c>
      <c r="E44" s="741">
        <f t="shared" si="4"/>
        <v>26</v>
      </c>
      <c r="F44" s="1068">
        <v>600600</v>
      </c>
      <c r="G44" s="1355">
        <f t="shared" ref="G44:G49" si="6">+F44</f>
        <v>600600</v>
      </c>
      <c r="H44" s="1061">
        <f t="shared" ref="H44:H49" si="7">+G44*12%</f>
        <v>72072</v>
      </c>
      <c r="I44" s="1061">
        <f t="shared" ref="I44:I49" si="8">+G44*15.51%</f>
        <v>93153.06</v>
      </c>
      <c r="J44" s="1356">
        <f t="shared" si="5"/>
        <v>165225.06</v>
      </c>
      <c r="K44" s="1370"/>
      <c r="L44" s="1316">
        <v>73628</v>
      </c>
      <c r="M44" s="1316">
        <v>44439</v>
      </c>
      <c r="N44" s="1315">
        <v>600600</v>
      </c>
      <c r="O44" s="741"/>
      <c r="P44" s="741"/>
      <c r="Q44" s="741"/>
      <c r="R44" s="741"/>
      <c r="S44" s="741"/>
      <c r="T44" s="741"/>
    </row>
    <row r="45" spans="2:20" hidden="1">
      <c r="C45" s="800">
        <v>38934</v>
      </c>
      <c r="D45" s="800">
        <v>38964</v>
      </c>
      <c r="E45" s="741">
        <f t="shared" si="4"/>
        <v>31</v>
      </c>
      <c r="F45" s="1068">
        <v>693000</v>
      </c>
      <c r="G45" s="1355">
        <f t="shared" si="6"/>
        <v>693000</v>
      </c>
      <c r="H45" s="1061">
        <f t="shared" si="7"/>
        <v>83160</v>
      </c>
      <c r="I45" s="1061">
        <f t="shared" si="8"/>
        <v>107484.29999999999</v>
      </c>
      <c r="J45" s="1356">
        <f t="shared" si="5"/>
        <v>190644.3</v>
      </c>
      <c r="K45" s="1370"/>
      <c r="L45" s="1316">
        <v>79506</v>
      </c>
      <c r="M45" s="1316">
        <v>44469</v>
      </c>
      <c r="N45" s="1315">
        <v>693000</v>
      </c>
      <c r="O45" s="741"/>
      <c r="P45" s="741"/>
      <c r="Q45" s="741"/>
      <c r="R45" s="741"/>
      <c r="S45" s="741"/>
      <c r="T45" s="741"/>
    </row>
    <row r="46" spans="2:20" hidden="1">
      <c r="C46" s="800">
        <v>38965</v>
      </c>
      <c r="D46" s="800">
        <v>38994</v>
      </c>
      <c r="E46" s="741">
        <f t="shared" si="4"/>
        <v>30</v>
      </c>
      <c r="F46" s="1068">
        <v>693000</v>
      </c>
      <c r="G46" s="1355">
        <f t="shared" si="6"/>
        <v>693000</v>
      </c>
      <c r="H46" s="1061">
        <f t="shared" si="7"/>
        <v>83160</v>
      </c>
      <c r="I46" s="1061">
        <f t="shared" si="8"/>
        <v>107484.29999999999</v>
      </c>
      <c r="J46" s="1356">
        <f t="shared" si="5"/>
        <v>190644.3</v>
      </c>
      <c r="K46" s="1370"/>
      <c r="L46" s="1316">
        <v>85381</v>
      </c>
      <c r="M46" s="1316">
        <v>44500</v>
      </c>
      <c r="N46" s="1315">
        <v>693000</v>
      </c>
      <c r="O46" s="741"/>
      <c r="P46" s="741"/>
      <c r="Q46" s="741"/>
      <c r="R46" s="741"/>
      <c r="S46" s="741"/>
      <c r="T46" s="741"/>
    </row>
    <row r="47" spans="2:20" hidden="1">
      <c r="C47" s="800">
        <v>38995</v>
      </c>
      <c r="D47" s="800">
        <v>39025</v>
      </c>
      <c r="E47" s="741">
        <f t="shared" si="4"/>
        <v>31</v>
      </c>
      <c r="F47" s="1068">
        <v>693000</v>
      </c>
      <c r="G47" s="1355">
        <f t="shared" si="6"/>
        <v>693000</v>
      </c>
      <c r="H47" s="1061">
        <f t="shared" si="7"/>
        <v>83160</v>
      </c>
      <c r="I47" s="1061">
        <f t="shared" si="8"/>
        <v>107484.29999999999</v>
      </c>
      <c r="J47" s="1356">
        <f t="shared" si="5"/>
        <v>190644.3</v>
      </c>
      <c r="K47" s="1370"/>
      <c r="L47" s="1316">
        <v>91252</v>
      </c>
      <c r="M47" s="1316">
        <v>44530</v>
      </c>
      <c r="N47" s="1315">
        <v>693000</v>
      </c>
      <c r="O47" s="741"/>
      <c r="P47" s="741"/>
      <c r="Q47" s="741"/>
      <c r="R47" s="741"/>
      <c r="S47" s="741"/>
      <c r="T47" s="741"/>
    </row>
    <row r="48" spans="2:20" hidden="1">
      <c r="C48" s="800">
        <v>39026</v>
      </c>
      <c r="D48" s="800">
        <v>39055</v>
      </c>
      <c r="E48" s="741">
        <f t="shared" si="4"/>
        <v>30</v>
      </c>
      <c r="F48" s="1068">
        <v>693000</v>
      </c>
      <c r="G48" s="1061">
        <f t="shared" si="6"/>
        <v>693000</v>
      </c>
      <c r="H48" s="1061">
        <f t="shared" si="7"/>
        <v>83160</v>
      </c>
      <c r="I48" s="1061">
        <f t="shared" si="8"/>
        <v>107484.29999999999</v>
      </c>
      <c r="J48" s="1356">
        <f t="shared" si="5"/>
        <v>190644.3</v>
      </c>
      <c r="K48" s="1370"/>
      <c r="L48" s="1316">
        <v>97126</v>
      </c>
      <c r="M48" s="1316">
        <v>44561</v>
      </c>
      <c r="N48" s="1315">
        <v>693000</v>
      </c>
      <c r="O48" s="741"/>
      <c r="P48" s="741"/>
      <c r="Q48" s="741"/>
      <c r="R48" s="741"/>
      <c r="S48" s="741"/>
      <c r="T48" s="741"/>
    </row>
    <row r="49" spans="2:20" hidden="1">
      <c r="C49" s="800">
        <v>39056</v>
      </c>
      <c r="D49" s="800">
        <v>39082</v>
      </c>
      <c r="E49" s="741">
        <f t="shared" si="4"/>
        <v>27</v>
      </c>
      <c r="F49" s="1068">
        <v>693000</v>
      </c>
      <c r="G49" s="1061">
        <f t="shared" si="6"/>
        <v>693000</v>
      </c>
      <c r="H49" s="1061">
        <f t="shared" si="7"/>
        <v>83160</v>
      </c>
      <c r="I49" s="1061">
        <f t="shared" si="8"/>
        <v>107484.29999999999</v>
      </c>
      <c r="J49" s="1356">
        <f t="shared" si="5"/>
        <v>190644.3</v>
      </c>
      <c r="K49" s="1372"/>
      <c r="L49" s="1372"/>
      <c r="M49" s="814"/>
      <c r="N49" s="814"/>
    </row>
    <row r="50" spans="2:20" hidden="1">
      <c r="C50" s="802"/>
      <c r="D50" s="802"/>
      <c r="E50" s="1373"/>
      <c r="F50" s="2682" t="str">
        <f>+G30</f>
        <v>Diferencia Valor a completar Seg Social</v>
      </c>
      <c r="G50" s="2682"/>
      <c r="H50" s="2682"/>
      <c r="I50" s="2682"/>
      <c r="J50" s="1366">
        <f>SUM(J43:J49)- SUM(J32:J40)</f>
        <v>904253.70000000019</v>
      </c>
      <c r="K50" s="1370"/>
      <c r="L50" s="1370"/>
      <c r="M50" s="814"/>
      <c r="N50" s="814"/>
    </row>
    <row r="51" spans="2:20" hidden="1">
      <c r="C51" s="1374"/>
      <c r="D51" s="1374"/>
      <c r="E51" s="1374"/>
      <c r="F51" s="1375"/>
      <c r="G51" s="1374"/>
      <c r="H51" s="1374"/>
      <c r="I51" s="1374"/>
      <c r="J51" s="1376"/>
      <c r="K51" s="1370"/>
      <c r="L51" s="1370"/>
      <c r="M51" s="814"/>
      <c r="N51" s="814"/>
    </row>
    <row r="52" spans="2:20" hidden="1">
      <c r="C52" s="802"/>
      <c r="D52" s="802"/>
      <c r="E52" s="1373"/>
      <c r="F52" s="1377"/>
      <c r="G52" s="1374"/>
      <c r="H52" s="1374"/>
      <c r="I52" s="1374"/>
      <c r="J52" s="1376"/>
      <c r="K52" s="1370"/>
      <c r="L52" s="1378"/>
      <c r="M52" s="2680" t="s">
        <v>722</v>
      </c>
      <c r="N52" s="2680"/>
      <c r="O52" s="2680"/>
      <c r="P52" s="2680"/>
      <c r="Q52" s="2680"/>
      <c r="R52" s="2680"/>
      <c r="S52" s="2680"/>
      <c r="T52" s="2680"/>
    </row>
    <row r="53" spans="2:20" hidden="1">
      <c r="B53" s="2604" t="s">
        <v>64</v>
      </c>
      <c r="C53" s="2681"/>
      <c r="D53" s="2681"/>
      <c r="E53" s="2681"/>
      <c r="F53" s="2605"/>
      <c r="L53" s="1093" t="s">
        <v>494</v>
      </c>
      <c r="M53" s="1093" t="s">
        <v>712</v>
      </c>
      <c r="N53" s="1093" t="s">
        <v>713</v>
      </c>
      <c r="O53" s="1093" t="s">
        <v>78</v>
      </c>
      <c r="P53" s="1093" t="s">
        <v>79</v>
      </c>
      <c r="Q53" s="1093" t="s">
        <v>186</v>
      </c>
      <c r="R53" s="1093" t="s">
        <v>187</v>
      </c>
      <c r="S53" s="1093" t="s">
        <v>82</v>
      </c>
      <c r="T53" s="1093" t="s">
        <v>83</v>
      </c>
    </row>
    <row r="54" spans="2:20" hidden="1">
      <c r="B54" s="1379" t="s">
        <v>723</v>
      </c>
      <c r="C54" s="800">
        <v>39098</v>
      </c>
      <c r="D54" s="800">
        <v>39128</v>
      </c>
      <c r="E54" s="741">
        <f>_xlfn.DAYS(D54,C54)+1</f>
        <v>31</v>
      </c>
      <c r="F54" s="1068">
        <v>693000</v>
      </c>
      <c r="G54" s="1061">
        <f>+((433700/30)*E54)</f>
        <v>448156.66666666663</v>
      </c>
      <c r="H54" s="1061">
        <f>+G54*12.5%</f>
        <v>56019.583333333328</v>
      </c>
      <c r="I54" s="1061">
        <f>+G54*15.51%</f>
        <v>69509.098999999987</v>
      </c>
      <c r="J54" s="1356">
        <f>SUM(H54:I54)</f>
        <v>125528.68233333332</v>
      </c>
      <c r="K54" s="1370"/>
      <c r="L54" s="1316">
        <v>44212</v>
      </c>
      <c r="M54" s="1316">
        <v>44227</v>
      </c>
      <c r="N54" s="1315">
        <v>693000</v>
      </c>
      <c r="O54" s="1088"/>
      <c r="P54" s="1088"/>
      <c r="Q54" s="1088"/>
      <c r="R54" s="1088"/>
      <c r="S54" s="1088"/>
      <c r="T54" s="1088"/>
    </row>
    <row r="55" spans="2:20" hidden="1">
      <c r="B55" s="741"/>
      <c r="C55" s="800">
        <v>39129</v>
      </c>
      <c r="D55" s="800">
        <v>39156</v>
      </c>
      <c r="E55" s="741">
        <f>_xlfn.DAYS(D55,C55)+1</f>
        <v>28</v>
      </c>
      <c r="F55" s="1068">
        <v>693000</v>
      </c>
      <c r="G55" s="1355">
        <f>+((433700/30)*E55)</f>
        <v>404786.66666666663</v>
      </c>
      <c r="H55" s="1061">
        <f t="shared" ref="H55:H68" si="9">+G55*12.5%</f>
        <v>50598.333333333328</v>
      </c>
      <c r="I55" s="1061">
        <f t="shared" ref="I55:I68" si="10">+G55*15.51%</f>
        <v>62782.411999999989</v>
      </c>
      <c r="J55" s="1356">
        <f t="shared" ref="J55:J68" si="11">SUM(H55:I55)</f>
        <v>113380.74533333333</v>
      </c>
      <c r="K55" s="1370"/>
      <c r="L55" s="1316">
        <v>38384</v>
      </c>
      <c r="M55" s="1316">
        <v>44255</v>
      </c>
      <c r="N55" s="1315">
        <v>693000</v>
      </c>
      <c r="O55" s="1088"/>
      <c r="P55" s="1088"/>
      <c r="Q55" s="1088"/>
      <c r="R55" s="1088"/>
      <c r="S55" s="1088"/>
      <c r="T55" s="1088"/>
    </row>
    <row r="56" spans="2:20" hidden="1">
      <c r="B56" s="741"/>
      <c r="C56" s="800">
        <v>39157</v>
      </c>
      <c r="D56" s="800">
        <v>39187</v>
      </c>
      <c r="E56" s="741">
        <f>_xlfn.DAYS(D56,C56)+1</f>
        <v>31</v>
      </c>
      <c r="F56" s="1068">
        <v>693000</v>
      </c>
      <c r="G56" s="1355">
        <f>+((433700/30)*E56)</f>
        <v>448156.66666666663</v>
      </c>
      <c r="H56" s="1061">
        <f t="shared" si="9"/>
        <v>56019.583333333328</v>
      </c>
      <c r="I56" s="1061">
        <f t="shared" si="10"/>
        <v>69509.098999999987</v>
      </c>
      <c r="J56" s="1356">
        <f t="shared" si="11"/>
        <v>125528.68233333332</v>
      </c>
      <c r="K56" s="1370"/>
      <c r="L56" s="1316">
        <v>44256</v>
      </c>
      <c r="M56" s="1316">
        <v>44286</v>
      </c>
      <c r="N56" s="1315">
        <v>693000</v>
      </c>
      <c r="O56" s="1088"/>
      <c r="P56" s="1088"/>
      <c r="Q56" s="1088"/>
      <c r="R56" s="1088"/>
      <c r="S56" s="1088"/>
      <c r="T56" s="1088"/>
    </row>
    <row r="57" spans="2:20" ht="13.5" hidden="1" thickBot="1">
      <c r="B57" s="741"/>
      <c r="C57" s="800"/>
      <c r="D57" s="805" t="s">
        <v>719</v>
      </c>
      <c r="E57" s="1380">
        <f>SUM(E54:E56)+1</f>
        <v>91</v>
      </c>
      <c r="F57" s="1068"/>
      <c r="G57" s="1355"/>
      <c r="H57" s="1061"/>
      <c r="I57" s="1061"/>
      <c r="J57" s="1356"/>
      <c r="K57" s="1370"/>
      <c r="L57" s="1316">
        <v>50131</v>
      </c>
      <c r="M57" s="1316">
        <v>44301</v>
      </c>
      <c r="N57" s="1315">
        <v>693000</v>
      </c>
      <c r="O57" s="1088"/>
      <c r="P57" s="1088"/>
      <c r="Q57" s="1088"/>
      <c r="R57" s="1088"/>
      <c r="S57" s="1088"/>
      <c r="T57" s="1088"/>
    </row>
    <row r="58" spans="2:20" ht="13.5" hidden="1" thickTop="1">
      <c r="B58" s="741"/>
      <c r="C58" s="800">
        <v>39189</v>
      </c>
      <c r="D58" s="804">
        <v>39218</v>
      </c>
      <c r="E58" s="1043">
        <f>_xlfn.DAYS(D58,C58)+1</f>
        <v>30</v>
      </c>
      <c r="F58" s="1068">
        <v>700000</v>
      </c>
      <c r="G58" s="1355">
        <f>+((433700/30)*E58)</f>
        <v>433700</v>
      </c>
      <c r="H58" s="1061">
        <f t="shared" si="9"/>
        <v>54212.5</v>
      </c>
      <c r="I58" s="1061">
        <f t="shared" si="10"/>
        <v>67266.87</v>
      </c>
      <c r="J58" s="1356">
        <f t="shared" si="11"/>
        <v>121479.37</v>
      </c>
      <c r="K58" s="1370"/>
      <c r="L58" s="1316">
        <v>39189</v>
      </c>
      <c r="M58" s="1316">
        <v>39202</v>
      </c>
      <c r="N58" s="1315">
        <v>700000</v>
      </c>
      <c r="O58" s="1088"/>
      <c r="P58" s="1088"/>
      <c r="Q58" s="1088"/>
      <c r="R58" s="1088"/>
      <c r="S58" s="1088"/>
      <c r="T58" s="1088"/>
    </row>
    <row r="59" spans="2:20" hidden="1">
      <c r="B59" s="741"/>
      <c r="C59" s="800">
        <v>39219</v>
      </c>
      <c r="D59" s="800">
        <v>39249</v>
      </c>
      <c r="E59" s="741">
        <f>_xlfn.DAYS(D59,C59)+1</f>
        <v>31</v>
      </c>
      <c r="F59" s="1068">
        <v>700000</v>
      </c>
      <c r="G59" s="1355">
        <f>+((433700/30)*E59)</f>
        <v>448156.66666666663</v>
      </c>
      <c r="H59" s="1061">
        <f t="shared" si="9"/>
        <v>56019.583333333328</v>
      </c>
      <c r="I59" s="1061">
        <f t="shared" si="10"/>
        <v>69509.098999999987</v>
      </c>
      <c r="J59" s="1356">
        <f t="shared" si="11"/>
        <v>125528.68233333332</v>
      </c>
      <c r="K59" s="1370"/>
      <c r="L59" s="1316">
        <v>56005</v>
      </c>
      <c r="M59" s="1316">
        <v>44347</v>
      </c>
      <c r="N59" s="1315">
        <v>700000</v>
      </c>
      <c r="O59" s="1061"/>
      <c r="P59" s="1061"/>
      <c r="Q59" s="1061"/>
      <c r="R59" s="1061"/>
      <c r="S59" s="1061"/>
      <c r="T59" s="1061"/>
    </row>
    <row r="60" spans="2:20" hidden="1">
      <c r="B60" s="741"/>
      <c r="C60" s="800">
        <v>39252</v>
      </c>
      <c r="D60" s="800">
        <v>39281</v>
      </c>
      <c r="E60" s="741">
        <f>_xlfn.DAYS(D60,C60)+1</f>
        <v>30</v>
      </c>
      <c r="F60" s="1068">
        <v>700000</v>
      </c>
      <c r="G60" s="1355">
        <f>+((433700/30)*E60)</f>
        <v>433700</v>
      </c>
      <c r="H60" s="1061">
        <f t="shared" si="9"/>
        <v>54212.5</v>
      </c>
      <c r="I60" s="1061">
        <f t="shared" si="10"/>
        <v>67266.87</v>
      </c>
      <c r="J60" s="1356">
        <f t="shared" si="11"/>
        <v>121479.37</v>
      </c>
      <c r="K60" s="1370"/>
      <c r="L60" s="1316">
        <v>61880</v>
      </c>
      <c r="M60" s="1316">
        <v>44377</v>
      </c>
      <c r="N60" s="1315">
        <v>700000</v>
      </c>
      <c r="O60" s="741"/>
      <c r="P60" s="741"/>
      <c r="Q60" s="741"/>
      <c r="R60" s="741"/>
      <c r="S60" s="741"/>
      <c r="T60" s="741"/>
    </row>
    <row r="61" spans="2:20" ht="13.5" hidden="1" thickBot="1">
      <c r="B61" s="741"/>
      <c r="C61" s="800"/>
      <c r="D61" s="805" t="s">
        <v>719</v>
      </c>
      <c r="E61" s="1380">
        <f>SUM(E58:E60)+1</f>
        <v>92</v>
      </c>
      <c r="F61" s="1068"/>
      <c r="G61" s="1355"/>
      <c r="H61" s="1061"/>
      <c r="I61" s="1061"/>
      <c r="J61" s="1356"/>
      <c r="K61" s="1370"/>
      <c r="L61" s="1316">
        <v>67763</v>
      </c>
      <c r="M61" s="1316">
        <v>44408</v>
      </c>
      <c r="N61" s="1315">
        <v>700000</v>
      </c>
      <c r="O61" s="741"/>
      <c r="P61" s="741"/>
      <c r="Q61" s="741"/>
      <c r="R61" s="741"/>
      <c r="S61" s="741"/>
      <c r="T61" s="741"/>
    </row>
    <row r="62" spans="2:20" ht="12" hidden="1" customHeight="1" thickTop="1">
      <c r="B62" s="741"/>
      <c r="C62" s="800">
        <v>39282</v>
      </c>
      <c r="D62" s="804">
        <v>39297</v>
      </c>
      <c r="E62" s="1043">
        <f>_xlfn.DAYS(D62,C62)+1</f>
        <v>16</v>
      </c>
      <c r="F62" s="1068">
        <v>350000</v>
      </c>
      <c r="G62" s="1355">
        <f>+((F62/30)*E62)</f>
        <v>186666.66666666666</v>
      </c>
      <c r="H62" s="1061">
        <f t="shared" si="9"/>
        <v>23333.333333333332</v>
      </c>
      <c r="I62" s="1061">
        <f t="shared" si="10"/>
        <v>28951.999999999996</v>
      </c>
      <c r="J62" s="1356">
        <f t="shared" si="11"/>
        <v>52285.333333333328</v>
      </c>
      <c r="K62" s="1370"/>
      <c r="L62" s="1316">
        <v>73628</v>
      </c>
      <c r="M62" s="1316">
        <v>44439</v>
      </c>
      <c r="N62" s="1315">
        <v>700000</v>
      </c>
      <c r="O62" s="741"/>
      <c r="P62" s="741"/>
      <c r="Q62" s="741"/>
      <c r="R62" s="741"/>
      <c r="S62" s="741"/>
      <c r="T62" s="741"/>
    </row>
    <row r="63" spans="2:20" ht="12" hidden="1" customHeight="1">
      <c r="B63" s="741"/>
      <c r="C63" s="800"/>
      <c r="D63" s="800"/>
      <c r="E63" s="741"/>
      <c r="F63" s="1068"/>
      <c r="G63" s="1355"/>
      <c r="H63" s="1061"/>
      <c r="I63" s="1061"/>
      <c r="J63" s="1356"/>
      <c r="K63" s="1370"/>
      <c r="L63" s="1316">
        <v>79506</v>
      </c>
      <c r="M63" s="1316">
        <v>44469</v>
      </c>
      <c r="N63" s="1315">
        <v>700000</v>
      </c>
      <c r="O63" s="741"/>
      <c r="P63" s="741"/>
      <c r="Q63" s="741"/>
      <c r="R63" s="741"/>
      <c r="S63" s="741"/>
      <c r="T63" s="741"/>
    </row>
    <row r="64" spans="2:20" hidden="1">
      <c r="B64" s="741"/>
      <c r="C64" s="800">
        <v>39298</v>
      </c>
      <c r="D64" s="800">
        <v>39328</v>
      </c>
      <c r="E64" s="741">
        <f>_xlfn.DAYS(D64,C64)+1</f>
        <v>31</v>
      </c>
      <c r="F64" s="1068">
        <v>700000</v>
      </c>
      <c r="G64" s="1355">
        <f>+((433700/30)*E64)</f>
        <v>448156.66666666663</v>
      </c>
      <c r="H64" s="1061">
        <f t="shared" si="9"/>
        <v>56019.583333333328</v>
      </c>
      <c r="I64" s="1061">
        <f t="shared" si="10"/>
        <v>69509.098999999987</v>
      </c>
      <c r="J64" s="1356">
        <f t="shared" si="11"/>
        <v>125528.68233333332</v>
      </c>
      <c r="K64" s="1370"/>
      <c r="L64" s="1316">
        <v>85381</v>
      </c>
      <c r="M64" s="1316">
        <v>44500</v>
      </c>
      <c r="N64" s="1315">
        <v>700000</v>
      </c>
      <c r="O64" s="741"/>
      <c r="P64" s="741"/>
      <c r="Q64" s="741"/>
      <c r="R64" s="741"/>
      <c r="S64" s="741"/>
      <c r="T64" s="741"/>
    </row>
    <row r="65" spans="2:20" hidden="1">
      <c r="B65" s="741"/>
      <c r="C65" s="800">
        <v>39329</v>
      </c>
      <c r="D65" s="800">
        <v>39358</v>
      </c>
      <c r="E65" s="741">
        <f>_xlfn.DAYS(D65,C65)+1</f>
        <v>30</v>
      </c>
      <c r="F65" s="1068">
        <v>700000</v>
      </c>
      <c r="G65" s="1355">
        <f>+((433700/30)*E65)</f>
        <v>433700</v>
      </c>
      <c r="H65" s="1061">
        <f t="shared" si="9"/>
        <v>54212.5</v>
      </c>
      <c r="I65" s="1061">
        <f t="shared" si="10"/>
        <v>67266.87</v>
      </c>
      <c r="J65" s="1356">
        <f t="shared" si="11"/>
        <v>121479.37</v>
      </c>
      <c r="K65" s="1370"/>
      <c r="L65" s="1316">
        <v>91252</v>
      </c>
      <c r="M65" s="1316">
        <v>44530</v>
      </c>
      <c r="N65" s="1315">
        <v>700000</v>
      </c>
      <c r="O65" s="741"/>
      <c r="P65" s="741"/>
      <c r="Q65" s="741"/>
      <c r="R65" s="741"/>
      <c r="S65" s="741"/>
      <c r="T65" s="741"/>
    </row>
    <row r="66" spans="2:20" hidden="1">
      <c r="B66" s="741"/>
      <c r="C66" s="800">
        <v>39359</v>
      </c>
      <c r="D66" s="800">
        <v>39389</v>
      </c>
      <c r="E66" s="741">
        <f>_xlfn.DAYS(D66,C66)+1</f>
        <v>31</v>
      </c>
      <c r="F66" s="1068">
        <v>700000</v>
      </c>
      <c r="G66" s="1355">
        <f>+((433700/30)*E66)</f>
        <v>448156.66666666663</v>
      </c>
      <c r="H66" s="1061">
        <f t="shared" si="9"/>
        <v>56019.583333333328</v>
      </c>
      <c r="I66" s="1061">
        <f t="shared" si="10"/>
        <v>69509.098999999987</v>
      </c>
      <c r="J66" s="1356">
        <f t="shared" si="11"/>
        <v>125528.68233333332</v>
      </c>
      <c r="K66" s="1370"/>
      <c r="L66" s="1316">
        <v>97126</v>
      </c>
      <c r="M66" s="1316">
        <v>44561</v>
      </c>
      <c r="N66" s="1315">
        <v>700000</v>
      </c>
      <c r="O66" s="741"/>
      <c r="P66" s="741"/>
      <c r="Q66" s="741"/>
      <c r="R66" s="741"/>
      <c r="S66" s="741"/>
      <c r="T66" s="741"/>
    </row>
    <row r="67" spans="2:20" hidden="1">
      <c r="B67" s="741"/>
      <c r="C67" s="800">
        <v>39390</v>
      </c>
      <c r="D67" s="800">
        <v>39419</v>
      </c>
      <c r="E67" s="741">
        <f>_xlfn.DAYS(D67,C67)+1</f>
        <v>30</v>
      </c>
      <c r="F67" s="1068">
        <v>700000</v>
      </c>
      <c r="G67" s="1355">
        <f>+((433700/30)*E67)</f>
        <v>433700</v>
      </c>
      <c r="H67" s="1061">
        <f t="shared" si="9"/>
        <v>54212.5</v>
      </c>
      <c r="I67" s="1061">
        <f t="shared" si="10"/>
        <v>67266.87</v>
      </c>
      <c r="J67" s="1356">
        <f t="shared" si="11"/>
        <v>121479.37</v>
      </c>
      <c r="K67" s="1370"/>
    </row>
    <row r="68" spans="2:20" hidden="1">
      <c r="B68" s="741"/>
      <c r="C68" s="800">
        <v>39420</v>
      </c>
      <c r="D68" s="800">
        <v>39447</v>
      </c>
      <c r="E68" s="741">
        <f>_xlfn.DAYS(D68,C68)+1</f>
        <v>28</v>
      </c>
      <c r="F68" s="1068">
        <v>700000</v>
      </c>
      <c r="G68" s="1355">
        <f>+((433700/30)*E68)</f>
        <v>404786.66666666663</v>
      </c>
      <c r="H68" s="1061">
        <f t="shared" si="9"/>
        <v>50598.333333333328</v>
      </c>
      <c r="I68" s="1061">
        <f t="shared" si="10"/>
        <v>62782.411999999989</v>
      </c>
      <c r="J68" s="1356">
        <f t="shared" si="11"/>
        <v>113380.74533333333</v>
      </c>
      <c r="K68" s="1370"/>
      <c r="L68" s="1370"/>
      <c r="M68" s="1370"/>
      <c r="N68" s="1370"/>
    </row>
    <row r="69" spans="2:20" ht="13.5" hidden="1" thickBot="1">
      <c r="B69" s="1132"/>
      <c r="C69" s="802"/>
      <c r="D69" s="806" t="s">
        <v>719</v>
      </c>
      <c r="E69" s="1381">
        <f>SUM(E64:E68)+1</f>
        <v>151</v>
      </c>
      <c r="F69" s="1362">
        <f>AVERAGE(F64,F68,F66,F67,F65,F62,F60,F59,F58,F56,F55,F54)</f>
        <v>669083.33333333337</v>
      </c>
      <c r="G69" s="1355"/>
      <c r="H69" s="1061"/>
      <c r="I69" s="1061"/>
      <c r="J69" s="1356"/>
      <c r="K69" s="1370"/>
      <c r="L69" s="1370"/>
      <c r="M69" s="1370"/>
      <c r="N69" s="1370"/>
    </row>
    <row r="70" spans="2:20" ht="13.5" hidden="1" thickTop="1">
      <c r="B70" s="2604" t="str">
        <f>+B42</f>
        <v>Relacion Laboral</v>
      </c>
      <c r="C70" s="2681"/>
      <c r="D70" s="2683"/>
      <c r="E70" s="2683"/>
      <c r="F70" s="2605"/>
      <c r="G70" s="1355"/>
      <c r="H70" s="1061"/>
      <c r="I70" s="1061"/>
      <c r="J70" s="1356"/>
      <c r="K70" s="1370"/>
    </row>
    <row r="71" spans="2:20" hidden="1">
      <c r="B71" s="741"/>
      <c r="C71" s="800">
        <v>39098</v>
      </c>
      <c r="D71" s="800">
        <v>39128</v>
      </c>
      <c r="E71" s="741">
        <f t="shared" ref="E71:E82" si="12">_xlfn.DAYS(D71,C71)+1</f>
        <v>31</v>
      </c>
      <c r="F71" s="1068">
        <v>693000</v>
      </c>
      <c r="G71" s="1355">
        <f>+F71</f>
        <v>693000</v>
      </c>
      <c r="H71" s="1061">
        <f>+F71*12.5%</f>
        <v>86625</v>
      </c>
      <c r="I71" s="1061">
        <f>+F71*15.51%</f>
        <v>107484.29999999999</v>
      </c>
      <c r="J71" s="1356">
        <f>SUM(H71:I71)</f>
        <v>194109.3</v>
      </c>
      <c r="K71" s="1370"/>
    </row>
    <row r="72" spans="2:20" hidden="1">
      <c r="B72" s="741"/>
      <c r="C72" s="800">
        <v>39129</v>
      </c>
      <c r="D72" s="800">
        <v>39156</v>
      </c>
      <c r="E72" s="741">
        <f t="shared" si="12"/>
        <v>28</v>
      </c>
      <c r="F72" s="1068">
        <v>693000</v>
      </c>
      <c r="G72" s="1355">
        <f t="shared" ref="G72:G82" si="13">+F72</f>
        <v>693000</v>
      </c>
      <c r="H72" s="1061">
        <f t="shared" ref="H72:H82" si="14">+F72*12.5%</f>
        <v>86625</v>
      </c>
      <c r="I72" s="1061">
        <f t="shared" ref="I72:I82" si="15">+F72*15.51%</f>
        <v>107484.29999999999</v>
      </c>
      <c r="J72" s="1356">
        <f t="shared" ref="J72:J82" si="16">SUM(H72:I72)</f>
        <v>194109.3</v>
      </c>
      <c r="K72" s="1370"/>
    </row>
    <row r="73" spans="2:20" hidden="1">
      <c r="B73" s="741"/>
      <c r="C73" s="800">
        <v>39157</v>
      </c>
      <c r="D73" s="800">
        <v>39187</v>
      </c>
      <c r="E73" s="741">
        <f t="shared" si="12"/>
        <v>31</v>
      </c>
      <c r="F73" s="1068">
        <v>693000</v>
      </c>
      <c r="G73" s="1355">
        <f t="shared" si="13"/>
        <v>693000</v>
      </c>
      <c r="H73" s="1061">
        <f t="shared" si="14"/>
        <v>86625</v>
      </c>
      <c r="I73" s="1061">
        <f t="shared" si="15"/>
        <v>107484.29999999999</v>
      </c>
      <c r="J73" s="1356">
        <f t="shared" si="16"/>
        <v>194109.3</v>
      </c>
      <c r="K73" s="1370"/>
    </row>
    <row r="74" spans="2:20" hidden="1">
      <c r="B74" s="741"/>
      <c r="C74" s="800">
        <v>39189</v>
      </c>
      <c r="D74" s="800">
        <v>39218</v>
      </c>
      <c r="E74" s="741">
        <f t="shared" si="12"/>
        <v>30</v>
      </c>
      <c r="F74" s="1068">
        <v>700000</v>
      </c>
      <c r="G74" s="1355">
        <f t="shared" si="13"/>
        <v>700000</v>
      </c>
      <c r="H74" s="1061">
        <f t="shared" si="14"/>
        <v>87500</v>
      </c>
      <c r="I74" s="1061">
        <f t="shared" si="15"/>
        <v>108569.99999999999</v>
      </c>
      <c r="J74" s="1356">
        <f t="shared" si="16"/>
        <v>196070</v>
      </c>
      <c r="K74" s="1370"/>
    </row>
    <row r="75" spans="2:20" hidden="1">
      <c r="B75" s="741"/>
      <c r="C75" s="800">
        <v>39219</v>
      </c>
      <c r="D75" s="800">
        <v>39249</v>
      </c>
      <c r="E75" s="741">
        <f t="shared" si="12"/>
        <v>31</v>
      </c>
      <c r="F75" s="1068">
        <v>700000</v>
      </c>
      <c r="G75" s="1355">
        <f t="shared" si="13"/>
        <v>700000</v>
      </c>
      <c r="H75" s="1061">
        <f t="shared" si="14"/>
        <v>87500</v>
      </c>
      <c r="I75" s="1061">
        <f t="shared" si="15"/>
        <v>108569.99999999999</v>
      </c>
      <c r="J75" s="1356">
        <f t="shared" si="16"/>
        <v>196070</v>
      </c>
      <c r="K75" s="1370"/>
    </row>
    <row r="76" spans="2:20" hidden="1">
      <c r="B76" s="741"/>
      <c r="C76" s="800">
        <v>39252</v>
      </c>
      <c r="D76" s="800">
        <v>39281</v>
      </c>
      <c r="E76" s="741">
        <f t="shared" si="12"/>
        <v>30</v>
      </c>
      <c r="F76" s="1068">
        <v>700000</v>
      </c>
      <c r="G76" s="1355">
        <f t="shared" si="13"/>
        <v>700000</v>
      </c>
      <c r="H76" s="1061">
        <f t="shared" si="14"/>
        <v>87500</v>
      </c>
      <c r="I76" s="1061">
        <f t="shared" si="15"/>
        <v>108569.99999999999</v>
      </c>
      <c r="J76" s="1356">
        <f t="shared" si="16"/>
        <v>196070</v>
      </c>
      <c r="K76" s="1370"/>
    </row>
    <row r="77" spans="2:20" hidden="1">
      <c r="B77" s="741"/>
      <c r="C77" s="800">
        <v>39282</v>
      </c>
      <c r="D77" s="800">
        <v>39297</v>
      </c>
      <c r="E77" s="741">
        <f t="shared" si="12"/>
        <v>16</v>
      </c>
      <c r="F77" s="1068">
        <v>350000</v>
      </c>
      <c r="G77" s="1355">
        <f t="shared" si="13"/>
        <v>350000</v>
      </c>
      <c r="H77" s="1061">
        <f t="shared" si="14"/>
        <v>43750</v>
      </c>
      <c r="I77" s="1061">
        <f t="shared" si="15"/>
        <v>54284.999999999993</v>
      </c>
      <c r="J77" s="1356">
        <f t="shared" si="16"/>
        <v>98035</v>
      </c>
      <c r="K77" s="1370"/>
    </row>
    <row r="78" spans="2:20" hidden="1">
      <c r="B78" s="741"/>
      <c r="C78" s="800">
        <v>39298</v>
      </c>
      <c r="D78" s="800">
        <v>39328</v>
      </c>
      <c r="E78" s="741">
        <f t="shared" si="12"/>
        <v>31</v>
      </c>
      <c r="F78" s="1068">
        <v>700000</v>
      </c>
      <c r="G78" s="1355">
        <f t="shared" si="13"/>
        <v>700000</v>
      </c>
      <c r="H78" s="1061">
        <f t="shared" si="14"/>
        <v>87500</v>
      </c>
      <c r="I78" s="1061">
        <f t="shared" si="15"/>
        <v>108569.99999999999</v>
      </c>
      <c r="J78" s="1356">
        <f t="shared" si="16"/>
        <v>196070</v>
      </c>
      <c r="K78" s="1370"/>
      <c r="L78" s="1378"/>
      <c r="M78" s="2680" t="s">
        <v>724</v>
      </c>
      <c r="N78" s="2680"/>
      <c r="O78" s="2680"/>
      <c r="P78" s="2680"/>
      <c r="Q78" s="2680"/>
      <c r="R78" s="2680"/>
      <c r="S78" s="2680"/>
      <c r="T78" s="2680"/>
    </row>
    <row r="79" spans="2:20" hidden="1">
      <c r="B79" s="741"/>
      <c r="C79" s="800">
        <v>39329</v>
      </c>
      <c r="D79" s="800">
        <v>39358</v>
      </c>
      <c r="E79" s="741">
        <f t="shared" si="12"/>
        <v>30</v>
      </c>
      <c r="F79" s="1068">
        <v>700000</v>
      </c>
      <c r="G79" s="1355">
        <f t="shared" si="13"/>
        <v>700000</v>
      </c>
      <c r="H79" s="1061">
        <f t="shared" si="14"/>
        <v>87500</v>
      </c>
      <c r="I79" s="1061">
        <f t="shared" si="15"/>
        <v>108569.99999999999</v>
      </c>
      <c r="J79" s="1356">
        <f t="shared" si="16"/>
        <v>196070</v>
      </c>
      <c r="K79" s="1370"/>
      <c r="L79" s="1093" t="s">
        <v>494</v>
      </c>
      <c r="M79" s="1093" t="s">
        <v>712</v>
      </c>
      <c r="N79" s="1093" t="s">
        <v>713</v>
      </c>
      <c r="O79" s="1093" t="s">
        <v>78</v>
      </c>
      <c r="P79" s="1093" t="s">
        <v>79</v>
      </c>
      <c r="Q79" s="1093" t="s">
        <v>186</v>
      </c>
      <c r="R79" s="1093" t="s">
        <v>187</v>
      </c>
      <c r="S79" s="1093" t="s">
        <v>82</v>
      </c>
      <c r="T79" s="1093" t="s">
        <v>83</v>
      </c>
    </row>
    <row r="80" spans="2:20" hidden="1">
      <c r="B80" s="741"/>
      <c r="C80" s="800">
        <v>39359</v>
      </c>
      <c r="D80" s="800">
        <v>39389</v>
      </c>
      <c r="E80" s="741">
        <f t="shared" si="12"/>
        <v>31</v>
      </c>
      <c r="F80" s="1068">
        <v>700000</v>
      </c>
      <c r="G80" s="1355">
        <f t="shared" si="13"/>
        <v>700000</v>
      </c>
      <c r="H80" s="1061">
        <f t="shared" si="14"/>
        <v>87500</v>
      </c>
      <c r="I80" s="1061">
        <f t="shared" si="15"/>
        <v>108569.99999999999</v>
      </c>
      <c r="J80" s="1356">
        <f t="shared" si="16"/>
        <v>196070</v>
      </c>
      <c r="K80" s="1370"/>
      <c r="L80" s="1316">
        <v>39468</v>
      </c>
      <c r="M80" s="1316">
        <v>39478</v>
      </c>
      <c r="N80" s="1315">
        <v>739830</v>
      </c>
      <c r="O80" s="1088"/>
      <c r="P80" s="1088"/>
      <c r="Q80" s="1088"/>
      <c r="R80" s="1088"/>
      <c r="S80" s="1088"/>
      <c r="T80" s="1088"/>
    </row>
    <row r="81" spans="2:20" hidden="1">
      <c r="B81" s="741"/>
      <c r="C81" s="800">
        <v>39390</v>
      </c>
      <c r="D81" s="800">
        <v>39419</v>
      </c>
      <c r="E81" s="741">
        <f t="shared" si="12"/>
        <v>30</v>
      </c>
      <c r="F81" s="1068">
        <v>700000</v>
      </c>
      <c r="G81" s="1355">
        <f t="shared" si="13"/>
        <v>700000</v>
      </c>
      <c r="H81" s="1061">
        <f t="shared" si="14"/>
        <v>87500</v>
      </c>
      <c r="I81" s="1061">
        <f t="shared" si="15"/>
        <v>108569.99999999999</v>
      </c>
      <c r="J81" s="1356">
        <f t="shared" si="16"/>
        <v>196070</v>
      </c>
      <c r="K81" s="1370"/>
      <c r="L81" s="1316">
        <v>39479</v>
      </c>
      <c r="M81" s="1316">
        <v>39506</v>
      </c>
      <c r="N81" s="1315">
        <v>739830</v>
      </c>
      <c r="O81" s="1088"/>
      <c r="P81" s="1088"/>
      <c r="Q81" s="1088"/>
      <c r="R81" s="1088"/>
      <c r="S81" s="1088"/>
      <c r="T81" s="1088"/>
    </row>
    <row r="82" spans="2:20" hidden="1">
      <c r="B82" s="741"/>
      <c r="C82" s="800">
        <v>39420</v>
      </c>
      <c r="D82" s="800">
        <v>39447</v>
      </c>
      <c r="E82" s="741">
        <f t="shared" si="12"/>
        <v>28</v>
      </c>
      <c r="F82" s="1068">
        <v>700000</v>
      </c>
      <c r="G82" s="1355">
        <f t="shared" si="13"/>
        <v>700000</v>
      </c>
      <c r="H82" s="1061">
        <f t="shared" si="14"/>
        <v>87500</v>
      </c>
      <c r="I82" s="1061">
        <f t="shared" si="15"/>
        <v>108569.99999999999</v>
      </c>
      <c r="J82" s="1356">
        <f t="shared" si="16"/>
        <v>196070</v>
      </c>
      <c r="K82" s="1372"/>
      <c r="L82" s="1316">
        <v>39508</v>
      </c>
      <c r="M82" s="1316">
        <v>39538</v>
      </c>
      <c r="N82" s="1315">
        <v>739830</v>
      </c>
      <c r="O82" s="1088"/>
      <c r="P82" s="1088"/>
      <c r="Q82" s="1088"/>
      <c r="R82" s="1088"/>
      <c r="S82" s="1088"/>
      <c r="T82" s="1088"/>
    </row>
    <row r="83" spans="2:20" hidden="1">
      <c r="B83" s="741"/>
      <c r="C83" s="800"/>
      <c r="D83" s="800"/>
      <c r="E83" s="741"/>
      <c r="F83" s="2689" t="s">
        <v>716</v>
      </c>
      <c r="G83" s="2690"/>
      <c r="H83" s="2690"/>
      <c r="I83" s="2691"/>
      <c r="J83" s="1366">
        <f>SUM(J71:J82)- SUM(J54:J68)</f>
        <v>856315.18433333351</v>
      </c>
      <c r="K83" s="1370"/>
      <c r="L83" s="1316">
        <v>39539</v>
      </c>
      <c r="M83" s="1316">
        <v>39568</v>
      </c>
      <c r="N83" s="1315">
        <v>739830</v>
      </c>
      <c r="O83" s="1088"/>
      <c r="P83" s="1088"/>
      <c r="Q83" s="1088"/>
      <c r="R83" s="1088"/>
      <c r="S83" s="1088"/>
      <c r="T83" s="1088"/>
    </row>
    <row r="84" spans="2:20" hidden="1">
      <c r="B84" s="2604" t="s">
        <v>64</v>
      </c>
      <c r="C84" s="2681"/>
      <c r="D84" s="2681"/>
      <c r="E84" s="2681"/>
      <c r="F84" s="2605"/>
      <c r="G84" s="1061"/>
      <c r="H84" s="1061"/>
      <c r="I84" s="1061"/>
      <c r="J84" s="858"/>
      <c r="K84" s="1370"/>
      <c r="L84" s="1316">
        <v>39569</v>
      </c>
      <c r="M84" s="1316">
        <v>39588</v>
      </c>
      <c r="N84" s="1315">
        <v>739830</v>
      </c>
      <c r="O84" s="1088"/>
      <c r="P84" s="1088"/>
      <c r="Q84" s="1088"/>
      <c r="R84" s="1088"/>
      <c r="S84" s="1088"/>
      <c r="T84" s="1088"/>
    </row>
    <row r="85" spans="2:20" ht="15" hidden="1" customHeight="1">
      <c r="B85" s="1379" t="s">
        <v>725</v>
      </c>
      <c r="C85" s="807">
        <v>39468</v>
      </c>
      <c r="D85" s="807">
        <v>39498</v>
      </c>
      <c r="E85" s="1145">
        <f>_xlfn.DAYS(D85,C85)+1</f>
        <v>31</v>
      </c>
      <c r="F85" s="1068">
        <v>739830</v>
      </c>
      <c r="G85" s="1068">
        <f>+((461500/30)*E85)</f>
        <v>476883.33333333337</v>
      </c>
      <c r="H85" s="1068">
        <f>+G85*12.5%</f>
        <v>59610.416666666672</v>
      </c>
      <c r="I85" s="1068">
        <f>+G85*16%</f>
        <v>76301.333333333343</v>
      </c>
      <c r="J85" s="1382">
        <f>SUM(H85:I85)</f>
        <v>135911.75</v>
      </c>
      <c r="K85" s="1370"/>
      <c r="L85" s="1316">
        <v>39590</v>
      </c>
      <c r="M85" s="1316">
        <v>39599</v>
      </c>
      <c r="N85" s="1315">
        <v>1000000</v>
      </c>
      <c r="O85" s="1061"/>
      <c r="P85" s="1061"/>
      <c r="Q85" s="1061"/>
      <c r="R85" s="1061"/>
      <c r="S85" s="1061"/>
      <c r="T85" s="1061"/>
    </row>
    <row r="86" spans="2:20" ht="14.25" hidden="1" customHeight="1">
      <c r="B86" s="741"/>
      <c r="C86" s="807">
        <v>39499</v>
      </c>
      <c r="D86" s="807">
        <v>39527</v>
      </c>
      <c r="E86" s="1145">
        <f>_xlfn.DAYS(D86,C86)+1</f>
        <v>29</v>
      </c>
      <c r="F86" s="1068">
        <v>739830</v>
      </c>
      <c r="G86" s="1068">
        <f>+((461500/30)*E86)</f>
        <v>446116.66666666669</v>
      </c>
      <c r="H86" s="1068">
        <f t="shared" ref="H86:H98" si="17">+G86*12.5%</f>
        <v>55764.583333333336</v>
      </c>
      <c r="I86" s="1068">
        <f t="shared" ref="I86:I98" si="18">+G86*16%</f>
        <v>71378.666666666672</v>
      </c>
      <c r="J86" s="1382">
        <f t="shared" ref="J86:J98" si="19">SUM(H86:I86)</f>
        <v>127143.25</v>
      </c>
      <c r="K86" s="1370"/>
      <c r="L86" s="1316">
        <v>39600</v>
      </c>
      <c r="M86" s="1316">
        <v>44377</v>
      </c>
      <c r="N86" s="1315">
        <v>1000000</v>
      </c>
      <c r="O86" s="741"/>
      <c r="P86" s="741"/>
      <c r="Q86" s="741"/>
      <c r="R86" s="741"/>
      <c r="S86" s="741"/>
      <c r="T86" s="741"/>
    </row>
    <row r="87" spans="2:20" hidden="1">
      <c r="B87" s="741"/>
      <c r="C87" s="807">
        <v>39528</v>
      </c>
      <c r="D87" s="807">
        <v>39558</v>
      </c>
      <c r="E87" s="1145">
        <f>_xlfn.DAYS(D87,C87)+1</f>
        <v>31</v>
      </c>
      <c r="F87" s="1068">
        <v>739830</v>
      </c>
      <c r="G87" s="1068">
        <f>+((461500/30)*E87)</f>
        <v>476883.33333333337</v>
      </c>
      <c r="H87" s="1068">
        <f t="shared" si="17"/>
        <v>59610.416666666672</v>
      </c>
      <c r="I87" s="1068">
        <f t="shared" si="18"/>
        <v>76301.333333333343</v>
      </c>
      <c r="J87" s="1382">
        <f t="shared" si="19"/>
        <v>135911.75</v>
      </c>
      <c r="K87" s="1370"/>
      <c r="L87" s="1316">
        <v>39630</v>
      </c>
      <c r="M87" s="1316">
        <v>44408</v>
      </c>
      <c r="N87" s="1315">
        <v>1000000</v>
      </c>
      <c r="O87" s="741"/>
      <c r="P87" s="741"/>
      <c r="Q87" s="741"/>
      <c r="R87" s="741"/>
      <c r="S87" s="741"/>
      <c r="T87" s="741"/>
    </row>
    <row r="88" spans="2:20" hidden="1">
      <c r="B88" s="741"/>
      <c r="C88" s="807">
        <v>39559</v>
      </c>
      <c r="D88" s="807">
        <v>39588</v>
      </c>
      <c r="E88" s="1145">
        <f>_xlfn.DAYS(D88,C88)+1</f>
        <v>30</v>
      </c>
      <c r="F88" s="1068">
        <v>739830</v>
      </c>
      <c r="G88" s="1068">
        <f>+((461500/30)*E88)</f>
        <v>461500</v>
      </c>
      <c r="H88" s="1068">
        <f t="shared" si="17"/>
        <v>57687.5</v>
      </c>
      <c r="I88" s="1068">
        <f t="shared" si="18"/>
        <v>73840</v>
      </c>
      <c r="J88" s="1382">
        <f t="shared" si="19"/>
        <v>131527.5</v>
      </c>
      <c r="K88" s="1370"/>
      <c r="L88" s="1316">
        <v>39661</v>
      </c>
      <c r="M88" s="1316">
        <v>44439</v>
      </c>
      <c r="N88" s="1315">
        <v>1000000</v>
      </c>
      <c r="O88" s="741"/>
      <c r="P88" s="741"/>
      <c r="Q88" s="741"/>
      <c r="R88" s="741"/>
      <c r="S88" s="741"/>
      <c r="T88" s="741"/>
    </row>
    <row r="89" spans="2:20" ht="13.5" hidden="1" thickBot="1">
      <c r="B89" s="741"/>
      <c r="C89" s="2702" t="s">
        <v>719</v>
      </c>
      <c r="D89" s="2702"/>
      <c r="E89" s="1383">
        <f>+SUM(E85:E88)+1</f>
        <v>122</v>
      </c>
      <c r="F89" s="1068"/>
      <c r="G89" s="1068"/>
      <c r="H89" s="1068"/>
      <c r="I89" s="1068"/>
      <c r="J89" s="1382"/>
      <c r="K89" s="1370"/>
      <c r="L89" s="1316">
        <v>39692</v>
      </c>
      <c r="M89" s="1316">
        <v>44469</v>
      </c>
      <c r="N89" s="1315">
        <v>1000000</v>
      </c>
      <c r="O89" s="741"/>
      <c r="P89" s="741"/>
      <c r="Q89" s="741"/>
      <c r="R89" s="741"/>
      <c r="S89" s="741"/>
      <c r="T89" s="741"/>
    </row>
    <row r="90" spans="2:20" ht="13.5" hidden="1" thickTop="1">
      <c r="B90" s="741"/>
      <c r="C90" s="807">
        <v>39590</v>
      </c>
      <c r="D90" s="807">
        <v>39620</v>
      </c>
      <c r="E90" s="1145">
        <f t="shared" ref="E90:E96" si="20">_xlfn.DAYS(D90,C90)+1</f>
        <v>31</v>
      </c>
      <c r="F90" s="1068">
        <v>1000000</v>
      </c>
      <c r="G90" s="1068">
        <f>+((461500/30)*E90)</f>
        <v>476883.33333333337</v>
      </c>
      <c r="H90" s="1068">
        <f t="shared" si="17"/>
        <v>59610.416666666672</v>
      </c>
      <c r="I90" s="1068">
        <f t="shared" si="18"/>
        <v>76301.333333333343</v>
      </c>
      <c r="J90" s="1382">
        <f t="shared" si="19"/>
        <v>135911.75</v>
      </c>
      <c r="K90" s="1370"/>
      <c r="L90" s="1316">
        <v>39722</v>
      </c>
      <c r="M90" s="1316">
        <v>44500</v>
      </c>
      <c r="N90" s="1315">
        <v>1000000</v>
      </c>
      <c r="O90" s="741"/>
      <c r="P90" s="741"/>
      <c r="Q90" s="741"/>
      <c r="R90" s="741"/>
      <c r="S90" s="741"/>
      <c r="T90" s="741"/>
    </row>
    <row r="91" spans="2:20" hidden="1">
      <c r="B91" s="741"/>
      <c r="C91" s="807">
        <v>39621</v>
      </c>
      <c r="D91" s="807">
        <v>39650</v>
      </c>
      <c r="E91" s="1145">
        <f t="shared" si="20"/>
        <v>30</v>
      </c>
      <c r="F91" s="1068">
        <v>1000000</v>
      </c>
      <c r="G91" s="1068">
        <f t="shared" ref="G91:G96" si="21">+((461500/30)*E91)</f>
        <v>461500</v>
      </c>
      <c r="H91" s="1068">
        <f t="shared" si="17"/>
        <v>57687.5</v>
      </c>
      <c r="I91" s="1068">
        <f t="shared" si="18"/>
        <v>73840</v>
      </c>
      <c r="J91" s="1382">
        <f t="shared" si="19"/>
        <v>131527.5</v>
      </c>
      <c r="K91" s="1370"/>
      <c r="L91" s="1316">
        <v>39753</v>
      </c>
      <c r="M91" s="1316">
        <v>39782</v>
      </c>
      <c r="N91" s="1315">
        <v>1000000</v>
      </c>
      <c r="O91" s="741"/>
      <c r="P91" s="741"/>
      <c r="Q91" s="741"/>
      <c r="R91" s="741"/>
      <c r="S91" s="741"/>
      <c r="T91" s="741"/>
    </row>
    <row r="92" spans="2:20" hidden="1">
      <c r="B92" s="741"/>
      <c r="C92" s="807">
        <v>39651</v>
      </c>
      <c r="D92" s="807">
        <v>39681</v>
      </c>
      <c r="E92" s="1145">
        <f t="shared" si="20"/>
        <v>31</v>
      </c>
      <c r="F92" s="1068">
        <v>1000000</v>
      </c>
      <c r="G92" s="1068">
        <f t="shared" si="21"/>
        <v>476883.33333333337</v>
      </c>
      <c r="H92" s="1068">
        <f t="shared" si="17"/>
        <v>59610.416666666672</v>
      </c>
      <c r="I92" s="1068">
        <f t="shared" si="18"/>
        <v>76301.333333333343</v>
      </c>
      <c r="J92" s="1382">
        <f t="shared" si="19"/>
        <v>135911.75</v>
      </c>
      <c r="K92" s="1370"/>
      <c r="L92" s="1316">
        <v>39783</v>
      </c>
      <c r="M92" s="1316">
        <v>44551</v>
      </c>
      <c r="N92" s="1315">
        <v>1000000</v>
      </c>
      <c r="O92" s="1370"/>
      <c r="P92" s="1370"/>
      <c r="Q92" s="1370"/>
      <c r="R92" s="1370"/>
      <c r="S92" s="1370"/>
      <c r="T92" s="1370"/>
    </row>
    <row r="93" spans="2:20" hidden="1">
      <c r="B93" s="741"/>
      <c r="C93" s="807">
        <v>39682</v>
      </c>
      <c r="D93" s="807">
        <v>39712</v>
      </c>
      <c r="E93" s="1145">
        <f t="shared" si="20"/>
        <v>31</v>
      </c>
      <c r="F93" s="1068">
        <v>1000000</v>
      </c>
      <c r="G93" s="1068">
        <f t="shared" si="21"/>
        <v>476883.33333333337</v>
      </c>
      <c r="H93" s="1068">
        <f t="shared" si="17"/>
        <v>59610.416666666672</v>
      </c>
      <c r="I93" s="1068">
        <f t="shared" si="18"/>
        <v>76301.333333333343</v>
      </c>
      <c r="J93" s="1382">
        <f t="shared" si="19"/>
        <v>135911.75</v>
      </c>
      <c r="K93" s="1370"/>
      <c r="L93" s="1316">
        <v>39804</v>
      </c>
      <c r="M93" s="1316">
        <v>44561</v>
      </c>
      <c r="N93" s="1315">
        <v>333333</v>
      </c>
    </row>
    <row r="94" spans="2:20" hidden="1">
      <c r="B94" s="741"/>
      <c r="C94" s="807">
        <v>39713</v>
      </c>
      <c r="D94" s="807">
        <v>39742</v>
      </c>
      <c r="E94" s="1145">
        <f t="shared" si="20"/>
        <v>30</v>
      </c>
      <c r="F94" s="1068">
        <v>1000000</v>
      </c>
      <c r="G94" s="1068">
        <f t="shared" si="21"/>
        <v>461500</v>
      </c>
      <c r="H94" s="1068">
        <f t="shared" si="17"/>
        <v>57687.5</v>
      </c>
      <c r="I94" s="1068">
        <f t="shared" si="18"/>
        <v>73840</v>
      </c>
      <c r="J94" s="1382">
        <f t="shared" si="19"/>
        <v>131527.5</v>
      </c>
      <c r="K94" s="1370"/>
      <c r="L94" s="1370"/>
      <c r="M94" s="1370"/>
      <c r="N94" s="1370"/>
    </row>
    <row r="95" spans="2:20" hidden="1">
      <c r="B95" s="741"/>
      <c r="C95" s="807">
        <v>39743</v>
      </c>
      <c r="D95" s="807">
        <v>39773</v>
      </c>
      <c r="E95" s="1145">
        <f t="shared" si="20"/>
        <v>31</v>
      </c>
      <c r="F95" s="1068">
        <v>1000000</v>
      </c>
      <c r="G95" s="1068">
        <f t="shared" si="21"/>
        <v>476883.33333333337</v>
      </c>
      <c r="H95" s="1068">
        <f t="shared" si="17"/>
        <v>59610.416666666672</v>
      </c>
      <c r="I95" s="1068">
        <f t="shared" si="18"/>
        <v>76301.333333333343</v>
      </c>
      <c r="J95" s="1382">
        <f t="shared" si="19"/>
        <v>135911.75</v>
      </c>
      <c r="K95" s="1370"/>
      <c r="L95" s="1370"/>
      <c r="M95" s="1370"/>
      <c r="N95" s="1370"/>
    </row>
    <row r="96" spans="2:20" hidden="1">
      <c r="B96" s="741"/>
      <c r="C96" s="807">
        <v>39774</v>
      </c>
      <c r="D96" s="807">
        <v>39803</v>
      </c>
      <c r="E96" s="1145">
        <f t="shared" si="20"/>
        <v>30</v>
      </c>
      <c r="F96" s="1068">
        <v>1000000</v>
      </c>
      <c r="G96" s="1068">
        <f t="shared" si="21"/>
        <v>461500</v>
      </c>
      <c r="H96" s="1068">
        <f t="shared" si="17"/>
        <v>57687.5</v>
      </c>
      <c r="I96" s="1068">
        <f t="shared" si="18"/>
        <v>73840</v>
      </c>
      <c r="J96" s="1382">
        <f t="shared" si="19"/>
        <v>131527.5</v>
      </c>
      <c r="K96" s="1370"/>
      <c r="L96" s="1370"/>
      <c r="M96" s="1370"/>
      <c r="N96" s="1370"/>
    </row>
    <row r="97" spans="2:14" ht="13.5" hidden="1" thickBot="1">
      <c r="B97" s="741"/>
      <c r="C97" s="2702" t="s">
        <v>719</v>
      </c>
      <c r="D97" s="2702"/>
      <c r="E97" s="1383">
        <f>+SUM(E90:E96)+1</f>
        <v>215</v>
      </c>
      <c r="F97" s="1068"/>
      <c r="G97" s="1068"/>
      <c r="H97" s="1068"/>
      <c r="I97" s="1068"/>
      <c r="J97" s="1382"/>
      <c r="K97" s="1370"/>
      <c r="L97" s="1370"/>
      <c r="M97" s="1370"/>
      <c r="N97" s="1370"/>
    </row>
    <row r="98" spans="2:14" ht="13.5" hidden="1" thickTop="1">
      <c r="B98" s="741"/>
      <c r="C98" s="807">
        <v>39804</v>
      </c>
      <c r="D98" s="807">
        <v>39813</v>
      </c>
      <c r="E98" s="1145">
        <f>_xlfn.DAYS(D98,C98)+1</f>
        <v>10</v>
      </c>
      <c r="F98" s="1068">
        <v>333333</v>
      </c>
      <c r="G98" s="1068">
        <f>+((F98/30)*E98)</f>
        <v>111111</v>
      </c>
      <c r="H98" s="1068">
        <f t="shared" si="17"/>
        <v>13888.875</v>
      </c>
      <c r="I98" s="1068">
        <f t="shared" si="18"/>
        <v>17777.760000000002</v>
      </c>
      <c r="J98" s="1382">
        <f t="shared" si="19"/>
        <v>31666.635000000002</v>
      </c>
      <c r="K98" s="1370"/>
      <c r="L98" s="1370"/>
      <c r="M98" s="1370"/>
      <c r="N98" s="1370"/>
    </row>
    <row r="99" spans="2:14" hidden="1">
      <c r="B99" s="1132"/>
      <c r="C99" s="911"/>
      <c r="D99" s="911"/>
      <c r="E99" s="911"/>
      <c r="F99" s="1362">
        <f>AVERAGE(F94,F98,F93,F96,F95,F92,F90,F91,F88,F86,F87,F85)</f>
        <v>857721.08333333337</v>
      </c>
      <c r="G99" s="1068"/>
      <c r="H99" s="1068"/>
      <c r="I99" s="1068"/>
      <c r="J99" s="1382"/>
      <c r="K99" s="1370"/>
      <c r="L99" s="1370"/>
      <c r="M99" s="1370"/>
      <c r="N99" s="1370"/>
    </row>
    <row r="100" spans="2:14" hidden="1">
      <c r="B100" s="2604" t="str">
        <f>+B25</f>
        <v>Relacion Laboral</v>
      </c>
      <c r="C100" s="2681"/>
      <c r="D100" s="2681"/>
      <c r="E100" s="2681"/>
      <c r="F100" s="2605"/>
      <c r="G100" s="1061"/>
      <c r="H100" s="1061"/>
      <c r="I100" s="1061"/>
      <c r="J100" s="858"/>
      <c r="K100" s="1370"/>
      <c r="L100" s="1370"/>
      <c r="M100" s="1370"/>
      <c r="N100" s="1370"/>
    </row>
    <row r="101" spans="2:14" hidden="1">
      <c r="B101" s="1368"/>
      <c r="C101" s="800">
        <v>39468</v>
      </c>
      <c r="D101" s="800">
        <v>39498</v>
      </c>
      <c r="E101" s="741">
        <f t="shared" ref="E101:E112" si="22">_xlfn.DAYS(D101,C101)+1</f>
        <v>31</v>
      </c>
      <c r="F101" s="1068">
        <v>739830</v>
      </c>
      <c r="G101" s="1061">
        <f>+F101</f>
        <v>739830</v>
      </c>
      <c r="H101" s="1061">
        <f>+G101*12.5%</f>
        <v>92478.75</v>
      </c>
      <c r="I101" s="1061">
        <f>+G101*16%</f>
        <v>118372.8</v>
      </c>
      <c r="J101" s="1356">
        <f t="shared" ref="J101:J112" si="23">SUM(H101:I101)</f>
        <v>210851.55</v>
      </c>
      <c r="K101" s="1370"/>
      <c r="L101" s="1370"/>
      <c r="M101" s="1370"/>
      <c r="N101" s="1370"/>
    </row>
    <row r="102" spans="2:14" hidden="1">
      <c r="B102" s="1368"/>
      <c r="C102" s="800">
        <v>39499</v>
      </c>
      <c r="D102" s="800">
        <v>39527</v>
      </c>
      <c r="E102" s="741">
        <f t="shared" si="22"/>
        <v>29</v>
      </c>
      <c r="F102" s="1068">
        <v>739830</v>
      </c>
      <c r="G102" s="1061">
        <f t="shared" ref="G102:G112" si="24">+F102</f>
        <v>739830</v>
      </c>
      <c r="H102" s="1061">
        <f t="shared" ref="H102:H112" si="25">+G102*12.5%</f>
        <v>92478.75</v>
      </c>
      <c r="I102" s="1061">
        <f t="shared" ref="I102:I112" si="26">+G102*16%</f>
        <v>118372.8</v>
      </c>
      <c r="J102" s="1356">
        <f t="shared" si="23"/>
        <v>210851.55</v>
      </c>
      <c r="K102" s="1370"/>
      <c r="L102" s="1370"/>
      <c r="M102" s="1370"/>
      <c r="N102" s="1370"/>
    </row>
    <row r="103" spans="2:14" hidden="1">
      <c r="B103" s="1368"/>
      <c r="C103" s="800">
        <v>39528</v>
      </c>
      <c r="D103" s="800">
        <v>39558</v>
      </c>
      <c r="E103" s="741">
        <f t="shared" si="22"/>
        <v>31</v>
      </c>
      <c r="F103" s="1068">
        <v>739830</v>
      </c>
      <c r="G103" s="1061">
        <f t="shared" si="24"/>
        <v>739830</v>
      </c>
      <c r="H103" s="1061">
        <f t="shared" si="25"/>
        <v>92478.75</v>
      </c>
      <c r="I103" s="1061">
        <f t="shared" si="26"/>
        <v>118372.8</v>
      </c>
      <c r="J103" s="1356">
        <f t="shared" si="23"/>
        <v>210851.55</v>
      </c>
      <c r="K103" s="1370"/>
      <c r="L103" s="1370"/>
      <c r="M103" s="1370"/>
      <c r="N103" s="1370"/>
    </row>
    <row r="104" spans="2:14" hidden="1">
      <c r="B104" s="1368"/>
      <c r="C104" s="800">
        <v>39559</v>
      </c>
      <c r="D104" s="800">
        <v>39588</v>
      </c>
      <c r="E104" s="741">
        <f t="shared" si="22"/>
        <v>30</v>
      </c>
      <c r="F104" s="1068">
        <v>739830</v>
      </c>
      <c r="G104" s="1061">
        <f t="shared" si="24"/>
        <v>739830</v>
      </c>
      <c r="H104" s="1061">
        <f t="shared" si="25"/>
        <v>92478.75</v>
      </c>
      <c r="I104" s="1061">
        <f t="shared" si="26"/>
        <v>118372.8</v>
      </c>
      <c r="J104" s="1356">
        <f t="shared" si="23"/>
        <v>210851.55</v>
      </c>
      <c r="K104" s="1370"/>
      <c r="L104" s="1370"/>
      <c r="M104" s="1370"/>
      <c r="N104" s="1370"/>
    </row>
    <row r="105" spans="2:14" hidden="1">
      <c r="B105" s="1368"/>
      <c r="C105" s="800">
        <v>39590</v>
      </c>
      <c r="D105" s="800">
        <v>39620</v>
      </c>
      <c r="E105" s="741">
        <f t="shared" si="22"/>
        <v>31</v>
      </c>
      <c r="F105" s="1068">
        <v>1000000</v>
      </c>
      <c r="G105" s="1061">
        <f t="shared" si="24"/>
        <v>1000000</v>
      </c>
      <c r="H105" s="1061">
        <f t="shared" si="25"/>
        <v>125000</v>
      </c>
      <c r="I105" s="1061">
        <f t="shared" si="26"/>
        <v>160000</v>
      </c>
      <c r="J105" s="1356">
        <f t="shared" si="23"/>
        <v>285000</v>
      </c>
      <c r="K105" s="1370"/>
      <c r="L105" s="1370"/>
      <c r="M105" s="1370"/>
      <c r="N105" s="1370"/>
    </row>
    <row r="106" spans="2:14" hidden="1">
      <c r="B106" s="1368"/>
      <c r="C106" s="800">
        <v>39621</v>
      </c>
      <c r="D106" s="800">
        <v>39650</v>
      </c>
      <c r="E106" s="741">
        <f t="shared" si="22"/>
        <v>30</v>
      </c>
      <c r="F106" s="1068">
        <v>1000000</v>
      </c>
      <c r="G106" s="1061">
        <f t="shared" si="24"/>
        <v>1000000</v>
      </c>
      <c r="H106" s="1061">
        <f t="shared" si="25"/>
        <v>125000</v>
      </c>
      <c r="I106" s="1061">
        <f t="shared" si="26"/>
        <v>160000</v>
      </c>
      <c r="J106" s="1356">
        <f t="shared" si="23"/>
        <v>285000</v>
      </c>
      <c r="K106" s="1370"/>
      <c r="L106" s="1370"/>
      <c r="M106" s="1370"/>
      <c r="N106" s="1370"/>
    </row>
    <row r="107" spans="2:14" hidden="1">
      <c r="B107" s="1368"/>
      <c r="C107" s="800">
        <v>39651</v>
      </c>
      <c r="D107" s="800">
        <v>39681</v>
      </c>
      <c r="E107" s="741">
        <f t="shared" si="22"/>
        <v>31</v>
      </c>
      <c r="F107" s="1068">
        <v>1000000</v>
      </c>
      <c r="G107" s="1061">
        <f t="shared" si="24"/>
        <v>1000000</v>
      </c>
      <c r="H107" s="1061">
        <f t="shared" si="25"/>
        <v>125000</v>
      </c>
      <c r="I107" s="1061">
        <f t="shared" si="26"/>
        <v>160000</v>
      </c>
      <c r="J107" s="1356">
        <f t="shared" si="23"/>
        <v>285000</v>
      </c>
      <c r="K107" s="1370"/>
      <c r="L107" s="1370"/>
      <c r="M107" s="1370"/>
      <c r="N107" s="1370"/>
    </row>
    <row r="108" spans="2:14" hidden="1">
      <c r="B108" s="1368"/>
      <c r="C108" s="800">
        <v>39682</v>
      </c>
      <c r="D108" s="800">
        <v>39712</v>
      </c>
      <c r="E108" s="741">
        <f t="shared" si="22"/>
        <v>31</v>
      </c>
      <c r="F108" s="1068">
        <v>1000000</v>
      </c>
      <c r="G108" s="1061">
        <f t="shared" si="24"/>
        <v>1000000</v>
      </c>
      <c r="H108" s="1061">
        <f t="shared" si="25"/>
        <v>125000</v>
      </c>
      <c r="I108" s="1061">
        <f t="shared" si="26"/>
        <v>160000</v>
      </c>
      <c r="J108" s="1356">
        <f t="shared" si="23"/>
        <v>285000</v>
      </c>
      <c r="K108" s="1370"/>
      <c r="L108" s="1370"/>
      <c r="M108" s="1370"/>
      <c r="N108" s="1370"/>
    </row>
    <row r="109" spans="2:14" hidden="1">
      <c r="B109" s="1368"/>
      <c r="C109" s="800">
        <v>39713</v>
      </c>
      <c r="D109" s="800">
        <v>39742</v>
      </c>
      <c r="E109" s="741">
        <f t="shared" si="22"/>
        <v>30</v>
      </c>
      <c r="F109" s="1068">
        <v>1000000</v>
      </c>
      <c r="G109" s="1061">
        <f t="shared" si="24"/>
        <v>1000000</v>
      </c>
      <c r="H109" s="1061">
        <f t="shared" si="25"/>
        <v>125000</v>
      </c>
      <c r="I109" s="1061">
        <f t="shared" si="26"/>
        <v>160000</v>
      </c>
      <c r="J109" s="1356">
        <f t="shared" si="23"/>
        <v>285000</v>
      </c>
      <c r="K109" s="1370"/>
      <c r="L109" s="1370"/>
    </row>
    <row r="110" spans="2:14" hidden="1">
      <c r="B110" s="1368"/>
      <c r="C110" s="800">
        <v>39743</v>
      </c>
      <c r="D110" s="800">
        <v>39773</v>
      </c>
      <c r="E110" s="741">
        <f t="shared" si="22"/>
        <v>31</v>
      </c>
      <c r="F110" s="1068">
        <v>1000000</v>
      </c>
      <c r="G110" s="1061">
        <f t="shared" si="24"/>
        <v>1000000</v>
      </c>
      <c r="H110" s="1061">
        <f t="shared" si="25"/>
        <v>125000</v>
      </c>
      <c r="I110" s="1061">
        <f t="shared" si="26"/>
        <v>160000</v>
      </c>
      <c r="J110" s="1356">
        <f t="shared" si="23"/>
        <v>285000</v>
      </c>
      <c r="K110" s="1370"/>
      <c r="L110" s="1370"/>
    </row>
    <row r="111" spans="2:14" hidden="1">
      <c r="B111" s="1368"/>
      <c r="C111" s="800">
        <v>39774</v>
      </c>
      <c r="D111" s="800">
        <v>39803</v>
      </c>
      <c r="E111" s="741">
        <f t="shared" si="22"/>
        <v>30</v>
      </c>
      <c r="F111" s="1068">
        <v>1000000</v>
      </c>
      <c r="G111" s="1061">
        <f t="shared" si="24"/>
        <v>1000000</v>
      </c>
      <c r="H111" s="1061">
        <f t="shared" si="25"/>
        <v>125000</v>
      </c>
      <c r="I111" s="1061">
        <f t="shared" si="26"/>
        <v>160000</v>
      </c>
      <c r="J111" s="1356">
        <f t="shared" si="23"/>
        <v>285000</v>
      </c>
      <c r="K111" s="1370"/>
      <c r="L111" s="1370"/>
    </row>
    <row r="112" spans="2:14" hidden="1">
      <c r="B112" s="1368"/>
      <c r="C112" s="800">
        <v>39804</v>
      </c>
      <c r="D112" s="800">
        <v>39813</v>
      </c>
      <c r="E112" s="741">
        <f t="shared" si="22"/>
        <v>10</v>
      </c>
      <c r="F112" s="1068">
        <v>333333</v>
      </c>
      <c r="G112" s="1061">
        <f t="shared" si="24"/>
        <v>333333</v>
      </c>
      <c r="H112" s="1061">
        <f t="shared" si="25"/>
        <v>41666.625</v>
      </c>
      <c r="I112" s="1061">
        <f t="shared" si="26"/>
        <v>53333.279999999999</v>
      </c>
      <c r="J112" s="1356">
        <f t="shared" si="23"/>
        <v>94999.904999999999</v>
      </c>
      <c r="K112" s="1372"/>
      <c r="L112" s="1372"/>
    </row>
    <row r="113" spans="2:20" hidden="1">
      <c r="B113" s="1368"/>
      <c r="C113" s="2694"/>
      <c r="D113" s="2694"/>
      <c r="E113" s="1361"/>
      <c r="F113" s="2689" t="s">
        <v>716</v>
      </c>
      <c r="G113" s="2690"/>
      <c r="H113" s="2690"/>
      <c r="I113" s="2691"/>
      <c r="J113" s="1366">
        <f>SUM(J101:J112)- SUM(J85:J98)</f>
        <v>1433015.72</v>
      </c>
      <c r="K113" s="1370"/>
      <c r="L113" s="1370"/>
    </row>
    <row r="114" spans="2:20" hidden="1">
      <c r="B114" s="2696" t="s">
        <v>64</v>
      </c>
      <c r="C114" s="2697"/>
      <c r="D114" s="2698"/>
      <c r="E114" s="1384"/>
      <c r="F114" s="1068"/>
      <c r="G114" s="1068"/>
      <c r="H114" s="1068"/>
      <c r="I114" s="1068"/>
      <c r="J114" s="1385"/>
      <c r="K114" s="1370"/>
      <c r="L114" s="1370"/>
    </row>
    <row r="115" spans="2:20" hidden="1">
      <c r="B115" s="1386" t="s">
        <v>726</v>
      </c>
      <c r="C115" s="807">
        <v>39819</v>
      </c>
      <c r="D115" s="807">
        <v>40178</v>
      </c>
      <c r="E115" s="1145">
        <f>_xlfn.DAYS(D115,C115)+1</f>
        <v>360</v>
      </c>
      <c r="F115" s="1357">
        <f>9000000/6</f>
        <v>1500000</v>
      </c>
      <c r="G115" s="1068">
        <f>+F115*40%*12</f>
        <v>7200000</v>
      </c>
      <c r="H115" s="1068">
        <f>+G115*12.5%</f>
        <v>900000</v>
      </c>
      <c r="I115" s="1068">
        <f>+G115*16%</f>
        <v>1152000</v>
      </c>
      <c r="J115" s="1382">
        <f>SUM(H115:I115)</f>
        <v>2052000</v>
      </c>
      <c r="L115" s="2631" t="s">
        <v>727</v>
      </c>
      <c r="M115" s="2632"/>
      <c r="N115" s="2632"/>
      <c r="O115" s="2632"/>
      <c r="P115" s="2632"/>
      <c r="Q115" s="2632"/>
      <c r="R115" s="2632"/>
      <c r="S115" s="2632"/>
      <c r="T115" s="2633"/>
    </row>
    <row r="116" spans="2:20" hidden="1">
      <c r="B116" s="2699" t="str">
        <f>+B25</f>
        <v>Relacion Laboral</v>
      </c>
      <c r="C116" s="2700"/>
      <c r="D116" s="2700"/>
      <c r="E116" s="2700"/>
      <c r="F116" s="2701"/>
      <c r="G116" s="1068"/>
      <c r="H116" s="1068"/>
      <c r="I116" s="1068"/>
      <c r="J116" s="1385"/>
      <c r="L116" s="1093" t="s">
        <v>494</v>
      </c>
      <c r="M116" s="1093" t="s">
        <v>712</v>
      </c>
      <c r="N116" s="1093" t="s">
        <v>713</v>
      </c>
      <c r="O116" s="1093" t="s">
        <v>78</v>
      </c>
      <c r="P116" s="1093" t="s">
        <v>79</v>
      </c>
      <c r="Q116" s="1093" t="s">
        <v>186</v>
      </c>
      <c r="R116" s="1093" t="s">
        <v>187</v>
      </c>
      <c r="S116" s="1093" t="s">
        <v>82</v>
      </c>
      <c r="T116" s="1093" t="s">
        <v>83</v>
      </c>
    </row>
    <row r="117" spans="2:20" hidden="1">
      <c r="B117" s="1387"/>
      <c r="C117" s="807">
        <v>39819</v>
      </c>
      <c r="D117" s="807">
        <v>40178</v>
      </c>
      <c r="E117" s="1145">
        <f>_xlfn.DAYS(D117,C117)+1</f>
        <v>360</v>
      </c>
      <c r="F117" s="1068">
        <f>9000000/6</f>
        <v>1500000</v>
      </c>
      <c r="G117" s="1068">
        <f>+F117*12</f>
        <v>18000000</v>
      </c>
      <c r="H117" s="1068">
        <f>+G117*12.5%</f>
        <v>2250000</v>
      </c>
      <c r="I117" s="1068">
        <f>+G117*16%</f>
        <v>2880000</v>
      </c>
      <c r="J117" s="1382">
        <f>SUM(H117:I117)</f>
        <v>5130000</v>
      </c>
      <c r="K117" s="1388"/>
      <c r="L117" s="1316">
        <v>39819</v>
      </c>
      <c r="M117" s="1316">
        <v>39844</v>
      </c>
      <c r="N117" s="1315">
        <f>9000000/6</f>
        <v>1500000</v>
      </c>
      <c r="O117" s="1088"/>
      <c r="P117" s="1088"/>
      <c r="Q117" s="1088"/>
      <c r="R117" s="1088"/>
      <c r="S117" s="1088"/>
      <c r="T117" s="1088"/>
    </row>
    <row r="118" spans="2:20" hidden="1">
      <c r="B118" s="2692"/>
      <c r="C118" s="2683"/>
      <c r="D118" s="2693"/>
      <c r="E118" s="1389"/>
      <c r="F118" s="2689" t="s">
        <v>716</v>
      </c>
      <c r="G118" s="2690"/>
      <c r="H118" s="2690"/>
      <c r="I118" s="2691"/>
      <c r="J118" s="1366">
        <f>SUM(J117)- SUM(J115)</f>
        <v>3078000</v>
      </c>
      <c r="L118" s="1316">
        <v>39845</v>
      </c>
      <c r="M118" s="1316">
        <v>39872</v>
      </c>
      <c r="N118" s="1315">
        <f t="shared" ref="N118:N128" si="27">9000000/6</f>
        <v>1500000</v>
      </c>
      <c r="O118" s="1088"/>
      <c r="P118" s="1088"/>
      <c r="Q118" s="1088"/>
      <c r="R118" s="1088"/>
      <c r="S118" s="1088"/>
      <c r="T118" s="1088"/>
    </row>
    <row r="119" spans="2:20" hidden="1">
      <c r="B119" s="2692" t="s">
        <v>64</v>
      </c>
      <c r="C119" s="2683"/>
      <c r="D119" s="2693"/>
      <c r="E119" s="1389"/>
      <c r="F119" s="1390"/>
      <c r="G119" s="1391"/>
      <c r="H119" s="1391"/>
      <c r="I119" s="1392"/>
      <c r="J119" s="1366"/>
      <c r="L119" s="1316">
        <v>39873</v>
      </c>
      <c r="M119" s="1316">
        <v>39903</v>
      </c>
      <c r="N119" s="1315">
        <f t="shared" si="27"/>
        <v>1500000</v>
      </c>
      <c r="O119" s="1088"/>
      <c r="P119" s="1088"/>
      <c r="Q119" s="1088"/>
      <c r="R119" s="1088"/>
      <c r="S119" s="1088"/>
      <c r="T119" s="1088"/>
    </row>
    <row r="120" spans="2:20" hidden="1">
      <c r="B120" s="1145" t="s">
        <v>728</v>
      </c>
      <c r="C120" s="800">
        <v>40199</v>
      </c>
      <c r="D120" s="800">
        <v>40224</v>
      </c>
      <c r="E120" s="741">
        <f t="shared" ref="E120:E131" si="28">_xlfn.DAYS(D120,C120)+1</f>
        <v>26</v>
      </c>
      <c r="F120" s="1068">
        <v>1500000</v>
      </c>
      <c r="G120" s="1061">
        <f>+F120*40%</f>
        <v>600000</v>
      </c>
      <c r="H120" s="1061">
        <f>+G120*12.5%</f>
        <v>75000</v>
      </c>
      <c r="I120" s="1061">
        <f>+G120*16%</f>
        <v>96000</v>
      </c>
      <c r="J120" s="1356">
        <f t="shared" ref="J120:J131" si="29">SUM(H120:I120)</f>
        <v>171000</v>
      </c>
      <c r="L120" s="1316">
        <v>39904</v>
      </c>
      <c r="M120" s="1316">
        <v>39933</v>
      </c>
      <c r="N120" s="1315">
        <f t="shared" si="27"/>
        <v>1500000</v>
      </c>
      <c r="O120" s="1088"/>
      <c r="P120" s="1088"/>
      <c r="Q120" s="1088"/>
      <c r="R120" s="1088"/>
      <c r="S120" s="1088"/>
      <c r="T120" s="1088"/>
    </row>
    <row r="121" spans="2:20" hidden="1">
      <c r="B121" s="741"/>
      <c r="C121" s="800">
        <v>40210</v>
      </c>
      <c r="D121" s="800">
        <v>40237</v>
      </c>
      <c r="E121" s="741">
        <f t="shared" si="28"/>
        <v>28</v>
      </c>
      <c r="F121" s="1068">
        <v>1500000</v>
      </c>
      <c r="G121" s="1061">
        <f t="shared" ref="G121:G131" si="30">+F121*40%</f>
        <v>600000</v>
      </c>
      <c r="H121" s="1061">
        <f t="shared" ref="H121:H131" si="31">+G121*12.5%</f>
        <v>75000</v>
      </c>
      <c r="I121" s="1061">
        <f t="shared" ref="I121:I131" si="32">+G121*16%</f>
        <v>96000</v>
      </c>
      <c r="J121" s="1356">
        <f t="shared" si="29"/>
        <v>171000</v>
      </c>
      <c r="L121" s="1316">
        <v>39934</v>
      </c>
      <c r="M121" s="1316">
        <v>39964</v>
      </c>
      <c r="N121" s="1315">
        <f t="shared" si="27"/>
        <v>1500000</v>
      </c>
      <c r="O121" s="1088"/>
      <c r="P121" s="1088"/>
      <c r="Q121" s="1088"/>
      <c r="R121" s="1088"/>
      <c r="S121" s="1088"/>
      <c r="T121" s="1088"/>
    </row>
    <row r="122" spans="2:20" hidden="1">
      <c r="B122" s="741"/>
      <c r="C122" s="800">
        <v>40238</v>
      </c>
      <c r="D122" s="800">
        <v>40268</v>
      </c>
      <c r="E122" s="741">
        <f t="shared" si="28"/>
        <v>31</v>
      </c>
      <c r="F122" s="1068">
        <v>1500000</v>
      </c>
      <c r="G122" s="1061">
        <f t="shared" si="30"/>
        <v>600000</v>
      </c>
      <c r="H122" s="1061">
        <f t="shared" si="31"/>
        <v>75000</v>
      </c>
      <c r="I122" s="1061">
        <f t="shared" si="32"/>
        <v>96000</v>
      </c>
      <c r="J122" s="1356">
        <f t="shared" si="29"/>
        <v>171000</v>
      </c>
      <c r="L122" s="1316">
        <v>39965</v>
      </c>
      <c r="M122" s="1316">
        <v>39994</v>
      </c>
      <c r="N122" s="1315">
        <f t="shared" si="27"/>
        <v>1500000</v>
      </c>
      <c r="O122" s="1061"/>
      <c r="P122" s="1061"/>
      <c r="Q122" s="1061"/>
      <c r="R122" s="1061"/>
      <c r="S122" s="1061"/>
      <c r="T122" s="1061"/>
    </row>
    <row r="123" spans="2:20" hidden="1">
      <c r="B123" s="741"/>
      <c r="C123" s="800">
        <v>40269</v>
      </c>
      <c r="D123" s="800">
        <v>40298</v>
      </c>
      <c r="E123" s="741">
        <f t="shared" si="28"/>
        <v>30</v>
      </c>
      <c r="F123" s="1068">
        <v>1500000</v>
      </c>
      <c r="G123" s="1061">
        <f t="shared" si="30"/>
        <v>600000</v>
      </c>
      <c r="H123" s="1061">
        <f t="shared" si="31"/>
        <v>75000</v>
      </c>
      <c r="I123" s="1061">
        <f t="shared" si="32"/>
        <v>96000</v>
      </c>
      <c r="J123" s="1356">
        <f t="shared" si="29"/>
        <v>171000</v>
      </c>
      <c r="L123" s="1316">
        <v>39995</v>
      </c>
      <c r="M123" s="1316">
        <v>40025</v>
      </c>
      <c r="N123" s="1315">
        <f t="shared" si="27"/>
        <v>1500000</v>
      </c>
      <c r="O123" s="741"/>
      <c r="P123" s="741"/>
      <c r="Q123" s="741"/>
      <c r="R123" s="741"/>
      <c r="S123" s="741"/>
      <c r="T123" s="741"/>
    </row>
    <row r="124" spans="2:20" hidden="1">
      <c r="B124" s="741"/>
      <c r="C124" s="800">
        <v>40299</v>
      </c>
      <c r="D124" s="800">
        <v>40329</v>
      </c>
      <c r="E124" s="741">
        <f t="shared" si="28"/>
        <v>31</v>
      </c>
      <c r="F124" s="1068">
        <v>1500000</v>
      </c>
      <c r="G124" s="1061">
        <f t="shared" si="30"/>
        <v>600000</v>
      </c>
      <c r="H124" s="1061">
        <f t="shared" si="31"/>
        <v>75000</v>
      </c>
      <c r="I124" s="1061">
        <f t="shared" si="32"/>
        <v>96000</v>
      </c>
      <c r="J124" s="1356">
        <f t="shared" si="29"/>
        <v>171000</v>
      </c>
      <c r="L124" s="1316">
        <v>40026</v>
      </c>
      <c r="M124" s="1316">
        <v>40056</v>
      </c>
      <c r="N124" s="1315">
        <f t="shared" si="27"/>
        <v>1500000</v>
      </c>
      <c r="O124" s="741"/>
      <c r="P124" s="741"/>
      <c r="Q124" s="741"/>
      <c r="R124" s="741"/>
      <c r="S124" s="741"/>
      <c r="T124" s="741"/>
    </row>
    <row r="125" spans="2:20" hidden="1">
      <c r="B125" s="741"/>
      <c r="C125" s="800">
        <v>40330</v>
      </c>
      <c r="D125" s="800">
        <v>40359</v>
      </c>
      <c r="E125" s="741">
        <f t="shared" si="28"/>
        <v>30</v>
      </c>
      <c r="F125" s="1068">
        <v>1500000</v>
      </c>
      <c r="G125" s="1061">
        <f t="shared" si="30"/>
        <v>600000</v>
      </c>
      <c r="H125" s="1061">
        <f t="shared" si="31"/>
        <v>75000</v>
      </c>
      <c r="I125" s="1061">
        <f t="shared" si="32"/>
        <v>96000</v>
      </c>
      <c r="J125" s="1356">
        <f t="shared" si="29"/>
        <v>171000</v>
      </c>
      <c r="L125" s="1316">
        <v>40057</v>
      </c>
      <c r="M125" s="1316">
        <v>40086</v>
      </c>
      <c r="N125" s="1315">
        <f t="shared" si="27"/>
        <v>1500000</v>
      </c>
      <c r="O125" s="741"/>
      <c r="P125" s="741"/>
      <c r="Q125" s="741"/>
      <c r="R125" s="741"/>
      <c r="S125" s="741"/>
      <c r="T125" s="741"/>
    </row>
    <row r="126" spans="2:20" hidden="1">
      <c r="B126" s="741"/>
      <c r="C126" s="800">
        <v>40360</v>
      </c>
      <c r="D126" s="800">
        <v>40390</v>
      </c>
      <c r="E126" s="741">
        <f t="shared" si="28"/>
        <v>31</v>
      </c>
      <c r="F126" s="1068">
        <v>1500000</v>
      </c>
      <c r="G126" s="1061">
        <f t="shared" si="30"/>
        <v>600000</v>
      </c>
      <c r="H126" s="1061">
        <f t="shared" si="31"/>
        <v>75000</v>
      </c>
      <c r="I126" s="1061">
        <f t="shared" si="32"/>
        <v>96000</v>
      </c>
      <c r="J126" s="1356">
        <f t="shared" si="29"/>
        <v>171000</v>
      </c>
      <c r="L126" s="1316">
        <v>40087</v>
      </c>
      <c r="M126" s="1316">
        <v>40117</v>
      </c>
      <c r="N126" s="1315">
        <f t="shared" si="27"/>
        <v>1500000</v>
      </c>
      <c r="O126" s="741"/>
      <c r="P126" s="741"/>
      <c r="Q126" s="741"/>
      <c r="R126" s="741"/>
      <c r="S126" s="741"/>
      <c r="T126" s="741"/>
    </row>
    <row r="127" spans="2:20" hidden="1">
      <c r="B127" s="741"/>
      <c r="C127" s="800">
        <v>40391</v>
      </c>
      <c r="D127" s="800">
        <v>40421</v>
      </c>
      <c r="E127" s="741">
        <f t="shared" si="28"/>
        <v>31</v>
      </c>
      <c r="F127" s="1068">
        <v>1500000</v>
      </c>
      <c r="G127" s="1061">
        <f t="shared" si="30"/>
        <v>600000</v>
      </c>
      <c r="H127" s="1061">
        <f t="shared" si="31"/>
        <v>75000</v>
      </c>
      <c r="I127" s="1061">
        <f t="shared" si="32"/>
        <v>96000</v>
      </c>
      <c r="J127" s="1356">
        <f t="shared" si="29"/>
        <v>171000</v>
      </c>
      <c r="L127" s="1316">
        <v>40118</v>
      </c>
      <c r="M127" s="1316">
        <v>40147</v>
      </c>
      <c r="N127" s="1315">
        <f t="shared" si="27"/>
        <v>1500000</v>
      </c>
      <c r="O127" s="741"/>
      <c r="P127" s="741"/>
      <c r="Q127" s="741"/>
      <c r="R127" s="741"/>
      <c r="S127" s="741"/>
      <c r="T127" s="741"/>
    </row>
    <row r="128" spans="2:20" hidden="1">
      <c r="B128" s="741"/>
      <c r="C128" s="800">
        <v>40422</v>
      </c>
      <c r="D128" s="800">
        <v>40451</v>
      </c>
      <c r="E128" s="741">
        <f t="shared" si="28"/>
        <v>30</v>
      </c>
      <c r="F128" s="1068">
        <v>1500000</v>
      </c>
      <c r="G128" s="1061">
        <f t="shared" si="30"/>
        <v>600000</v>
      </c>
      <c r="H128" s="1061">
        <f t="shared" si="31"/>
        <v>75000</v>
      </c>
      <c r="I128" s="1061">
        <f t="shared" si="32"/>
        <v>96000</v>
      </c>
      <c r="J128" s="1356">
        <f t="shared" si="29"/>
        <v>171000</v>
      </c>
      <c r="L128" s="1316">
        <v>40148</v>
      </c>
      <c r="M128" s="1316">
        <v>40178</v>
      </c>
      <c r="N128" s="1315">
        <f t="shared" si="27"/>
        <v>1500000</v>
      </c>
      <c r="O128" s="741"/>
      <c r="P128" s="741"/>
      <c r="Q128" s="741"/>
      <c r="R128" s="741"/>
      <c r="S128" s="741"/>
      <c r="T128" s="741"/>
    </row>
    <row r="129" spans="2:20" hidden="1">
      <c r="B129" s="741"/>
      <c r="C129" s="800">
        <v>40452</v>
      </c>
      <c r="D129" s="800">
        <v>40482</v>
      </c>
      <c r="E129" s="741">
        <f t="shared" si="28"/>
        <v>31</v>
      </c>
      <c r="F129" s="1068">
        <v>1500000</v>
      </c>
      <c r="G129" s="1061">
        <f t="shared" si="30"/>
        <v>600000</v>
      </c>
      <c r="H129" s="1061">
        <f t="shared" si="31"/>
        <v>75000</v>
      </c>
      <c r="I129" s="1061">
        <f t="shared" si="32"/>
        <v>96000</v>
      </c>
      <c r="J129" s="1356">
        <f t="shared" si="29"/>
        <v>171000</v>
      </c>
      <c r="M129" s="814"/>
      <c r="N129" s="814"/>
    </row>
    <row r="130" spans="2:20" hidden="1">
      <c r="B130" s="741"/>
      <c r="C130" s="800">
        <v>40483</v>
      </c>
      <c r="D130" s="800">
        <v>40512</v>
      </c>
      <c r="E130" s="741">
        <f t="shared" si="28"/>
        <v>30</v>
      </c>
      <c r="F130" s="1068">
        <v>1500000</v>
      </c>
      <c r="G130" s="1061">
        <f t="shared" si="30"/>
        <v>600000</v>
      </c>
      <c r="H130" s="1061">
        <f t="shared" si="31"/>
        <v>75000</v>
      </c>
      <c r="I130" s="1061">
        <f t="shared" si="32"/>
        <v>96000</v>
      </c>
      <c r="J130" s="1356">
        <f t="shared" si="29"/>
        <v>171000</v>
      </c>
      <c r="M130" s="814"/>
      <c r="N130" s="814"/>
    </row>
    <row r="131" spans="2:20" hidden="1">
      <c r="B131" s="741"/>
      <c r="C131" s="800">
        <v>40513</v>
      </c>
      <c r="D131" s="800">
        <v>40543</v>
      </c>
      <c r="E131" s="741">
        <f t="shared" si="28"/>
        <v>31</v>
      </c>
      <c r="F131" s="1068">
        <v>1500000</v>
      </c>
      <c r="G131" s="1061">
        <f t="shared" si="30"/>
        <v>600000</v>
      </c>
      <c r="H131" s="1061">
        <f t="shared" si="31"/>
        <v>75000</v>
      </c>
      <c r="I131" s="1061">
        <f t="shared" si="32"/>
        <v>96000</v>
      </c>
      <c r="J131" s="1356">
        <f t="shared" si="29"/>
        <v>171000</v>
      </c>
      <c r="M131" s="814"/>
      <c r="N131" s="814"/>
    </row>
    <row r="132" spans="2:20" hidden="1">
      <c r="B132" s="1132"/>
      <c r="C132" s="2694" t="s">
        <v>719</v>
      </c>
      <c r="D132" s="2694"/>
      <c r="E132" s="1361">
        <f>SUM(E120:E131)</f>
        <v>360</v>
      </c>
      <c r="F132" s="1363"/>
      <c r="G132" s="1061"/>
      <c r="H132" s="1061"/>
      <c r="I132" s="1061"/>
      <c r="J132" s="1356"/>
      <c r="L132" s="2631" t="s">
        <v>729</v>
      </c>
      <c r="M132" s="2632"/>
      <c r="N132" s="2632"/>
      <c r="O132" s="2632"/>
      <c r="P132" s="2632"/>
      <c r="Q132" s="2632"/>
      <c r="R132" s="2632"/>
      <c r="S132" s="2632"/>
      <c r="T132" s="2633"/>
    </row>
    <row r="133" spans="2:20" hidden="1">
      <c r="B133" s="2604" t="str">
        <f>+B14</f>
        <v>Relacion Laboral</v>
      </c>
      <c r="C133" s="2681"/>
      <c r="D133" s="2681"/>
      <c r="E133" s="2681"/>
      <c r="F133" s="2605"/>
      <c r="G133" s="1061"/>
      <c r="H133" s="1061"/>
      <c r="I133" s="1061"/>
      <c r="J133" s="858"/>
      <c r="L133" s="1093" t="s">
        <v>494</v>
      </c>
      <c r="M133" s="1093" t="s">
        <v>712</v>
      </c>
      <c r="N133" s="1093" t="s">
        <v>713</v>
      </c>
      <c r="O133" s="1093" t="s">
        <v>78</v>
      </c>
      <c r="P133" s="1093" t="s">
        <v>79</v>
      </c>
      <c r="Q133" s="1093" t="s">
        <v>186</v>
      </c>
      <c r="R133" s="1093" t="s">
        <v>187</v>
      </c>
      <c r="S133" s="1093" t="s">
        <v>82</v>
      </c>
      <c r="T133" s="1093" t="s">
        <v>83</v>
      </c>
    </row>
    <row r="134" spans="2:20" hidden="1">
      <c r="B134" s="1393"/>
      <c r="C134" s="800">
        <v>40199</v>
      </c>
      <c r="D134" s="800">
        <v>40224</v>
      </c>
      <c r="E134" s="741">
        <f t="shared" ref="E134:E145" si="33">_xlfn.DAYS(D134,C134)+1</f>
        <v>26</v>
      </c>
      <c r="F134" s="1068">
        <v>1500000</v>
      </c>
      <c r="G134" s="1061">
        <f>+F134</f>
        <v>1500000</v>
      </c>
      <c r="H134" s="1061">
        <f>+F134*12.5%</f>
        <v>187500</v>
      </c>
      <c r="I134" s="1061">
        <f>+F134*16%</f>
        <v>240000</v>
      </c>
      <c r="J134" s="1356">
        <f>SUM(H134:I134)</f>
        <v>427500</v>
      </c>
      <c r="L134" s="1316">
        <v>40199</v>
      </c>
      <c r="M134" s="1316">
        <v>40209</v>
      </c>
      <c r="N134" s="1315">
        <f>9000000/6</f>
        <v>1500000</v>
      </c>
      <c r="O134" s="1088"/>
      <c r="P134" s="1088"/>
      <c r="Q134" s="1088"/>
      <c r="R134" s="1088"/>
      <c r="S134" s="1088"/>
      <c r="T134" s="1088"/>
    </row>
    <row r="135" spans="2:20" hidden="1">
      <c r="B135" s="1393"/>
      <c r="C135" s="800">
        <v>40225</v>
      </c>
      <c r="D135" s="800">
        <v>40237</v>
      </c>
      <c r="E135" s="741">
        <f t="shared" si="33"/>
        <v>13</v>
      </c>
      <c r="F135" s="1068">
        <v>1500000</v>
      </c>
      <c r="G135" s="1061">
        <f t="shared" ref="G135:G145" si="34">+F135</f>
        <v>1500000</v>
      </c>
      <c r="H135" s="1061">
        <f t="shared" ref="H135:H145" si="35">+F135*12.5%</f>
        <v>187500</v>
      </c>
      <c r="I135" s="1061">
        <f t="shared" ref="I135:I145" si="36">+F135*16%</f>
        <v>240000</v>
      </c>
      <c r="J135" s="1356">
        <f t="shared" ref="J135:J145" si="37">SUM(H135:I135)</f>
        <v>427500</v>
      </c>
      <c r="L135" s="1316">
        <v>40210</v>
      </c>
      <c r="M135" s="1316">
        <v>40237</v>
      </c>
      <c r="N135" s="1315">
        <f t="shared" ref="N135:N145" si="38">9000000/6</f>
        <v>1500000</v>
      </c>
      <c r="O135" s="1088"/>
      <c r="P135" s="1088"/>
      <c r="Q135" s="1088"/>
      <c r="R135" s="1088"/>
      <c r="S135" s="1088"/>
      <c r="T135" s="1088"/>
    </row>
    <row r="136" spans="2:20" hidden="1">
      <c r="B136" s="1393"/>
      <c r="C136" s="800">
        <v>40238</v>
      </c>
      <c r="D136" s="800">
        <v>40268</v>
      </c>
      <c r="E136" s="741">
        <f t="shared" si="33"/>
        <v>31</v>
      </c>
      <c r="F136" s="1068">
        <v>1500000</v>
      </c>
      <c r="G136" s="1061">
        <f t="shared" si="34"/>
        <v>1500000</v>
      </c>
      <c r="H136" s="1061">
        <f t="shared" si="35"/>
        <v>187500</v>
      </c>
      <c r="I136" s="1061">
        <f t="shared" si="36"/>
        <v>240000</v>
      </c>
      <c r="J136" s="1356">
        <f t="shared" si="37"/>
        <v>427500</v>
      </c>
      <c r="L136" s="1316">
        <v>40238</v>
      </c>
      <c r="M136" s="1316">
        <v>40268</v>
      </c>
      <c r="N136" s="1315">
        <f t="shared" si="38"/>
        <v>1500000</v>
      </c>
      <c r="O136" s="1088"/>
      <c r="P136" s="1088"/>
      <c r="Q136" s="1088"/>
      <c r="R136" s="1088"/>
      <c r="S136" s="1088"/>
      <c r="T136" s="1088"/>
    </row>
    <row r="137" spans="2:20" hidden="1">
      <c r="B137" s="1393"/>
      <c r="C137" s="800">
        <v>40269</v>
      </c>
      <c r="D137" s="800">
        <v>40298</v>
      </c>
      <c r="E137" s="741">
        <f t="shared" si="33"/>
        <v>30</v>
      </c>
      <c r="F137" s="1068">
        <v>1500000</v>
      </c>
      <c r="G137" s="1061">
        <f t="shared" si="34"/>
        <v>1500000</v>
      </c>
      <c r="H137" s="1061">
        <f t="shared" si="35"/>
        <v>187500</v>
      </c>
      <c r="I137" s="1061">
        <f t="shared" si="36"/>
        <v>240000</v>
      </c>
      <c r="J137" s="1356">
        <f t="shared" si="37"/>
        <v>427500</v>
      </c>
      <c r="L137" s="1316">
        <v>40269</v>
      </c>
      <c r="M137" s="1316">
        <v>40298</v>
      </c>
      <c r="N137" s="1315">
        <f t="shared" si="38"/>
        <v>1500000</v>
      </c>
      <c r="O137" s="1088"/>
      <c r="P137" s="1088"/>
      <c r="Q137" s="1088"/>
      <c r="R137" s="1088"/>
      <c r="S137" s="1088"/>
      <c r="T137" s="1088"/>
    </row>
    <row r="138" spans="2:20" hidden="1">
      <c r="B138" s="1393"/>
      <c r="C138" s="800">
        <v>40299</v>
      </c>
      <c r="D138" s="800">
        <v>40329</v>
      </c>
      <c r="E138" s="741">
        <f t="shared" si="33"/>
        <v>31</v>
      </c>
      <c r="F138" s="1068">
        <v>1500000</v>
      </c>
      <c r="G138" s="1061">
        <f t="shared" si="34"/>
        <v>1500000</v>
      </c>
      <c r="H138" s="1061">
        <f t="shared" si="35"/>
        <v>187500</v>
      </c>
      <c r="I138" s="1061">
        <f t="shared" si="36"/>
        <v>240000</v>
      </c>
      <c r="J138" s="1356">
        <f t="shared" si="37"/>
        <v>427500</v>
      </c>
      <c r="L138" s="1316">
        <v>40299</v>
      </c>
      <c r="M138" s="1316">
        <v>40329</v>
      </c>
      <c r="N138" s="1315">
        <f t="shared" si="38"/>
        <v>1500000</v>
      </c>
      <c r="O138" s="1088"/>
      <c r="P138" s="1088"/>
      <c r="Q138" s="1088"/>
      <c r="R138" s="1088"/>
      <c r="S138" s="1088"/>
      <c r="T138" s="1088"/>
    </row>
    <row r="139" spans="2:20" hidden="1">
      <c r="B139" s="1393"/>
      <c r="C139" s="800">
        <v>40330</v>
      </c>
      <c r="D139" s="800">
        <v>40359</v>
      </c>
      <c r="E139" s="741">
        <f t="shared" si="33"/>
        <v>30</v>
      </c>
      <c r="F139" s="1068">
        <v>1500000</v>
      </c>
      <c r="G139" s="1061">
        <f t="shared" si="34"/>
        <v>1500000</v>
      </c>
      <c r="H139" s="1061">
        <f t="shared" si="35"/>
        <v>187500</v>
      </c>
      <c r="I139" s="1061">
        <f t="shared" si="36"/>
        <v>240000</v>
      </c>
      <c r="J139" s="1356">
        <f t="shared" si="37"/>
        <v>427500</v>
      </c>
      <c r="L139" s="1316">
        <v>40330</v>
      </c>
      <c r="M139" s="1316">
        <v>40359</v>
      </c>
      <c r="N139" s="1315">
        <f t="shared" si="38"/>
        <v>1500000</v>
      </c>
      <c r="O139" s="1061"/>
      <c r="P139" s="1061"/>
      <c r="Q139" s="1061"/>
      <c r="R139" s="1061"/>
      <c r="S139" s="1061"/>
      <c r="T139" s="1061"/>
    </row>
    <row r="140" spans="2:20" hidden="1">
      <c r="B140" s="1393"/>
      <c r="C140" s="800">
        <v>40360</v>
      </c>
      <c r="D140" s="800">
        <v>40390</v>
      </c>
      <c r="E140" s="741">
        <f t="shared" si="33"/>
        <v>31</v>
      </c>
      <c r="F140" s="1068">
        <v>1500000</v>
      </c>
      <c r="G140" s="1061">
        <f t="shared" si="34"/>
        <v>1500000</v>
      </c>
      <c r="H140" s="1061">
        <f t="shared" si="35"/>
        <v>187500</v>
      </c>
      <c r="I140" s="1061">
        <f t="shared" si="36"/>
        <v>240000</v>
      </c>
      <c r="J140" s="1356">
        <f t="shared" si="37"/>
        <v>427500</v>
      </c>
      <c r="L140" s="1316">
        <v>40360</v>
      </c>
      <c r="M140" s="1316">
        <v>40390</v>
      </c>
      <c r="N140" s="1315">
        <f t="shared" si="38"/>
        <v>1500000</v>
      </c>
      <c r="O140" s="741"/>
      <c r="P140" s="741"/>
      <c r="Q140" s="741"/>
      <c r="R140" s="741"/>
      <c r="S140" s="741"/>
      <c r="T140" s="741"/>
    </row>
    <row r="141" spans="2:20" hidden="1">
      <c r="B141" s="1393"/>
      <c r="C141" s="800">
        <v>40391</v>
      </c>
      <c r="D141" s="800">
        <v>40421</v>
      </c>
      <c r="E141" s="741">
        <f t="shared" si="33"/>
        <v>31</v>
      </c>
      <c r="F141" s="1068">
        <v>1500000</v>
      </c>
      <c r="G141" s="1061">
        <f t="shared" si="34"/>
        <v>1500000</v>
      </c>
      <c r="H141" s="1061">
        <f t="shared" si="35"/>
        <v>187500</v>
      </c>
      <c r="I141" s="1061">
        <f t="shared" si="36"/>
        <v>240000</v>
      </c>
      <c r="J141" s="1356">
        <f t="shared" si="37"/>
        <v>427500</v>
      </c>
      <c r="L141" s="1316">
        <v>40391</v>
      </c>
      <c r="M141" s="1316">
        <v>40421</v>
      </c>
      <c r="N141" s="1315">
        <f t="shared" si="38"/>
        <v>1500000</v>
      </c>
      <c r="O141" s="741"/>
      <c r="P141" s="741"/>
      <c r="Q141" s="741"/>
      <c r="R141" s="741"/>
      <c r="S141" s="741"/>
      <c r="T141" s="741"/>
    </row>
    <row r="142" spans="2:20" hidden="1">
      <c r="B142" s="1393"/>
      <c r="C142" s="800">
        <v>40422</v>
      </c>
      <c r="D142" s="800">
        <v>40451</v>
      </c>
      <c r="E142" s="741">
        <f t="shared" si="33"/>
        <v>30</v>
      </c>
      <c r="F142" s="1068">
        <v>1500000</v>
      </c>
      <c r="G142" s="1061">
        <f t="shared" si="34"/>
        <v>1500000</v>
      </c>
      <c r="H142" s="1061">
        <f t="shared" si="35"/>
        <v>187500</v>
      </c>
      <c r="I142" s="1061">
        <f t="shared" si="36"/>
        <v>240000</v>
      </c>
      <c r="J142" s="1356">
        <f t="shared" si="37"/>
        <v>427500</v>
      </c>
      <c r="L142" s="1316">
        <v>40422</v>
      </c>
      <c r="M142" s="1316">
        <v>40451</v>
      </c>
      <c r="N142" s="1315">
        <f t="shared" si="38"/>
        <v>1500000</v>
      </c>
      <c r="O142" s="741"/>
      <c r="P142" s="741"/>
      <c r="Q142" s="741"/>
      <c r="R142" s="741"/>
      <c r="S142" s="741"/>
      <c r="T142" s="741"/>
    </row>
    <row r="143" spans="2:20" hidden="1">
      <c r="B143" s="1393"/>
      <c r="C143" s="800">
        <v>40452</v>
      </c>
      <c r="D143" s="800">
        <v>40482</v>
      </c>
      <c r="E143" s="741">
        <f t="shared" si="33"/>
        <v>31</v>
      </c>
      <c r="F143" s="1068">
        <v>1500000</v>
      </c>
      <c r="G143" s="1061">
        <f t="shared" si="34"/>
        <v>1500000</v>
      </c>
      <c r="H143" s="1061">
        <f t="shared" si="35"/>
        <v>187500</v>
      </c>
      <c r="I143" s="1061">
        <f t="shared" si="36"/>
        <v>240000</v>
      </c>
      <c r="J143" s="1356">
        <f t="shared" si="37"/>
        <v>427500</v>
      </c>
      <c r="L143" s="1316">
        <v>40452</v>
      </c>
      <c r="M143" s="1316">
        <v>40482</v>
      </c>
      <c r="N143" s="1315">
        <f t="shared" si="38"/>
        <v>1500000</v>
      </c>
      <c r="O143" s="741"/>
      <c r="P143" s="741"/>
      <c r="Q143" s="741"/>
      <c r="R143" s="741"/>
      <c r="S143" s="741"/>
      <c r="T143" s="741"/>
    </row>
    <row r="144" spans="2:20" hidden="1">
      <c r="B144" s="1393"/>
      <c r="C144" s="800">
        <v>40483</v>
      </c>
      <c r="D144" s="800">
        <v>40512</v>
      </c>
      <c r="E144" s="741">
        <f t="shared" si="33"/>
        <v>30</v>
      </c>
      <c r="F144" s="1068">
        <v>1500000</v>
      </c>
      <c r="G144" s="1061">
        <f t="shared" si="34"/>
        <v>1500000</v>
      </c>
      <c r="H144" s="1061">
        <f t="shared" si="35"/>
        <v>187500</v>
      </c>
      <c r="I144" s="1061">
        <f t="shared" si="36"/>
        <v>240000</v>
      </c>
      <c r="J144" s="1356">
        <f t="shared" si="37"/>
        <v>427500</v>
      </c>
      <c r="L144" s="1316">
        <v>40483</v>
      </c>
      <c r="M144" s="1316">
        <v>40512</v>
      </c>
      <c r="N144" s="1315">
        <f t="shared" si="38"/>
        <v>1500000</v>
      </c>
      <c r="O144" s="741"/>
      <c r="P144" s="741"/>
      <c r="Q144" s="741"/>
      <c r="R144" s="741"/>
      <c r="S144" s="741"/>
      <c r="T144" s="741"/>
    </row>
    <row r="145" spans="2:20" hidden="1">
      <c r="B145" s="1369"/>
      <c r="C145" s="800">
        <v>40513</v>
      </c>
      <c r="D145" s="800">
        <v>40543</v>
      </c>
      <c r="E145" s="741">
        <f t="shared" si="33"/>
        <v>31</v>
      </c>
      <c r="F145" s="1357">
        <v>1500000</v>
      </c>
      <c r="G145" s="1061">
        <f t="shared" si="34"/>
        <v>1500000</v>
      </c>
      <c r="H145" s="1061">
        <f t="shared" si="35"/>
        <v>187500</v>
      </c>
      <c r="I145" s="1061">
        <f t="shared" si="36"/>
        <v>240000</v>
      </c>
      <c r="J145" s="1356">
        <f t="shared" si="37"/>
        <v>427500</v>
      </c>
      <c r="K145" s="1372"/>
      <c r="L145" s="1316">
        <v>40513</v>
      </c>
      <c r="M145" s="1316">
        <v>40543</v>
      </c>
      <c r="N145" s="1315">
        <f t="shared" si="38"/>
        <v>1500000</v>
      </c>
      <c r="O145" s="741"/>
      <c r="P145" s="741"/>
      <c r="Q145" s="741"/>
      <c r="R145" s="741"/>
      <c r="S145" s="741"/>
      <c r="T145" s="741"/>
    </row>
    <row r="146" spans="2:20" hidden="1">
      <c r="B146" s="1369"/>
      <c r="C146" s="1393"/>
      <c r="D146" s="1394"/>
      <c r="E146" s="1389"/>
      <c r="F146" s="2689" t="s">
        <v>716</v>
      </c>
      <c r="G146" s="2690"/>
      <c r="H146" s="2690"/>
      <c r="I146" s="2691"/>
      <c r="J146" s="1366">
        <f>SUM(J134:J145)- SUM(J120:J131)</f>
        <v>3078000</v>
      </c>
      <c r="M146" s="814"/>
      <c r="N146" s="814"/>
    </row>
    <row r="147" spans="2:20" hidden="1">
      <c r="B147" s="2692" t="s">
        <v>64</v>
      </c>
      <c r="C147" s="2683"/>
      <c r="D147" s="2693"/>
      <c r="E147" s="1389"/>
      <c r="F147" s="1068"/>
      <c r="G147" s="1061"/>
      <c r="H147" s="1061"/>
      <c r="I147" s="1061"/>
      <c r="J147" s="858"/>
      <c r="M147" s="814"/>
      <c r="N147" s="814"/>
    </row>
    <row r="148" spans="2:20" hidden="1">
      <c r="B148" s="741" t="s">
        <v>730</v>
      </c>
      <c r="C148" s="800">
        <v>40576</v>
      </c>
      <c r="D148" s="800">
        <v>40604</v>
      </c>
      <c r="E148" s="741">
        <f t="shared" ref="E148:E157" si="39">_xlfn.DAYS(D148,C148)+1</f>
        <v>29</v>
      </c>
      <c r="F148" s="1068">
        <v>1700000</v>
      </c>
      <c r="G148" s="1061">
        <f>+F148*40%</f>
        <v>680000</v>
      </c>
      <c r="H148" s="1061">
        <f>+G148*12.5%</f>
        <v>85000</v>
      </c>
      <c r="I148" s="1061">
        <f>+G148*16%</f>
        <v>108800</v>
      </c>
      <c r="J148" s="1356">
        <f t="shared" ref="J148:J157" si="40">SUM(H148:I148)</f>
        <v>193800</v>
      </c>
      <c r="L148" s="2631" t="s">
        <v>731</v>
      </c>
      <c r="M148" s="2632"/>
      <c r="N148" s="2632"/>
      <c r="O148" s="2632"/>
      <c r="P148" s="2632"/>
      <c r="Q148" s="2632"/>
      <c r="R148" s="2632"/>
      <c r="S148" s="2632"/>
      <c r="T148" s="2633"/>
    </row>
    <row r="149" spans="2:20" hidden="1">
      <c r="B149" s="741"/>
      <c r="C149" s="800">
        <v>40605</v>
      </c>
      <c r="D149" s="800">
        <v>40635</v>
      </c>
      <c r="E149" s="741">
        <f t="shared" si="39"/>
        <v>31</v>
      </c>
      <c r="F149" s="1068">
        <v>1700000</v>
      </c>
      <c r="G149" s="1061">
        <f t="shared" ref="G149:G156" si="41">+F149*40%</f>
        <v>680000</v>
      </c>
      <c r="H149" s="1061">
        <f t="shared" ref="H149:H157" si="42">+G149*12.5%</f>
        <v>85000</v>
      </c>
      <c r="I149" s="1061">
        <f t="shared" ref="I149:I157" si="43">+G149*16%</f>
        <v>108800</v>
      </c>
      <c r="J149" s="1356">
        <f t="shared" si="40"/>
        <v>193800</v>
      </c>
      <c r="L149" s="1093" t="s">
        <v>494</v>
      </c>
      <c r="M149" s="1093" t="s">
        <v>712</v>
      </c>
      <c r="N149" s="1093" t="s">
        <v>713</v>
      </c>
      <c r="O149" s="1093" t="s">
        <v>78</v>
      </c>
      <c r="P149" s="1093" t="s">
        <v>79</v>
      </c>
      <c r="Q149" s="1093" t="s">
        <v>186</v>
      </c>
      <c r="R149" s="1093" t="s">
        <v>187</v>
      </c>
      <c r="S149" s="1093" t="s">
        <v>82</v>
      </c>
      <c r="T149" s="1093" t="s">
        <v>83</v>
      </c>
    </row>
    <row r="150" spans="2:20" hidden="1">
      <c r="B150" s="741"/>
      <c r="C150" s="800">
        <v>40636</v>
      </c>
      <c r="D150" s="800">
        <v>40665</v>
      </c>
      <c r="E150" s="741">
        <f t="shared" si="39"/>
        <v>30</v>
      </c>
      <c r="F150" s="1068">
        <v>1700000</v>
      </c>
      <c r="G150" s="1061">
        <f t="shared" si="41"/>
        <v>680000</v>
      </c>
      <c r="H150" s="1061">
        <f t="shared" si="42"/>
        <v>85000</v>
      </c>
      <c r="I150" s="1061">
        <f t="shared" si="43"/>
        <v>108800</v>
      </c>
      <c r="J150" s="1356">
        <f t="shared" si="40"/>
        <v>193800</v>
      </c>
      <c r="L150" s="1316">
        <v>40564</v>
      </c>
      <c r="M150" s="1316">
        <v>40574</v>
      </c>
      <c r="N150" s="1315">
        <v>1700000</v>
      </c>
      <c r="O150" s="1088"/>
      <c r="P150" s="1088"/>
      <c r="Q150" s="1088"/>
      <c r="R150" s="1088"/>
      <c r="S150" s="1088"/>
      <c r="T150" s="1088"/>
    </row>
    <row r="151" spans="2:20" hidden="1">
      <c r="B151" s="741"/>
      <c r="C151" s="800">
        <v>40666</v>
      </c>
      <c r="D151" s="800">
        <v>40696</v>
      </c>
      <c r="E151" s="741">
        <f t="shared" si="39"/>
        <v>31</v>
      </c>
      <c r="F151" s="1068">
        <v>1700000</v>
      </c>
      <c r="G151" s="1061">
        <f t="shared" si="41"/>
        <v>680000</v>
      </c>
      <c r="H151" s="1061">
        <f t="shared" si="42"/>
        <v>85000</v>
      </c>
      <c r="I151" s="1061">
        <f t="shared" si="43"/>
        <v>108800</v>
      </c>
      <c r="J151" s="1356">
        <f t="shared" si="40"/>
        <v>193800</v>
      </c>
      <c r="L151" s="1316">
        <v>40575</v>
      </c>
      <c r="M151" s="1316">
        <v>40602</v>
      </c>
      <c r="N151" s="1315">
        <v>1700000</v>
      </c>
      <c r="O151" s="1088"/>
      <c r="P151" s="1088"/>
      <c r="Q151" s="1088"/>
      <c r="R151" s="1088"/>
      <c r="S151" s="1088"/>
      <c r="T151" s="1088"/>
    </row>
    <row r="152" spans="2:20" hidden="1">
      <c r="B152" s="741"/>
      <c r="C152" s="800">
        <v>40697</v>
      </c>
      <c r="D152" s="800">
        <v>40739</v>
      </c>
      <c r="E152" s="741">
        <f t="shared" si="39"/>
        <v>43</v>
      </c>
      <c r="F152" s="1068">
        <v>1700000</v>
      </c>
      <c r="G152" s="1061">
        <f t="shared" si="41"/>
        <v>680000</v>
      </c>
      <c r="H152" s="1061">
        <f t="shared" si="42"/>
        <v>85000</v>
      </c>
      <c r="I152" s="1061">
        <f t="shared" si="43"/>
        <v>108800</v>
      </c>
      <c r="J152" s="1356">
        <f t="shared" si="40"/>
        <v>193800</v>
      </c>
      <c r="L152" s="1316">
        <v>40603</v>
      </c>
      <c r="M152" s="1316">
        <v>40633</v>
      </c>
      <c r="N152" s="1315">
        <v>1700000</v>
      </c>
      <c r="O152" s="1088"/>
      <c r="P152" s="1088"/>
      <c r="Q152" s="1088"/>
      <c r="R152" s="1088"/>
      <c r="S152" s="1088"/>
      <c r="T152" s="1088"/>
    </row>
    <row r="153" spans="2:20" hidden="1">
      <c r="B153" s="741"/>
      <c r="C153" s="800">
        <v>40740</v>
      </c>
      <c r="D153" s="800">
        <v>40770</v>
      </c>
      <c r="E153" s="741">
        <f t="shared" si="39"/>
        <v>31</v>
      </c>
      <c r="F153" s="1068">
        <v>1700000</v>
      </c>
      <c r="G153" s="1061">
        <f t="shared" si="41"/>
        <v>680000</v>
      </c>
      <c r="H153" s="1061">
        <f t="shared" si="42"/>
        <v>85000</v>
      </c>
      <c r="I153" s="1061">
        <f t="shared" si="43"/>
        <v>108800</v>
      </c>
      <c r="J153" s="1356">
        <f t="shared" si="40"/>
        <v>193800</v>
      </c>
      <c r="L153" s="1316">
        <v>40634</v>
      </c>
      <c r="M153" s="1316">
        <v>40663</v>
      </c>
      <c r="N153" s="1315">
        <v>1700000</v>
      </c>
      <c r="O153" s="1088"/>
      <c r="P153" s="1088"/>
      <c r="Q153" s="1088"/>
      <c r="R153" s="1088"/>
      <c r="S153" s="1088"/>
      <c r="T153" s="1088"/>
    </row>
    <row r="154" spans="2:20" hidden="1">
      <c r="B154" s="741"/>
      <c r="C154" s="800">
        <v>40771</v>
      </c>
      <c r="D154" s="800">
        <v>40801</v>
      </c>
      <c r="E154" s="741">
        <f t="shared" si="39"/>
        <v>31</v>
      </c>
      <c r="F154" s="1068">
        <v>1700000</v>
      </c>
      <c r="G154" s="1061">
        <f t="shared" si="41"/>
        <v>680000</v>
      </c>
      <c r="H154" s="1061">
        <f t="shared" si="42"/>
        <v>85000</v>
      </c>
      <c r="I154" s="1061">
        <f t="shared" si="43"/>
        <v>108800</v>
      </c>
      <c r="J154" s="1356">
        <f t="shared" si="40"/>
        <v>193800</v>
      </c>
      <c r="L154" s="1316">
        <v>40664</v>
      </c>
      <c r="M154" s="1316">
        <v>40694</v>
      </c>
      <c r="N154" s="1315">
        <v>1700000</v>
      </c>
      <c r="O154" s="1088"/>
      <c r="P154" s="1088"/>
      <c r="Q154" s="1088"/>
      <c r="R154" s="1088"/>
      <c r="S154" s="1088"/>
      <c r="T154" s="1088"/>
    </row>
    <row r="155" spans="2:20" hidden="1">
      <c r="B155" s="741"/>
      <c r="C155" s="800">
        <v>40802</v>
      </c>
      <c r="D155" s="800">
        <v>40831</v>
      </c>
      <c r="E155" s="741">
        <f t="shared" si="39"/>
        <v>30</v>
      </c>
      <c r="F155" s="1068">
        <v>1700000</v>
      </c>
      <c r="G155" s="1061">
        <f t="shared" si="41"/>
        <v>680000</v>
      </c>
      <c r="H155" s="1061">
        <f t="shared" si="42"/>
        <v>85000</v>
      </c>
      <c r="I155" s="1061">
        <f t="shared" si="43"/>
        <v>108800</v>
      </c>
      <c r="J155" s="1356">
        <f t="shared" si="40"/>
        <v>193800</v>
      </c>
      <c r="L155" s="1316">
        <v>40695</v>
      </c>
      <c r="M155" s="1316">
        <v>40724</v>
      </c>
      <c r="N155" s="1315">
        <v>1700000</v>
      </c>
      <c r="O155" s="1061"/>
      <c r="P155" s="1061"/>
      <c r="Q155" s="1061"/>
      <c r="R155" s="1061"/>
      <c r="S155" s="1061"/>
      <c r="T155" s="1061"/>
    </row>
    <row r="156" spans="2:20" hidden="1">
      <c r="B156" s="741"/>
      <c r="C156" s="800">
        <v>40832</v>
      </c>
      <c r="D156" s="800">
        <v>40862</v>
      </c>
      <c r="E156" s="741">
        <f t="shared" si="39"/>
        <v>31</v>
      </c>
      <c r="F156" s="1068">
        <v>1700000</v>
      </c>
      <c r="G156" s="1061">
        <f t="shared" si="41"/>
        <v>680000</v>
      </c>
      <c r="H156" s="1061">
        <f t="shared" si="42"/>
        <v>85000</v>
      </c>
      <c r="I156" s="1061">
        <f t="shared" si="43"/>
        <v>108800</v>
      </c>
      <c r="J156" s="1356">
        <f t="shared" si="40"/>
        <v>193800</v>
      </c>
      <c r="L156" s="1316">
        <v>40725</v>
      </c>
      <c r="M156" s="1316">
        <v>40755</v>
      </c>
      <c r="N156" s="1315">
        <v>1700000</v>
      </c>
      <c r="O156" s="741"/>
      <c r="P156" s="741"/>
      <c r="Q156" s="741"/>
      <c r="R156" s="741"/>
      <c r="S156" s="741"/>
      <c r="T156" s="741"/>
    </row>
    <row r="157" spans="2:20" hidden="1">
      <c r="B157" s="741"/>
      <c r="C157" s="800">
        <v>40863</v>
      </c>
      <c r="D157" s="800">
        <v>40903</v>
      </c>
      <c r="E157" s="741">
        <f t="shared" si="39"/>
        <v>41</v>
      </c>
      <c r="F157" s="1357">
        <v>1700000</v>
      </c>
      <c r="G157" s="1061">
        <f>+F157*40%</f>
        <v>680000</v>
      </c>
      <c r="H157" s="1061">
        <f t="shared" si="42"/>
        <v>85000</v>
      </c>
      <c r="I157" s="1061">
        <f t="shared" si="43"/>
        <v>108800</v>
      </c>
      <c r="J157" s="1356">
        <f t="shared" si="40"/>
        <v>193800</v>
      </c>
      <c r="L157" s="1316">
        <v>40756</v>
      </c>
      <c r="M157" s="1316">
        <v>40786</v>
      </c>
      <c r="N157" s="1315">
        <v>1700000</v>
      </c>
      <c r="O157" s="741"/>
      <c r="P157" s="741"/>
      <c r="Q157" s="741"/>
      <c r="R157" s="741"/>
      <c r="S157" s="741"/>
      <c r="T157" s="741"/>
    </row>
    <row r="158" spans="2:20" hidden="1">
      <c r="B158" s="1132"/>
      <c r="C158" s="2694" t="s">
        <v>719</v>
      </c>
      <c r="D158" s="2694"/>
      <c r="E158" s="1361">
        <f>SUM(E148:E157)</f>
        <v>328</v>
      </c>
      <c r="G158" s="1061"/>
      <c r="H158" s="1061"/>
      <c r="I158" s="1061"/>
      <c r="J158" s="1356"/>
      <c r="L158" s="1316">
        <v>40787</v>
      </c>
      <c r="M158" s="1316">
        <v>40816</v>
      </c>
      <c r="N158" s="1315">
        <v>1700000</v>
      </c>
      <c r="O158" s="741"/>
      <c r="P158" s="741"/>
      <c r="Q158" s="741"/>
      <c r="R158" s="741"/>
      <c r="S158" s="741"/>
      <c r="T158" s="741"/>
    </row>
    <row r="159" spans="2:20" hidden="1">
      <c r="B159" s="2687" t="str">
        <f>+B14</f>
        <v>Relacion Laboral</v>
      </c>
      <c r="C159" s="2695"/>
      <c r="D159" s="2695"/>
      <c r="E159" s="1395"/>
      <c r="F159" s="1371"/>
      <c r="G159" s="1061"/>
      <c r="H159" s="1061"/>
      <c r="I159" s="1061"/>
      <c r="J159" s="858"/>
      <c r="L159" s="1316">
        <v>40817</v>
      </c>
      <c r="M159" s="1316">
        <v>40847</v>
      </c>
      <c r="N159" s="1315">
        <v>1700000</v>
      </c>
      <c r="O159" s="741"/>
      <c r="P159" s="741"/>
      <c r="Q159" s="741"/>
      <c r="R159" s="741"/>
      <c r="S159" s="741"/>
      <c r="T159" s="741"/>
    </row>
    <row r="160" spans="2:20" hidden="1">
      <c r="B160" s="1368"/>
      <c r="C160" s="800">
        <v>40576</v>
      </c>
      <c r="D160" s="800">
        <v>40604</v>
      </c>
      <c r="E160" s="741">
        <f t="shared" ref="E160:E169" si="44">_xlfn.DAYS(D160,C160)+1</f>
        <v>29</v>
      </c>
      <c r="F160" s="1068">
        <v>1700000</v>
      </c>
      <c r="G160" s="1061">
        <f>+F160</f>
        <v>1700000</v>
      </c>
      <c r="H160" s="1061">
        <f>+F160*12.5%</f>
        <v>212500</v>
      </c>
      <c r="I160" s="1061">
        <f>+F160*16%</f>
        <v>272000</v>
      </c>
      <c r="J160" s="1356">
        <f>SUM(H160:I160)</f>
        <v>484500</v>
      </c>
      <c r="L160" s="1316">
        <v>40848</v>
      </c>
      <c r="M160" s="1316">
        <v>40877</v>
      </c>
      <c r="N160" s="1315">
        <v>1700000</v>
      </c>
      <c r="O160" s="741"/>
      <c r="P160" s="741"/>
      <c r="Q160" s="741"/>
      <c r="R160" s="741"/>
      <c r="S160" s="741"/>
      <c r="T160" s="741"/>
    </row>
    <row r="161" spans="2:20" hidden="1">
      <c r="B161" s="1368"/>
      <c r="C161" s="800">
        <v>40605</v>
      </c>
      <c r="D161" s="800">
        <v>40635</v>
      </c>
      <c r="E161" s="741">
        <f t="shared" si="44"/>
        <v>31</v>
      </c>
      <c r="F161" s="1068">
        <v>1700000</v>
      </c>
      <c r="G161" s="1061">
        <f t="shared" ref="G161:G169" si="45">+F161</f>
        <v>1700000</v>
      </c>
      <c r="H161" s="1061">
        <f t="shared" ref="H161:H169" si="46">+F161*12.5%</f>
        <v>212500</v>
      </c>
      <c r="I161" s="1061">
        <f t="shared" ref="I161:I169" si="47">+F161*16%</f>
        <v>272000</v>
      </c>
      <c r="J161" s="1356">
        <f t="shared" ref="J161:J169" si="48">SUM(H161:I161)</f>
        <v>484500</v>
      </c>
      <c r="L161" s="1316">
        <v>40878</v>
      </c>
      <c r="M161" s="1316">
        <v>40908</v>
      </c>
      <c r="N161" s="1315">
        <v>1700000</v>
      </c>
      <c r="O161" s="741"/>
      <c r="P161" s="741"/>
      <c r="Q161" s="741"/>
      <c r="R161" s="741"/>
      <c r="S161" s="741"/>
      <c r="T161" s="741"/>
    </row>
    <row r="162" spans="2:20" hidden="1">
      <c r="B162" s="1368"/>
      <c r="C162" s="800">
        <v>40636</v>
      </c>
      <c r="D162" s="800">
        <v>40665</v>
      </c>
      <c r="E162" s="741">
        <f t="shared" si="44"/>
        <v>30</v>
      </c>
      <c r="F162" s="1068">
        <v>1700000</v>
      </c>
      <c r="G162" s="1061">
        <f t="shared" si="45"/>
        <v>1700000</v>
      </c>
      <c r="H162" s="1061">
        <f t="shared" si="46"/>
        <v>212500</v>
      </c>
      <c r="I162" s="1061">
        <f t="shared" si="47"/>
        <v>272000</v>
      </c>
      <c r="J162" s="1356">
        <f t="shared" si="48"/>
        <v>484500</v>
      </c>
      <c r="M162" s="814"/>
      <c r="N162" s="814"/>
    </row>
    <row r="163" spans="2:20" hidden="1">
      <c r="B163" s="1368"/>
      <c r="C163" s="800">
        <v>40666</v>
      </c>
      <c r="D163" s="800">
        <v>40696</v>
      </c>
      <c r="E163" s="741">
        <f t="shared" si="44"/>
        <v>31</v>
      </c>
      <c r="F163" s="1068">
        <v>1700000</v>
      </c>
      <c r="G163" s="1061">
        <f t="shared" si="45"/>
        <v>1700000</v>
      </c>
      <c r="H163" s="1061">
        <f t="shared" si="46"/>
        <v>212500</v>
      </c>
      <c r="I163" s="1061">
        <f t="shared" si="47"/>
        <v>272000</v>
      </c>
      <c r="J163" s="1356">
        <f t="shared" si="48"/>
        <v>484500</v>
      </c>
      <c r="M163" s="814"/>
      <c r="N163" s="814"/>
    </row>
    <row r="164" spans="2:20" hidden="1">
      <c r="B164" s="1368"/>
      <c r="C164" s="800">
        <v>40697</v>
      </c>
      <c r="D164" s="800">
        <v>40739</v>
      </c>
      <c r="E164" s="741">
        <f t="shared" si="44"/>
        <v>43</v>
      </c>
      <c r="F164" s="1068">
        <v>1700000</v>
      </c>
      <c r="G164" s="1061">
        <f t="shared" si="45"/>
        <v>1700000</v>
      </c>
      <c r="H164" s="1061">
        <f t="shared" si="46"/>
        <v>212500</v>
      </c>
      <c r="I164" s="1061">
        <f t="shared" si="47"/>
        <v>272000</v>
      </c>
      <c r="J164" s="1356">
        <f t="shared" si="48"/>
        <v>484500</v>
      </c>
      <c r="M164" s="814"/>
      <c r="N164" s="814"/>
    </row>
    <row r="165" spans="2:20" hidden="1">
      <c r="B165" s="1368"/>
      <c r="C165" s="800">
        <v>40740</v>
      </c>
      <c r="D165" s="800">
        <v>40770</v>
      </c>
      <c r="E165" s="741">
        <f t="shared" si="44"/>
        <v>31</v>
      </c>
      <c r="F165" s="1068">
        <v>1700000</v>
      </c>
      <c r="G165" s="1061">
        <f t="shared" si="45"/>
        <v>1700000</v>
      </c>
      <c r="H165" s="1061">
        <f t="shared" si="46"/>
        <v>212500</v>
      </c>
      <c r="I165" s="1061">
        <f t="shared" si="47"/>
        <v>272000</v>
      </c>
      <c r="J165" s="1356">
        <f t="shared" si="48"/>
        <v>484500</v>
      </c>
      <c r="L165" s="2631" t="s">
        <v>732</v>
      </c>
      <c r="M165" s="2632"/>
      <c r="N165" s="2632"/>
      <c r="O165" s="2632"/>
      <c r="P165" s="2632"/>
      <c r="Q165" s="2632"/>
      <c r="R165" s="2632"/>
      <c r="S165" s="2632"/>
      <c r="T165" s="2633"/>
    </row>
    <row r="166" spans="2:20" hidden="1">
      <c r="B166" s="1368"/>
      <c r="C166" s="800">
        <v>40771</v>
      </c>
      <c r="D166" s="800">
        <v>40801</v>
      </c>
      <c r="E166" s="741">
        <f t="shared" si="44"/>
        <v>31</v>
      </c>
      <c r="F166" s="1068">
        <v>1700000</v>
      </c>
      <c r="G166" s="1061">
        <f t="shared" si="45"/>
        <v>1700000</v>
      </c>
      <c r="H166" s="1061">
        <f t="shared" si="46"/>
        <v>212500</v>
      </c>
      <c r="I166" s="1061">
        <f t="shared" si="47"/>
        <v>272000</v>
      </c>
      <c r="J166" s="1356">
        <f t="shared" si="48"/>
        <v>484500</v>
      </c>
      <c r="L166" s="1093" t="s">
        <v>494</v>
      </c>
      <c r="M166" s="1093" t="s">
        <v>712</v>
      </c>
      <c r="N166" s="1093" t="s">
        <v>713</v>
      </c>
      <c r="O166" s="1093" t="s">
        <v>78</v>
      </c>
      <c r="P166" s="1093" t="s">
        <v>79</v>
      </c>
      <c r="Q166" s="1093" t="s">
        <v>186</v>
      </c>
      <c r="R166" s="1093" t="s">
        <v>187</v>
      </c>
      <c r="S166" s="1093" t="s">
        <v>82</v>
      </c>
      <c r="T166" s="1093" t="s">
        <v>83</v>
      </c>
    </row>
    <row r="167" spans="2:20" hidden="1">
      <c r="B167" s="1368"/>
      <c r="C167" s="800">
        <v>40802</v>
      </c>
      <c r="D167" s="800">
        <v>40831</v>
      </c>
      <c r="E167" s="741">
        <f t="shared" si="44"/>
        <v>30</v>
      </c>
      <c r="F167" s="1068">
        <v>1700000</v>
      </c>
      <c r="G167" s="1061">
        <f t="shared" si="45"/>
        <v>1700000</v>
      </c>
      <c r="H167" s="1061">
        <f t="shared" si="46"/>
        <v>212500</v>
      </c>
      <c r="I167" s="1061">
        <f t="shared" si="47"/>
        <v>272000</v>
      </c>
      <c r="J167" s="1356">
        <f t="shared" si="48"/>
        <v>484500</v>
      </c>
      <c r="L167" s="1316">
        <v>40938</v>
      </c>
      <c r="M167" s="1316">
        <v>40939</v>
      </c>
      <c r="N167" s="1315">
        <v>1763410</v>
      </c>
      <c r="O167" s="1088"/>
      <c r="P167" s="1088"/>
      <c r="Q167" s="1088"/>
      <c r="R167" s="1088"/>
      <c r="S167" s="1088"/>
      <c r="T167" s="1088"/>
    </row>
    <row r="168" spans="2:20" hidden="1">
      <c r="B168" s="1368"/>
      <c r="C168" s="800">
        <v>40832</v>
      </c>
      <c r="D168" s="800">
        <v>40862</v>
      </c>
      <c r="E168" s="741">
        <f t="shared" si="44"/>
        <v>31</v>
      </c>
      <c r="F168" s="1068">
        <v>1700000</v>
      </c>
      <c r="G168" s="1061">
        <f t="shared" si="45"/>
        <v>1700000</v>
      </c>
      <c r="H168" s="1061">
        <f t="shared" si="46"/>
        <v>212500</v>
      </c>
      <c r="I168" s="1061">
        <f t="shared" si="47"/>
        <v>272000</v>
      </c>
      <c r="J168" s="1356">
        <f t="shared" si="48"/>
        <v>484500</v>
      </c>
      <c r="L168" s="1316">
        <v>40940</v>
      </c>
      <c r="M168" s="1316">
        <v>40967</v>
      </c>
      <c r="N168" s="1315">
        <v>1763410</v>
      </c>
      <c r="O168" s="1088"/>
      <c r="P168" s="1088"/>
      <c r="Q168" s="1088"/>
      <c r="R168" s="1088"/>
      <c r="S168" s="1088"/>
      <c r="T168" s="1088"/>
    </row>
    <row r="169" spans="2:20" hidden="1">
      <c r="B169" s="1368"/>
      <c r="C169" s="800">
        <v>40863</v>
      </c>
      <c r="D169" s="800">
        <v>40903</v>
      </c>
      <c r="E169" s="741">
        <f t="shared" si="44"/>
        <v>41</v>
      </c>
      <c r="F169" s="1357">
        <v>1700000</v>
      </c>
      <c r="G169" s="1061">
        <f t="shared" si="45"/>
        <v>1700000</v>
      </c>
      <c r="H169" s="1061">
        <f t="shared" si="46"/>
        <v>212500</v>
      </c>
      <c r="I169" s="1061">
        <f t="shared" si="47"/>
        <v>272000</v>
      </c>
      <c r="J169" s="1356">
        <f t="shared" si="48"/>
        <v>484500</v>
      </c>
      <c r="K169" s="1372"/>
      <c r="L169" s="1316">
        <v>40969</v>
      </c>
      <c r="M169" s="1316">
        <v>40999</v>
      </c>
      <c r="N169" s="1315">
        <v>1763410</v>
      </c>
      <c r="O169" s="1088"/>
      <c r="P169" s="1088"/>
      <c r="Q169" s="1088"/>
      <c r="R169" s="1088"/>
      <c r="S169" s="1088"/>
      <c r="T169" s="1088"/>
    </row>
    <row r="170" spans="2:20" hidden="1">
      <c r="C170" s="803"/>
      <c r="D170" s="808"/>
      <c r="E170" s="1043"/>
      <c r="F170" s="2689" t="s">
        <v>716</v>
      </c>
      <c r="G170" s="2690"/>
      <c r="H170" s="2690"/>
      <c r="I170" s="2691"/>
      <c r="J170" s="1366">
        <f>SUM(J160:J169)-SUM(J148:J157)</f>
        <v>2907000</v>
      </c>
      <c r="L170" s="1316">
        <v>41000</v>
      </c>
      <c r="M170" s="1316">
        <v>41029</v>
      </c>
      <c r="N170" s="1315">
        <v>1763410</v>
      </c>
      <c r="O170" s="1088"/>
      <c r="P170" s="1088"/>
      <c r="Q170" s="1088"/>
      <c r="R170" s="1088"/>
      <c r="S170" s="1088"/>
      <c r="T170" s="1088"/>
    </row>
    <row r="171" spans="2:20" hidden="1">
      <c r="B171" s="2692" t="s">
        <v>64</v>
      </c>
      <c r="C171" s="2683"/>
      <c r="D171" s="2693"/>
      <c r="E171" s="1389"/>
      <c r="F171" s="1068"/>
      <c r="G171" s="1061"/>
      <c r="H171" s="1061"/>
      <c r="I171" s="1061"/>
      <c r="J171" s="858"/>
      <c r="K171" s="1063"/>
      <c r="L171" s="1316">
        <v>41030</v>
      </c>
      <c r="M171" s="1316">
        <v>41060</v>
      </c>
      <c r="N171" s="1315">
        <v>1763410</v>
      </c>
      <c r="O171" s="1088"/>
      <c r="P171" s="1088"/>
      <c r="Q171" s="1088"/>
      <c r="R171" s="1088"/>
      <c r="S171" s="1088"/>
      <c r="T171" s="1088"/>
    </row>
    <row r="172" spans="2:20" hidden="1">
      <c r="B172" s="741" t="s">
        <v>733</v>
      </c>
      <c r="C172" s="800">
        <v>40938</v>
      </c>
      <c r="D172" s="800">
        <v>41060</v>
      </c>
      <c r="E172" s="741">
        <f>_xlfn.DAYS(D172,C172)+1</f>
        <v>123</v>
      </c>
      <c r="F172" s="1068">
        <v>1763410</v>
      </c>
      <c r="G172" s="1061">
        <f>(F172*4.1)*40%</f>
        <v>2891992.4</v>
      </c>
      <c r="H172" s="1061">
        <f>+G172*12.5%</f>
        <v>361499.05</v>
      </c>
      <c r="I172" s="1061">
        <f>+G172*16%</f>
        <v>462718.78399999999</v>
      </c>
      <c r="J172" s="1356">
        <f>SUM(H172:I172)</f>
        <v>824217.83400000003</v>
      </c>
      <c r="K172" s="1063"/>
      <c r="L172" s="1316">
        <v>41061</v>
      </c>
      <c r="M172" s="1316">
        <v>41090</v>
      </c>
      <c r="N172" s="1315">
        <v>1763410</v>
      </c>
      <c r="O172" s="1061"/>
      <c r="P172" s="1061"/>
      <c r="Q172" s="1061"/>
      <c r="R172" s="1061"/>
      <c r="S172" s="1061"/>
      <c r="T172" s="1061"/>
    </row>
    <row r="173" spans="2:20" hidden="1">
      <c r="B173" s="741"/>
      <c r="C173" s="800">
        <v>41095</v>
      </c>
      <c r="D173" s="800">
        <v>41274</v>
      </c>
      <c r="E173" s="741">
        <f>_xlfn.DAYS(D173,C173)+1</f>
        <v>180</v>
      </c>
      <c r="F173" s="1068">
        <v>1763410</v>
      </c>
      <c r="G173" s="1061">
        <f>(F173*4.4)*40%</f>
        <v>3103601.6000000006</v>
      </c>
      <c r="H173" s="1061">
        <f>+G173*12.5%</f>
        <v>387950.20000000007</v>
      </c>
      <c r="I173" s="1061">
        <f>+G173*16%</f>
        <v>496576.25600000011</v>
      </c>
      <c r="J173" s="1356">
        <f>SUM(H173:I173)</f>
        <v>884526.45600000024</v>
      </c>
      <c r="K173" s="1063"/>
      <c r="L173" s="1316">
        <v>41091</v>
      </c>
      <c r="M173" s="1316">
        <v>41121</v>
      </c>
      <c r="N173" s="1315">
        <v>1763410</v>
      </c>
      <c r="O173" s="741"/>
      <c r="P173" s="741"/>
      <c r="Q173" s="741"/>
      <c r="R173" s="741"/>
      <c r="S173" s="741"/>
      <c r="T173" s="741"/>
    </row>
    <row r="174" spans="2:20" hidden="1">
      <c r="B174" s="1368"/>
      <c r="C174" s="2694" t="s">
        <v>719</v>
      </c>
      <c r="D174" s="2694"/>
      <c r="E174" s="1361">
        <f>SUM(E172:E173)</f>
        <v>303</v>
      </c>
      <c r="F174" s="1363"/>
      <c r="G174" s="1061"/>
      <c r="H174" s="1061"/>
      <c r="I174" s="1061"/>
      <c r="J174" s="1356"/>
      <c r="K174" s="1063"/>
      <c r="L174" s="1316">
        <v>41122</v>
      </c>
      <c r="M174" s="1316">
        <v>41152</v>
      </c>
      <c r="N174" s="1315">
        <v>1763410</v>
      </c>
      <c r="O174" s="741"/>
      <c r="P174" s="741"/>
      <c r="Q174" s="741"/>
      <c r="R174" s="741"/>
      <c r="S174" s="741"/>
      <c r="T174" s="741"/>
    </row>
    <row r="175" spans="2:20" hidden="1">
      <c r="B175" s="2692" t="str">
        <f>+B14</f>
        <v>Relacion Laboral</v>
      </c>
      <c r="C175" s="2683"/>
      <c r="D175" s="2693"/>
      <c r="E175" s="1395"/>
      <c r="F175" s="1371"/>
      <c r="G175" s="1061"/>
      <c r="H175" s="1061"/>
      <c r="I175" s="1061"/>
      <c r="J175" s="858"/>
      <c r="K175" s="1063"/>
      <c r="L175" s="1316">
        <v>41153</v>
      </c>
      <c r="M175" s="1316">
        <v>41182</v>
      </c>
      <c r="N175" s="1315">
        <v>1763410</v>
      </c>
      <c r="O175" s="741"/>
      <c r="P175" s="741"/>
      <c r="Q175" s="741"/>
      <c r="R175" s="741"/>
      <c r="S175" s="741"/>
      <c r="T175" s="741"/>
    </row>
    <row r="176" spans="2:20" hidden="1">
      <c r="B176" s="1368"/>
      <c r="C176" s="800">
        <v>40938</v>
      </c>
      <c r="D176" s="800">
        <v>41060</v>
      </c>
      <c r="E176" s="741">
        <f>_xlfn.DAYS(D176,C176)+1</f>
        <v>123</v>
      </c>
      <c r="F176" s="1068">
        <v>1763410</v>
      </c>
      <c r="G176" s="1061">
        <f>+F176*6.066</f>
        <v>10696845.060000001</v>
      </c>
      <c r="H176" s="1061">
        <f>+G176*12.5%</f>
        <v>1337105.6325000001</v>
      </c>
      <c r="I176" s="1061">
        <f>+G176*16%</f>
        <v>1711495.2096000002</v>
      </c>
      <c r="J176" s="1356">
        <f>SUM(H176:I176)</f>
        <v>3048600.8421</v>
      </c>
      <c r="K176" s="1063"/>
      <c r="L176" s="1316">
        <v>41183</v>
      </c>
      <c r="M176" s="1316">
        <v>41213</v>
      </c>
      <c r="N176" s="1315">
        <v>1763410</v>
      </c>
      <c r="O176" s="741"/>
      <c r="P176" s="741"/>
      <c r="Q176" s="741"/>
      <c r="R176" s="741"/>
      <c r="S176" s="741"/>
      <c r="T176" s="741"/>
    </row>
    <row r="177" spans="2:20" hidden="1">
      <c r="B177" s="1368"/>
      <c r="C177" s="800">
        <v>41095</v>
      </c>
      <c r="D177" s="800">
        <v>41274</v>
      </c>
      <c r="E177" s="741">
        <f>_xlfn.DAYS(D177,C177)+1</f>
        <v>180</v>
      </c>
      <c r="F177" s="1068">
        <v>1763410</v>
      </c>
      <c r="G177" s="1061">
        <f>+F177*4.4</f>
        <v>7759004.0000000009</v>
      </c>
      <c r="H177" s="1061">
        <f>+G177*12.5%</f>
        <v>969875.50000000012</v>
      </c>
      <c r="I177" s="1061">
        <f>+G177*16%</f>
        <v>1241440.6400000001</v>
      </c>
      <c r="J177" s="1356">
        <f>SUM(H177:I177)</f>
        <v>2211316.14</v>
      </c>
      <c r="K177" s="1372"/>
      <c r="L177" s="1316">
        <v>41214</v>
      </c>
      <c r="M177" s="1316">
        <v>41243</v>
      </c>
      <c r="N177" s="1315">
        <v>1763410</v>
      </c>
      <c r="O177" s="741"/>
      <c r="P177" s="741"/>
      <c r="Q177" s="741"/>
      <c r="R177" s="741"/>
      <c r="S177" s="741"/>
      <c r="T177" s="741"/>
    </row>
    <row r="178" spans="2:20" hidden="1">
      <c r="B178" s="1368"/>
      <c r="C178" s="803"/>
      <c r="D178" s="808"/>
      <c r="E178" s="1043"/>
      <c r="F178" s="2689" t="s">
        <v>716</v>
      </c>
      <c r="G178" s="2690"/>
      <c r="H178" s="2690"/>
      <c r="I178" s="2691"/>
      <c r="J178" s="1366">
        <f>SUM(J176:J177)- SUM(J172:J173)</f>
        <v>3551172.6921000006</v>
      </c>
      <c r="L178" s="1316">
        <v>41244</v>
      </c>
      <c r="M178" s="1316">
        <v>41274</v>
      </c>
      <c r="N178" s="1315">
        <v>1763410</v>
      </c>
      <c r="O178" s="741"/>
      <c r="P178" s="741"/>
      <c r="Q178" s="741"/>
      <c r="R178" s="741"/>
      <c r="S178" s="741"/>
      <c r="T178" s="741"/>
    </row>
    <row r="179" spans="2:20" hidden="1">
      <c r="B179" s="1368"/>
      <c r="C179" s="803"/>
      <c r="D179" s="808"/>
      <c r="E179" s="1043"/>
      <c r="F179" s="1068"/>
      <c r="G179" s="1061"/>
      <c r="H179" s="1061"/>
      <c r="I179" s="1061"/>
      <c r="J179" s="858"/>
      <c r="M179" s="814"/>
      <c r="N179" s="814"/>
      <c r="O179" s="979"/>
    </row>
    <row r="180" spans="2:20" hidden="1">
      <c r="B180" s="2692" t="s">
        <v>64</v>
      </c>
      <c r="C180" s="2683"/>
      <c r="D180" s="2693"/>
      <c r="E180" s="1389"/>
      <c r="F180" s="1068"/>
      <c r="G180" s="1061"/>
      <c r="H180" s="1061"/>
      <c r="I180" s="1061"/>
      <c r="J180" s="858"/>
      <c r="M180" s="814"/>
      <c r="N180" s="814"/>
      <c r="O180" s="979"/>
    </row>
    <row r="181" spans="2:20" ht="20.25" hidden="1" customHeight="1">
      <c r="B181" s="741" t="s">
        <v>734</v>
      </c>
      <c r="C181" s="800"/>
      <c r="D181" s="800"/>
      <c r="E181" s="741"/>
      <c r="F181" s="1068"/>
      <c r="G181" s="1061"/>
      <c r="H181" s="1061"/>
      <c r="I181" s="1061"/>
      <c r="J181" s="858"/>
      <c r="L181" s="2631" t="s">
        <v>547</v>
      </c>
      <c r="M181" s="2632"/>
      <c r="N181" s="2632"/>
      <c r="O181" s="2632"/>
      <c r="P181" s="2632"/>
      <c r="Q181" s="2632"/>
      <c r="R181" s="2632"/>
      <c r="S181" s="2632"/>
      <c r="T181" s="2633"/>
    </row>
    <row r="182" spans="2:20" hidden="1">
      <c r="B182" s="1132"/>
      <c r="C182" s="800">
        <v>41311</v>
      </c>
      <c r="D182" s="800">
        <v>41492</v>
      </c>
      <c r="E182" s="741">
        <f>_xlfn.DAYS(D182,C182)+1</f>
        <v>182</v>
      </c>
      <c r="F182" s="1068">
        <v>1800000</v>
      </c>
      <c r="G182" s="1061">
        <f>(F182*6.066)*40%</f>
        <v>4367520</v>
      </c>
      <c r="H182" s="1061">
        <f>+G182*12.5%</f>
        <v>545940</v>
      </c>
      <c r="I182" s="1061">
        <f>+G182*16%</f>
        <v>698803.20000000007</v>
      </c>
      <c r="J182" s="1356">
        <f>SUM(H182:I182)</f>
        <v>1244743.2000000002</v>
      </c>
      <c r="L182" s="1093" t="s">
        <v>494</v>
      </c>
      <c r="M182" s="1093" t="s">
        <v>712</v>
      </c>
      <c r="N182" s="1093" t="s">
        <v>713</v>
      </c>
      <c r="O182" s="1093" t="s">
        <v>78</v>
      </c>
      <c r="P182" s="1093" t="s">
        <v>79</v>
      </c>
      <c r="Q182" s="1093" t="s">
        <v>186</v>
      </c>
      <c r="R182" s="1093" t="s">
        <v>187</v>
      </c>
      <c r="S182" s="1093" t="s">
        <v>82</v>
      </c>
      <c r="T182" s="1093" t="s">
        <v>83</v>
      </c>
    </row>
    <row r="183" spans="2:20" hidden="1">
      <c r="B183" s="1132"/>
      <c r="C183" s="800">
        <v>41508</v>
      </c>
      <c r="D183" s="800">
        <v>41639</v>
      </c>
      <c r="E183" s="741">
        <f>_xlfn.DAYS(D183,C183)+1</f>
        <v>132</v>
      </c>
      <c r="F183" s="1068">
        <v>1800000</v>
      </c>
      <c r="G183" s="1061">
        <f>(F183*4.4)*40%</f>
        <v>3168000.0000000005</v>
      </c>
      <c r="H183" s="1061">
        <f>+G183*12.5%</f>
        <v>396000.00000000006</v>
      </c>
      <c r="I183" s="1061">
        <f>+G183*16%</f>
        <v>506880.00000000006</v>
      </c>
      <c r="J183" s="1356">
        <f>SUM(H183:I183)</f>
        <v>902880.00000000012</v>
      </c>
      <c r="L183" s="1316">
        <v>41311</v>
      </c>
      <c r="M183" s="1316">
        <v>41333</v>
      </c>
      <c r="N183" s="1315">
        <v>1800000</v>
      </c>
      <c r="O183" s="1088"/>
      <c r="P183" s="1088"/>
      <c r="Q183" s="1088"/>
      <c r="R183" s="1088"/>
      <c r="S183" s="1088"/>
      <c r="T183" s="1088"/>
    </row>
    <row r="184" spans="2:20" hidden="1">
      <c r="B184" s="1368"/>
      <c r="C184" s="2694" t="s">
        <v>719</v>
      </c>
      <c r="D184" s="2694"/>
      <c r="E184" s="1361">
        <f>SUM(E182:E183)</f>
        <v>314</v>
      </c>
      <c r="F184" s="1068"/>
      <c r="G184" s="1061"/>
      <c r="H184" s="1061"/>
      <c r="I184" s="1061"/>
      <c r="J184" s="1356"/>
      <c r="L184" s="1316">
        <v>41334</v>
      </c>
      <c r="M184" s="1316">
        <v>41364</v>
      </c>
      <c r="N184" s="1315">
        <v>1800000</v>
      </c>
      <c r="O184" s="1088"/>
      <c r="P184" s="1088"/>
      <c r="Q184" s="1088"/>
      <c r="R184" s="1088"/>
      <c r="S184" s="1088"/>
      <c r="T184" s="1088"/>
    </row>
    <row r="185" spans="2:20" hidden="1">
      <c r="B185" s="2692" t="str">
        <f>+B14</f>
        <v>Relacion Laboral</v>
      </c>
      <c r="C185" s="2683"/>
      <c r="D185" s="2693"/>
      <c r="E185" s="1389"/>
      <c r="F185" s="1068"/>
      <c r="G185" s="1061"/>
      <c r="H185" s="1061"/>
      <c r="I185" s="1061"/>
      <c r="J185" s="1070"/>
      <c r="L185" s="1316">
        <v>41365</v>
      </c>
      <c r="M185" s="1316">
        <v>41394</v>
      </c>
      <c r="N185" s="1315">
        <v>1800000</v>
      </c>
      <c r="O185" s="1088"/>
      <c r="P185" s="1088"/>
      <c r="Q185" s="1088"/>
      <c r="R185" s="1088"/>
      <c r="S185" s="1088"/>
      <c r="T185" s="1088"/>
    </row>
    <row r="186" spans="2:20" hidden="1">
      <c r="B186" s="1396"/>
      <c r="C186" s="800">
        <v>41311</v>
      </c>
      <c r="D186" s="800">
        <v>41492</v>
      </c>
      <c r="E186" s="741">
        <f>_xlfn.DAYS(D186,C186)+1</f>
        <v>182</v>
      </c>
      <c r="F186" s="1068">
        <v>1800000</v>
      </c>
      <c r="G186" s="1061">
        <f>F186*6.066</f>
        <v>10918800</v>
      </c>
      <c r="H186" s="1061">
        <f>+G186*12.5%</f>
        <v>1364850</v>
      </c>
      <c r="I186" s="1061">
        <f>+G186*16%</f>
        <v>1747008</v>
      </c>
      <c r="J186" s="1356">
        <f>SUM(H186:I186)</f>
        <v>3111858</v>
      </c>
      <c r="L186" s="1316">
        <v>41395</v>
      </c>
      <c r="M186" s="1316">
        <v>41425</v>
      </c>
      <c r="N186" s="1315">
        <v>1800000</v>
      </c>
      <c r="O186" s="1088"/>
      <c r="P186" s="1088"/>
      <c r="Q186" s="1088"/>
      <c r="R186" s="1088"/>
      <c r="S186" s="1088"/>
      <c r="T186" s="1088"/>
    </row>
    <row r="187" spans="2:20" hidden="1">
      <c r="C187" s="800">
        <v>41508</v>
      </c>
      <c r="D187" s="800">
        <v>41639</v>
      </c>
      <c r="E187" s="741">
        <f>_xlfn.DAYS(D187,C187)+1</f>
        <v>132</v>
      </c>
      <c r="F187" s="1068">
        <v>1800000</v>
      </c>
      <c r="G187" s="1061">
        <f>F187*4.4</f>
        <v>7920000.0000000009</v>
      </c>
      <c r="H187" s="1061">
        <f>+G187*12.5%</f>
        <v>990000.00000000012</v>
      </c>
      <c r="I187" s="1061">
        <f>+G187*16%</f>
        <v>1267200.0000000002</v>
      </c>
      <c r="J187" s="1356">
        <f>SUM(H187:I187)</f>
        <v>2257200.0000000005</v>
      </c>
      <c r="K187" s="1372"/>
      <c r="L187" s="1316">
        <v>41426</v>
      </c>
      <c r="M187" s="1316">
        <v>41455</v>
      </c>
      <c r="N187" s="1315">
        <v>1800000</v>
      </c>
      <c r="O187" s="1088"/>
      <c r="P187" s="1088"/>
      <c r="Q187" s="1088"/>
      <c r="R187" s="1088"/>
      <c r="S187" s="1088"/>
      <c r="T187" s="1088"/>
    </row>
    <row r="188" spans="2:20" hidden="1">
      <c r="F188" s="2689" t="s">
        <v>716</v>
      </c>
      <c r="G188" s="2690"/>
      <c r="H188" s="2690"/>
      <c r="I188" s="2691"/>
      <c r="J188" s="1366">
        <f>SUM(J186:J187)- SUM(J182:J183)</f>
        <v>3221434.8</v>
      </c>
      <c r="K188" s="1397"/>
      <c r="L188" s="1316">
        <v>41456</v>
      </c>
      <c r="M188" s="1316">
        <v>41486</v>
      </c>
      <c r="N188" s="1315">
        <v>1800000</v>
      </c>
      <c r="O188" s="1061"/>
      <c r="P188" s="1061"/>
      <c r="Q188" s="1061"/>
      <c r="R188" s="1061"/>
      <c r="S188" s="1061"/>
      <c r="T188" s="1061"/>
    </row>
    <row r="189" spans="2:20" hidden="1">
      <c r="L189" s="1316">
        <v>41487</v>
      </c>
      <c r="M189" s="1316">
        <v>41517</v>
      </c>
      <c r="N189" s="1315">
        <v>1800000</v>
      </c>
      <c r="O189" s="741"/>
      <c r="P189" s="741"/>
      <c r="Q189" s="741"/>
      <c r="R189" s="741"/>
      <c r="S189" s="741"/>
      <c r="T189" s="741"/>
    </row>
    <row r="190" spans="2:20" hidden="1">
      <c r="L190" s="1316">
        <v>41518</v>
      </c>
      <c r="M190" s="1316">
        <v>41547</v>
      </c>
      <c r="N190" s="1315">
        <v>1800000</v>
      </c>
      <c r="O190" s="741"/>
      <c r="P190" s="741"/>
      <c r="Q190" s="741"/>
      <c r="R190" s="741"/>
      <c r="S190" s="741"/>
      <c r="T190" s="741"/>
    </row>
    <row r="191" spans="2:20" hidden="1">
      <c r="D191" s="900"/>
      <c r="F191" s="1341" t="s">
        <v>735</v>
      </c>
      <c r="J191" s="1388">
        <f>+SUM(J14,J26:J29,J43:J49,J71:J82,J101:J112,J117,J134:J145,J160:J169,J176:J177,J186:J187)</f>
        <v>35790448.49936153</v>
      </c>
      <c r="L191" s="1316">
        <v>41548</v>
      </c>
      <c r="M191" s="1316">
        <v>41578</v>
      </c>
      <c r="N191" s="1315">
        <v>1800000</v>
      </c>
      <c r="O191" s="741"/>
      <c r="P191" s="741"/>
      <c r="Q191" s="741"/>
      <c r="R191" s="741"/>
      <c r="S191" s="741"/>
      <c r="T191" s="741"/>
    </row>
    <row r="192" spans="2:20" ht="13.5" hidden="1" thickBot="1">
      <c r="F192" s="1398" t="s">
        <v>736</v>
      </c>
      <c r="G192" s="1151"/>
      <c r="H192" s="1151"/>
      <c r="I192" s="1151"/>
      <c r="J192" s="1399">
        <f>+SUM(J12,J18:J22,J32:J40,J54:J68,J85:J98,J115,J120:J131,J148:J157,J172:J173,J182:J183)</f>
        <v>15769004.634000003</v>
      </c>
      <c r="L192" s="1316">
        <v>41579</v>
      </c>
      <c r="M192" s="1316">
        <v>41608</v>
      </c>
      <c r="N192" s="1315">
        <v>1800000</v>
      </c>
      <c r="O192" s="741"/>
      <c r="P192" s="741"/>
      <c r="Q192" s="741"/>
      <c r="R192" s="741"/>
      <c r="S192" s="741"/>
      <c r="T192" s="741"/>
    </row>
    <row r="193" spans="2:20" hidden="1">
      <c r="F193" s="2684" t="s">
        <v>737</v>
      </c>
      <c r="G193" s="2684"/>
      <c r="H193" s="2684"/>
      <c r="I193" s="2684"/>
      <c r="J193" s="1400">
        <f>+J191-J192</f>
        <v>20021443.865361527</v>
      </c>
      <c r="K193" s="1400"/>
      <c r="L193" s="1316">
        <v>41609</v>
      </c>
      <c r="M193" s="1316">
        <v>41639</v>
      </c>
      <c r="N193" s="1315">
        <v>1800000</v>
      </c>
      <c r="O193" s="741"/>
      <c r="P193" s="741"/>
      <c r="Q193" s="741"/>
      <c r="R193" s="741"/>
      <c r="S193" s="741"/>
      <c r="T193" s="741"/>
    </row>
    <row r="194" spans="2:20" ht="13.5" hidden="1" thickBot="1">
      <c r="F194" s="2685" t="s">
        <v>738</v>
      </c>
      <c r="G194" s="2685"/>
      <c r="H194" s="2685"/>
      <c r="I194" s="2685"/>
      <c r="J194" s="1401"/>
    </row>
    <row r="195" spans="2:20" hidden="1">
      <c r="F195" s="2684" t="s">
        <v>739</v>
      </c>
      <c r="G195" s="2684"/>
      <c r="H195" s="2684"/>
      <c r="I195" s="2684"/>
      <c r="J195" s="1402">
        <f>+J193+J194</f>
        <v>20021443.865361527</v>
      </c>
      <c r="M195" s="814"/>
      <c r="N195" s="814"/>
    </row>
    <row r="196" spans="2:20" hidden="1">
      <c r="B196" s="814" t="s">
        <v>740</v>
      </c>
      <c r="F196" s="1403"/>
      <c r="M196" s="814"/>
      <c r="N196" s="814"/>
    </row>
    <row r="197" spans="2:20">
      <c r="B197" s="900" t="s">
        <v>307</v>
      </c>
      <c r="J197" s="925"/>
      <c r="M197" s="814"/>
      <c r="N197" s="814"/>
    </row>
    <row r="198" spans="2:20" ht="13.5" customHeight="1">
      <c r="B198" s="876" t="s">
        <v>741</v>
      </c>
      <c r="C198" s="1404">
        <v>99.7</v>
      </c>
      <c r="J198" s="925"/>
      <c r="M198" s="814"/>
      <c r="N198" s="814"/>
    </row>
    <row r="199" spans="2:20" ht="38.25">
      <c r="B199" s="809" t="s">
        <v>742</v>
      </c>
      <c r="C199" s="810">
        <f>+F12</f>
        <v>450067.17420510523</v>
      </c>
      <c r="D199" s="735"/>
      <c r="E199" s="735" t="s">
        <v>77</v>
      </c>
      <c r="F199" s="1236" t="s">
        <v>253</v>
      </c>
      <c r="J199" s="925"/>
      <c r="M199" s="814"/>
      <c r="N199" s="814"/>
    </row>
    <row r="200" spans="2:20">
      <c r="B200" s="1332" t="s">
        <v>743</v>
      </c>
      <c r="C200" s="1071" t="s">
        <v>744</v>
      </c>
      <c r="D200" s="1113" t="s">
        <v>529</v>
      </c>
      <c r="E200" s="735"/>
      <c r="F200" s="1236"/>
      <c r="J200" s="925"/>
      <c r="M200" s="814"/>
      <c r="N200" s="814"/>
    </row>
    <row r="201" spans="2:20">
      <c r="B201" s="1223">
        <v>38216</v>
      </c>
      <c r="C201" s="1223">
        <v>38352</v>
      </c>
      <c r="D201" s="1333">
        <f>_xlfn.DAYS(C201,B201)+1</f>
        <v>137</v>
      </c>
      <c r="E201" s="735"/>
      <c r="F201" s="1236"/>
      <c r="J201" s="925"/>
      <c r="M201" s="814"/>
      <c r="N201" s="814"/>
    </row>
    <row r="202" spans="2:20">
      <c r="B202" s="741" t="s">
        <v>303</v>
      </c>
      <c r="C202" s="811">
        <f>+(D201*C199)/360</f>
        <v>171275.56351694281</v>
      </c>
      <c r="D202" s="741">
        <v>55.99</v>
      </c>
      <c r="E202" s="741">
        <f>$C$198/D202</f>
        <v>1.7806751205572424</v>
      </c>
      <c r="F202" s="1335">
        <f>+C202*E202</f>
        <v>304986.13471404178</v>
      </c>
      <c r="J202" s="925"/>
      <c r="M202" s="814"/>
      <c r="N202" s="814"/>
    </row>
    <row r="203" spans="2:20">
      <c r="B203" s="741" t="s">
        <v>32</v>
      </c>
      <c r="C203" s="811">
        <f>+(C202*D201*0.12)/360</f>
        <v>7821.5840672737222</v>
      </c>
      <c r="D203" s="741">
        <v>55.99</v>
      </c>
      <c r="E203" s="741">
        <f>$C$198/D203</f>
        <v>1.7806751205572424</v>
      </c>
      <c r="F203" s="1335">
        <f>+C203*E203</f>
        <v>13927.700151941242</v>
      </c>
      <c r="J203" s="925"/>
      <c r="M203" s="814"/>
      <c r="N203" s="814"/>
    </row>
    <row r="204" spans="2:20">
      <c r="B204" s="741" t="s">
        <v>304</v>
      </c>
      <c r="C204" s="811">
        <f>+(C199*E12)/360</f>
        <v>171275.56351694281</v>
      </c>
      <c r="D204" s="741">
        <v>55.99</v>
      </c>
      <c r="E204" s="741">
        <f>$C$198/D204</f>
        <v>1.7806751205572424</v>
      </c>
      <c r="F204" s="1335">
        <f>+C204*E204</f>
        <v>304986.13471404178</v>
      </c>
      <c r="J204" s="925"/>
      <c r="M204" s="814"/>
      <c r="N204" s="814"/>
    </row>
    <row r="205" spans="2:20">
      <c r="B205" s="741" t="s">
        <v>104</v>
      </c>
      <c r="C205" s="812">
        <f>+(C199*E12)/720</f>
        <v>85637.781758471407</v>
      </c>
      <c r="D205" s="741">
        <v>55.99</v>
      </c>
      <c r="E205" s="741">
        <f>$C$198/D205</f>
        <v>1.7806751205572424</v>
      </c>
      <c r="F205" s="1335">
        <f>+C205*E205</f>
        <v>152493.06735702089</v>
      </c>
      <c r="M205" s="814"/>
      <c r="N205" s="814"/>
    </row>
    <row r="206" spans="2:20">
      <c r="E206" s="741" t="s">
        <v>97</v>
      </c>
      <c r="F206" s="1335">
        <f>SUM(F202:F205)</f>
        <v>776393.03693704563</v>
      </c>
    </row>
    <row r="207" spans="2:20">
      <c r="B207" s="900" t="s">
        <v>307</v>
      </c>
      <c r="I207" s="1063"/>
    </row>
    <row r="208" spans="2:20">
      <c r="B208" s="900" t="s">
        <v>741</v>
      </c>
      <c r="C208" s="1404">
        <v>99.7</v>
      </c>
      <c r="I208" s="1063"/>
    </row>
    <row r="209" spans="1:21" ht="23.25" customHeight="1">
      <c r="B209" s="809" t="s">
        <v>745</v>
      </c>
      <c r="C209" s="810">
        <f>+F23</f>
        <v>607500</v>
      </c>
      <c r="D209" s="735"/>
      <c r="E209" s="1113" t="s">
        <v>77</v>
      </c>
      <c r="F209" s="1342" t="s">
        <v>253</v>
      </c>
      <c r="G209" s="1063"/>
      <c r="H209" s="1063"/>
      <c r="I209" s="1063"/>
    </row>
    <row r="210" spans="1:21" ht="13.5" customHeight="1">
      <c r="B210" s="1332" t="s">
        <v>743</v>
      </c>
      <c r="C210" s="1071" t="s">
        <v>744</v>
      </c>
      <c r="D210" s="1113" t="s">
        <v>529</v>
      </c>
      <c r="E210" s="735"/>
      <c r="F210" s="1236"/>
      <c r="G210" s="1063"/>
      <c r="H210" s="1063"/>
      <c r="I210" s="1063"/>
    </row>
    <row r="211" spans="1:21" ht="12.75" customHeight="1">
      <c r="B211" s="800">
        <v>38353</v>
      </c>
      <c r="C211" s="800">
        <v>38717</v>
      </c>
      <c r="D211" s="1333">
        <v>360</v>
      </c>
      <c r="E211" s="735"/>
      <c r="F211" s="1236"/>
      <c r="G211" s="1063"/>
      <c r="H211" s="1063"/>
      <c r="I211" s="1063"/>
    </row>
    <row r="212" spans="1:21">
      <c r="B212" s="741" t="s">
        <v>303</v>
      </c>
      <c r="C212" s="811">
        <f>+(D211*C209)/360</f>
        <v>607500</v>
      </c>
      <c r="D212" s="813">
        <v>58.7</v>
      </c>
      <c r="E212" s="741">
        <f>$C$198/D212</f>
        <v>1.6984667802385007</v>
      </c>
      <c r="F212" s="1335">
        <f>+C212*E212</f>
        <v>1031818.5689948892</v>
      </c>
      <c r="G212" s="1063"/>
      <c r="H212" s="1063"/>
      <c r="I212" s="1063"/>
    </row>
    <row r="213" spans="1:21" s="979" customFormat="1">
      <c r="A213" s="814"/>
      <c r="B213" s="741" t="s">
        <v>32</v>
      </c>
      <c r="C213" s="811">
        <f>+(C212*D211*0.12)/360</f>
        <v>72900</v>
      </c>
      <c r="D213" s="813">
        <v>58.7</v>
      </c>
      <c r="E213" s="741">
        <f>$C$198/D213</f>
        <v>1.6984667802385007</v>
      </c>
      <c r="F213" s="1335">
        <f>+C213*E213</f>
        <v>123818.22827938671</v>
      </c>
      <c r="G213" s="1063"/>
      <c r="H213" s="1063"/>
      <c r="I213" s="1063"/>
      <c r="J213" s="814"/>
      <c r="K213" s="814"/>
      <c r="L213" s="814"/>
      <c r="O213" s="814"/>
      <c r="P213" s="814"/>
      <c r="Q213" s="814"/>
      <c r="R213" s="814"/>
      <c r="S213" s="814"/>
      <c r="T213" s="814"/>
      <c r="U213" s="814"/>
    </row>
    <row r="214" spans="1:21" s="979" customFormat="1">
      <c r="A214" s="814"/>
      <c r="B214" s="741" t="s">
        <v>304</v>
      </c>
      <c r="C214" s="811">
        <f>+(C209*D211)/360</f>
        <v>607500</v>
      </c>
      <c r="D214" s="813">
        <v>58.7</v>
      </c>
      <c r="E214" s="741">
        <f>$C$198/D214</f>
        <v>1.6984667802385007</v>
      </c>
      <c r="F214" s="1335">
        <f>+C214*E214</f>
        <v>1031818.5689948892</v>
      </c>
      <c r="G214" s="1063"/>
      <c r="H214" s="1063"/>
      <c r="I214" s="1063"/>
      <c r="J214" s="814"/>
      <c r="K214" s="814"/>
      <c r="L214" s="814"/>
      <c r="O214" s="814"/>
      <c r="P214" s="814"/>
      <c r="Q214" s="814"/>
      <c r="R214" s="814"/>
      <c r="S214" s="814"/>
      <c r="T214" s="814"/>
      <c r="U214" s="814"/>
    </row>
    <row r="215" spans="1:21" s="979" customFormat="1">
      <c r="A215" s="814"/>
      <c r="B215" s="741" t="s">
        <v>104</v>
      </c>
      <c r="C215" s="812">
        <f>+(C209*D211)/720</f>
        <v>303750</v>
      </c>
      <c r="D215" s="813">
        <v>58.7</v>
      </c>
      <c r="E215" s="741">
        <f>$C$198/D215</f>
        <v>1.6984667802385007</v>
      </c>
      <c r="F215" s="1335">
        <f>+C215*E215</f>
        <v>515909.28449744458</v>
      </c>
      <c r="G215" s="1063"/>
      <c r="H215" s="1063"/>
      <c r="I215" s="1063"/>
      <c r="J215" s="814"/>
      <c r="K215" s="814"/>
      <c r="L215" s="814"/>
      <c r="O215" s="814"/>
      <c r="P215" s="814"/>
      <c r="Q215" s="814"/>
      <c r="R215" s="814"/>
      <c r="S215" s="814"/>
      <c r="T215" s="814"/>
      <c r="U215" s="814"/>
    </row>
    <row r="216" spans="1:21" s="979" customFormat="1" ht="15.75" customHeight="1">
      <c r="A216" s="814"/>
      <c r="B216" s="814"/>
      <c r="C216" s="814"/>
      <c r="D216" s="814"/>
      <c r="E216" s="741" t="s">
        <v>97</v>
      </c>
      <c r="F216" s="1335">
        <f>SUM(F212:F215)</f>
        <v>2703364.6507666097</v>
      </c>
      <c r="G216" s="1063"/>
      <c r="H216" s="1063"/>
      <c r="I216" s="1063"/>
      <c r="J216" s="814"/>
      <c r="K216" s="814"/>
      <c r="L216" s="814"/>
      <c r="O216" s="814"/>
      <c r="P216" s="814"/>
      <c r="Q216" s="814"/>
      <c r="R216" s="814"/>
      <c r="S216" s="814"/>
      <c r="T216" s="814"/>
      <c r="U216" s="814"/>
    </row>
    <row r="217" spans="1:21" s="979" customFormat="1" ht="15.75" customHeight="1">
      <c r="A217" s="814"/>
      <c r="B217" s="900" t="s">
        <v>307</v>
      </c>
      <c r="C217" s="814"/>
      <c r="D217" s="814"/>
      <c r="E217" s="814"/>
      <c r="F217" s="911"/>
      <c r="I217" s="1063"/>
      <c r="J217" s="814"/>
      <c r="K217" s="814"/>
      <c r="L217" s="814"/>
      <c r="O217" s="814"/>
      <c r="P217" s="814"/>
      <c r="Q217" s="814"/>
      <c r="R217" s="814"/>
      <c r="S217" s="814"/>
      <c r="T217" s="814"/>
      <c r="U217" s="814"/>
    </row>
    <row r="218" spans="1:21" s="979" customFormat="1" ht="15.75" customHeight="1">
      <c r="A218" s="814"/>
      <c r="B218" s="900" t="s">
        <v>741</v>
      </c>
      <c r="C218" s="1404">
        <v>99.7</v>
      </c>
      <c r="D218" s="814"/>
      <c r="E218" s="814"/>
      <c r="F218" s="911"/>
      <c r="I218" s="1063"/>
      <c r="J218" s="814"/>
      <c r="K218" s="814"/>
      <c r="L218" s="814"/>
      <c r="O218" s="814"/>
      <c r="P218" s="814"/>
      <c r="Q218" s="814"/>
      <c r="R218" s="814"/>
      <c r="S218" s="814"/>
      <c r="T218" s="814"/>
      <c r="U218" s="814"/>
    </row>
    <row r="219" spans="1:21" s="979" customFormat="1" ht="27.75" customHeight="1">
      <c r="A219" s="814"/>
      <c r="B219" s="809" t="s">
        <v>746</v>
      </c>
      <c r="C219" s="810">
        <v>679221.05263157899</v>
      </c>
      <c r="D219" s="735"/>
      <c r="E219" s="735" t="s">
        <v>77</v>
      </c>
      <c r="F219" s="1236" t="s">
        <v>253</v>
      </c>
      <c r="I219" s="1063"/>
      <c r="J219" s="814"/>
      <c r="K219" s="814"/>
      <c r="L219" s="814"/>
      <c r="O219" s="814"/>
      <c r="P219" s="814"/>
      <c r="Q219" s="814"/>
      <c r="R219" s="814"/>
      <c r="S219" s="814"/>
      <c r="T219" s="814"/>
      <c r="U219" s="814"/>
    </row>
    <row r="220" spans="1:21" s="979" customFormat="1" ht="27.75" customHeight="1">
      <c r="A220" s="814"/>
      <c r="B220" s="1332" t="s">
        <v>743</v>
      </c>
      <c r="C220" s="1071" t="s">
        <v>744</v>
      </c>
      <c r="D220" s="1113" t="s">
        <v>529</v>
      </c>
      <c r="E220" s="735"/>
      <c r="F220" s="1236"/>
      <c r="I220" s="1063"/>
      <c r="J220" s="814"/>
      <c r="K220" s="814"/>
      <c r="L220" s="814"/>
      <c r="O220" s="814"/>
      <c r="P220" s="814"/>
      <c r="Q220" s="814"/>
      <c r="R220" s="814"/>
      <c r="S220" s="814"/>
      <c r="T220" s="814"/>
      <c r="U220" s="814"/>
    </row>
    <row r="221" spans="1:21" s="979" customFormat="1" ht="19.5" customHeight="1">
      <c r="A221" s="814"/>
      <c r="B221" s="800">
        <v>38718</v>
      </c>
      <c r="C221" s="800">
        <v>39082</v>
      </c>
      <c r="D221" s="1333">
        <v>360</v>
      </c>
      <c r="E221" s="735"/>
      <c r="F221" s="1236"/>
      <c r="I221" s="1063"/>
      <c r="J221" s="814"/>
      <c r="K221" s="814"/>
      <c r="L221" s="814"/>
      <c r="O221" s="814"/>
      <c r="P221" s="814"/>
      <c r="Q221" s="814"/>
      <c r="R221" s="814"/>
      <c r="S221" s="814"/>
      <c r="T221" s="814"/>
      <c r="U221" s="814"/>
    </row>
    <row r="222" spans="1:21" s="979" customFormat="1" ht="15.75" customHeight="1">
      <c r="A222" s="814"/>
      <c r="B222" s="741" t="s">
        <v>303</v>
      </c>
      <c r="C222" s="811">
        <f>+(D221*C219)/360</f>
        <v>679221.05263157899</v>
      </c>
      <c r="D222" s="1763">
        <v>58.7</v>
      </c>
      <c r="E222" s="741">
        <f>$C$198/D222</f>
        <v>1.6984667802385007</v>
      </c>
      <c r="F222" s="1335">
        <f>+C222*E222</f>
        <v>1153634.3943333633</v>
      </c>
      <c r="G222" s="2503">
        <v>61.33</v>
      </c>
      <c r="I222" s="1063"/>
      <c r="J222" s="814"/>
      <c r="K222" s="814"/>
      <c r="L222" s="814"/>
      <c r="O222" s="814"/>
      <c r="P222" s="814"/>
      <c r="Q222" s="814"/>
      <c r="R222" s="814"/>
      <c r="S222" s="814"/>
      <c r="T222" s="814"/>
      <c r="U222" s="814"/>
    </row>
    <row r="223" spans="1:21" s="979" customFormat="1" ht="15.75" customHeight="1">
      <c r="A223" s="814"/>
      <c r="B223" s="741" t="s">
        <v>32</v>
      </c>
      <c r="C223" s="811">
        <f>+(C222*D221*0.12)/360</f>
        <v>81506.526315789466</v>
      </c>
      <c r="D223" s="1763">
        <v>58.7</v>
      </c>
      <c r="E223" s="741">
        <f>$C$198/D223</f>
        <v>1.6984667802385007</v>
      </c>
      <c r="F223" s="1335">
        <f>+C223*E223</f>
        <v>138436.12732000355</v>
      </c>
      <c r="I223" s="1063"/>
      <c r="J223" s="814"/>
      <c r="K223" s="814"/>
      <c r="L223" s="814"/>
      <c r="O223" s="814"/>
      <c r="P223" s="814"/>
      <c r="Q223" s="814"/>
      <c r="R223" s="814"/>
      <c r="S223" s="814"/>
      <c r="T223" s="814"/>
      <c r="U223" s="814"/>
    </row>
    <row r="224" spans="1:21" s="979" customFormat="1" ht="15.75" customHeight="1">
      <c r="A224" s="814"/>
      <c r="B224" s="741" t="s">
        <v>304</v>
      </c>
      <c r="C224" s="811">
        <f>+(C219*D221)/360</f>
        <v>679221.05263157899</v>
      </c>
      <c r="D224" s="1763">
        <v>58.7</v>
      </c>
      <c r="E224" s="741">
        <f>$C$198/D224</f>
        <v>1.6984667802385007</v>
      </c>
      <c r="F224" s="1335">
        <f>+C224*E224</f>
        <v>1153634.3943333633</v>
      </c>
      <c r="G224" s="814"/>
      <c r="H224" s="814"/>
      <c r="I224" s="1063"/>
      <c r="J224" s="814"/>
      <c r="K224" s="814"/>
      <c r="L224" s="814"/>
      <c r="O224" s="814"/>
      <c r="P224" s="814"/>
      <c r="Q224" s="814"/>
      <c r="R224" s="814"/>
      <c r="S224" s="814"/>
      <c r="T224" s="814"/>
      <c r="U224" s="814"/>
    </row>
    <row r="225" spans="1:21" s="979" customFormat="1" ht="15.75" customHeight="1">
      <c r="A225" s="814"/>
      <c r="B225" s="741" t="s">
        <v>104</v>
      </c>
      <c r="C225" s="812">
        <f>+(C219*D221)/720</f>
        <v>339610.5263157895</v>
      </c>
      <c r="D225" s="1763">
        <v>58.7</v>
      </c>
      <c r="E225" s="741">
        <f>$C$198/D225</f>
        <v>1.6984667802385007</v>
      </c>
      <c r="F225" s="1335">
        <f>+C225*E225</f>
        <v>576817.19716668164</v>
      </c>
      <c r="G225" s="814"/>
      <c r="H225" s="814"/>
      <c r="I225" s="1063"/>
      <c r="J225" s="814"/>
      <c r="K225" s="814"/>
      <c r="L225" s="814"/>
      <c r="O225" s="814"/>
      <c r="P225" s="814"/>
      <c r="Q225" s="814"/>
      <c r="R225" s="814"/>
      <c r="S225" s="814"/>
      <c r="T225" s="814"/>
      <c r="U225" s="814"/>
    </row>
    <row r="226" spans="1:21" s="979" customFormat="1" ht="15.75" customHeight="1">
      <c r="A226" s="814"/>
      <c r="B226" s="1405"/>
      <c r="C226" s="814"/>
      <c r="D226" s="814"/>
      <c r="E226" s="741" t="s">
        <v>97</v>
      </c>
      <c r="F226" s="1335">
        <f>SUM(F222:F225)</f>
        <v>3022522.1131534115</v>
      </c>
      <c r="G226" s="814"/>
      <c r="H226" s="814"/>
      <c r="I226" s="1063"/>
      <c r="J226" s="814"/>
      <c r="K226" s="814"/>
      <c r="L226" s="814"/>
      <c r="O226" s="814"/>
      <c r="P226" s="814"/>
      <c r="Q226" s="814"/>
      <c r="R226" s="814"/>
      <c r="S226" s="814"/>
      <c r="T226" s="814"/>
      <c r="U226" s="814"/>
    </row>
    <row r="227" spans="1:21" s="979" customFormat="1">
      <c r="A227" s="814"/>
      <c r="B227" s="900" t="s">
        <v>307</v>
      </c>
      <c r="C227" s="814"/>
      <c r="D227" s="814"/>
      <c r="E227" s="814"/>
      <c r="F227" s="911"/>
      <c r="G227" s="814"/>
      <c r="H227" s="814"/>
      <c r="I227" s="1063"/>
      <c r="J227" s="814"/>
      <c r="K227" s="814"/>
      <c r="L227" s="814"/>
      <c r="O227" s="814"/>
      <c r="P227" s="814"/>
      <c r="Q227" s="814"/>
      <c r="R227" s="814"/>
      <c r="S227" s="814"/>
      <c r="T227" s="814"/>
      <c r="U227" s="814"/>
    </row>
    <row r="228" spans="1:21" s="979" customFormat="1">
      <c r="A228" s="814"/>
      <c r="B228" s="900" t="s">
        <v>741</v>
      </c>
      <c r="C228" s="1404">
        <v>99.7</v>
      </c>
      <c r="D228" s="814"/>
      <c r="E228" s="814"/>
      <c r="F228" s="911"/>
      <c r="G228" s="814"/>
      <c r="H228" s="814"/>
      <c r="I228" s="1063"/>
      <c r="J228" s="814"/>
      <c r="K228" s="814"/>
      <c r="L228" s="814"/>
      <c r="O228" s="814"/>
      <c r="P228" s="814"/>
      <c r="Q228" s="814"/>
      <c r="R228" s="814"/>
      <c r="S228" s="814"/>
      <c r="T228" s="814"/>
      <c r="U228" s="814"/>
    </row>
    <row r="229" spans="1:21" s="979" customFormat="1" ht="38.25">
      <c r="A229" s="814"/>
      <c r="B229" s="809" t="s">
        <v>747</v>
      </c>
      <c r="C229" s="810">
        <v>669083.33333333337</v>
      </c>
      <c r="D229" s="735"/>
      <c r="E229" s="735" t="s">
        <v>77</v>
      </c>
      <c r="F229" s="1236" t="s">
        <v>253</v>
      </c>
      <c r="G229" s="814"/>
      <c r="H229" s="814"/>
      <c r="I229" s="1063"/>
      <c r="J229" s="814"/>
      <c r="K229" s="814"/>
      <c r="L229" s="814"/>
      <c r="O229" s="814"/>
      <c r="P229" s="814"/>
      <c r="Q229" s="814"/>
      <c r="R229" s="814"/>
      <c r="S229" s="814"/>
      <c r="T229" s="814"/>
      <c r="U229" s="814"/>
    </row>
    <row r="230" spans="1:21" s="979" customFormat="1">
      <c r="A230" s="814"/>
      <c r="B230" s="1332" t="s">
        <v>743</v>
      </c>
      <c r="C230" s="1071" t="s">
        <v>744</v>
      </c>
      <c r="D230" s="1113" t="s">
        <v>529</v>
      </c>
      <c r="E230" s="735"/>
      <c r="F230" s="1236"/>
      <c r="G230" s="814"/>
      <c r="H230" s="814"/>
      <c r="I230" s="1063"/>
      <c r="J230" s="814"/>
      <c r="K230" s="814"/>
      <c r="L230" s="814"/>
      <c r="O230" s="814"/>
      <c r="P230" s="814"/>
      <c r="Q230" s="814"/>
      <c r="R230" s="814"/>
      <c r="S230" s="814"/>
      <c r="T230" s="814"/>
      <c r="U230" s="814"/>
    </row>
    <row r="231" spans="1:21" s="979" customFormat="1">
      <c r="A231" s="814"/>
      <c r="B231" s="800">
        <v>39083</v>
      </c>
      <c r="C231" s="800">
        <v>39447</v>
      </c>
      <c r="D231" s="1333">
        <v>360</v>
      </c>
      <c r="E231" s="735"/>
      <c r="F231" s="1236"/>
      <c r="G231" s="814"/>
      <c r="H231" s="814"/>
      <c r="I231" s="1063"/>
      <c r="J231" s="814"/>
      <c r="K231" s="814"/>
      <c r="L231" s="814"/>
      <c r="O231" s="814"/>
      <c r="P231" s="814"/>
      <c r="Q231" s="814"/>
      <c r="R231" s="814"/>
      <c r="S231" s="814"/>
      <c r="T231" s="814"/>
      <c r="U231" s="814"/>
    </row>
    <row r="232" spans="1:21">
      <c r="B232" s="741" t="s">
        <v>303</v>
      </c>
      <c r="C232" s="811">
        <f>+(D231*C229)/360</f>
        <v>669083.33333333337</v>
      </c>
      <c r="D232" s="1763">
        <v>61.33</v>
      </c>
      <c r="E232" s="741">
        <f>$C$198/D232</f>
        <v>1.6256318278167292</v>
      </c>
      <c r="F232" s="1335">
        <f>+C232*E232</f>
        <v>1087683.1621283765</v>
      </c>
      <c r="G232" s="2503">
        <v>64.819999999999993</v>
      </c>
      <c r="I232" s="1063"/>
    </row>
    <row r="233" spans="1:21">
      <c r="B233" s="741" t="s">
        <v>32</v>
      </c>
      <c r="C233" s="811">
        <f>+(C232*D231*0.12)/360</f>
        <v>80290</v>
      </c>
      <c r="D233" s="1763">
        <v>61.33</v>
      </c>
      <c r="E233" s="741">
        <f>$C$198/D233</f>
        <v>1.6256318278167292</v>
      </c>
      <c r="F233" s="1335">
        <f>+C233*E233</f>
        <v>130521.97945540519</v>
      </c>
    </row>
    <row r="234" spans="1:21">
      <c r="B234" s="741" t="s">
        <v>304</v>
      </c>
      <c r="C234" s="811">
        <f>+(D231*C229)/360</f>
        <v>669083.33333333337</v>
      </c>
      <c r="D234" s="1763">
        <v>61.33</v>
      </c>
      <c r="E234" s="741">
        <f>$C$198/D234</f>
        <v>1.6256318278167292</v>
      </c>
      <c r="F234" s="1335">
        <f>+C234*E234</f>
        <v>1087683.1621283765</v>
      </c>
    </row>
    <row r="235" spans="1:21">
      <c r="B235" s="741" t="s">
        <v>104</v>
      </c>
      <c r="C235" s="812">
        <f>+(C229*D231)/720</f>
        <v>334541.66666666669</v>
      </c>
      <c r="D235" s="1763">
        <v>61.33</v>
      </c>
      <c r="E235" s="741">
        <f>$C$198/D235</f>
        <v>1.6256318278167292</v>
      </c>
      <c r="F235" s="1335">
        <f>+C235*E235</f>
        <v>543841.58106418827</v>
      </c>
    </row>
    <row r="236" spans="1:21" ht="12" customHeight="1">
      <c r="B236" s="1405"/>
      <c r="E236" s="741" t="s">
        <v>97</v>
      </c>
      <c r="F236" s="1335">
        <f>SUM(F232:F235)</f>
        <v>2849729.8847763469</v>
      </c>
    </row>
    <row r="237" spans="1:21">
      <c r="B237" s="900" t="s">
        <v>307</v>
      </c>
    </row>
    <row r="238" spans="1:21">
      <c r="B238" s="900" t="s">
        <v>741</v>
      </c>
      <c r="C238" s="1404">
        <v>99.7</v>
      </c>
    </row>
    <row r="239" spans="1:21" ht="38.25">
      <c r="B239" s="809" t="s">
        <v>748</v>
      </c>
      <c r="C239" s="810">
        <v>857721.08333333337</v>
      </c>
      <c r="D239" s="735"/>
      <c r="E239" s="735" t="s">
        <v>77</v>
      </c>
      <c r="F239" s="1236" t="s">
        <v>253</v>
      </c>
    </row>
    <row r="240" spans="1:21">
      <c r="B240" s="1332" t="s">
        <v>743</v>
      </c>
      <c r="C240" s="1071" t="s">
        <v>744</v>
      </c>
      <c r="D240" s="1113" t="s">
        <v>529</v>
      </c>
      <c r="E240" s="735"/>
      <c r="F240" s="1236"/>
    </row>
    <row r="241" spans="2:7">
      <c r="B241" s="800">
        <v>39448</v>
      </c>
      <c r="C241" s="800">
        <v>39813</v>
      </c>
      <c r="D241" s="1333">
        <v>360</v>
      </c>
      <c r="E241" s="735"/>
      <c r="F241" s="1236"/>
      <c r="G241" s="2503">
        <v>69.8</v>
      </c>
    </row>
    <row r="242" spans="2:7">
      <c r="B242" s="741" t="s">
        <v>303</v>
      </c>
      <c r="C242" s="811">
        <f>+(D241*C239)/360</f>
        <v>857721.08333333337</v>
      </c>
      <c r="D242" s="1763">
        <v>61.33</v>
      </c>
      <c r="E242" s="741">
        <f>$C$198/D242</f>
        <v>1.6256318278167292</v>
      </c>
      <c r="F242" s="1335">
        <f>+C242*E242</f>
        <v>1394338.6924561118</v>
      </c>
    </row>
    <row r="243" spans="2:7">
      <c r="B243" s="741" t="s">
        <v>32</v>
      </c>
      <c r="C243" s="811">
        <f>+(C242*D241*0.12)/360</f>
        <v>102926.53</v>
      </c>
      <c r="D243" s="1763">
        <v>61.33</v>
      </c>
      <c r="E243" s="741">
        <f>$C$198/D243</f>
        <v>1.6256318278167292</v>
      </c>
      <c r="F243" s="1335">
        <f>+C243*E243</f>
        <v>167320.64309473342</v>
      </c>
    </row>
    <row r="244" spans="2:7">
      <c r="B244" s="741" t="s">
        <v>304</v>
      </c>
      <c r="C244" s="811">
        <f>+(D241*C239)/360</f>
        <v>857721.08333333337</v>
      </c>
      <c r="D244" s="1763">
        <v>61.33</v>
      </c>
      <c r="E244" s="741">
        <f>$C$198/D244</f>
        <v>1.6256318278167292</v>
      </c>
      <c r="F244" s="1335">
        <f>+C244*E244</f>
        <v>1394338.6924561118</v>
      </c>
    </row>
    <row r="245" spans="2:7">
      <c r="B245" s="741" t="s">
        <v>104</v>
      </c>
      <c r="C245" s="812">
        <f>+(C239*D241)/720</f>
        <v>428860.54166666669</v>
      </c>
      <c r="D245" s="1763">
        <v>61.33</v>
      </c>
      <c r="E245" s="741">
        <f>$C$198/D245</f>
        <v>1.6256318278167292</v>
      </c>
      <c r="F245" s="1335">
        <f>+C245*E245</f>
        <v>697169.34622805589</v>
      </c>
    </row>
    <row r="246" spans="2:7">
      <c r="B246" s="1405"/>
      <c r="E246" s="741" t="s">
        <v>97</v>
      </c>
      <c r="F246" s="1335">
        <f>SUM(F242:F245)</f>
        <v>3653167.3742350126</v>
      </c>
    </row>
    <row r="247" spans="2:7">
      <c r="B247" s="900" t="s">
        <v>307</v>
      </c>
    </row>
    <row r="248" spans="2:7">
      <c r="B248" s="900" t="s">
        <v>741</v>
      </c>
      <c r="C248" s="1404">
        <v>99.7</v>
      </c>
    </row>
    <row r="249" spans="2:7" ht="38.25">
      <c r="B249" s="809" t="s">
        <v>749</v>
      </c>
      <c r="C249" s="810">
        <v>1500000</v>
      </c>
      <c r="D249" s="735"/>
      <c r="E249" s="735" t="s">
        <v>77</v>
      </c>
      <c r="F249" s="1236" t="s">
        <v>253</v>
      </c>
    </row>
    <row r="250" spans="2:7">
      <c r="B250" s="1332" t="s">
        <v>743</v>
      </c>
      <c r="C250" s="1071" t="s">
        <v>744</v>
      </c>
      <c r="D250" s="1113" t="s">
        <v>529</v>
      </c>
      <c r="E250" s="735"/>
      <c r="F250" s="1236"/>
    </row>
    <row r="251" spans="2:7">
      <c r="B251" s="800">
        <v>39814</v>
      </c>
      <c r="C251" s="800">
        <v>40178</v>
      </c>
      <c r="D251" s="1333">
        <v>360</v>
      </c>
      <c r="E251" s="735"/>
      <c r="F251" s="1236"/>
      <c r="G251" s="2503">
        <v>71.2</v>
      </c>
    </row>
    <row r="252" spans="2:7">
      <c r="B252" s="741" t="s">
        <v>303</v>
      </c>
      <c r="C252" s="811">
        <f>+(C249*D251)/360</f>
        <v>1500000</v>
      </c>
      <c r="D252" s="1763">
        <v>61.33</v>
      </c>
      <c r="E252" s="741">
        <f>$C$198/D252</f>
        <v>1.6256318278167292</v>
      </c>
      <c r="F252" s="1335">
        <f>+C252*E252</f>
        <v>2438447.7417250937</v>
      </c>
    </row>
    <row r="253" spans="2:7">
      <c r="B253" s="741" t="s">
        <v>32</v>
      </c>
      <c r="C253" s="811">
        <f>+(C252*D251*0.12)/360</f>
        <v>180000</v>
      </c>
      <c r="D253" s="1763">
        <v>61.33</v>
      </c>
      <c r="E253" s="741">
        <f>$C$198/D253</f>
        <v>1.6256318278167292</v>
      </c>
      <c r="F253" s="1335">
        <f>+C253*E253</f>
        <v>292613.72900701128</v>
      </c>
    </row>
    <row r="254" spans="2:7">
      <c r="B254" s="741" t="s">
        <v>304</v>
      </c>
      <c r="C254" s="811">
        <f>+(D251*C249)/360</f>
        <v>1500000</v>
      </c>
      <c r="D254" s="1763">
        <v>61.33</v>
      </c>
      <c r="E254" s="741">
        <f>$C$198/D254</f>
        <v>1.6256318278167292</v>
      </c>
      <c r="F254" s="1335">
        <f>+C254*E254</f>
        <v>2438447.7417250937</v>
      </c>
    </row>
    <row r="255" spans="2:7">
      <c r="B255" s="741" t="s">
        <v>104</v>
      </c>
      <c r="C255" s="812">
        <f>+(C249*D251)/720</f>
        <v>750000</v>
      </c>
      <c r="D255" s="1763">
        <v>61.33</v>
      </c>
      <c r="E255" s="741">
        <f>$C$198/D255</f>
        <v>1.6256318278167292</v>
      </c>
      <c r="F255" s="1335">
        <f>+C255*E255</f>
        <v>1219223.8708625468</v>
      </c>
    </row>
    <row r="256" spans="2:7">
      <c r="E256" s="741" t="s">
        <v>97</v>
      </c>
      <c r="F256" s="1335">
        <f>SUM(F252:F255)</f>
        <v>6388733.083319746</v>
      </c>
    </row>
    <row r="257" spans="2:7">
      <c r="B257" s="900" t="s">
        <v>307</v>
      </c>
    </row>
    <row r="258" spans="2:7">
      <c r="B258" s="900" t="s">
        <v>741</v>
      </c>
      <c r="C258" s="1404">
        <v>99.7</v>
      </c>
    </row>
    <row r="259" spans="2:7" ht="38.25">
      <c r="B259" s="809" t="s">
        <v>750</v>
      </c>
      <c r="C259" s="810">
        <v>1500000</v>
      </c>
      <c r="D259" s="735"/>
      <c r="E259" s="735" t="s">
        <v>77</v>
      </c>
      <c r="F259" s="1236" t="s">
        <v>253</v>
      </c>
    </row>
    <row r="260" spans="2:7">
      <c r="B260" s="1332" t="s">
        <v>743</v>
      </c>
      <c r="C260" s="1071" t="s">
        <v>744</v>
      </c>
      <c r="D260" s="1113" t="s">
        <v>529</v>
      </c>
      <c r="E260" s="735"/>
      <c r="F260" s="1236"/>
    </row>
    <row r="261" spans="2:7">
      <c r="B261" s="800">
        <v>40179</v>
      </c>
      <c r="C261" s="800">
        <v>40543</v>
      </c>
      <c r="D261" s="1333">
        <v>360</v>
      </c>
      <c r="E261" s="735"/>
      <c r="F261" s="1236"/>
      <c r="G261" s="2503">
        <v>73.45</v>
      </c>
    </row>
    <row r="262" spans="2:7">
      <c r="B262" s="741" t="s">
        <v>303</v>
      </c>
      <c r="C262" s="811">
        <f>+(D261*C259)/360</f>
        <v>1500000</v>
      </c>
      <c r="D262" s="1763">
        <v>64.819999999999993</v>
      </c>
      <c r="E262" s="741">
        <f>$C$198/D262</f>
        <v>1.5381055229867326</v>
      </c>
      <c r="F262" s="1335">
        <f>+C262*E262</f>
        <v>2307158.2844800991</v>
      </c>
    </row>
    <row r="263" spans="2:7">
      <c r="B263" s="741" t="s">
        <v>32</v>
      </c>
      <c r="C263" s="811">
        <f>+(C262*D261*0.12)/360</f>
        <v>180000</v>
      </c>
      <c r="D263" s="1763">
        <v>64.819999999999993</v>
      </c>
      <c r="E263" s="741">
        <f>$C$198/D263</f>
        <v>1.5381055229867326</v>
      </c>
      <c r="F263" s="1335">
        <f>+C263*E263</f>
        <v>276858.99413761188</v>
      </c>
    </row>
    <row r="264" spans="2:7">
      <c r="B264" s="741" t="s">
        <v>304</v>
      </c>
      <c r="C264" s="811">
        <f>+(C259*D261)/360</f>
        <v>1500000</v>
      </c>
      <c r="D264" s="1763">
        <v>64.819999999999993</v>
      </c>
      <c r="E264" s="741">
        <f>$C$198/D264</f>
        <v>1.5381055229867326</v>
      </c>
      <c r="F264" s="1335">
        <f>+C264*E264</f>
        <v>2307158.2844800991</v>
      </c>
    </row>
    <row r="265" spans="2:7">
      <c r="B265" s="741" t="s">
        <v>104</v>
      </c>
      <c r="C265" s="812">
        <f>+(C259*D261)/720</f>
        <v>750000</v>
      </c>
      <c r="D265" s="1763">
        <v>64.819999999999993</v>
      </c>
      <c r="E265" s="741">
        <f>$C$198/D265</f>
        <v>1.5381055229867326</v>
      </c>
      <c r="F265" s="1335">
        <f>+C265*E265</f>
        <v>1153579.1422400496</v>
      </c>
    </row>
    <row r="266" spans="2:7">
      <c r="E266" s="741" t="s">
        <v>97</v>
      </c>
      <c r="F266" s="1335">
        <f>SUM(F262:F265)</f>
        <v>6044754.7053378597</v>
      </c>
    </row>
    <row r="267" spans="2:7">
      <c r="B267" s="900" t="s">
        <v>307</v>
      </c>
    </row>
    <row r="268" spans="2:7">
      <c r="B268" s="900" t="s">
        <v>741</v>
      </c>
      <c r="C268" s="1404">
        <v>99.7</v>
      </c>
    </row>
    <row r="269" spans="2:7" ht="38.25">
      <c r="B269" s="809" t="s">
        <v>751</v>
      </c>
      <c r="C269" s="810">
        <v>1700000</v>
      </c>
      <c r="D269" s="735"/>
      <c r="E269" s="735" t="s">
        <v>77</v>
      </c>
      <c r="F269" s="1236" t="s">
        <v>253</v>
      </c>
    </row>
    <row r="270" spans="2:7">
      <c r="B270" s="1332" t="s">
        <v>743</v>
      </c>
      <c r="C270" s="1071" t="s">
        <v>744</v>
      </c>
      <c r="D270" s="1113" t="s">
        <v>529</v>
      </c>
      <c r="E270" s="735"/>
      <c r="F270" s="1236"/>
    </row>
    <row r="271" spans="2:7">
      <c r="B271" s="800">
        <v>40544</v>
      </c>
      <c r="C271" s="800">
        <v>40908</v>
      </c>
      <c r="D271" s="1333">
        <v>360</v>
      </c>
      <c r="E271" s="735"/>
      <c r="F271" s="1236"/>
      <c r="G271" s="2503">
        <v>76.19</v>
      </c>
    </row>
    <row r="272" spans="2:7">
      <c r="B272" s="741" t="s">
        <v>303</v>
      </c>
      <c r="C272" s="811">
        <f>+(D271*C269)/360</f>
        <v>1700000</v>
      </c>
      <c r="D272" s="1763">
        <v>64.819999999999993</v>
      </c>
      <c r="E272" s="741">
        <f>$C$198/D272</f>
        <v>1.5381055229867326</v>
      </c>
      <c r="F272" s="1335">
        <f>+C272*E272</f>
        <v>2614779.3890774455</v>
      </c>
    </row>
    <row r="273" spans="2:7">
      <c r="B273" s="741" t="s">
        <v>32</v>
      </c>
      <c r="C273" s="811">
        <f>+(C272*D271*0.12)/360</f>
        <v>204000</v>
      </c>
      <c r="D273" s="1763">
        <v>64.819999999999993</v>
      </c>
      <c r="E273" s="741">
        <f>$C$198/D273</f>
        <v>1.5381055229867326</v>
      </c>
      <c r="F273" s="1335">
        <f>+C273*E273</f>
        <v>313773.52668929345</v>
      </c>
    </row>
    <row r="274" spans="2:7">
      <c r="B274" s="741" t="s">
        <v>304</v>
      </c>
      <c r="C274" s="811">
        <f>+(C269*D271)/360</f>
        <v>1700000</v>
      </c>
      <c r="D274" s="1763">
        <v>64.819999999999993</v>
      </c>
      <c r="E274" s="741">
        <f>$C$198/D274</f>
        <v>1.5381055229867326</v>
      </c>
      <c r="F274" s="1335">
        <f>+C274*E274</f>
        <v>2614779.3890774455</v>
      </c>
    </row>
    <row r="275" spans="2:7">
      <c r="B275" s="741" t="s">
        <v>104</v>
      </c>
      <c r="C275" s="812">
        <f>+(C269*D271)/720</f>
        <v>850000</v>
      </c>
      <c r="D275" s="1763">
        <v>64.819999999999993</v>
      </c>
      <c r="E275" s="741">
        <f>$C$198/D275</f>
        <v>1.5381055229867326</v>
      </c>
      <c r="F275" s="1335">
        <f>+C275*E275</f>
        <v>1307389.6945387227</v>
      </c>
    </row>
    <row r="276" spans="2:7">
      <c r="E276" s="741" t="s">
        <v>97</v>
      </c>
      <c r="F276" s="1335">
        <f>SUM(F272:F275)</f>
        <v>6850721.9993829066</v>
      </c>
    </row>
    <row r="277" spans="2:7">
      <c r="B277" s="900" t="s">
        <v>307</v>
      </c>
    </row>
    <row r="278" spans="2:7">
      <c r="B278" s="900" t="s">
        <v>741</v>
      </c>
      <c r="C278" s="1404">
        <v>99.7</v>
      </c>
    </row>
    <row r="279" spans="2:7" ht="38.25">
      <c r="B279" s="809" t="s">
        <v>752</v>
      </c>
      <c r="C279" s="1068">
        <v>1763410</v>
      </c>
      <c r="D279" s="735"/>
      <c r="E279" s="735" t="s">
        <v>77</v>
      </c>
      <c r="F279" s="1236" t="s">
        <v>253</v>
      </c>
    </row>
    <row r="280" spans="2:7">
      <c r="B280" s="1332" t="s">
        <v>743</v>
      </c>
      <c r="C280" s="1071" t="s">
        <v>744</v>
      </c>
      <c r="D280" s="1113" t="s">
        <v>529</v>
      </c>
      <c r="E280" s="735"/>
      <c r="F280" s="1236"/>
    </row>
    <row r="281" spans="2:7">
      <c r="B281" s="800">
        <v>40909</v>
      </c>
      <c r="C281" s="800">
        <v>41274</v>
      </c>
      <c r="D281" s="1333">
        <v>360</v>
      </c>
      <c r="E281" s="735"/>
      <c r="F281" s="1236"/>
      <c r="G281" s="2503">
        <v>78.05</v>
      </c>
    </row>
    <row r="282" spans="2:7">
      <c r="B282" s="741" t="s">
        <v>303</v>
      </c>
      <c r="C282" s="811">
        <f>+(D281*C279)/360</f>
        <v>1763410</v>
      </c>
      <c r="D282" s="1763">
        <v>64.819999999999993</v>
      </c>
      <c r="E282" s="741">
        <f>$C$198/D282</f>
        <v>1.5381055229867326</v>
      </c>
      <c r="F282" s="1335">
        <f>+C282*E282</f>
        <v>2712310.660290034</v>
      </c>
    </row>
    <row r="283" spans="2:7">
      <c r="B283" s="741" t="s">
        <v>32</v>
      </c>
      <c r="C283" s="811">
        <f>+(C282*D281*0.12)/360</f>
        <v>211609.2</v>
      </c>
      <c r="D283" s="1763">
        <v>64.819999999999993</v>
      </c>
      <c r="E283" s="741">
        <f>$C$198/D283</f>
        <v>1.5381055229867326</v>
      </c>
      <c r="F283" s="1335">
        <f>+C283*E283</f>
        <v>325477.2792348041</v>
      </c>
    </row>
    <row r="284" spans="2:7">
      <c r="B284" s="741" t="s">
        <v>304</v>
      </c>
      <c r="C284" s="811">
        <f>+(C279*D281)/360</f>
        <v>1763410</v>
      </c>
      <c r="D284" s="1763">
        <v>64.819999999999993</v>
      </c>
      <c r="E284" s="741">
        <f>$C$198/D284</f>
        <v>1.5381055229867326</v>
      </c>
      <c r="F284" s="1335">
        <f>+C284*E284</f>
        <v>2712310.660290034</v>
      </c>
    </row>
    <row r="285" spans="2:7">
      <c r="B285" s="741" t="s">
        <v>104</v>
      </c>
      <c r="C285" s="812">
        <f>+(C279*D281)/720</f>
        <v>881705</v>
      </c>
      <c r="D285" s="1763">
        <v>64.819999999999993</v>
      </c>
      <c r="E285" s="741">
        <f>$C$198/D285</f>
        <v>1.5381055229867326</v>
      </c>
      <c r="F285" s="1335">
        <f>+C285*E285</f>
        <v>1356155.330145017</v>
      </c>
    </row>
    <row r="286" spans="2:7">
      <c r="D286" s="1764"/>
      <c r="E286" s="741" t="s">
        <v>97</v>
      </c>
      <c r="F286" s="1335">
        <f>SUM(F282:F285)</f>
        <v>7106253.9299598895</v>
      </c>
    </row>
    <row r="287" spans="2:7">
      <c r="B287" s="900" t="s">
        <v>307</v>
      </c>
    </row>
    <row r="288" spans="2:7">
      <c r="B288" s="900" t="s">
        <v>741</v>
      </c>
      <c r="C288" s="1404">
        <v>99.7</v>
      </c>
    </row>
    <row r="289" spans="1:8" ht="38.25">
      <c r="B289" s="809" t="s">
        <v>753</v>
      </c>
      <c r="C289" s="810">
        <v>1800000</v>
      </c>
      <c r="D289" s="735"/>
      <c r="E289" s="735" t="s">
        <v>77</v>
      </c>
      <c r="F289" s="1236" t="s">
        <v>253</v>
      </c>
    </row>
    <row r="290" spans="1:8">
      <c r="B290" s="1332" t="s">
        <v>743</v>
      </c>
      <c r="C290" s="1071" t="s">
        <v>744</v>
      </c>
      <c r="D290" s="1113" t="s">
        <v>529</v>
      </c>
      <c r="E290" s="735"/>
      <c r="F290" s="1236"/>
    </row>
    <row r="291" spans="1:8">
      <c r="B291" s="800">
        <v>41275</v>
      </c>
      <c r="C291" s="800">
        <v>41639</v>
      </c>
      <c r="D291" s="1333">
        <v>360</v>
      </c>
      <c r="E291" s="735"/>
      <c r="F291" s="1236"/>
    </row>
    <row r="292" spans="1:8">
      <c r="B292" s="741" t="s">
        <v>303</v>
      </c>
      <c r="C292" s="811">
        <f>+(D291*C289)/360</f>
        <v>1800000</v>
      </c>
      <c r="D292" s="1763">
        <v>64.819999999999993</v>
      </c>
      <c r="E292" s="741">
        <f>$C$198/D292</f>
        <v>1.5381055229867326</v>
      </c>
      <c r="F292" s="1335">
        <f>+C292*E292</f>
        <v>2768589.9413761189</v>
      </c>
      <c r="G292" s="2503">
        <v>79.56</v>
      </c>
    </row>
    <row r="293" spans="1:8">
      <c r="B293" s="741" t="s">
        <v>32</v>
      </c>
      <c r="C293" s="811">
        <f>+(C292*D291*0.12)/360</f>
        <v>216000</v>
      </c>
      <c r="D293" s="1763">
        <v>64.819999999999993</v>
      </c>
      <c r="E293" s="741">
        <f>$C$198/D293</f>
        <v>1.5381055229867326</v>
      </c>
      <c r="F293" s="1335">
        <f>+C293*E293</f>
        <v>332230.79296513426</v>
      </c>
    </row>
    <row r="294" spans="1:8">
      <c r="B294" s="741" t="s">
        <v>304</v>
      </c>
      <c r="C294" s="811">
        <f>+(C289*D291)/360</f>
        <v>1800000</v>
      </c>
      <c r="D294" s="1763">
        <v>64.819999999999993</v>
      </c>
      <c r="E294" s="741">
        <f>$C$198/D294</f>
        <v>1.5381055229867326</v>
      </c>
      <c r="F294" s="1335">
        <f>+C294*E294</f>
        <v>2768589.9413761189</v>
      </c>
    </row>
    <row r="295" spans="1:8">
      <c r="B295" s="741" t="s">
        <v>104</v>
      </c>
      <c r="C295" s="812">
        <f>+(C289*D291)/720</f>
        <v>900000</v>
      </c>
      <c r="D295" s="1763">
        <v>64.819999999999993</v>
      </c>
      <c r="E295" s="741">
        <f>$C$198/D295</f>
        <v>1.5381055229867326</v>
      </c>
      <c r="F295" s="1335">
        <f>+C295*E295</f>
        <v>1384294.9706880595</v>
      </c>
    </row>
    <row r="296" spans="1:8">
      <c r="E296" s="741" t="s">
        <v>97</v>
      </c>
      <c r="F296" s="1335">
        <f>SUM(F292:F295)</f>
        <v>7253705.6464054324</v>
      </c>
    </row>
    <row r="297" spans="1:8" ht="13.5" thickBot="1">
      <c r="B297" s="1117" t="s">
        <v>754</v>
      </c>
      <c r="C297" s="1040"/>
      <c r="D297" s="1040"/>
      <c r="E297" s="1040" t="s">
        <v>67</v>
      </c>
      <c r="F297" s="1336">
        <f>+F206+F216+F226+F236+F246+F256+F266+F276+F286+F296</f>
        <v>46649346.424274251</v>
      </c>
    </row>
    <row r="298" spans="1:8" ht="13.5" thickTop="1">
      <c r="B298" s="900"/>
      <c r="F298" s="1337"/>
    </row>
    <row r="299" spans="1:8">
      <c r="B299" s="900" t="str">
        <f>+B4</f>
        <v>Fecha Ejecutoriada</v>
      </c>
      <c r="C299" s="815">
        <v>43430</v>
      </c>
    </row>
    <row r="300" spans="1:8" ht="11.25" customHeight="1">
      <c r="B300" s="2686" t="s">
        <v>160</v>
      </c>
      <c r="C300" s="2686"/>
      <c r="D300" s="2686"/>
      <c r="E300" s="2686"/>
      <c r="F300" s="2686"/>
      <c r="G300" s="2686"/>
      <c r="H300" s="2686"/>
    </row>
    <row r="301" spans="1:8" ht="23.25" customHeight="1">
      <c r="B301" s="923" t="s">
        <v>337</v>
      </c>
      <c r="C301" s="923" t="s">
        <v>40</v>
      </c>
      <c r="D301" s="970" t="s">
        <v>755</v>
      </c>
      <c r="E301" s="970" t="s">
        <v>43</v>
      </c>
      <c r="F301" s="1338" t="s">
        <v>129</v>
      </c>
      <c r="G301" s="1119" t="s">
        <v>47</v>
      </c>
      <c r="H301" s="970" t="s">
        <v>48</v>
      </c>
    </row>
    <row r="302" spans="1:8">
      <c r="A302" s="814">
        <v>1</v>
      </c>
      <c r="B302" s="800">
        <v>43431</v>
      </c>
      <c r="C302" s="800">
        <v>43434</v>
      </c>
      <c r="D302" s="1120">
        <v>4.4200000000000003E-2</v>
      </c>
      <c r="E302" s="1120">
        <f>((1+D302)^(1/365)-1)</f>
        <v>1.185030263928244E-4</v>
      </c>
      <c r="F302" s="1339">
        <f>+$F$297</f>
        <v>46649346.424274251</v>
      </c>
      <c r="G302" s="1122">
        <f>_xlfn.DAYS(C302,B302)+1</f>
        <v>4</v>
      </c>
      <c r="H302" s="811">
        <f>+F302*G302*E302</f>
        <v>22112.354922095121</v>
      </c>
    </row>
    <row r="303" spans="1:8">
      <c r="A303" s="814">
        <v>2</v>
      </c>
      <c r="B303" s="800">
        <v>43435</v>
      </c>
      <c r="C303" s="800">
        <v>43465</v>
      </c>
      <c r="D303" s="1120">
        <v>4.5400000000000003E-2</v>
      </c>
      <c r="E303" s="1120">
        <f t="shared" ref="E303:E341" si="49">((1+D303)^(1/365)-1)</f>
        <v>1.2165010369624696E-4</v>
      </c>
      <c r="F303" s="1339">
        <f t="shared" ref="F303:F341" si="50">+$F$297</f>
        <v>46649346.424274251</v>
      </c>
      <c r="G303" s="1122">
        <f>_xlfn.DAYS(C303,B303)+1</f>
        <v>31</v>
      </c>
      <c r="H303" s="811">
        <f t="shared" ref="H303:H335" si="51">+F303*G303*E303</f>
        <v>175921.8327261284</v>
      </c>
    </row>
    <row r="304" spans="1:8">
      <c r="A304" s="814">
        <v>3</v>
      </c>
      <c r="B304" s="800">
        <v>43466</v>
      </c>
      <c r="C304" s="800">
        <v>43496</v>
      </c>
      <c r="D304" s="1120">
        <v>4.5600000000000002E-2</v>
      </c>
      <c r="E304" s="1120">
        <f t="shared" si="49"/>
        <v>1.2217426630578565E-4</v>
      </c>
      <c r="F304" s="1339">
        <f t="shared" si="50"/>
        <v>46649346.424274251</v>
      </c>
      <c r="G304" s="1122">
        <f t="shared" ref="G304:G341" si="52">_xlfn.DAYS(C304,B304)+1</f>
        <v>31</v>
      </c>
      <c r="H304" s="811">
        <f t="shared" si="51"/>
        <v>176679.83986393409</v>
      </c>
    </row>
    <row r="305" spans="1:8">
      <c r="A305" s="814">
        <v>4</v>
      </c>
      <c r="B305" s="800">
        <v>43497</v>
      </c>
      <c r="C305" s="800">
        <v>43522</v>
      </c>
      <c r="D305" s="1120">
        <v>4.5699999999999998E-2</v>
      </c>
      <c r="E305" s="1120">
        <f t="shared" si="49"/>
        <v>1.2243631011710221E-4</v>
      </c>
      <c r="F305" s="1339">
        <f t="shared" si="50"/>
        <v>46649346.424274251</v>
      </c>
      <c r="G305" s="1122">
        <f t="shared" si="52"/>
        <v>26</v>
      </c>
      <c r="H305" s="811">
        <f t="shared" si="51"/>
        <v>148500.91998462696</v>
      </c>
    </row>
    <row r="306" spans="1:8">
      <c r="A306" s="1348" t="s">
        <v>756</v>
      </c>
      <c r="C306" s="800"/>
      <c r="D306" s="1120"/>
      <c r="E306" s="1120"/>
      <c r="F306" s="1339"/>
      <c r="G306" s="1122"/>
      <c r="H306" s="811"/>
    </row>
    <row r="307" spans="1:8">
      <c r="A307" s="814">
        <v>5</v>
      </c>
      <c r="B307" s="800">
        <v>43523</v>
      </c>
      <c r="C307" s="800">
        <v>43537</v>
      </c>
      <c r="D307" s="1120">
        <v>0</v>
      </c>
      <c r="E307" s="1120">
        <v>0</v>
      </c>
      <c r="F307" s="1339">
        <v>0</v>
      </c>
      <c r="G307" s="1122">
        <v>0</v>
      </c>
      <c r="H307" s="811">
        <v>0</v>
      </c>
    </row>
    <row r="308" spans="1:8">
      <c r="A308" s="814">
        <v>6</v>
      </c>
      <c r="B308" s="800">
        <v>43538</v>
      </c>
      <c r="C308" s="800">
        <v>43555</v>
      </c>
      <c r="D308" s="1120">
        <v>4.5499999999999999E-2</v>
      </c>
      <c r="E308" s="1120">
        <f t="shared" si="49"/>
        <v>1.2191219750046223E-4</v>
      </c>
      <c r="F308" s="1339">
        <f t="shared" si="50"/>
        <v>46649346.424274251</v>
      </c>
      <c r="G308" s="1122">
        <f t="shared" si="52"/>
        <v>18</v>
      </c>
      <c r="H308" s="811">
        <f>+F308*G308*E308</f>
        <v>102368.23802178487</v>
      </c>
    </row>
    <row r="309" spans="1:8">
      <c r="A309" s="814">
        <v>7</v>
      </c>
      <c r="B309" s="800">
        <v>43556</v>
      </c>
      <c r="C309" s="800">
        <v>43585</v>
      </c>
      <c r="D309" s="1120">
        <v>4.5400000000000003E-2</v>
      </c>
      <c r="E309" s="1120">
        <f t="shared" si="49"/>
        <v>1.2165010369624696E-4</v>
      </c>
      <c r="F309" s="1339">
        <f t="shared" si="50"/>
        <v>46649346.424274251</v>
      </c>
      <c r="G309" s="1122">
        <f t="shared" si="52"/>
        <v>30</v>
      </c>
      <c r="H309" s="811">
        <f t="shared" si="51"/>
        <v>170246.93489625331</v>
      </c>
    </row>
    <row r="310" spans="1:8">
      <c r="A310" s="814">
        <v>8</v>
      </c>
      <c r="B310" s="800">
        <v>43586</v>
      </c>
      <c r="C310" s="800">
        <v>43616</v>
      </c>
      <c r="D310" s="1120">
        <v>4.4999999999999998E-2</v>
      </c>
      <c r="E310" s="1120">
        <f t="shared" si="49"/>
        <v>1.2060147839498825E-4</v>
      </c>
      <c r="F310" s="1339">
        <f t="shared" si="50"/>
        <v>46649346.424274251</v>
      </c>
      <c r="G310" s="1122">
        <f t="shared" si="52"/>
        <v>31</v>
      </c>
      <c r="H310" s="811">
        <f t="shared" si="51"/>
        <v>174405.38449275045</v>
      </c>
    </row>
    <row r="311" spans="1:8">
      <c r="A311" s="814">
        <v>9</v>
      </c>
      <c r="B311" s="800">
        <v>43617</v>
      </c>
      <c r="C311" s="800">
        <v>43646</v>
      </c>
      <c r="D311" s="1120">
        <v>4.5199999999999997E-2</v>
      </c>
      <c r="E311" s="1120">
        <f t="shared" si="49"/>
        <v>1.2112584107204505E-4</v>
      </c>
      <c r="F311" s="1339">
        <f t="shared" si="50"/>
        <v>46649346.424274251</v>
      </c>
      <c r="G311" s="1122">
        <f t="shared" si="52"/>
        <v>30</v>
      </c>
      <c r="H311" s="811">
        <f t="shared" si="51"/>
        <v>169513.23963304248</v>
      </c>
    </row>
    <row r="312" spans="1:8">
      <c r="A312" s="814">
        <v>10</v>
      </c>
      <c r="B312" s="800">
        <v>43647</v>
      </c>
      <c r="C312" s="800">
        <v>43677</v>
      </c>
      <c r="D312" s="1120">
        <v>4.4699999999999997E-2</v>
      </c>
      <c r="E312" s="1120">
        <f t="shared" si="49"/>
        <v>1.198147466965338E-4</v>
      </c>
      <c r="F312" s="1339">
        <f t="shared" si="50"/>
        <v>46649346.424274251</v>
      </c>
      <c r="G312" s="1122">
        <f t="shared" si="52"/>
        <v>31</v>
      </c>
      <c r="H312" s="811">
        <f t="shared" si="51"/>
        <v>173267.6683868815</v>
      </c>
    </row>
    <row r="313" spans="1:8">
      <c r="A313" s="814">
        <v>11</v>
      </c>
      <c r="B313" s="800">
        <v>43678</v>
      </c>
      <c r="C313" s="800">
        <v>43708</v>
      </c>
      <c r="D313" s="1120">
        <v>4.4299999999999999E-2</v>
      </c>
      <c r="E313" s="1120">
        <f t="shared" si="49"/>
        <v>1.187654205565547E-4</v>
      </c>
      <c r="F313" s="1339">
        <f t="shared" si="50"/>
        <v>46649346.424274251</v>
      </c>
      <c r="G313" s="1122">
        <f t="shared" si="52"/>
        <v>31</v>
      </c>
      <c r="H313" s="811">
        <f t="shared" si="51"/>
        <v>171750.20664978764</v>
      </c>
    </row>
    <row r="314" spans="1:8">
      <c r="A314" s="814">
        <v>12</v>
      </c>
      <c r="B314" s="800">
        <v>43709</v>
      </c>
      <c r="C314" s="800">
        <v>43738</v>
      </c>
      <c r="D314" s="1120">
        <v>0.2898</v>
      </c>
      <c r="E314" s="1120">
        <f t="shared" si="49"/>
        <v>6.9746823462724095E-4</v>
      </c>
      <c r="F314" s="1339">
        <f t="shared" si="50"/>
        <v>46649346.424274251</v>
      </c>
      <c r="G314" s="1122">
        <f t="shared" si="52"/>
        <v>30</v>
      </c>
      <c r="H314" s="811">
        <f t="shared" si="51"/>
        <v>976093.11891159473</v>
      </c>
    </row>
    <row r="315" spans="1:8">
      <c r="A315" s="814">
        <v>13</v>
      </c>
      <c r="B315" s="800">
        <v>43739</v>
      </c>
      <c r="C315" s="800">
        <v>43769</v>
      </c>
      <c r="D315" s="1120">
        <v>0.28649999999999998</v>
      </c>
      <c r="E315" s="1120">
        <f t="shared" si="49"/>
        <v>6.9044469314105683E-4</v>
      </c>
      <c r="F315" s="1339">
        <f t="shared" si="50"/>
        <v>46649346.424274251</v>
      </c>
      <c r="G315" s="1122">
        <f t="shared" si="52"/>
        <v>31</v>
      </c>
      <c r="H315" s="811">
        <f t="shared" si="51"/>
        <v>998472.60399130569</v>
      </c>
    </row>
    <row r="316" spans="1:8">
      <c r="A316" s="814">
        <v>14</v>
      </c>
      <c r="B316" s="800">
        <v>43770</v>
      </c>
      <c r="C316" s="800">
        <v>43799</v>
      </c>
      <c r="D316" s="1120">
        <v>0.28544999999999998</v>
      </c>
      <c r="E316" s="1120">
        <f t="shared" si="49"/>
        <v>6.8820616169262827E-4</v>
      </c>
      <c r="F316" s="1339">
        <f t="shared" si="50"/>
        <v>46649346.424274251</v>
      </c>
      <c r="G316" s="1122">
        <f t="shared" si="52"/>
        <v>30</v>
      </c>
      <c r="H316" s="811">
        <f t="shared" si="51"/>
        <v>963131.02944358555</v>
      </c>
    </row>
    <row r="317" spans="1:8">
      <c r="A317" s="814">
        <v>15</v>
      </c>
      <c r="B317" s="800">
        <v>43800</v>
      </c>
      <c r="C317" s="800">
        <v>43830</v>
      </c>
      <c r="D317" s="1120">
        <v>0.28364999999999996</v>
      </c>
      <c r="E317" s="1120">
        <f t="shared" si="49"/>
        <v>6.8436443340047504E-4</v>
      </c>
      <c r="F317" s="1339">
        <f t="shared" si="50"/>
        <v>46649346.424274251</v>
      </c>
      <c r="G317" s="1122">
        <f t="shared" si="52"/>
        <v>31</v>
      </c>
      <c r="H317" s="811">
        <f t="shared" si="51"/>
        <v>989679.75955867872</v>
      </c>
    </row>
    <row r="318" spans="1:8">
      <c r="A318" s="814">
        <v>16</v>
      </c>
      <c r="B318" s="800">
        <v>43831</v>
      </c>
      <c r="C318" s="800">
        <v>43861</v>
      </c>
      <c r="D318" s="1120">
        <v>0.28155000000000002</v>
      </c>
      <c r="E318" s="1120">
        <f t="shared" si="49"/>
        <v>6.7987562124560696E-4</v>
      </c>
      <c r="F318" s="1339">
        <f t="shared" si="50"/>
        <v>46649346.424274251</v>
      </c>
      <c r="G318" s="1122">
        <f t="shared" si="52"/>
        <v>31</v>
      </c>
      <c r="H318" s="811">
        <f t="shared" si="51"/>
        <v>983188.35480805475</v>
      </c>
    </row>
    <row r="319" spans="1:8">
      <c r="A319" s="814">
        <v>17</v>
      </c>
      <c r="B319" s="800">
        <v>43862</v>
      </c>
      <c r="C319" s="800">
        <v>43890</v>
      </c>
      <c r="D319" s="1120">
        <v>0.28589999999999999</v>
      </c>
      <c r="E319" s="1120">
        <f t="shared" si="49"/>
        <v>6.8916575551658532E-4</v>
      </c>
      <c r="F319" s="1339">
        <f t="shared" si="50"/>
        <v>46649346.424274251</v>
      </c>
      <c r="G319" s="1122">
        <f t="shared" si="52"/>
        <v>29</v>
      </c>
      <c r="H319" s="811">
        <f t="shared" si="51"/>
        <v>932324.83011235646</v>
      </c>
    </row>
    <row r="320" spans="1:8">
      <c r="A320" s="814">
        <v>18</v>
      </c>
      <c r="B320" s="800">
        <v>43891</v>
      </c>
      <c r="C320" s="800">
        <v>43921</v>
      </c>
      <c r="D320" s="1120">
        <v>0.28425</v>
      </c>
      <c r="E320" s="1120">
        <f t="shared" si="49"/>
        <v>6.8564560609574166E-4</v>
      </c>
      <c r="F320" s="1339">
        <f t="shared" si="50"/>
        <v>46649346.424274251</v>
      </c>
      <c r="G320" s="1122">
        <f t="shared" si="52"/>
        <v>31</v>
      </c>
      <c r="H320" s="811">
        <f t="shared" si="51"/>
        <v>991532.50149429392</v>
      </c>
    </row>
    <row r="321" spans="1:8">
      <c r="A321" s="814">
        <v>19</v>
      </c>
      <c r="B321" s="800">
        <v>43922</v>
      </c>
      <c r="C321" s="800">
        <v>43951</v>
      </c>
      <c r="D321" s="1120">
        <v>0.28034999999999999</v>
      </c>
      <c r="E321" s="1120">
        <f t="shared" si="49"/>
        <v>6.7730729113191224E-4</v>
      </c>
      <c r="F321" s="1339">
        <f t="shared" si="50"/>
        <v>46649346.424274251</v>
      </c>
      <c r="G321" s="1122">
        <f t="shared" si="52"/>
        <v>30</v>
      </c>
      <c r="H321" s="811">
        <f t="shared" si="51"/>
        <v>947878.27379098057</v>
      </c>
    </row>
    <row r="322" spans="1:8">
      <c r="A322" s="814">
        <v>20</v>
      </c>
      <c r="B322" s="800">
        <v>43952</v>
      </c>
      <c r="C322" s="800">
        <v>43982</v>
      </c>
      <c r="D322" s="1120">
        <v>0.27285000000000004</v>
      </c>
      <c r="E322" s="1120">
        <f t="shared" si="49"/>
        <v>6.6120063584418354E-4</v>
      </c>
      <c r="F322" s="1339">
        <f t="shared" si="50"/>
        <v>46649346.424274251</v>
      </c>
      <c r="G322" s="1122">
        <f t="shared" si="52"/>
        <v>31</v>
      </c>
      <c r="H322" s="811">
        <f t="shared" si="51"/>
        <v>956181.90304081747</v>
      </c>
    </row>
    <row r="323" spans="1:8">
      <c r="A323" s="814">
        <v>21</v>
      </c>
      <c r="B323" s="800">
        <v>43983</v>
      </c>
      <c r="C323" s="800">
        <v>44012</v>
      </c>
      <c r="D323" s="1120">
        <v>0.27179999999999999</v>
      </c>
      <c r="E323" s="1120">
        <f t="shared" si="49"/>
        <v>6.5893815469997286E-4</v>
      </c>
      <c r="F323" s="1339">
        <f t="shared" si="50"/>
        <v>46649346.424274251</v>
      </c>
      <c r="G323" s="1122">
        <f t="shared" si="52"/>
        <v>30</v>
      </c>
      <c r="H323" s="811">
        <f t="shared" si="51"/>
        <v>922171.02752313158</v>
      </c>
    </row>
    <row r="324" spans="1:8">
      <c r="A324" s="814">
        <v>22</v>
      </c>
      <c r="B324" s="800">
        <v>44013</v>
      </c>
      <c r="C324" s="800">
        <v>44043</v>
      </c>
      <c r="D324" s="1120">
        <v>0.27179999999999999</v>
      </c>
      <c r="E324" s="1120">
        <f t="shared" si="49"/>
        <v>6.5893815469997286E-4</v>
      </c>
      <c r="F324" s="1339">
        <f t="shared" si="50"/>
        <v>46649346.424274251</v>
      </c>
      <c r="G324" s="1122">
        <f t="shared" si="52"/>
        <v>31</v>
      </c>
      <c r="H324" s="811">
        <f t="shared" si="51"/>
        <v>952910.06177390262</v>
      </c>
    </row>
    <row r="325" spans="1:8">
      <c r="A325" s="814">
        <v>23</v>
      </c>
      <c r="B325" s="800">
        <v>44044</v>
      </c>
      <c r="C325" s="800">
        <v>44074</v>
      </c>
      <c r="D325" s="1120">
        <v>0.27434999999999998</v>
      </c>
      <c r="E325" s="1120">
        <f t="shared" si="49"/>
        <v>6.6442952514544906E-4</v>
      </c>
      <c r="F325" s="1339">
        <f t="shared" si="50"/>
        <v>46649346.424274251</v>
      </c>
      <c r="G325" s="1122">
        <f t="shared" si="52"/>
        <v>31</v>
      </c>
      <c r="H325" s="811">
        <f t="shared" si="51"/>
        <v>960851.29588380887</v>
      </c>
    </row>
    <row r="326" spans="1:8">
      <c r="A326" s="814">
        <v>24</v>
      </c>
      <c r="B326" s="800">
        <v>44075</v>
      </c>
      <c r="C326" s="800">
        <v>44104</v>
      </c>
      <c r="D326" s="1120">
        <v>0.27524999999999999</v>
      </c>
      <c r="E326" s="1120">
        <f t="shared" si="49"/>
        <v>6.6636503991857055E-4</v>
      </c>
      <c r="F326" s="1339">
        <f t="shared" si="50"/>
        <v>46649346.424274251</v>
      </c>
      <c r="G326" s="1122">
        <f t="shared" si="52"/>
        <v>30</v>
      </c>
      <c r="H326" s="811">
        <f t="shared" si="51"/>
        <v>932564.80776560213</v>
      </c>
    </row>
    <row r="327" spans="1:8">
      <c r="A327" s="814">
        <v>25</v>
      </c>
      <c r="B327" s="800">
        <v>44105</v>
      </c>
      <c r="C327" s="800">
        <v>44135</v>
      </c>
      <c r="D327" s="1120">
        <v>0.27134999999999998</v>
      </c>
      <c r="E327" s="1120">
        <f t="shared" si="49"/>
        <v>6.5796794962613703E-4</v>
      </c>
      <c r="F327" s="1339">
        <f t="shared" si="50"/>
        <v>46649346.424274251</v>
      </c>
      <c r="G327" s="1122">
        <f t="shared" si="52"/>
        <v>31</v>
      </c>
      <c r="H327" s="811">
        <f t="shared" si="51"/>
        <v>951507.01936355198</v>
      </c>
    </row>
    <row r="328" spans="1:8">
      <c r="A328" s="814">
        <v>26</v>
      </c>
      <c r="B328" s="800">
        <v>44136</v>
      </c>
      <c r="C328" s="800">
        <v>44165</v>
      </c>
      <c r="D328" s="1120">
        <v>0.2676</v>
      </c>
      <c r="E328" s="1120">
        <f t="shared" si="49"/>
        <v>6.4986956374091243E-4</v>
      </c>
      <c r="F328" s="1339">
        <f t="shared" si="50"/>
        <v>46649346.424274251</v>
      </c>
      <c r="G328" s="1122">
        <f t="shared" si="52"/>
        <v>30</v>
      </c>
      <c r="H328" s="811">
        <f t="shared" si="51"/>
        <v>909479.71228625404</v>
      </c>
    </row>
    <row r="329" spans="1:8">
      <c r="A329" s="814">
        <v>27</v>
      </c>
      <c r="B329" s="800">
        <v>44166</v>
      </c>
      <c r="C329" s="800">
        <v>44196</v>
      </c>
      <c r="D329" s="1120">
        <v>0.26190000000000002</v>
      </c>
      <c r="E329" s="1120">
        <f t="shared" si="49"/>
        <v>6.3751414410861962E-4</v>
      </c>
      <c r="F329" s="1339">
        <f t="shared" si="50"/>
        <v>46649346.424274251</v>
      </c>
      <c r="G329" s="1122">
        <f t="shared" si="52"/>
        <v>31</v>
      </c>
      <c r="H329" s="811">
        <f t="shared" si="51"/>
        <v>921928.1629258286</v>
      </c>
    </row>
    <row r="330" spans="1:8">
      <c r="A330" s="814">
        <v>28</v>
      </c>
      <c r="B330" s="800">
        <v>44197</v>
      </c>
      <c r="C330" s="800">
        <v>44227</v>
      </c>
      <c r="D330" s="1120">
        <v>0.25979999999999998</v>
      </c>
      <c r="E330" s="1120">
        <f t="shared" si="49"/>
        <v>6.3294811266723094E-4</v>
      </c>
      <c r="F330" s="1339">
        <f t="shared" si="50"/>
        <v>46649346.424274251</v>
      </c>
      <c r="G330" s="1122">
        <f t="shared" si="52"/>
        <v>31</v>
      </c>
      <c r="H330" s="811">
        <f t="shared" si="51"/>
        <v>915325.08906853106</v>
      </c>
    </row>
    <row r="331" spans="1:8">
      <c r="A331" s="814">
        <v>29</v>
      </c>
      <c r="B331" s="800">
        <v>44228</v>
      </c>
      <c r="C331" s="800">
        <v>44255</v>
      </c>
      <c r="D331" s="1120">
        <v>0.2631</v>
      </c>
      <c r="E331" s="1120">
        <f t="shared" si="49"/>
        <v>6.4011990387169426E-4</v>
      </c>
      <c r="F331" s="1339">
        <f t="shared" si="50"/>
        <v>46649346.424274251</v>
      </c>
      <c r="G331" s="1122">
        <f t="shared" si="52"/>
        <v>28</v>
      </c>
      <c r="H331" s="811">
        <f t="shared" si="51"/>
        <v>836112.9041659463</v>
      </c>
    </row>
    <row r="332" spans="1:8">
      <c r="A332" s="814">
        <v>30</v>
      </c>
      <c r="B332" s="800">
        <v>44256</v>
      </c>
      <c r="C332" s="800">
        <v>44286</v>
      </c>
      <c r="D332" s="1120">
        <v>0.26114999999999999</v>
      </c>
      <c r="E332" s="1120">
        <f t="shared" si="49"/>
        <v>6.3588428907812578E-4</v>
      </c>
      <c r="F332" s="1339">
        <f t="shared" si="50"/>
        <v>46649346.424274251</v>
      </c>
      <c r="G332" s="1122">
        <f t="shared" si="52"/>
        <v>31</v>
      </c>
      <c r="H332" s="811">
        <f t="shared" si="51"/>
        <v>919571.18109572411</v>
      </c>
    </row>
    <row r="333" spans="1:8">
      <c r="A333" s="814">
        <v>31</v>
      </c>
      <c r="B333" s="800">
        <v>44287</v>
      </c>
      <c r="C333" s="800">
        <v>44316</v>
      </c>
      <c r="D333" s="1120">
        <v>0.25964999999999999</v>
      </c>
      <c r="E333" s="1120">
        <f t="shared" si="49"/>
        <v>6.326216771728177E-4</v>
      </c>
      <c r="F333" s="1339">
        <f t="shared" si="50"/>
        <v>46649346.424274251</v>
      </c>
      <c r="G333" s="1122">
        <f t="shared" si="52"/>
        <v>30</v>
      </c>
      <c r="H333" s="811">
        <f t="shared" si="51"/>
        <v>885341.63321820495</v>
      </c>
    </row>
    <row r="334" spans="1:8">
      <c r="A334" s="814">
        <v>32</v>
      </c>
      <c r="B334" s="800">
        <v>44317</v>
      </c>
      <c r="C334" s="800">
        <v>44347</v>
      </c>
      <c r="D334" s="1120">
        <v>0.25829999999999997</v>
      </c>
      <c r="E334" s="1120">
        <f t="shared" si="49"/>
        <v>6.2968201205726437E-4</v>
      </c>
      <c r="F334" s="1339">
        <f t="shared" si="50"/>
        <v>46649346.424274251</v>
      </c>
      <c r="G334" s="1122">
        <f t="shared" si="52"/>
        <v>31</v>
      </c>
      <c r="H334" s="811">
        <f t="shared" si="51"/>
        <v>910601.88384539424</v>
      </c>
    </row>
    <row r="335" spans="1:8">
      <c r="A335" s="814">
        <v>33</v>
      </c>
      <c r="B335" s="800">
        <v>44348</v>
      </c>
      <c r="C335" s="800">
        <v>44377</v>
      </c>
      <c r="D335" s="1120">
        <v>0.25814999999999999</v>
      </c>
      <c r="E335" s="1120">
        <f t="shared" si="49"/>
        <v>6.2935518846773952E-4</v>
      </c>
      <c r="F335" s="1339">
        <f t="shared" si="50"/>
        <v>46649346.424274251</v>
      </c>
      <c r="G335" s="1122">
        <f t="shared" si="52"/>
        <v>30</v>
      </c>
      <c r="H335" s="811">
        <f t="shared" si="51"/>
        <v>880770.2463223798</v>
      </c>
    </row>
    <row r="336" spans="1:8">
      <c r="A336" s="814">
        <v>34</v>
      </c>
      <c r="B336" s="800">
        <v>44378</v>
      </c>
      <c r="C336" s="800">
        <v>44408</v>
      </c>
      <c r="D336" s="1120">
        <f>17.18%*1.5</f>
        <v>0.25770000000000004</v>
      </c>
      <c r="E336" s="1120">
        <f>((1+D336)^(1/365)-1)</f>
        <v>6.2837448450037137E-4</v>
      </c>
      <c r="F336" s="1339">
        <f>+$F$297</f>
        <v>46649346.424274251</v>
      </c>
      <c r="G336" s="1122">
        <f t="shared" si="52"/>
        <v>31</v>
      </c>
      <c r="H336" s="811">
        <f t="shared" ref="H336:H341" si="53">+F336*G336*E336</f>
        <v>908711.02936060983</v>
      </c>
    </row>
    <row r="337" spans="1:13">
      <c r="A337" s="814">
        <v>35</v>
      </c>
      <c r="B337" s="800">
        <v>44409</v>
      </c>
      <c r="C337" s="800">
        <v>44439</v>
      </c>
      <c r="D337" s="1120">
        <f>17.24%*1.5</f>
        <v>0.2586</v>
      </c>
      <c r="E337" s="1120">
        <f t="shared" si="49"/>
        <v>6.3033554269220637E-4</v>
      </c>
      <c r="F337" s="1339">
        <f t="shared" si="50"/>
        <v>46649346.424274251</v>
      </c>
      <c r="G337" s="1122">
        <f t="shared" si="52"/>
        <v>31</v>
      </c>
      <c r="H337" s="816">
        <f t="shared" si="53"/>
        <v>911546.97393203108</v>
      </c>
    </row>
    <row r="338" spans="1:13">
      <c r="A338" s="814">
        <v>36</v>
      </c>
      <c r="B338" s="800">
        <v>44440</v>
      </c>
      <c r="C338" s="800">
        <v>44469</v>
      </c>
      <c r="D338" s="1120">
        <f>17.19%*1.5</f>
        <v>0.25785000000000002</v>
      </c>
      <c r="E338" s="1120">
        <f t="shared" si="49"/>
        <v>6.2870142469861889E-4</v>
      </c>
      <c r="F338" s="1339">
        <f t="shared" si="50"/>
        <v>46649346.424274251</v>
      </c>
      <c r="G338" s="1122">
        <f t="shared" si="52"/>
        <v>30</v>
      </c>
      <c r="H338" s="816">
        <f t="shared" si="53"/>
        <v>879855.31674601941</v>
      </c>
    </row>
    <row r="339" spans="1:13">
      <c r="A339" s="814">
        <v>37</v>
      </c>
      <c r="B339" s="800">
        <v>44470</v>
      </c>
      <c r="C339" s="800">
        <v>44500</v>
      </c>
      <c r="D339" s="1120">
        <f>17.08%*1.5</f>
        <v>0.25619999999999998</v>
      </c>
      <c r="E339" s="1120">
        <f t="shared" si="49"/>
        <v>6.2510294214179751E-4</v>
      </c>
      <c r="F339" s="1339">
        <f t="shared" si="50"/>
        <v>46649346.424274251</v>
      </c>
      <c r="G339" s="1122">
        <f t="shared" si="52"/>
        <v>31</v>
      </c>
      <c r="H339" s="816">
        <f t="shared" si="53"/>
        <v>903979.95466297911</v>
      </c>
    </row>
    <row r="340" spans="1:13">
      <c r="A340" s="814">
        <v>38</v>
      </c>
      <c r="B340" s="800">
        <v>44501</v>
      </c>
      <c r="C340" s="800">
        <v>44530</v>
      </c>
      <c r="D340" s="1120">
        <f>17.27%*1.5</f>
        <v>0.25905</v>
      </c>
      <c r="E340" s="1120">
        <f t="shared" si="49"/>
        <v>6.3131554742335005E-4</v>
      </c>
      <c r="F340" s="1339">
        <f t="shared" si="50"/>
        <v>46649346.424274251</v>
      </c>
      <c r="G340" s="1122">
        <f t="shared" si="52"/>
        <v>30</v>
      </c>
      <c r="H340" s="816">
        <f t="shared" si="53"/>
        <v>883513.73024346598</v>
      </c>
    </row>
    <row r="341" spans="1:13">
      <c r="A341" s="814">
        <v>39</v>
      </c>
      <c r="B341" s="800">
        <v>44531</v>
      </c>
      <c r="C341" s="800">
        <v>44550</v>
      </c>
      <c r="D341" s="1120">
        <f>17.46%*1.5</f>
        <v>0.26190000000000002</v>
      </c>
      <c r="E341" s="1120">
        <f t="shared" si="49"/>
        <v>6.3751414410861962E-4</v>
      </c>
      <c r="F341" s="1339">
        <f t="shared" si="50"/>
        <v>46649346.424274251</v>
      </c>
      <c r="G341" s="1122">
        <f t="shared" si="52"/>
        <v>20</v>
      </c>
      <c r="H341" s="811">
        <f t="shared" si="53"/>
        <v>594792.36317795387</v>
      </c>
    </row>
    <row r="342" spans="1:13">
      <c r="F342" s="814"/>
      <c r="G342" s="1123" t="s">
        <v>93</v>
      </c>
      <c r="H342" s="1124">
        <f>SUM(H302:H341)</f>
        <v>27204783.388090272</v>
      </c>
    </row>
    <row r="343" spans="1:13">
      <c r="F343" s="814"/>
      <c r="G343" s="726" t="s">
        <v>757</v>
      </c>
      <c r="H343" s="1125">
        <f>+(F297+H342)*20%</f>
        <v>14770825.962472904</v>
      </c>
    </row>
    <row r="344" spans="1:13">
      <c r="F344" s="814"/>
    </row>
    <row r="345" spans="1:13">
      <c r="B345" s="2687" t="s">
        <v>55</v>
      </c>
      <c r="C345" s="2688"/>
      <c r="D345" s="900"/>
      <c r="F345" s="814"/>
      <c r="L345" s="927">
        <v>46649346</v>
      </c>
      <c r="M345" s="1414">
        <v>46649346</v>
      </c>
    </row>
    <row r="346" spans="1:13">
      <c r="B346" s="726" t="s">
        <v>56</v>
      </c>
      <c r="C346" s="726"/>
      <c r="D346" s="900"/>
      <c r="F346" s="814"/>
      <c r="L346" s="927">
        <v>27204783</v>
      </c>
      <c r="M346" s="1414">
        <v>27204783</v>
      </c>
    </row>
    <row r="347" spans="1:13">
      <c r="B347" s="741" t="s">
        <v>133</v>
      </c>
      <c r="C347" s="857">
        <f>+F297</f>
        <v>46649346.424274251</v>
      </c>
      <c r="F347" s="814"/>
      <c r="L347" s="927">
        <v>14770826</v>
      </c>
      <c r="M347" s="1414">
        <f>+C349</f>
        <v>14770825.962472904</v>
      </c>
    </row>
    <row r="348" spans="1:13">
      <c r="B348" s="741" t="s">
        <v>134</v>
      </c>
      <c r="C348" s="858">
        <f>+H342</f>
        <v>27204783.388090272</v>
      </c>
      <c r="F348" s="814"/>
      <c r="L348" s="927">
        <v>161324400</v>
      </c>
      <c r="M348" s="1414">
        <v>161324400</v>
      </c>
    </row>
    <row r="349" spans="1:13">
      <c r="B349" s="741" t="str">
        <f>+G343</f>
        <v>COSTAS</v>
      </c>
      <c r="C349" s="858">
        <f>+H343</f>
        <v>14770825.962472904</v>
      </c>
      <c r="F349" s="814"/>
      <c r="L349" s="927">
        <f>SUM(L345:L348)</f>
        <v>249949355</v>
      </c>
      <c r="M349" s="1414">
        <f>SUM(M345:M348)</f>
        <v>249949354.96247292</v>
      </c>
    </row>
    <row r="350" spans="1:13">
      <c r="F350" s="814"/>
      <c r="J350" s="1351">
        <f>+C347+C348+C349</f>
        <v>88624955.774837419</v>
      </c>
      <c r="M350" s="1337">
        <f>+M349-C351</f>
        <v>161324400.18763548</v>
      </c>
    </row>
    <row r="351" spans="1:13" ht="13.5" thickBot="1">
      <c r="B351" s="1786" t="s">
        <v>61</v>
      </c>
      <c r="C351" s="859">
        <f>SUM(C347:C350)-1</f>
        <v>88624954.774837419</v>
      </c>
      <c r="D351" s="1118"/>
      <c r="F351" s="814"/>
      <c r="M351" s="1150">
        <f>+M345+M346+M347+M348</f>
        <v>249949354.96247292</v>
      </c>
    </row>
    <row r="352" spans="1:13" ht="13.5" thickTop="1">
      <c r="B352" s="1785" t="s">
        <v>758</v>
      </c>
      <c r="C352" s="858">
        <v>161324400</v>
      </c>
      <c r="D352" s="1118"/>
      <c r="F352" s="814"/>
    </row>
    <row r="353" spans="2:10">
      <c r="C353" s="979"/>
      <c r="F353" s="814"/>
    </row>
    <row r="354" spans="2:10">
      <c r="C354" s="979"/>
      <c r="F354" s="814"/>
    </row>
    <row r="355" spans="2:10">
      <c r="B355" s="818" t="s">
        <v>63</v>
      </c>
      <c r="C355" s="979"/>
      <c r="F355" s="814"/>
    </row>
    <row r="356" spans="2:10">
      <c r="B356" s="818" t="s">
        <v>64</v>
      </c>
      <c r="C356" s="979"/>
    </row>
    <row r="357" spans="2:10">
      <c r="B357" s="900" t="s">
        <v>65</v>
      </c>
      <c r="C357" s="979"/>
      <c r="E357" s="1059" t="str">
        <f>+B359</f>
        <v>PLANILLAS J NEIL CARRASQUILLA</v>
      </c>
    </row>
    <row r="358" spans="2:10">
      <c r="B358" s="1406" t="s">
        <v>758</v>
      </c>
      <c r="C358" s="1407">
        <v>161324400</v>
      </c>
      <c r="J358" s="1150">
        <v>161324400</v>
      </c>
    </row>
    <row r="359" spans="2:10" ht="13.5">
      <c r="B359" s="773" t="s">
        <v>759</v>
      </c>
      <c r="C359" s="1408"/>
      <c r="D359" s="1408"/>
      <c r="E359" s="1408"/>
      <c r="F359" s="1408"/>
      <c r="G359" s="1408"/>
    </row>
    <row r="360" spans="2:10" ht="25.5">
      <c r="B360" s="793" t="s">
        <v>11</v>
      </c>
      <c r="C360" s="1409" t="s">
        <v>760</v>
      </c>
      <c r="D360" s="1410" t="s">
        <v>761</v>
      </c>
      <c r="E360" s="1409" t="s">
        <v>762</v>
      </c>
      <c r="F360" s="1410" t="s">
        <v>763</v>
      </c>
      <c r="G360" s="1409" t="s">
        <v>764</v>
      </c>
    </row>
    <row r="361" spans="2:10">
      <c r="B361" s="1411">
        <v>38231</v>
      </c>
      <c r="C361" s="1412">
        <v>65300</v>
      </c>
      <c r="D361" s="1412">
        <v>307300</v>
      </c>
      <c r="E361" s="1412">
        <v>54100</v>
      </c>
      <c r="F361" s="1412">
        <v>254600</v>
      </c>
      <c r="G361" s="1412">
        <f>SUM(C361:F361)</f>
        <v>681300</v>
      </c>
      <c r="I361" s="1415">
        <f>+L345+L346+L347</f>
        <v>88624955</v>
      </c>
    </row>
    <row r="362" spans="2:10">
      <c r="B362" s="1411">
        <v>38261</v>
      </c>
      <c r="C362" s="1412">
        <v>65300</v>
      </c>
      <c r="D362" s="1412">
        <v>306200</v>
      </c>
      <c r="E362" s="1412">
        <v>54100</v>
      </c>
      <c r="F362" s="1412">
        <v>253700</v>
      </c>
      <c r="G362" s="1412">
        <f t="shared" ref="G362:G425" si="54">SUM(C362:F362)</f>
        <v>679300</v>
      </c>
      <c r="I362" s="1416">
        <f>+I361*45%</f>
        <v>39881229.75</v>
      </c>
      <c r="J362" s="1418">
        <v>0.45</v>
      </c>
    </row>
    <row r="363" spans="2:10">
      <c r="B363" s="1411">
        <v>38292</v>
      </c>
      <c r="C363" s="1412">
        <v>65300</v>
      </c>
      <c r="D363" s="1412">
        <v>305100</v>
      </c>
      <c r="E363" s="1412">
        <v>54100</v>
      </c>
      <c r="F363" s="1412">
        <v>252800</v>
      </c>
      <c r="G363" s="1412">
        <f t="shared" si="54"/>
        <v>677300</v>
      </c>
      <c r="I363" s="1416">
        <f>+I361*55%</f>
        <v>48743725.250000007</v>
      </c>
      <c r="J363" s="1418">
        <v>0.55000000000000004</v>
      </c>
    </row>
    <row r="364" spans="2:10">
      <c r="B364" s="1411">
        <v>38322</v>
      </c>
      <c r="C364" s="1412">
        <v>65300</v>
      </c>
      <c r="D364" s="1412">
        <v>303900</v>
      </c>
      <c r="E364" s="1412">
        <v>54100</v>
      </c>
      <c r="F364" s="1412">
        <v>251800</v>
      </c>
      <c r="G364" s="1412">
        <f t="shared" si="54"/>
        <v>675100</v>
      </c>
      <c r="I364" s="1417">
        <f>+I362+I363</f>
        <v>88624955</v>
      </c>
    </row>
    <row r="365" spans="2:10">
      <c r="B365" s="1411">
        <v>38353</v>
      </c>
      <c r="C365" s="1412">
        <v>91200</v>
      </c>
      <c r="D365" s="1412">
        <v>422900</v>
      </c>
      <c r="E365" s="1412">
        <v>72900</v>
      </c>
      <c r="F365" s="1412">
        <v>338000</v>
      </c>
      <c r="G365" s="1412">
        <f t="shared" si="54"/>
        <v>925000</v>
      </c>
    </row>
    <row r="366" spans="2:10">
      <c r="B366" s="1411">
        <v>38384</v>
      </c>
      <c r="C366" s="1412">
        <v>88100</v>
      </c>
      <c r="D366" s="1412">
        <v>407100</v>
      </c>
      <c r="E366" s="1412">
        <v>70500</v>
      </c>
      <c r="F366" s="1412">
        <v>325800</v>
      </c>
      <c r="G366" s="1412">
        <f t="shared" si="54"/>
        <v>891500</v>
      </c>
    </row>
    <row r="367" spans="2:10">
      <c r="B367" s="1411">
        <v>38412</v>
      </c>
      <c r="C367" s="1412">
        <v>91200</v>
      </c>
      <c r="D367" s="1412">
        <v>419800</v>
      </c>
      <c r="E367" s="1412">
        <v>72900</v>
      </c>
      <c r="F367" s="1412">
        <v>335600</v>
      </c>
      <c r="G367" s="1412">
        <f t="shared" si="54"/>
        <v>919500</v>
      </c>
    </row>
    <row r="368" spans="2:10">
      <c r="B368" s="1411">
        <v>38443</v>
      </c>
      <c r="C368" s="1412">
        <v>91200</v>
      </c>
      <c r="D368" s="1412">
        <v>418300</v>
      </c>
      <c r="E368" s="1412">
        <v>72900</v>
      </c>
      <c r="F368" s="1412">
        <v>334400</v>
      </c>
      <c r="G368" s="1412">
        <f t="shared" si="54"/>
        <v>916800</v>
      </c>
    </row>
    <row r="369" spans="2:7">
      <c r="B369" s="1411">
        <v>38473</v>
      </c>
      <c r="C369" s="1412">
        <v>91200</v>
      </c>
      <c r="D369" s="1412">
        <v>416600</v>
      </c>
      <c r="E369" s="1412">
        <v>72900</v>
      </c>
      <c r="F369" s="1412">
        <v>333000</v>
      </c>
      <c r="G369" s="1412">
        <f t="shared" si="54"/>
        <v>913700</v>
      </c>
    </row>
    <row r="370" spans="2:7">
      <c r="B370" s="1411">
        <v>38504</v>
      </c>
      <c r="C370" s="1412">
        <v>91200</v>
      </c>
      <c r="D370" s="1412">
        <v>415100</v>
      </c>
      <c r="E370" s="1412">
        <v>72900</v>
      </c>
      <c r="F370" s="1412">
        <v>331800</v>
      </c>
      <c r="G370" s="1412">
        <f t="shared" si="54"/>
        <v>911000</v>
      </c>
    </row>
    <row r="371" spans="2:7">
      <c r="B371" s="1411">
        <v>38534</v>
      </c>
      <c r="C371" s="1412">
        <v>91200</v>
      </c>
      <c r="D371" s="1412">
        <v>413600</v>
      </c>
      <c r="E371" s="1412">
        <v>72900</v>
      </c>
      <c r="F371" s="1412">
        <v>330700</v>
      </c>
      <c r="G371" s="1412">
        <f t="shared" si="54"/>
        <v>908400</v>
      </c>
    </row>
    <row r="372" spans="2:7">
      <c r="B372" s="1411">
        <v>38565</v>
      </c>
      <c r="C372" s="1412">
        <v>91200</v>
      </c>
      <c r="D372" s="1412">
        <v>411900</v>
      </c>
      <c r="E372" s="1412">
        <v>72900</v>
      </c>
      <c r="F372" s="1412">
        <v>329300</v>
      </c>
      <c r="G372" s="1412">
        <f t="shared" si="54"/>
        <v>905300</v>
      </c>
    </row>
    <row r="373" spans="2:7">
      <c r="B373" s="1411">
        <v>38596</v>
      </c>
      <c r="C373" s="1412">
        <v>91200</v>
      </c>
      <c r="D373" s="1412">
        <v>410400</v>
      </c>
      <c r="E373" s="1412">
        <v>72900</v>
      </c>
      <c r="F373" s="1412">
        <v>328100</v>
      </c>
      <c r="G373" s="1412">
        <f t="shared" si="54"/>
        <v>902600</v>
      </c>
    </row>
    <row r="374" spans="2:7">
      <c r="B374" s="1411">
        <v>38626</v>
      </c>
      <c r="C374" s="1412">
        <v>91200</v>
      </c>
      <c r="D374" s="1412">
        <v>408700</v>
      </c>
      <c r="E374" s="1412">
        <v>72900</v>
      </c>
      <c r="F374" s="1412">
        <v>326700</v>
      </c>
      <c r="G374" s="1412">
        <f t="shared" si="54"/>
        <v>899500</v>
      </c>
    </row>
    <row r="375" spans="2:7">
      <c r="B375" s="1411">
        <v>38657</v>
      </c>
      <c r="C375" s="1412">
        <v>91200</v>
      </c>
      <c r="D375" s="1412">
        <v>407300</v>
      </c>
      <c r="E375" s="1412">
        <v>72900</v>
      </c>
      <c r="F375" s="1412">
        <v>325500</v>
      </c>
      <c r="G375" s="1412">
        <f>SUM(C375:F375)</f>
        <v>896900</v>
      </c>
    </row>
    <row r="376" spans="2:7">
      <c r="B376" s="1411">
        <v>38687</v>
      </c>
      <c r="C376" s="1412">
        <v>91200</v>
      </c>
      <c r="D376" s="1412">
        <v>405700</v>
      </c>
      <c r="E376" s="1412">
        <v>72900</v>
      </c>
      <c r="F376" s="1412">
        <v>324300</v>
      </c>
      <c r="G376" s="1412">
        <f t="shared" si="54"/>
        <v>894100</v>
      </c>
    </row>
    <row r="377" spans="2:7">
      <c r="B377" s="1411">
        <v>38718</v>
      </c>
      <c r="C377" s="1412">
        <v>105300</v>
      </c>
      <c r="D377" s="1412">
        <v>466500</v>
      </c>
      <c r="E377" s="1412">
        <v>81600</v>
      </c>
      <c r="F377" s="1412">
        <v>361500</v>
      </c>
      <c r="G377" s="1412">
        <f t="shared" si="54"/>
        <v>1014900</v>
      </c>
    </row>
    <row r="378" spans="2:7">
      <c r="B378" s="1411">
        <v>38749</v>
      </c>
      <c r="C378" s="1412">
        <v>105300</v>
      </c>
      <c r="D378" s="1412">
        <v>464900</v>
      </c>
      <c r="E378" s="1412">
        <v>81600</v>
      </c>
      <c r="F378" s="1412">
        <v>360200</v>
      </c>
      <c r="G378" s="1412">
        <f t="shared" si="54"/>
        <v>1012000</v>
      </c>
    </row>
    <row r="379" spans="2:7">
      <c r="B379" s="1411">
        <v>38777</v>
      </c>
      <c r="C379" s="1412">
        <v>105300</v>
      </c>
      <c r="D379" s="1412">
        <v>463000</v>
      </c>
      <c r="E379" s="1412">
        <v>81600</v>
      </c>
      <c r="F379" s="1412">
        <v>358800</v>
      </c>
      <c r="G379" s="1412">
        <f t="shared" si="54"/>
        <v>1008700</v>
      </c>
    </row>
    <row r="380" spans="2:7">
      <c r="B380" s="1411">
        <v>38808</v>
      </c>
      <c r="C380" s="1412">
        <v>105300</v>
      </c>
      <c r="D380" s="1412">
        <v>461200</v>
      </c>
      <c r="E380" s="1412">
        <v>81600</v>
      </c>
      <c r="F380" s="1412">
        <v>357400</v>
      </c>
      <c r="G380" s="1412">
        <f t="shared" si="54"/>
        <v>1005500</v>
      </c>
    </row>
    <row r="381" spans="2:7">
      <c r="B381" s="1411">
        <v>38838</v>
      </c>
      <c r="C381" s="1412">
        <v>105300</v>
      </c>
      <c r="D381" s="1412">
        <v>459400</v>
      </c>
      <c r="E381" s="1412">
        <v>81600</v>
      </c>
      <c r="F381" s="1412">
        <v>356000</v>
      </c>
      <c r="G381" s="1412">
        <f t="shared" si="54"/>
        <v>1002300</v>
      </c>
    </row>
    <row r="382" spans="2:7">
      <c r="B382" s="1411">
        <v>38869</v>
      </c>
      <c r="C382" s="1412">
        <v>105300</v>
      </c>
      <c r="D382" s="1412">
        <v>457400</v>
      </c>
      <c r="E382" s="1412">
        <v>81600</v>
      </c>
      <c r="F382" s="1412">
        <v>354500</v>
      </c>
      <c r="G382" s="1412">
        <f t="shared" si="54"/>
        <v>998800</v>
      </c>
    </row>
    <row r="383" spans="2:7">
      <c r="B383" s="1411">
        <v>38899</v>
      </c>
      <c r="C383" s="1412">
        <v>105300</v>
      </c>
      <c r="D383" s="1412">
        <v>455600</v>
      </c>
      <c r="E383" s="1412">
        <v>81600</v>
      </c>
      <c r="F383" s="1412">
        <v>353100</v>
      </c>
      <c r="G383" s="1412">
        <f t="shared" si="54"/>
        <v>995600</v>
      </c>
    </row>
    <row r="384" spans="2:7">
      <c r="B384" s="1411">
        <v>38930</v>
      </c>
      <c r="C384" s="1412">
        <v>105300</v>
      </c>
      <c r="D384" s="1412">
        <v>447800</v>
      </c>
      <c r="E384" s="1412">
        <v>81600</v>
      </c>
      <c r="F384" s="1412">
        <v>347000</v>
      </c>
      <c r="G384" s="1412">
        <f t="shared" si="54"/>
        <v>981700</v>
      </c>
    </row>
    <row r="385" spans="2:7">
      <c r="B385" s="1411">
        <v>38961</v>
      </c>
      <c r="C385" s="1412">
        <v>105300</v>
      </c>
      <c r="D385" s="1412">
        <v>451800</v>
      </c>
      <c r="E385" s="1412">
        <v>81600</v>
      </c>
      <c r="F385" s="1412">
        <v>350100</v>
      </c>
      <c r="G385" s="1412">
        <f t="shared" si="54"/>
        <v>988800</v>
      </c>
    </row>
    <row r="386" spans="2:7">
      <c r="B386" s="1411">
        <v>38991</v>
      </c>
      <c r="C386" s="1412">
        <v>105300</v>
      </c>
      <c r="D386" s="1412">
        <v>449700</v>
      </c>
      <c r="E386" s="1412">
        <v>81600</v>
      </c>
      <c r="F386" s="1412">
        <v>348500</v>
      </c>
      <c r="G386" s="1412">
        <f t="shared" si="54"/>
        <v>985100</v>
      </c>
    </row>
    <row r="387" spans="2:7">
      <c r="B387" s="1411">
        <v>39022</v>
      </c>
      <c r="C387" s="1412">
        <v>105300</v>
      </c>
      <c r="D387" s="1412">
        <v>447800</v>
      </c>
      <c r="E387" s="1412">
        <v>81600</v>
      </c>
      <c r="F387" s="1412">
        <v>347000</v>
      </c>
      <c r="G387" s="1412">
        <f t="shared" si="54"/>
        <v>981700</v>
      </c>
    </row>
    <row r="388" spans="2:7">
      <c r="B388" s="1411">
        <v>39052</v>
      </c>
      <c r="C388" s="1412">
        <v>105300</v>
      </c>
      <c r="D388" s="1412">
        <v>445400</v>
      </c>
      <c r="E388" s="1412">
        <v>81600</v>
      </c>
      <c r="F388" s="1412">
        <v>345100</v>
      </c>
      <c r="G388" s="1412">
        <f t="shared" si="54"/>
        <v>977400</v>
      </c>
    </row>
    <row r="389" spans="2:7">
      <c r="B389" s="1411">
        <v>39083</v>
      </c>
      <c r="C389" s="1412">
        <v>103800</v>
      </c>
      <c r="D389" s="1412">
        <v>436400</v>
      </c>
      <c r="E389" s="1412">
        <v>83700</v>
      </c>
      <c r="F389" s="1412">
        <v>351900</v>
      </c>
      <c r="G389" s="1412">
        <f t="shared" si="54"/>
        <v>975800</v>
      </c>
    </row>
    <row r="390" spans="2:7">
      <c r="B390" s="1411">
        <v>39114</v>
      </c>
      <c r="C390" s="1412">
        <v>103800</v>
      </c>
      <c r="D390" s="1412">
        <v>434200</v>
      </c>
      <c r="E390" s="1412">
        <v>83700</v>
      </c>
      <c r="F390" s="1412">
        <v>350100</v>
      </c>
      <c r="G390" s="1412">
        <f t="shared" si="54"/>
        <v>971800</v>
      </c>
    </row>
    <row r="391" spans="2:7">
      <c r="B391" s="1411">
        <v>39142</v>
      </c>
      <c r="C391" s="1412">
        <v>103800</v>
      </c>
      <c r="D391" s="1412">
        <v>432000</v>
      </c>
      <c r="E391" s="1412">
        <v>83700</v>
      </c>
      <c r="F391" s="1412">
        <v>348400</v>
      </c>
      <c r="G391" s="1412">
        <f t="shared" si="54"/>
        <v>967900</v>
      </c>
    </row>
    <row r="392" spans="2:7">
      <c r="B392" s="1411">
        <v>39173</v>
      </c>
      <c r="C392" s="1412">
        <v>103800</v>
      </c>
      <c r="D392" s="1412">
        <v>430000</v>
      </c>
      <c r="E392" s="1412">
        <v>83700</v>
      </c>
      <c r="F392" s="1412">
        <v>346800</v>
      </c>
      <c r="G392" s="1412">
        <f t="shared" si="54"/>
        <v>964300</v>
      </c>
    </row>
    <row r="393" spans="2:7">
      <c r="B393" s="1411">
        <v>39203</v>
      </c>
      <c r="C393" s="1412">
        <v>103800</v>
      </c>
      <c r="D393" s="1412">
        <v>427100</v>
      </c>
      <c r="E393" s="1412">
        <v>83700</v>
      </c>
      <c r="F393" s="1412">
        <v>344400</v>
      </c>
      <c r="G393" s="1412">
        <f t="shared" si="54"/>
        <v>959000</v>
      </c>
    </row>
    <row r="394" spans="2:7">
      <c r="B394" s="1411">
        <v>39234</v>
      </c>
      <c r="C394" s="1412">
        <v>103800</v>
      </c>
      <c r="D394" s="1412">
        <v>424900</v>
      </c>
      <c r="E394" s="1412">
        <v>83700</v>
      </c>
      <c r="F394" s="1412">
        <v>342600</v>
      </c>
      <c r="G394" s="1412">
        <f t="shared" si="54"/>
        <v>955000</v>
      </c>
    </row>
    <row r="395" spans="2:7">
      <c r="B395" s="1411">
        <v>39264</v>
      </c>
      <c r="C395" s="1412">
        <v>103800</v>
      </c>
      <c r="D395" s="1412">
        <v>422500</v>
      </c>
      <c r="E395" s="1412">
        <v>83700</v>
      </c>
      <c r="F395" s="1412">
        <v>340700</v>
      </c>
      <c r="G395" s="1412">
        <f t="shared" si="54"/>
        <v>950700</v>
      </c>
    </row>
    <row r="396" spans="2:7">
      <c r="B396" s="1411">
        <v>39295</v>
      </c>
      <c r="C396" s="1412">
        <v>103800</v>
      </c>
      <c r="D396" s="1412">
        <v>419900</v>
      </c>
      <c r="E396" s="1412">
        <v>83700</v>
      </c>
      <c r="F396" s="1412">
        <v>338600</v>
      </c>
      <c r="G396" s="1412">
        <f t="shared" si="54"/>
        <v>946000</v>
      </c>
    </row>
    <row r="397" spans="2:7">
      <c r="B397" s="1411">
        <v>39326</v>
      </c>
      <c r="C397" s="1412">
        <v>103800</v>
      </c>
      <c r="D397" s="1412">
        <v>417400</v>
      </c>
      <c r="E397" s="1412">
        <v>83700</v>
      </c>
      <c r="F397" s="1412">
        <v>336600</v>
      </c>
      <c r="G397" s="1412">
        <f t="shared" si="54"/>
        <v>941500</v>
      </c>
    </row>
    <row r="398" spans="2:7">
      <c r="B398" s="1411">
        <v>39356</v>
      </c>
      <c r="C398" s="1412">
        <v>103800</v>
      </c>
      <c r="D398" s="1412">
        <v>414300</v>
      </c>
      <c r="E398" s="1412">
        <v>83700</v>
      </c>
      <c r="F398" s="1412">
        <v>334100</v>
      </c>
      <c r="G398" s="1412">
        <f t="shared" si="54"/>
        <v>935900</v>
      </c>
    </row>
    <row r="399" spans="2:7">
      <c r="B399" s="1411">
        <v>39387</v>
      </c>
      <c r="C399" s="1412">
        <v>103800</v>
      </c>
      <c r="D399" s="1412">
        <v>411800</v>
      </c>
      <c r="E399" s="1412">
        <v>83700</v>
      </c>
      <c r="F399" s="1412">
        <v>332000</v>
      </c>
      <c r="G399" s="1412">
        <f t="shared" si="54"/>
        <v>931300</v>
      </c>
    </row>
    <row r="400" spans="2:7">
      <c r="B400" s="1411">
        <v>39417</v>
      </c>
      <c r="C400" s="1412">
        <v>103800</v>
      </c>
      <c r="D400" s="1412">
        <v>408900</v>
      </c>
      <c r="E400" s="1412">
        <v>83700</v>
      </c>
      <c r="F400" s="1412">
        <v>329800</v>
      </c>
      <c r="G400" s="1412">
        <f t="shared" si="54"/>
        <v>926200</v>
      </c>
    </row>
    <row r="401" spans="2:7">
      <c r="B401" s="1411">
        <v>39448</v>
      </c>
      <c r="C401" s="1412">
        <v>137300</v>
      </c>
      <c r="D401" s="1412">
        <v>537300</v>
      </c>
      <c r="E401" s="1412">
        <v>107300</v>
      </c>
      <c r="F401" s="1412">
        <v>419900</v>
      </c>
      <c r="G401" s="1412">
        <f t="shared" si="54"/>
        <v>1201800</v>
      </c>
    </row>
    <row r="402" spans="2:7">
      <c r="B402" s="1411">
        <v>39479</v>
      </c>
      <c r="C402" s="1412">
        <v>137300</v>
      </c>
      <c r="D402" s="1412">
        <v>533500</v>
      </c>
      <c r="E402" s="1412">
        <v>107300</v>
      </c>
      <c r="F402" s="1412">
        <v>417000</v>
      </c>
      <c r="G402" s="1412">
        <f t="shared" si="54"/>
        <v>1195100</v>
      </c>
    </row>
    <row r="403" spans="2:7">
      <c r="B403" s="1411">
        <v>39508</v>
      </c>
      <c r="C403" s="1412">
        <v>137300</v>
      </c>
      <c r="D403" s="1412">
        <v>530000</v>
      </c>
      <c r="E403" s="1412">
        <v>107300</v>
      </c>
      <c r="F403" s="1412">
        <v>414200</v>
      </c>
      <c r="G403" s="1412">
        <f t="shared" si="54"/>
        <v>1188800</v>
      </c>
    </row>
    <row r="404" spans="2:7">
      <c r="B404" s="1411">
        <v>39539</v>
      </c>
      <c r="C404" s="1412">
        <v>137300</v>
      </c>
      <c r="D404" s="1412">
        <v>525800</v>
      </c>
      <c r="E404" s="1412">
        <v>107300</v>
      </c>
      <c r="F404" s="1412">
        <v>410900</v>
      </c>
      <c r="G404" s="1412">
        <f t="shared" si="54"/>
        <v>1181300</v>
      </c>
    </row>
    <row r="405" spans="2:7">
      <c r="B405" s="1411">
        <v>39569</v>
      </c>
      <c r="C405" s="1412">
        <v>137300</v>
      </c>
      <c r="D405" s="1412">
        <v>522200</v>
      </c>
      <c r="E405" s="1412">
        <v>107300</v>
      </c>
      <c r="F405" s="1412">
        <v>408100</v>
      </c>
      <c r="G405" s="1412">
        <f t="shared" si="54"/>
        <v>1174900</v>
      </c>
    </row>
    <row r="406" spans="2:7">
      <c r="B406" s="1411">
        <v>39600</v>
      </c>
      <c r="C406" s="1412">
        <v>137300</v>
      </c>
      <c r="D406" s="1412">
        <v>518800</v>
      </c>
      <c r="E406" s="1412">
        <v>107300</v>
      </c>
      <c r="F406" s="1412">
        <v>405400</v>
      </c>
      <c r="G406" s="1412">
        <f t="shared" si="54"/>
        <v>1168800</v>
      </c>
    </row>
    <row r="407" spans="2:7">
      <c r="B407" s="1411">
        <v>39630</v>
      </c>
      <c r="C407" s="1412">
        <v>137300</v>
      </c>
      <c r="D407" s="1412">
        <v>514500</v>
      </c>
      <c r="E407" s="1412">
        <v>107300</v>
      </c>
      <c r="F407" s="1412">
        <v>402100</v>
      </c>
      <c r="G407" s="1412">
        <f t="shared" si="54"/>
        <v>1161200</v>
      </c>
    </row>
    <row r="408" spans="2:7">
      <c r="B408" s="1411">
        <v>39661</v>
      </c>
      <c r="C408" s="1412">
        <v>137300</v>
      </c>
      <c r="D408" s="1412">
        <v>511300</v>
      </c>
      <c r="E408" s="1412">
        <v>107300</v>
      </c>
      <c r="F408" s="1412">
        <v>399600</v>
      </c>
      <c r="G408" s="1412">
        <f t="shared" si="54"/>
        <v>1155500</v>
      </c>
    </row>
    <row r="409" spans="2:7">
      <c r="B409" s="1411">
        <v>39692</v>
      </c>
      <c r="C409" s="1412">
        <v>137300</v>
      </c>
      <c r="D409" s="1412">
        <v>507500</v>
      </c>
      <c r="E409" s="1412">
        <v>107300</v>
      </c>
      <c r="F409" s="1412">
        <v>396700</v>
      </c>
      <c r="G409" s="1412">
        <f t="shared" si="54"/>
        <v>1148800</v>
      </c>
    </row>
    <row r="410" spans="2:7">
      <c r="B410" s="1411">
        <v>39722</v>
      </c>
      <c r="C410" s="1412">
        <v>137300</v>
      </c>
      <c r="D410" s="1412">
        <v>503500</v>
      </c>
      <c r="E410" s="1412">
        <v>107300</v>
      </c>
      <c r="F410" s="1412">
        <v>393500</v>
      </c>
      <c r="G410" s="1412">
        <f t="shared" si="54"/>
        <v>1141600</v>
      </c>
    </row>
    <row r="411" spans="2:7">
      <c r="B411" s="1411">
        <v>39753</v>
      </c>
      <c r="C411" s="1412">
        <v>137300</v>
      </c>
      <c r="D411" s="1412">
        <v>500300</v>
      </c>
      <c r="E411" s="1412">
        <v>107300</v>
      </c>
      <c r="F411" s="1412">
        <v>391000</v>
      </c>
      <c r="G411" s="1412">
        <f t="shared" si="54"/>
        <v>1135900</v>
      </c>
    </row>
    <row r="412" spans="2:7">
      <c r="B412" s="1411">
        <v>39783</v>
      </c>
      <c r="C412" s="1412">
        <v>137300</v>
      </c>
      <c r="D412" s="1412">
        <v>496400</v>
      </c>
      <c r="E412" s="1412">
        <v>107300</v>
      </c>
      <c r="F412" s="1412">
        <v>387900</v>
      </c>
      <c r="G412" s="1412">
        <f t="shared" si="54"/>
        <v>1128900</v>
      </c>
    </row>
    <row r="413" spans="2:7">
      <c r="B413" s="1411">
        <v>39814</v>
      </c>
      <c r="C413" s="1412">
        <v>240000</v>
      </c>
      <c r="D413" s="1412">
        <v>862000</v>
      </c>
      <c r="E413" s="1412">
        <v>187500</v>
      </c>
      <c r="F413" s="1412">
        <v>673400</v>
      </c>
      <c r="G413" s="1412">
        <f t="shared" si="54"/>
        <v>1962900</v>
      </c>
    </row>
    <row r="414" spans="2:7">
      <c r="B414" s="1411">
        <v>39845</v>
      </c>
      <c r="C414" s="1412">
        <v>240000</v>
      </c>
      <c r="D414" s="1412">
        <v>856300</v>
      </c>
      <c r="E414" s="1412">
        <v>187500</v>
      </c>
      <c r="F414" s="1412">
        <v>669000</v>
      </c>
      <c r="G414" s="1412">
        <f t="shared" si="54"/>
        <v>1952800</v>
      </c>
    </row>
    <row r="415" spans="2:7">
      <c r="B415" s="1411">
        <v>39873</v>
      </c>
      <c r="C415" s="1412">
        <v>240000</v>
      </c>
      <c r="D415" s="1412">
        <v>849900</v>
      </c>
      <c r="E415" s="1412">
        <v>187500</v>
      </c>
      <c r="F415" s="1412">
        <v>664000</v>
      </c>
      <c r="G415" s="1412">
        <f t="shared" si="54"/>
        <v>1941400</v>
      </c>
    </row>
    <row r="416" spans="2:7">
      <c r="B416" s="1411">
        <v>39904</v>
      </c>
      <c r="C416" s="1412">
        <v>240000</v>
      </c>
      <c r="D416" s="1412">
        <v>843700</v>
      </c>
      <c r="E416" s="1412">
        <v>187500</v>
      </c>
      <c r="F416" s="1412">
        <v>659200</v>
      </c>
      <c r="G416" s="1412">
        <f t="shared" si="54"/>
        <v>1930400</v>
      </c>
    </row>
    <row r="417" spans="2:7">
      <c r="B417" s="1411">
        <v>39934</v>
      </c>
      <c r="C417" s="1412">
        <v>240000</v>
      </c>
      <c r="D417" s="1412">
        <v>838000</v>
      </c>
      <c r="E417" s="1412">
        <v>187500</v>
      </c>
      <c r="F417" s="1412">
        <v>654700</v>
      </c>
      <c r="G417" s="1412">
        <f t="shared" si="54"/>
        <v>1920200</v>
      </c>
    </row>
    <row r="418" spans="2:7">
      <c r="B418" s="1411">
        <v>39965</v>
      </c>
      <c r="C418" s="1412">
        <v>240000</v>
      </c>
      <c r="D418" s="1412">
        <v>832400</v>
      </c>
      <c r="E418" s="1412">
        <v>187500</v>
      </c>
      <c r="F418" s="1412">
        <v>650300</v>
      </c>
      <c r="G418" s="1412">
        <f t="shared" si="54"/>
        <v>1910200</v>
      </c>
    </row>
    <row r="419" spans="2:7">
      <c r="B419" s="1411">
        <v>39995</v>
      </c>
      <c r="C419" s="1412">
        <v>240000</v>
      </c>
      <c r="D419" s="1412">
        <v>826000</v>
      </c>
      <c r="E419" s="1412">
        <v>187500</v>
      </c>
      <c r="F419" s="1412">
        <v>645300</v>
      </c>
      <c r="G419" s="1412">
        <f t="shared" si="54"/>
        <v>1898800</v>
      </c>
    </row>
    <row r="420" spans="2:7">
      <c r="B420" s="1411">
        <v>40026</v>
      </c>
      <c r="C420" s="1412">
        <v>240000</v>
      </c>
      <c r="D420" s="1412">
        <v>821000</v>
      </c>
      <c r="E420" s="1412">
        <v>187500</v>
      </c>
      <c r="F420" s="1412">
        <v>641400</v>
      </c>
      <c r="G420" s="1412">
        <f t="shared" si="54"/>
        <v>1889900</v>
      </c>
    </row>
    <row r="421" spans="2:7">
      <c r="B421" s="1411">
        <v>40057</v>
      </c>
      <c r="C421" s="1412">
        <v>240000</v>
      </c>
      <c r="D421" s="1412">
        <v>810000</v>
      </c>
      <c r="E421" s="1412">
        <v>187500</v>
      </c>
      <c r="F421" s="1412">
        <v>632800</v>
      </c>
      <c r="G421" s="1412">
        <f t="shared" si="54"/>
        <v>1870300</v>
      </c>
    </row>
    <row r="422" spans="2:7">
      <c r="B422" s="1411">
        <v>40087</v>
      </c>
      <c r="C422" s="1412">
        <v>240000</v>
      </c>
      <c r="D422" s="1412">
        <v>810000</v>
      </c>
      <c r="E422" s="1412">
        <v>187500</v>
      </c>
      <c r="F422" s="1412">
        <v>632800</v>
      </c>
      <c r="G422" s="1412">
        <f t="shared" si="54"/>
        <v>1870300</v>
      </c>
    </row>
    <row r="423" spans="2:7">
      <c r="B423" s="1411">
        <v>40118</v>
      </c>
      <c r="C423" s="1412">
        <v>240000</v>
      </c>
      <c r="D423" s="1412">
        <v>805200</v>
      </c>
      <c r="E423" s="1412">
        <v>187500</v>
      </c>
      <c r="F423" s="1412">
        <v>629100</v>
      </c>
      <c r="G423" s="1412">
        <f t="shared" si="54"/>
        <v>1861800</v>
      </c>
    </row>
    <row r="424" spans="2:7">
      <c r="B424" s="1411">
        <v>40148</v>
      </c>
      <c r="C424" s="1412">
        <v>240000</v>
      </c>
      <c r="D424" s="1412">
        <v>799600</v>
      </c>
      <c r="E424" s="1412">
        <v>187500</v>
      </c>
      <c r="F424" s="1412">
        <v>624700</v>
      </c>
      <c r="G424" s="1412">
        <f t="shared" si="54"/>
        <v>1851800</v>
      </c>
    </row>
    <row r="425" spans="2:7">
      <c r="B425" s="1411">
        <v>40179</v>
      </c>
      <c r="C425" s="1412">
        <v>240000</v>
      </c>
      <c r="D425" s="1412">
        <v>795300</v>
      </c>
      <c r="E425" s="1412">
        <v>187500</v>
      </c>
      <c r="F425" s="1412">
        <v>621400</v>
      </c>
      <c r="G425" s="1412">
        <f t="shared" si="54"/>
        <v>1844200</v>
      </c>
    </row>
    <row r="426" spans="2:7">
      <c r="B426" s="1411">
        <v>40210</v>
      </c>
      <c r="C426" s="1412">
        <v>240000</v>
      </c>
      <c r="D426" s="1412">
        <v>790900</v>
      </c>
      <c r="E426" s="1412">
        <v>187500</v>
      </c>
      <c r="F426" s="1412">
        <v>617900</v>
      </c>
      <c r="G426" s="1412">
        <f t="shared" ref="G426:G472" si="55">SUM(C426:F426)</f>
        <v>1836300</v>
      </c>
    </row>
    <row r="427" spans="2:7">
      <c r="B427" s="1411">
        <v>40238</v>
      </c>
      <c r="C427" s="1412">
        <v>240000</v>
      </c>
      <c r="D427" s="1412">
        <v>785500</v>
      </c>
      <c r="E427" s="1412">
        <v>187500</v>
      </c>
      <c r="F427" s="1412">
        <v>613700</v>
      </c>
      <c r="G427" s="1412">
        <f t="shared" si="55"/>
        <v>1826700</v>
      </c>
    </row>
    <row r="428" spans="2:7">
      <c r="B428" s="1411">
        <v>40269</v>
      </c>
      <c r="C428" s="1412">
        <v>240000</v>
      </c>
      <c r="D428" s="1412">
        <v>781100</v>
      </c>
      <c r="E428" s="1412">
        <v>187500</v>
      </c>
      <c r="F428" s="1412">
        <v>610300</v>
      </c>
      <c r="G428" s="1412">
        <f t="shared" si="55"/>
        <v>1818900</v>
      </c>
    </row>
    <row r="429" spans="2:7">
      <c r="B429" s="1411">
        <v>40299</v>
      </c>
      <c r="C429" s="1412">
        <v>240000</v>
      </c>
      <c r="D429" s="1412">
        <v>776600</v>
      </c>
      <c r="E429" s="1412">
        <v>187500</v>
      </c>
      <c r="F429" s="1412">
        <v>606700</v>
      </c>
      <c r="G429" s="1412">
        <f t="shared" si="55"/>
        <v>1810800</v>
      </c>
    </row>
    <row r="430" spans="2:7">
      <c r="B430" s="1411">
        <v>40330</v>
      </c>
      <c r="C430" s="1412">
        <v>240000</v>
      </c>
      <c r="D430" s="1412">
        <v>772300</v>
      </c>
      <c r="E430" s="1412">
        <v>187500</v>
      </c>
      <c r="F430" s="1412">
        <v>603400</v>
      </c>
      <c r="G430" s="1412">
        <f t="shared" si="55"/>
        <v>1803200</v>
      </c>
    </row>
    <row r="431" spans="2:7">
      <c r="B431" s="1411">
        <v>40360</v>
      </c>
      <c r="C431" s="1412">
        <v>240000</v>
      </c>
      <c r="D431" s="1412">
        <v>767600</v>
      </c>
      <c r="E431" s="1412">
        <v>187500</v>
      </c>
      <c r="F431" s="1412">
        <v>599700</v>
      </c>
      <c r="G431" s="1412">
        <f t="shared" si="55"/>
        <v>1794800</v>
      </c>
    </row>
    <row r="432" spans="2:7">
      <c r="B432" s="1411">
        <v>40391</v>
      </c>
      <c r="C432" s="1412">
        <v>240000</v>
      </c>
      <c r="D432" s="1412">
        <v>763300</v>
      </c>
      <c r="E432" s="1412">
        <v>187500</v>
      </c>
      <c r="F432" s="1412">
        <v>596400</v>
      </c>
      <c r="G432" s="1412">
        <f t="shared" si="55"/>
        <v>1787200</v>
      </c>
    </row>
    <row r="433" spans="2:7">
      <c r="B433" s="1411">
        <v>40422</v>
      </c>
      <c r="C433" s="1412">
        <v>240000</v>
      </c>
      <c r="D433" s="1412">
        <v>759000</v>
      </c>
      <c r="E433" s="1412">
        <v>187500</v>
      </c>
      <c r="F433" s="1412">
        <v>593000</v>
      </c>
      <c r="G433" s="1412">
        <f t="shared" si="55"/>
        <v>1779500</v>
      </c>
    </row>
    <row r="434" spans="2:7">
      <c r="B434" s="1411">
        <v>40452</v>
      </c>
      <c r="C434" s="1412">
        <v>240000</v>
      </c>
      <c r="D434" s="1412">
        <v>754400</v>
      </c>
      <c r="E434" s="1412">
        <v>187500</v>
      </c>
      <c r="F434" s="1412">
        <v>589400</v>
      </c>
      <c r="G434" s="1412">
        <f t="shared" si="55"/>
        <v>1771300</v>
      </c>
    </row>
    <row r="435" spans="2:7">
      <c r="B435" s="1411">
        <v>40483</v>
      </c>
      <c r="C435" s="1412">
        <v>240000</v>
      </c>
      <c r="D435" s="1412">
        <v>750400</v>
      </c>
      <c r="E435" s="1412">
        <v>187500</v>
      </c>
      <c r="F435" s="1412">
        <v>586200</v>
      </c>
      <c r="G435" s="1412">
        <f t="shared" si="55"/>
        <v>1764100</v>
      </c>
    </row>
    <row r="436" spans="2:7">
      <c r="B436" s="1411">
        <v>40513</v>
      </c>
      <c r="C436" s="1412">
        <v>240000</v>
      </c>
      <c r="D436" s="1412">
        <v>745500</v>
      </c>
      <c r="E436" s="1412">
        <v>187500</v>
      </c>
      <c r="F436" s="1412">
        <v>582400</v>
      </c>
      <c r="G436" s="1412">
        <f t="shared" si="55"/>
        <v>1755400</v>
      </c>
    </row>
    <row r="437" spans="2:7">
      <c r="B437" s="1411">
        <v>40544</v>
      </c>
      <c r="C437" s="1412">
        <v>272000</v>
      </c>
      <c r="D437" s="1412">
        <v>840000</v>
      </c>
      <c r="E437" s="1412">
        <v>212500</v>
      </c>
      <c r="F437" s="1412">
        <v>656300</v>
      </c>
      <c r="G437" s="1412">
        <f t="shared" si="55"/>
        <v>1980800</v>
      </c>
    </row>
    <row r="438" spans="2:7">
      <c r="B438" s="1411">
        <v>40575</v>
      </c>
      <c r="C438" s="1412">
        <v>272000</v>
      </c>
      <c r="D438" s="1412">
        <v>835200</v>
      </c>
      <c r="E438" s="1412">
        <v>212500</v>
      </c>
      <c r="F438" s="1412">
        <v>652500</v>
      </c>
      <c r="G438" s="1412">
        <f t="shared" si="55"/>
        <v>1972200</v>
      </c>
    </row>
    <row r="439" spans="2:7">
      <c r="B439" s="1411">
        <v>40603</v>
      </c>
      <c r="C439" s="1412">
        <v>272000</v>
      </c>
      <c r="D439" s="1412">
        <v>829400</v>
      </c>
      <c r="E439" s="1412">
        <v>212500</v>
      </c>
      <c r="F439" s="1412">
        <v>648000</v>
      </c>
      <c r="G439" s="1412">
        <f t="shared" si="55"/>
        <v>1961900</v>
      </c>
    </row>
    <row r="440" spans="2:7">
      <c r="B440" s="1411">
        <v>40634</v>
      </c>
      <c r="C440" s="1412">
        <v>272000</v>
      </c>
      <c r="D440" s="1412">
        <v>823300</v>
      </c>
      <c r="E440" s="1412">
        <v>212500</v>
      </c>
      <c r="F440" s="1412">
        <v>643200</v>
      </c>
      <c r="G440" s="1412">
        <f t="shared" si="55"/>
        <v>1951000</v>
      </c>
    </row>
    <row r="441" spans="2:7">
      <c r="B441" s="1411">
        <v>40664</v>
      </c>
      <c r="C441" s="1412">
        <v>272000</v>
      </c>
      <c r="D441" s="1412">
        <v>817200</v>
      </c>
      <c r="E441" s="1412">
        <v>212500</v>
      </c>
      <c r="F441" s="1412">
        <v>638400</v>
      </c>
      <c r="G441" s="1412">
        <f t="shared" si="55"/>
        <v>1940100</v>
      </c>
    </row>
    <row r="442" spans="2:7">
      <c r="B442" s="1411">
        <v>40695</v>
      </c>
      <c r="C442" s="1412">
        <v>272000</v>
      </c>
      <c r="D442" s="1412">
        <v>810700</v>
      </c>
      <c r="E442" s="1412">
        <v>212500</v>
      </c>
      <c r="F442" s="1412">
        <v>633400</v>
      </c>
      <c r="G442" s="1412">
        <f t="shared" si="55"/>
        <v>1928600</v>
      </c>
    </row>
    <row r="443" spans="2:7">
      <c r="B443" s="1411">
        <v>40725</v>
      </c>
      <c r="C443" s="1412">
        <v>272000</v>
      </c>
      <c r="D443" s="1412">
        <v>804700</v>
      </c>
      <c r="E443" s="1412">
        <v>212500</v>
      </c>
      <c r="F443" s="1412">
        <v>628600</v>
      </c>
      <c r="G443" s="1412">
        <f t="shared" si="55"/>
        <v>1917800</v>
      </c>
    </row>
    <row r="444" spans="2:7">
      <c r="B444" s="1411">
        <v>40756</v>
      </c>
      <c r="C444" s="1412">
        <v>272000</v>
      </c>
      <c r="D444" s="1412">
        <v>798400</v>
      </c>
      <c r="E444" s="1412">
        <v>212500</v>
      </c>
      <c r="F444" s="1412">
        <v>623800</v>
      </c>
      <c r="G444" s="1412">
        <f t="shared" si="55"/>
        <v>1906700</v>
      </c>
    </row>
    <row r="445" spans="2:7">
      <c r="B445" s="1411">
        <v>40787</v>
      </c>
      <c r="C445" s="1412">
        <v>272000</v>
      </c>
      <c r="D445" s="1412">
        <v>791400</v>
      </c>
      <c r="E445" s="1412">
        <v>212500</v>
      </c>
      <c r="F445" s="1412">
        <v>618300</v>
      </c>
      <c r="G445" s="1412">
        <f t="shared" si="55"/>
        <v>1894200</v>
      </c>
    </row>
    <row r="446" spans="2:7">
      <c r="B446" s="1411">
        <v>40817</v>
      </c>
      <c r="C446" s="1412">
        <v>272000</v>
      </c>
      <c r="D446" s="1412">
        <v>784900</v>
      </c>
      <c r="E446" s="1412">
        <v>212500</v>
      </c>
      <c r="F446" s="1412">
        <v>613200</v>
      </c>
      <c r="G446" s="1412">
        <f t="shared" si="55"/>
        <v>1882600</v>
      </c>
    </row>
    <row r="447" spans="2:7">
      <c r="B447" s="1411">
        <v>40848</v>
      </c>
      <c r="C447" s="1412">
        <v>272000</v>
      </c>
      <c r="D447" s="1412">
        <v>778700</v>
      </c>
      <c r="E447" s="1412">
        <v>212500</v>
      </c>
      <c r="F447" s="1412">
        <v>608300</v>
      </c>
      <c r="G447" s="1412">
        <f t="shared" si="55"/>
        <v>1871500</v>
      </c>
    </row>
    <row r="448" spans="2:7">
      <c r="B448" s="1411">
        <v>40878</v>
      </c>
      <c r="C448" s="1412">
        <v>272000</v>
      </c>
      <c r="D448" s="1412">
        <v>771600</v>
      </c>
      <c r="E448" s="1412">
        <v>212500</v>
      </c>
      <c r="F448" s="1412">
        <v>602900</v>
      </c>
      <c r="G448" s="1412">
        <f t="shared" si="55"/>
        <v>1859000</v>
      </c>
    </row>
    <row r="449" spans="2:7">
      <c r="B449" s="1411">
        <v>40909</v>
      </c>
      <c r="C449" s="1412">
        <v>282200</v>
      </c>
      <c r="D449" s="1412">
        <v>793900</v>
      </c>
      <c r="E449" s="1412">
        <v>220500</v>
      </c>
      <c r="F449" s="1412">
        <v>620300</v>
      </c>
      <c r="G449" s="1412">
        <f t="shared" si="55"/>
        <v>1916900</v>
      </c>
    </row>
    <row r="450" spans="2:7">
      <c r="B450" s="1411">
        <v>40940</v>
      </c>
      <c r="C450" s="1412">
        <v>282200</v>
      </c>
      <c r="D450" s="1412">
        <v>787200</v>
      </c>
      <c r="E450" s="1412">
        <v>220500</v>
      </c>
      <c r="F450" s="1412">
        <v>615100</v>
      </c>
      <c r="G450" s="1412">
        <f>SUM(C450:F450)</f>
        <v>1905000</v>
      </c>
    </row>
    <row r="451" spans="2:7">
      <c r="B451" s="1411">
        <v>40969</v>
      </c>
      <c r="C451" s="1412">
        <v>282200</v>
      </c>
      <c r="D451" s="1412">
        <v>779300</v>
      </c>
      <c r="E451" s="1412">
        <v>220500</v>
      </c>
      <c r="F451" s="1412">
        <v>608900</v>
      </c>
      <c r="G451" s="1412">
        <f t="shared" si="55"/>
        <v>1890900</v>
      </c>
    </row>
    <row r="452" spans="2:7">
      <c r="B452" s="1411">
        <v>41000</v>
      </c>
      <c r="C452" s="1412">
        <v>282200</v>
      </c>
      <c r="D452" s="1412">
        <v>772600</v>
      </c>
      <c r="E452" s="1412">
        <v>220500</v>
      </c>
      <c r="F452" s="1412">
        <v>603700</v>
      </c>
      <c r="G452" s="1412">
        <f t="shared" si="55"/>
        <v>1879000</v>
      </c>
    </row>
    <row r="453" spans="2:7">
      <c r="B453" s="1411">
        <v>41030</v>
      </c>
      <c r="C453" s="1412">
        <v>282200</v>
      </c>
      <c r="D453" s="1412">
        <v>764500</v>
      </c>
      <c r="E453" s="1412">
        <v>220500</v>
      </c>
      <c r="F453" s="1412">
        <v>597400</v>
      </c>
      <c r="G453" s="1412">
        <f t="shared" si="55"/>
        <v>1864600</v>
      </c>
    </row>
    <row r="454" spans="2:7">
      <c r="B454" s="1411">
        <v>41061</v>
      </c>
      <c r="C454" s="1412">
        <v>282200</v>
      </c>
      <c r="D454" s="1412">
        <v>757800</v>
      </c>
      <c r="E454" s="1412">
        <v>220500</v>
      </c>
      <c r="F454" s="1412">
        <v>592200</v>
      </c>
      <c r="G454" s="1412">
        <f t="shared" si="55"/>
        <v>1852700</v>
      </c>
    </row>
    <row r="455" spans="2:7">
      <c r="B455" s="1411">
        <v>41091</v>
      </c>
      <c r="C455" s="1412">
        <v>282200</v>
      </c>
      <c r="D455" s="1412">
        <v>750600</v>
      </c>
      <c r="E455" s="1412">
        <v>220500</v>
      </c>
      <c r="F455" s="1412">
        <v>586500</v>
      </c>
      <c r="G455" s="1412">
        <f t="shared" si="55"/>
        <v>1839800</v>
      </c>
    </row>
    <row r="456" spans="2:7">
      <c r="B456" s="1411">
        <v>41122</v>
      </c>
      <c r="C456" s="1412">
        <v>282200</v>
      </c>
      <c r="D456" s="1412">
        <v>742900</v>
      </c>
      <c r="E456" s="1412">
        <v>220500</v>
      </c>
      <c r="F456" s="1412">
        <v>580500</v>
      </c>
      <c r="G456" s="1412">
        <f t="shared" si="55"/>
        <v>1826100</v>
      </c>
    </row>
    <row r="457" spans="2:7">
      <c r="B457" s="1411">
        <v>41153</v>
      </c>
      <c r="C457" s="1412">
        <v>282200</v>
      </c>
      <c r="D457" s="1412">
        <v>735900</v>
      </c>
      <c r="E457" s="1412">
        <v>220500</v>
      </c>
      <c r="F457" s="1412">
        <v>575000</v>
      </c>
      <c r="G457" s="1412">
        <f t="shared" si="55"/>
        <v>1813600</v>
      </c>
    </row>
    <row r="458" spans="2:7">
      <c r="B458" s="1411">
        <v>41183</v>
      </c>
      <c r="C458" s="1412">
        <v>282200</v>
      </c>
      <c r="D458" s="1412">
        <v>727700</v>
      </c>
      <c r="E458" s="1412">
        <v>220500</v>
      </c>
      <c r="F458" s="1412">
        <v>568600</v>
      </c>
      <c r="G458" s="1412">
        <f t="shared" si="55"/>
        <v>1799000</v>
      </c>
    </row>
    <row r="459" spans="2:7">
      <c r="B459" s="1411">
        <v>41214</v>
      </c>
      <c r="C459" s="1412">
        <v>282200</v>
      </c>
      <c r="D459" s="1412">
        <v>720900</v>
      </c>
      <c r="E459" s="1412">
        <v>220500</v>
      </c>
      <c r="F459" s="1412">
        <v>563300</v>
      </c>
      <c r="G459" s="1412">
        <f t="shared" si="55"/>
        <v>1786900</v>
      </c>
    </row>
    <row r="460" spans="2:7">
      <c r="B460" s="1411">
        <v>41244</v>
      </c>
      <c r="C460" s="1412">
        <v>282200</v>
      </c>
      <c r="D460" s="1412">
        <v>713400</v>
      </c>
      <c r="E460" s="1412">
        <v>220500</v>
      </c>
      <c r="F460" s="1412">
        <v>557500</v>
      </c>
      <c r="G460" s="1412">
        <f t="shared" si="55"/>
        <v>1773600</v>
      </c>
    </row>
    <row r="461" spans="2:7">
      <c r="B461" s="1411">
        <v>41275</v>
      </c>
      <c r="C461" s="1412">
        <v>288000</v>
      </c>
      <c r="D461" s="1412">
        <v>721000</v>
      </c>
      <c r="E461" s="1412">
        <v>225000</v>
      </c>
      <c r="F461" s="1412">
        <v>563300</v>
      </c>
      <c r="G461" s="1412">
        <f t="shared" si="55"/>
        <v>1797300</v>
      </c>
    </row>
    <row r="462" spans="2:7">
      <c r="B462" s="1411">
        <v>41306</v>
      </c>
      <c r="C462" s="1412">
        <v>288000</v>
      </c>
      <c r="D462" s="1412">
        <v>714100</v>
      </c>
      <c r="E462" s="1412">
        <v>225000</v>
      </c>
      <c r="F462" s="1412">
        <v>557900</v>
      </c>
      <c r="G462" s="1412">
        <f t="shared" si="55"/>
        <v>1785000</v>
      </c>
    </row>
    <row r="463" spans="2:7">
      <c r="B463" s="1411">
        <v>41334</v>
      </c>
      <c r="C463" s="1412">
        <v>288000</v>
      </c>
      <c r="D463" s="1412">
        <v>706500</v>
      </c>
      <c r="E463" s="1412">
        <v>225000</v>
      </c>
      <c r="F463" s="1412">
        <v>552000</v>
      </c>
      <c r="G463" s="1412">
        <f t="shared" si="55"/>
        <v>1771500</v>
      </c>
    </row>
    <row r="464" spans="2:7">
      <c r="B464" s="1411">
        <v>41365</v>
      </c>
      <c r="C464" s="1412">
        <v>288000</v>
      </c>
      <c r="D464" s="1412">
        <v>698700</v>
      </c>
      <c r="E464" s="1412">
        <v>225000</v>
      </c>
      <c r="F464" s="1412">
        <v>545800</v>
      </c>
      <c r="G464" s="1412">
        <f t="shared" si="55"/>
        <v>1757500</v>
      </c>
    </row>
    <row r="465" spans="2:7">
      <c r="B465" s="1411">
        <v>41395</v>
      </c>
      <c r="C465" s="1412">
        <v>288000</v>
      </c>
      <c r="D465" s="1412">
        <v>690500</v>
      </c>
      <c r="E465" s="1412">
        <v>225000</v>
      </c>
      <c r="F465" s="1412">
        <v>539500</v>
      </c>
      <c r="G465" s="1412">
        <f t="shared" si="55"/>
        <v>1743000</v>
      </c>
    </row>
    <row r="466" spans="2:7">
      <c r="B466" s="1411">
        <v>41426</v>
      </c>
      <c r="C466" s="1412">
        <v>288000</v>
      </c>
      <c r="D466" s="1412">
        <v>684000</v>
      </c>
      <c r="E466" s="1412">
        <v>225000</v>
      </c>
      <c r="F466" s="1412">
        <v>534400</v>
      </c>
      <c r="G466" s="1412">
        <f t="shared" si="55"/>
        <v>1731400</v>
      </c>
    </row>
    <row r="467" spans="2:7">
      <c r="B467" s="1411">
        <v>41456</v>
      </c>
      <c r="C467" s="1412">
        <v>288000</v>
      </c>
      <c r="D467" s="1412">
        <v>676500</v>
      </c>
      <c r="E467" s="1412">
        <v>225000</v>
      </c>
      <c r="F467" s="1412">
        <v>528600</v>
      </c>
      <c r="G467" s="1412">
        <f t="shared" si="55"/>
        <v>1718100</v>
      </c>
    </row>
    <row r="468" spans="2:7">
      <c r="B468" s="1411">
        <v>41487</v>
      </c>
      <c r="C468" s="1412">
        <v>288000</v>
      </c>
      <c r="D468" s="1412">
        <v>669100</v>
      </c>
      <c r="E468" s="1412">
        <v>225000</v>
      </c>
      <c r="F468" s="1412">
        <v>522700</v>
      </c>
      <c r="G468" s="1412">
        <f>SUM(C468:F468)</f>
        <v>1704800</v>
      </c>
    </row>
    <row r="469" spans="2:7">
      <c r="B469" s="1411">
        <v>41518</v>
      </c>
      <c r="C469" s="1412">
        <v>288000</v>
      </c>
      <c r="D469" s="1412">
        <v>662000</v>
      </c>
      <c r="E469" s="1412">
        <v>225000</v>
      </c>
      <c r="F469" s="1412">
        <v>517200</v>
      </c>
      <c r="G469" s="1412">
        <f t="shared" si="55"/>
        <v>1692200</v>
      </c>
    </row>
    <row r="470" spans="2:7">
      <c r="B470" s="1411">
        <v>41548</v>
      </c>
      <c r="C470" s="1412">
        <v>288000</v>
      </c>
      <c r="D470" s="1412">
        <v>654000</v>
      </c>
      <c r="E470" s="1412">
        <v>225000</v>
      </c>
      <c r="F470" s="1412">
        <v>511000</v>
      </c>
      <c r="G470" s="1412">
        <f t="shared" si="55"/>
        <v>1678000</v>
      </c>
    </row>
    <row r="471" spans="2:7">
      <c r="B471" s="1411">
        <v>41579</v>
      </c>
      <c r="C471" s="1412">
        <v>288000</v>
      </c>
      <c r="D471" s="1412">
        <v>647700</v>
      </c>
      <c r="E471" s="1412">
        <v>225000</v>
      </c>
      <c r="F471" s="1412">
        <v>506000</v>
      </c>
      <c r="G471" s="1412">
        <f t="shared" si="55"/>
        <v>1666700</v>
      </c>
    </row>
    <row r="472" spans="2:7">
      <c r="B472" s="1411">
        <v>41609</v>
      </c>
      <c r="C472" s="1412">
        <v>288000</v>
      </c>
      <c r="D472" s="1412">
        <v>640200</v>
      </c>
      <c r="E472" s="1412">
        <v>225000</v>
      </c>
      <c r="F472" s="1412">
        <v>500200</v>
      </c>
      <c r="G472" s="1412">
        <f t="shared" si="55"/>
        <v>1653400</v>
      </c>
    </row>
    <row r="473" spans="2:7">
      <c r="B473" s="728" t="s">
        <v>765</v>
      </c>
      <c r="C473" s="1413">
        <f>SUM(C361:C472)</f>
        <v>21375700</v>
      </c>
      <c r="D473" s="1413">
        <f>SUM(D361:D472)</f>
        <v>69023400</v>
      </c>
      <c r="E473" s="1413">
        <f>SUM(E361:E472)</f>
        <v>16756000</v>
      </c>
      <c r="F473" s="1413">
        <f>SUM(F361:F472)</f>
        <v>54169300</v>
      </c>
      <c r="G473" s="1413">
        <f>SUM(G361:G472)</f>
        <v>161324400</v>
      </c>
    </row>
    <row r="475" spans="2:7">
      <c r="B475" s="791"/>
      <c r="C475" s="1414"/>
      <c r="D475" s="1414"/>
      <c r="E475" s="1414"/>
      <c r="G475" s="1414"/>
    </row>
    <row r="476" spans="2:7">
      <c r="B476" s="728" t="s">
        <v>766</v>
      </c>
      <c r="C476" s="1412">
        <f>+C473</f>
        <v>21375700</v>
      </c>
      <c r="D476" s="1414"/>
      <c r="E476" s="1414"/>
      <c r="G476" s="1414"/>
    </row>
    <row r="477" spans="2:7">
      <c r="B477" s="728" t="s">
        <v>767</v>
      </c>
      <c r="C477" s="1412">
        <f>+D473</f>
        <v>69023400</v>
      </c>
      <c r="D477" s="1414">
        <f>+C476+C477</f>
        <v>90399100</v>
      </c>
      <c r="E477" s="1414"/>
      <c r="G477" s="1414"/>
    </row>
    <row r="478" spans="2:7">
      <c r="B478" s="728" t="s">
        <v>768</v>
      </c>
      <c r="C478" s="1412">
        <f>+E473</f>
        <v>16756000</v>
      </c>
      <c r="D478" s="1414"/>
      <c r="E478" s="1414"/>
      <c r="G478" s="1414"/>
    </row>
    <row r="479" spans="2:7">
      <c r="B479" s="728" t="s">
        <v>769</v>
      </c>
      <c r="C479" s="1412">
        <f>+F473</f>
        <v>54169300</v>
      </c>
      <c r="D479" s="1414">
        <f>+C478+C479</f>
        <v>70925300</v>
      </c>
      <c r="E479" s="1414"/>
      <c r="G479" s="1414"/>
    </row>
    <row r="480" spans="2:7">
      <c r="B480" s="728" t="s">
        <v>97</v>
      </c>
      <c r="C480" s="1412">
        <f>SUM(C476:C479)</f>
        <v>161324400</v>
      </c>
      <c r="D480" s="1414"/>
      <c r="E480" s="1414"/>
      <c r="G480" s="1414"/>
    </row>
  </sheetData>
  <mergeCells count="54">
    <mergeCell ref="H9:I9"/>
    <mergeCell ref="B11:F11"/>
    <mergeCell ref="B14:E14"/>
    <mergeCell ref="G15:I15"/>
    <mergeCell ref="M10:T10"/>
    <mergeCell ref="F83:I83"/>
    <mergeCell ref="B84:F84"/>
    <mergeCell ref="B17:F17"/>
    <mergeCell ref="B25:F25"/>
    <mergeCell ref="G30:I30"/>
    <mergeCell ref="B31:F31"/>
    <mergeCell ref="C89:D89"/>
    <mergeCell ref="C97:D97"/>
    <mergeCell ref="B100:F100"/>
    <mergeCell ref="C113:D113"/>
    <mergeCell ref="F113:I113"/>
    <mergeCell ref="B114:D114"/>
    <mergeCell ref="B116:F116"/>
    <mergeCell ref="B118:D118"/>
    <mergeCell ref="F118:I118"/>
    <mergeCell ref="B119:D119"/>
    <mergeCell ref="C132:D132"/>
    <mergeCell ref="B133:F133"/>
    <mergeCell ref="F146:I146"/>
    <mergeCell ref="B147:D147"/>
    <mergeCell ref="C158:D158"/>
    <mergeCell ref="B159:D159"/>
    <mergeCell ref="F170:I170"/>
    <mergeCell ref="B171:D171"/>
    <mergeCell ref="C174:D174"/>
    <mergeCell ref="B175:D175"/>
    <mergeCell ref="F178:I178"/>
    <mergeCell ref="B180:D180"/>
    <mergeCell ref="C184:D184"/>
    <mergeCell ref="B185:D185"/>
    <mergeCell ref="F188:I188"/>
    <mergeCell ref="F193:I193"/>
    <mergeCell ref="F194:I194"/>
    <mergeCell ref="F195:I195"/>
    <mergeCell ref="B300:H300"/>
    <mergeCell ref="B345:C345"/>
    <mergeCell ref="M35:T35"/>
    <mergeCell ref="L19:T19"/>
    <mergeCell ref="C42:E42"/>
    <mergeCell ref="M52:T52"/>
    <mergeCell ref="M78:T78"/>
    <mergeCell ref="F50:I50"/>
    <mergeCell ref="B53:F53"/>
    <mergeCell ref="B70:F70"/>
    <mergeCell ref="L115:T115"/>
    <mergeCell ref="L132:T132"/>
    <mergeCell ref="L148:T148"/>
    <mergeCell ref="L165:T165"/>
    <mergeCell ref="L181:T181"/>
  </mergeCells>
  <phoneticPr fontId="91" type="noConversion"/>
  <conditionalFormatting sqref="B301:C301">
    <cfRule type="duplicateValues" dxfId="49" priority="2"/>
  </conditionalFormatting>
  <conditionalFormatting sqref="D301">
    <cfRule type="duplicateValues" dxfId="48" priority="1"/>
  </conditionalFormatting>
  <pageMargins left="0.7" right="0.7" top="0.75" bottom="0.75" header="0.3" footer="0.3"/>
  <pageSetup paperSize="135" scale="68"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2FB2-DA66-48E8-9FBF-7BAEB23B4DB2}">
  <sheetPr codeName="Hoja40">
    <pageSetUpPr fitToPage="1"/>
  </sheetPr>
  <dimension ref="A2:U480"/>
  <sheetViews>
    <sheetView topLeftCell="A252" zoomScale="120" zoomScaleNormal="120" workbookViewId="0">
      <selection activeCell="C350" sqref="C350"/>
    </sheetView>
  </sheetViews>
  <sheetFormatPr defaultColWidth="11.42578125" defaultRowHeight="12.75"/>
  <cols>
    <col min="1" max="1" width="2.42578125" style="814" customWidth="1"/>
    <col min="2" max="2" width="20.85546875" style="814" customWidth="1"/>
    <col min="3" max="3" width="15.85546875" style="814" customWidth="1"/>
    <col min="4" max="4" width="12.42578125" style="814" customWidth="1"/>
    <col min="5" max="5" width="12.28515625" style="814" customWidth="1"/>
    <col min="6" max="6" width="12.85546875" style="911" bestFit="1" customWidth="1"/>
    <col min="7" max="7" width="13.85546875" style="814" customWidth="1"/>
    <col min="8" max="8" width="12.28515625" style="814" customWidth="1"/>
    <col min="9" max="9" width="12.42578125" style="814" customWidth="1"/>
    <col min="10" max="10" width="19.140625" style="814" customWidth="1"/>
    <col min="11" max="11" width="10.28515625" style="814" bestFit="1" customWidth="1"/>
    <col min="12" max="12" width="9.7109375" style="814" customWidth="1"/>
    <col min="13" max="13" width="12.85546875" style="979" bestFit="1" customWidth="1"/>
    <col min="14" max="14" width="10.85546875" style="979" customWidth="1"/>
    <col min="15" max="15" width="12.85546875" style="814" bestFit="1" customWidth="1"/>
    <col min="16" max="16384" width="11.42578125" style="814"/>
  </cols>
  <sheetData>
    <row r="2" spans="2:20">
      <c r="B2" s="1201" t="s">
        <v>0</v>
      </c>
      <c r="C2" s="741" t="s">
        <v>699</v>
      </c>
    </row>
    <row r="3" spans="2:20">
      <c r="B3" s="1201" t="s">
        <v>238</v>
      </c>
      <c r="C3" s="1061">
        <v>73573082</v>
      </c>
    </row>
    <row r="4" spans="2:20">
      <c r="B4" s="726" t="s">
        <v>287</v>
      </c>
      <c r="C4" s="800">
        <v>43430</v>
      </c>
    </row>
    <row r="5" spans="2:20">
      <c r="B5" s="726" t="s">
        <v>700</v>
      </c>
      <c r="C5" s="1349" t="s">
        <v>701</v>
      </c>
      <c r="F5" s="1350"/>
      <c r="J5" s="1118"/>
    </row>
    <row r="6" spans="2:20">
      <c r="B6" s="726" t="s">
        <v>124</v>
      </c>
      <c r="C6" s="741" t="s">
        <v>702</v>
      </c>
      <c r="D6" s="741"/>
      <c r="F6" s="1350"/>
      <c r="G6" s="1351"/>
      <c r="J6" s="1118"/>
      <c r="M6" s="814"/>
      <c r="N6" s="814"/>
    </row>
    <row r="7" spans="2:20">
      <c r="B7" s="726" t="s">
        <v>2</v>
      </c>
      <c r="C7" s="741" t="s">
        <v>703</v>
      </c>
      <c r="J7" s="1118"/>
      <c r="M7" s="814"/>
      <c r="N7" s="814"/>
    </row>
    <row r="8" spans="2:20" ht="12.75" customHeight="1">
      <c r="B8" s="726" t="s">
        <v>290</v>
      </c>
      <c r="C8" s="800">
        <v>43538</v>
      </c>
      <c r="M8" s="814"/>
      <c r="N8" s="814"/>
    </row>
    <row r="9" spans="2:20" ht="12.75" hidden="1" customHeight="1">
      <c r="H9" s="2604" t="s">
        <v>704</v>
      </c>
      <c r="I9" s="2605"/>
      <c r="M9" s="814"/>
      <c r="N9" s="814"/>
    </row>
    <row r="10" spans="2:20" ht="12.75" hidden="1" customHeight="1">
      <c r="B10" s="726" t="s">
        <v>705</v>
      </c>
      <c r="C10" s="726" t="s">
        <v>206</v>
      </c>
      <c r="D10" s="726" t="s">
        <v>10</v>
      </c>
      <c r="E10" s="726" t="s">
        <v>706</v>
      </c>
      <c r="F10" s="1334" t="s">
        <v>707</v>
      </c>
      <c r="G10" s="726" t="s">
        <v>708</v>
      </c>
      <c r="H10" s="726" t="s">
        <v>709</v>
      </c>
      <c r="I10" s="726" t="s">
        <v>252</v>
      </c>
      <c r="J10" s="726" t="s">
        <v>710</v>
      </c>
      <c r="M10" s="2680" t="s">
        <v>711</v>
      </c>
      <c r="N10" s="2680"/>
      <c r="O10" s="2680"/>
      <c r="P10" s="2680"/>
      <c r="Q10" s="2680"/>
      <c r="R10" s="2680"/>
      <c r="S10" s="2680"/>
      <c r="T10" s="2680"/>
    </row>
    <row r="11" spans="2:20" hidden="1">
      <c r="B11" s="2604" t="s">
        <v>64</v>
      </c>
      <c r="C11" s="2681"/>
      <c r="D11" s="2681"/>
      <c r="E11" s="2681"/>
      <c r="F11" s="2605"/>
      <c r="G11" s="801"/>
      <c r="H11" s="726"/>
      <c r="I11" s="726"/>
      <c r="J11" s="726"/>
      <c r="L11" s="1093" t="s">
        <v>494</v>
      </c>
      <c r="M11" s="1093" t="s">
        <v>712</v>
      </c>
      <c r="N11" s="1093" t="s">
        <v>713</v>
      </c>
      <c r="O11" s="1093" t="s">
        <v>78</v>
      </c>
      <c r="P11" s="1093" t="s">
        <v>79</v>
      </c>
      <c r="Q11" s="1093" t="s">
        <v>186</v>
      </c>
      <c r="R11" s="1093" t="s">
        <v>187</v>
      </c>
      <c r="S11" s="1093" t="s">
        <v>82</v>
      </c>
      <c r="T11" s="1093" t="s">
        <v>83</v>
      </c>
    </row>
    <row r="12" spans="2:20" ht="26.25" hidden="1" customHeight="1">
      <c r="B12" s="1190" t="s">
        <v>714</v>
      </c>
      <c r="C12" s="1223">
        <v>38216</v>
      </c>
      <c r="D12" s="1223">
        <v>38352</v>
      </c>
      <c r="E12" s="1333">
        <f>_xlfn.DAYS(D12,C12)+1</f>
        <v>137</v>
      </c>
      <c r="F12" s="1352">
        <f>2010000/4.466</f>
        <v>450067.17420510523</v>
      </c>
      <c r="G12" s="1353">
        <f>((358000/30)*E12)</f>
        <v>1634866.6666666667</v>
      </c>
      <c r="H12" s="1333">
        <f>+G12*12%</f>
        <v>196184</v>
      </c>
      <c r="I12" s="1333">
        <f>+G12*14.51%</f>
        <v>237219.15333333335</v>
      </c>
      <c r="J12" s="1354">
        <f>SUM(H12:I12)</f>
        <v>433403.15333333332</v>
      </c>
      <c r="K12" s="1063"/>
      <c r="L12" s="1316">
        <v>44425</v>
      </c>
      <c r="M12" s="1316">
        <v>44439</v>
      </c>
      <c r="N12" s="1315">
        <v>450067</v>
      </c>
      <c r="O12" s="1088">
        <f>+N12*0.04</f>
        <v>18002.68</v>
      </c>
      <c r="P12" s="1088"/>
      <c r="Q12" s="1088"/>
      <c r="R12" s="1088"/>
      <c r="S12" s="1088"/>
      <c r="T12" s="1088"/>
    </row>
    <row r="13" spans="2:20" hidden="1">
      <c r="B13" s="1132"/>
      <c r="C13" s="802"/>
      <c r="D13" s="802"/>
      <c r="E13" s="1355"/>
      <c r="F13" s="807"/>
      <c r="G13" s="858"/>
      <c r="H13" s="1061"/>
      <c r="I13" s="1061"/>
      <c r="J13" s="1356"/>
      <c r="K13" s="1063"/>
      <c r="L13" s="1316">
        <v>44440</v>
      </c>
      <c r="M13" s="1316">
        <v>44469</v>
      </c>
      <c r="N13" s="1315">
        <v>450067</v>
      </c>
      <c r="O13" s="1088"/>
      <c r="P13" s="1088"/>
      <c r="Q13" s="1088"/>
      <c r="R13" s="1088"/>
      <c r="S13" s="1088"/>
      <c r="T13" s="1088"/>
    </row>
    <row r="14" spans="2:20" hidden="1">
      <c r="B14" s="2604" t="s">
        <v>715</v>
      </c>
      <c r="C14" s="2681"/>
      <c r="D14" s="2681"/>
      <c r="E14" s="2605"/>
      <c r="F14" s="1357">
        <f>+F12</f>
        <v>450067.17420510523</v>
      </c>
      <c r="G14" s="858">
        <f>+F14*4.5666</f>
        <v>2055276.7577250337</v>
      </c>
      <c r="H14" s="1061">
        <f>+G14*12.5%</f>
        <v>256909.59471562921</v>
      </c>
      <c r="I14" s="1061">
        <f>+G14*14.51%</f>
        <v>298220.65754590242</v>
      </c>
      <c r="J14" s="1356">
        <f>SUM(H14:I14)</f>
        <v>555130.25226153166</v>
      </c>
      <c r="K14" s="1063"/>
      <c r="L14" s="1316">
        <v>44470</v>
      </c>
      <c r="M14" s="1316">
        <v>44500</v>
      </c>
      <c r="N14" s="1315">
        <v>450067</v>
      </c>
      <c r="O14" s="1088"/>
      <c r="P14" s="1088"/>
      <c r="Q14" s="1088"/>
      <c r="R14" s="1088"/>
      <c r="S14" s="1088"/>
      <c r="T14" s="1088"/>
    </row>
    <row r="15" spans="2:20" hidden="1">
      <c r="B15" s="1132"/>
      <c r="C15" s="802"/>
      <c r="D15" s="802"/>
      <c r="E15" s="1355"/>
      <c r="F15" s="807"/>
      <c r="G15" s="2703" t="s">
        <v>716</v>
      </c>
      <c r="H15" s="2704"/>
      <c r="I15" s="2705"/>
      <c r="J15" s="1358">
        <f>+J14-J12</f>
        <v>121727.09892819833</v>
      </c>
      <c r="K15" s="1063"/>
      <c r="L15" s="1316">
        <v>44501</v>
      </c>
      <c r="M15" s="1316">
        <v>44530</v>
      </c>
      <c r="N15" s="1315">
        <v>450067</v>
      </c>
      <c r="O15" s="1088"/>
      <c r="P15" s="1088"/>
      <c r="Q15" s="1088"/>
      <c r="R15" s="1088"/>
      <c r="S15" s="1088"/>
      <c r="T15" s="1088"/>
    </row>
    <row r="16" spans="2:20" hidden="1">
      <c r="B16" s="1132"/>
      <c r="C16" s="802"/>
      <c r="D16" s="802"/>
      <c r="E16" s="1359"/>
      <c r="F16" s="807"/>
      <c r="G16" s="858"/>
      <c r="H16" s="1061"/>
      <c r="I16" s="1061"/>
      <c r="J16" s="858"/>
      <c r="K16" s="1063"/>
      <c r="L16" s="1316">
        <v>44531</v>
      </c>
      <c r="M16" s="1316">
        <v>44561</v>
      </c>
      <c r="N16" s="1315">
        <v>450067</v>
      </c>
      <c r="O16" s="1088"/>
      <c r="P16" s="1088"/>
      <c r="Q16" s="1088"/>
      <c r="R16" s="1088"/>
      <c r="S16" s="1088"/>
      <c r="T16" s="1088"/>
    </row>
    <row r="17" spans="2:21" ht="18" hidden="1" customHeight="1">
      <c r="B17" s="2604" t="s">
        <v>64</v>
      </c>
      <c r="C17" s="2681"/>
      <c r="D17" s="2681"/>
      <c r="E17" s="2681"/>
      <c r="F17" s="2605"/>
      <c r="G17" s="1061"/>
      <c r="H17" s="1061"/>
      <c r="I17" s="1061"/>
      <c r="J17" s="858"/>
      <c r="K17" s="1063"/>
      <c r="L17" s="1063"/>
      <c r="M17" s="814"/>
      <c r="N17" s="814"/>
      <c r="O17" s="1061">
        <f t="shared" ref="O17:T17" si="0">SUM(O12:O16)</f>
        <v>18002.68</v>
      </c>
      <c r="P17" s="1061">
        <f t="shared" si="0"/>
        <v>0</v>
      </c>
      <c r="Q17" s="1061">
        <f t="shared" si="0"/>
        <v>0</v>
      </c>
      <c r="R17" s="1061">
        <f t="shared" si="0"/>
        <v>0</v>
      </c>
      <c r="S17" s="1061">
        <f t="shared" si="0"/>
        <v>0</v>
      </c>
      <c r="T17" s="1061">
        <f t="shared" si="0"/>
        <v>0</v>
      </c>
      <c r="U17" s="979"/>
    </row>
    <row r="18" spans="2:21" hidden="1">
      <c r="B18" s="741" t="s">
        <v>717</v>
      </c>
      <c r="C18" s="800">
        <v>38355</v>
      </c>
      <c r="D18" s="800">
        <v>38383</v>
      </c>
      <c r="E18" s="1061">
        <f>_xlfn.DAYS(D18,C18)+1</f>
        <v>29</v>
      </c>
      <c r="F18" s="1068">
        <v>450000</v>
      </c>
      <c r="G18" s="1355">
        <f>((381500/30)*E18)</f>
        <v>368783.33333333331</v>
      </c>
      <c r="H18" s="1061">
        <f>+G18*12%</f>
        <v>44253.999999999993</v>
      </c>
      <c r="I18" s="1061">
        <f>+G18*15%</f>
        <v>55317.499999999993</v>
      </c>
      <c r="J18" s="1356">
        <f>SUM(H18:I18)</f>
        <v>99571.499999999985</v>
      </c>
      <c r="O18" s="979"/>
      <c r="P18" s="979"/>
      <c r="Q18" s="979"/>
      <c r="R18" s="979"/>
      <c r="S18" s="979"/>
      <c r="T18" s="979"/>
      <c r="U18" s="979"/>
    </row>
    <row r="19" spans="2:21" hidden="1">
      <c r="B19" s="741"/>
      <c r="C19" s="800"/>
      <c r="D19" s="800"/>
      <c r="E19" s="1061"/>
      <c r="F19" s="1068"/>
      <c r="G19" s="1355"/>
      <c r="H19" s="1061"/>
      <c r="I19" s="1061"/>
      <c r="J19" s="1356"/>
      <c r="L19" s="2680" t="s">
        <v>718</v>
      </c>
      <c r="M19" s="2680"/>
      <c r="N19" s="2680"/>
      <c r="O19" s="2680"/>
      <c r="P19" s="2680"/>
      <c r="Q19" s="2680"/>
      <c r="R19" s="2680"/>
      <c r="S19" s="2680"/>
      <c r="T19" s="2680"/>
      <c r="U19" s="979"/>
    </row>
    <row r="20" spans="2:21" hidden="1">
      <c r="B20" s="741"/>
      <c r="C20" s="800">
        <v>38384</v>
      </c>
      <c r="D20" s="800">
        <v>38533</v>
      </c>
      <c r="E20" s="1061">
        <f>_xlfn.DAYS(D20,C20)+1</f>
        <v>150</v>
      </c>
      <c r="F20" s="1068">
        <f>3300000/5</f>
        <v>660000</v>
      </c>
      <c r="G20" s="1355">
        <f>(381500*5)</f>
        <v>1907500</v>
      </c>
      <c r="H20" s="1061">
        <f>+G20*12%</f>
        <v>228900</v>
      </c>
      <c r="I20" s="1061">
        <f>+G20*15%</f>
        <v>286125</v>
      </c>
      <c r="J20" s="1356">
        <f>SUM(H20:I20)</f>
        <v>515025</v>
      </c>
      <c r="K20" s="1063"/>
      <c r="L20" s="1093" t="s">
        <v>494</v>
      </c>
      <c r="M20" s="1093" t="s">
        <v>712</v>
      </c>
      <c r="N20" s="1093" t="s">
        <v>713</v>
      </c>
      <c r="O20" s="1093" t="s">
        <v>78</v>
      </c>
      <c r="P20" s="1093" t="s">
        <v>79</v>
      </c>
      <c r="Q20" s="1093" t="s">
        <v>186</v>
      </c>
      <c r="R20" s="1093" t="s">
        <v>187</v>
      </c>
      <c r="S20" s="1093" t="s">
        <v>82</v>
      </c>
      <c r="T20" s="1093" t="s">
        <v>83</v>
      </c>
    </row>
    <row r="21" spans="2:21" hidden="1">
      <c r="B21" s="741"/>
      <c r="C21" s="800">
        <v>38539</v>
      </c>
      <c r="D21" s="800">
        <v>38630</v>
      </c>
      <c r="E21" s="1061">
        <f>_xlfn.DAYS(D21,C21)+1</f>
        <v>92</v>
      </c>
      <c r="F21" s="1068">
        <f>1980000/3</f>
        <v>660000</v>
      </c>
      <c r="G21" s="1355">
        <f>(381500*3.066)</f>
        <v>1169679</v>
      </c>
      <c r="H21" s="1061">
        <f>+G21*12%</f>
        <v>140361.47999999998</v>
      </c>
      <c r="I21" s="1061">
        <f>+G21*15%</f>
        <v>175451.85</v>
      </c>
      <c r="J21" s="1356">
        <f>SUM(H21:I21)</f>
        <v>315813.32999999996</v>
      </c>
      <c r="K21" s="1063"/>
      <c r="L21" s="1316">
        <v>44199</v>
      </c>
      <c r="M21" s="1316">
        <v>44227</v>
      </c>
      <c r="N21" s="1315">
        <v>450067</v>
      </c>
      <c r="O21" s="1088"/>
      <c r="P21" s="1088"/>
      <c r="Q21" s="1088"/>
      <c r="R21" s="1088"/>
      <c r="S21" s="1088"/>
      <c r="T21" s="1088"/>
    </row>
    <row r="22" spans="2:21" hidden="1">
      <c r="B22" s="741"/>
      <c r="C22" s="800">
        <v>38631</v>
      </c>
      <c r="D22" s="800">
        <v>38723</v>
      </c>
      <c r="E22" s="1360">
        <f>_xlfn.DAYS(D22,C22)+1</f>
        <v>93</v>
      </c>
      <c r="F22" s="1068">
        <f>1980000/3</f>
        <v>660000</v>
      </c>
      <c r="G22" s="1355">
        <f>(381500*3.1)</f>
        <v>1182650</v>
      </c>
      <c r="H22" s="1061">
        <f>+G22*12%</f>
        <v>141918</v>
      </c>
      <c r="I22" s="1061">
        <f>+G22*15%</f>
        <v>177397.5</v>
      </c>
      <c r="J22" s="1356">
        <f>SUM(H22:I22)</f>
        <v>319315.5</v>
      </c>
      <c r="K22" s="1063"/>
      <c r="L22" s="1316">
        <v>38384</v>
      </c>
      <c r="M22" s="1316">
        <v>44255</v>
      </c>
      <c r="N22" s="1315">
        <v>660000</v>
      </c>
      <c r="O22" s="1088"/>
      <c r="P22" s="1088"/>
      <c r="Q22" s="1088"/>
      <c r="R22" s="1088"/>
      <c r="S22" s="1088"/>
      <c r="T22" s="1088"/>
    </row>
    <row r="23" spans="2:21" hidden="1">
      <c r="B23" s="1132"/>
      <c r="C23" s="802"/>
      <c r="D23" s="802" t="s">
        <v>719</v>
      </c>
      <c r="E23" s="1361">
        <f>SUM(E20:E22)+1</f>
        <v>336</v>
      </c>
      <c r="F23" s="1362">
        <f>AVERAGE(F18,F22,F20,F21)</f>
        <v>607500</v>
      </c>
      <c r="G23" s="1355"/>
      <c r="H23" s="1061"/>
      <c r="I23" s="1061"/>
      <c r="J23" s="1356"/>
      <c r="K23" s="1063"/>
      <c r="L23" s="1316">
        <v>44256</v>
      </c>
      <c r="M23" s="1316">
        <v>44286</v>
      </c>
      <c r="N23" s="1315">
        <v>660000</v>
      </c>
      <c r="O23" s="1088"/>
      <c r="P23" s="1088"/>
      <c r="Q23" s="1088"/>
      <c r="R23" s="1088"/>
      <c r="S23" s="1088"/>
      <c r="T23" s="1088"/>
    </row>
    <row r="24" spans="2:21" hidden="1">
      <c r="B24" s="1132"/>
      <c r="C24" s="802"/>
      <c r="D24" s="802"/>
      <c r="E24" s="1361"/>
      <c r="F24" s="1363"/>
      <c r="G24" s="1355"/>
      <c r="H24" s="1061"/>
      <c r="I24" s="1061"/>
      <c r="J24" s="1356"/>
      <c r="K24" s="1063"/>
      <c r="L24" s="1316"/>
      <c r="M24" s="1316"/>
      <c r="N24" s="1315"/>
      <c r="O24" s="1088"/>
      <c r="P24" s="1088"/>
      <c r="Q24" s="1088"/>
      <c r="R24" s="1088"/>
      <c r="S24" s="1088"/>
      <c r="T24" s="1088"/>
    </row>
    <row r="25" spans="2:21" hidden="1">
      <c r="B25" s="2604" t="s">
        <v>715</v>
      </c>
      <c r="C25" s="2681"/>
      <c r="D25" s="2681"/>
      <c r="E25" s="2681"/>
      <c r="F25" s="2605"/>
      <c r="G25" s="858"/>
      <c r="H25" s="1061"/>
      <c r="I25" s="1061"/>
      <c r="J25" s="1356"/>
      <c r="K25" s="1063"/>
      <c r="L25" s="1316">
        <v>50131</v>
      </c>
      <c r="M25" s="1316">
        <v>44314</v>
      </c>
      <c r="N25" s="1315">
        <v>660000</v>
      </c>
      <c r="O25" s="1088"/>
      <c r="P25" s="1088"/>
      <c r="Q25" s="1088"/>
      <c r="R25" s="1088"/>
      <c r="S25" s="1088"/>
      <c r="T25" s="1088"/>
    </row>
    <row r="26" spans="2:21" hidden="1">
      <c r="B26" s="1364"/>
      <c r="C26" s="800">
        <v>38355</v>
      </c>
      <c r="D26" s="800">
        <v>38383</v>
      </c>
      <c r="E26" s="1061">
        <f>_xlfn.DAYS(D26,C26)+1</f>
        <v>29</v>
      </c>
      <c r="F26" s="1068">
        <v>450000</v>
      </c>
      <c r="G26" s="1068">
        <v>450000</v>
      </c>
      <c r="H26" s="1061">
        <f>+G26*12.5%</f>
        <v>56250</v>
      </c>
      <c r="I26" s="1061">
        <f>+G26*15%</f>
        <v>67500</v>
      </c>
      <c r="J26" s="1356">
        <f>SUM(H26:I26)</f>
        <v>123750</v>
      </c>
      <c r="K26" s="1063"/>
      <c r="L26" s="1316">
        <v>56005</v>
      </c>
      <c r="M26" s="1316">
        <v>44347</v>
      </c>
      <c r="N26" s="1315">
        <v>660000</v>
      </c>
      <c r="O26" s="1088"/>
      <c r="P26" s="1088"/>
      <c r="Q26" s="1088"/>
      <c r="R26" s="1088"/>
      <c r="S26" s="1088"/>
      <c r="T26" s="1088"/>
    </row>
    <row r="27" spans="2:21" hidden="1">
      <c r="B27" s="1364"/>
      <c r="C27" s="800">
        <v>38384</v>
      </c>
      <c r="D27" s="800">
        <v>38533</v>
      </c>
      <c r="E27" s="1061">
        <f>_xlfn.DAYS(D27,C27)+1</f>
        <v>150</v>
      </c>
      <c r="F27" s="1068">
        <f>3300000/5</f>
        <v>660000</v>
      </c>
      <c r="G27" s="1068">
        <f>3300000</f>
        <v>3300000</v>
      </c>
      <c r="H27" s="1061">
        <f>+G27*12.5%</f>
        <v>412500</v>
      </c>
      <c r="I27" s="1061">
        <f>+G27*15%</f>
        <v>495000</v>
      </c>
      <c r="J27" s="1356">
        <f>SUM(H27:I27)</f>
        <v>907500</v>
      </c>
      <c r="K27" s="1063"/>
      <c r="L27" s="1316">
        <v>61880</v>
      </c>
      <c r="M27" s="1316">
        <v>44377</v>
      </c>
      <c r="N27" s="1315">
        <v>660000</v>
      </c>
      <c r="O27" s="1061"/>
      <c r="P27" s="1061"/>
      <c r="Q27" s="1061"/>
      <c r="R27" s="1061"/>
      <c r="S27" s="1061"/>
      <c r="T27" s="1061"/>
    </row>
    <row r="28" spans="2:21" hidden="1">
      <c r="B28" s="1364"/>
      <c r="C28" s="800">
        <v>38539</v>
      </c>
      <c r="D28" s="800">
        <v>38630</v>
      </c>
      <c r="E28" s="1061">
        <f>_xlfn.DAYS(D28,C28)+1</f>
        <v>92</v>
      </c>
      <c r="F28" s="1068">
        <f>1980000/3</f>
        <v>660000</v>
      </c>
      <c r="G28" s="1068">
        <v>1980000</v>
      </c>
      <c r="H28" s="1061">
        <f>+G28*12.5%</f>
        <v>247500</v>
      </c>
      <c r="I28" s="1061">
        <f>+G28*15%</f>
        <v>297000</v>
      </c>
      <c r="J28" s="1356">
        <f>SUM(H28:I28)</f>
        <v>544500</v>
      </c>
      <c r="K28" s="1063"/>
      <c r="L28" s="1316">
        <v>67754</v>
      </c>
      <c r="M28" s="1316">
        <v>44408</v>
      </c>
      <c r="N28" s="1315">
        <v>660000</v>
      </c>
      <c r="O28" s="741"/>
      <c r="P28" s="741"/>
      <c r="Q28" s="741"/>
      <c r="R28" s="741"/>
      <c r="S28" s="741"/>
      <c r="T28" s="741"/>
    </row>
    <row r="29" spans="2:21" hidden="1">
      <c r="B29" s="1364"/>
      <c r="C29" s="800">
        <v>38631</v>
      </c>
      <c r="D29" s="800">
        <v>38723</v>
      </c>
      <c r="E29" s="1360">
        <f>_xlfn.DAYS(D29,C29)+1</f>
        <v>93</v>
      </c>
      <c r="F29" s="1068">
        <f>1980000/3</f>
        <v>660000</v>
      </c>
      <c r="G29" s="1068">
        <v>1980000</v>
      </c>
      <c r="H29" s="1061">
        <f>+G29*12.5%</f>
        <v>247500</v>
      </c>
      <c r="I29" s="1061">
        <f>+G29*15%</f>
        <v>297000</v>
      </c>
      <c r="J29" s="1356">
        <f>SUM(H29:I29)</f>
        <v>544500</v>
      </c>
      <c r="K29" s="1063"/>
      <c r="L29" s="1316">
        <v>73628</v>
      </c>
      <c r="M29" s="1316">
        <v>44438</v>
      </c>
      <c r="N29" s="1315">
        <v>660000</v>
      </c>
      <c r="O29" s="741"/>
      <c r="P29" s="741"/>
      <c r="Q29" s="741"/>
      <c r="R29" s="741"/>
      <c r="S29" s="741"/>
      <c r="T29" s="741"/>
    </row>
    <row r="30" spans="2:21" hidden="1">
      <c r="B30" s="1364"/>
      <c r="C30" s="803"/>
      <c r="D30" s="803"/>
      <c r="E30" s="1355"/>
      <c r="F30" s="1365"/>
      <c r="G30" s="2703" t="str">
        <f>+G15</f>
        <v>Diferencia Valor a completar Seg Social</v>
      </c>
      <c r="H30" s="2704"/>
      <c r="I30" s="2705"/>
      <c r="J30" s="1366">
        <f>SUM(J26:J29)- SUM(J18:J22)</f>
        <v>870524.66999999993</v>
      </c>
      <c r="K30" s="1063"/>
      <c r="L30" s="1316">
        <v>79503</v>
      </c>
      <c r="M30" s="1316">
        <v>44469</v>
      </c>
      <c r="N30" s="1315">
        <v>660000</v>
      </c>
      <c r="O30" s="741"/>
      <c r="P30" s="741"/>
      <c r="Q30" s="741"/>
      <c r="R30" s="741"/>
      <c r="S30" s="741"/>
      <c r="T30" s="741"/>
    </row>
    <row r="31" spans="2:21" hidden="1">
      <c r="B31" s="2604" t="s">
        <v>64</v>
      </c>
      <c r="C31" s="2681"/>
      <c r="D31" s="2681"/>
      <c r="E31" s="2681"/>
      <c r="F31" s="2605"/>
      <c r="G31" s="858"/>
      <c r="H31" s="1061"/>
      <c r="I31" s="1061"/>
      <c r="J31" s="1356"/>
      <c r="K31" s="1063"/>
      <c r="L31" s="1316">
        <v>85377</v>
      </c>
      <c r="M31" s="1316">
        <v>44500</v>
      </c>
      <c r="N31" s="1315">
        <v>660000</v>
      </c>
      <c r="O31" s="741"/>
      <c r="P31" s="741"/>
      <c r="Q31" s="741"/>
      <c r="R31" s="741"/>
      <c r="S31" s="741"/>
      <c r="T31" s="741"/>
    </row>
    <row r="32" spans="2:21" hidden="1">
      <c r="B32" s="1367" t="s">
        <v>720</v>
      </c>
      <c r="C32" s="804">
        <v>38728</v>
      </c>
      <c r="D32" s="804">
        <v>38898</v>
      </c>
      <c r="E32" s="1132">
        <f>_xlfn.DAYS(D32,C32)+1</f>
        <v>171</v>
      </c>
      <c r="F32" s="1068">
        <f>3927000/5.7</f>
        <v>688947.36842105258</v>
      </c>
      <c r="G32" s="1359">
        <f>+((408000/30)*E32)</f>
        <v>2325600</v>
      </c>
      <c r="H32" s="1061">
        <f>+G32*12%</f>
        <v>279072</v>
      </c>
      <c r="I32" s="1061">
        <f>+G32*15.51%</f>
        <v>360700.56</v>
      </c>
      <c r="J32" s="1356">
        <f>SUM(H32:I32)</f>
        <v>639772.56000000006</v>
      </c>
      <c r="K32" s="1063"/>
      <c r="L32" s="1316">
        <v>91252</v>
      </c>
      <c r="M32" s="1316">
        <v>44530</v>
      </c>
      <c r="N32" s="1315">
        <v>660000</v>
      </c>
      <c r="O32" s="741"/>
      <c r="P32" s="741"/>
      <c r="Q32" s="741"/>
      <c r="R32" s="741"/>
      <c r="S32" s="741"/>
      <c r="T32" s="741"/>
    </row>
    <row r="33" spans="2:20" hidden="1">
      <c r="B33" s="1368"/>
      <c r="C33" s="800"/>
      <c r="D33" s="800"/>
      <c r="E33" s="1132"/>
      <c r="F33" s="1068"/>
      <c r="G33" s="1359"/>
      <c r="H33" s="1061"/>
      <c r="I33" s="1061"/>
      <c r="J33" s="1356"/>
      <c r="K33" s="1063"/>
      <c r="L33" s="1316">
        <v>97126</v>
      </c>
      <c r="M33" s="1316">
        <v>44561</v>
      </c>
      <c r="N33" s="1315">
        <v>660000</v>
      </c>
      <c r="O33" s="741"/>
      <c r="P33" s="741"/>
      <c r="Q33" s="741"/>
      <c r="R33" s="741"/>
      <c r="S33" s="741"/>
      <c r="T33" s="741"/>
    </row>
    <row r="34" spans="2:20" hidden="1">
      <c r="B34" s="1368"/>
      <c r="C34" s="800">
        <v>38908</v>
      </c>
      <c r="D34" s="800">
        <v>38933</v>
      </c>
      <c r="E34" s="1132">
        <f t="shared" ref="E34:E40" si="1">_xlfn.DAYS(D34,C34)+1</f>
        <v>26</v>
      </c>
      <c r="F34" s="1068">
        <v>600600</v>
      </c>
      <c r="G34" s="1359">
        <f>+((408000/30)*E34)</f>
        <v>353600</v>
      </c>
      <c r="H34" s="1061">
        <f>+G34*12%</f>
        <v>42432</v>
      </c>
      <c r="I34" s="1061">
        <f>+G34*15.51%</f>
        <v>54843.359999999993</v>
      </c>
      <c r="J34" s="1356">
        <f t="shared" ref="J34:J40" si="2">SUM(H34:I34)</f>
        <v>97275.359999999986</v>
      </c>
      <c r="K34" s="1063"/>
      <c r="L34" s="1063"/>
      <c r="N34" s="814"/>
    </row>
    <row r="35" spans="2:20" hidden="1">
      <c r="B35" s="1368"/>
      <c r="C35" s="800"/>
      <c r="D35" s="800"/>
      <c r="E35" s="1132"/>
      <c r="F35" s="1068"/>
      <c r="G35" s="1359"/>
      <c r="H35" s="1061"/>
      <c r="I35" s="1061"/>
      <c r="J35" s="1356"/>
      <c r="K35" s="1063"/>
      <c r="L35" s="1063"/>
      <c r="M35" s="2680" t="s">
        <v>721</v>
      </c>
      <c r="N35" s="2680"/>
      <c r="O35" s="2680"/>
      <c r="P35" s="2680"/>
      <c r="Q35" s="2680"/>
      <c r="R35" s="2680"/>
      <c r="S35" s="2680"/>
      <c r="T35" s="2680"/>
    </row>
    <row r="36" spans="2:20" hidden="1">
      <c r="B36" s="1369"/>
      <c r="C36" s="800">
        <v>38934</v>
      </c>
      <c r="D36" s="800">
        <v>38964</v>
      </c>
      <c r="E36" s="1132">
        <f t="shared" si="1"/>
        <v>31</v>
      </c>
      <c r="F36" s="1068">
        <v>693000</v>
      </c>
      <c r="G36" s="1359">
        <f>+((408000/30)*E36)</f>
        <v>421600</v>
      </c>
      <c r="H36" s="1061">
        <f>+G36*12%</f>
        <v>50592</v>
      </c>
      <c r="I36" s="1061">
        <f>+G36*15.51%</f>
        <v>65390.159999999996</v>
      </c>
      <c r="J36" s="1356">
        <f t="shared" si="2"/>
        <v>115982.16</v>
      </c>
      <c r="K36" s="1063"/>
      <c r="L36" s="1093" t="s">
        <v>494</v>
      </c>
      <c r="M36" s="1093" t="s">
        <v>712</v>
      </c>
      <c r="N36" s="1093" t="s">
        <v>713</v>
      </c>
      <c r="O36" s="1093" t="s">
        <v>78</v>
      </c>
      <c r="P36" s="1093" t="s">
        <v>79</v>
      </c>
      <c r="Q36" s="1093" t="s">
        <v>186</v>
      </c>
      <c r="R36" s="1093" t="s">
        <v>187</v>
      </c>
      <c r="S36" s="1093" t="s">
        <v>82</v>
      </c>
      <c r="T36" s="1093" t="s">
        <v>83</v>
      </c>
    </row>
    <row r="37" spans="2:20" hidden="1">
      <c r="C37" s="800">
        <v>38965</v>
      </c>
      <c r="D37" s="800">
        <v>38994</v>
      </c>
      <c r="E37" s="1132">
        <f t="shared" si="1"/>
        <v>30</v>
      </c>
      <c r="F37" s="1068">
        <v>693000</v>
      </c>
      <c r="G37" s="1359">
        <f>+((408000/30)*E37)</f>
        <v>408000</v>
      </c>
      <c r="H37" s="1061">
        <f>+G37*12%</f>
        <v>48960</v>
      </c>
      <c r="I37" s="1061">
        <f>+G37*15.51%</f>
        <v>63280.799999999996</v>
      </c>
      <c r="J37" s="1356">
        <f t="shared" si="2"/>
        <v>112240.79999999999</v>
      </c>
      <c r="K37" s="1370"/>
      <c r="L37" s="1316">
        <v>44207</v>
      </c>
      <c r="M37" s="1316">
        <v>44227</v>
      </c>
      <c r="N37" s="1315">
        <f t="shared" ref="N37:N42" si="3">3927000/5.7</f>
        <v>688947.36842105258</v>
      </c>
      <c r="O37" s="1088"/>
      <c r="P37" s="1088"/>
      <c r="Q37" s="1088"/>
      <c r="R37" s="1088"/>
      <c r="S37" s="1088"/>
      <c r="T37" s="1088"/>
    </row>
    <row r="38" spans="2:20" hidden="1">
      <c r="C38" s="800">
        <v>38995</v>
      </c>
      <c r="D38" s="800">
        <v>39025</v>
      </c>
      <c r="E38" s="1132">
        <f t="shared" si="1"/>
        <v>31</v>
      </c>
      <c r="F38" s="1068">
        <v>693000</v>
      </c>
      <c r="G38" s="1359">
        <f>+((408000/30)*E38)</f>
        <v>421600</v>
      </c>
      <c r="H38" s="1061">
        <f>+G38*12%</f>
        <v>50592</v>
      </c>
      <c r="I38" s="1061">
        <f>+G38*15.51%</f>
        <v>65390.159999999996</v>
      </c>
      <c r="J38" s="1356">
        <f t="shared" si="2"/>
        <v>115982.16</v>
      </c>
      <c r="K38" s="1370"/>
      <c r="L38" s="1316">
        <v>38384</v>
      </c>
      <c r="M38" s="1316">
        <v>44255</v>
      </c>
      <c r="N38" s="1315">
        <f t="shared" si="3"/>
        <v>688947.36842105258</v>
      </c>
      <c r="O38" s="1088"/>
      <c r="P38" s="1088"/>
      <c r="Q38" s="1088"/>
      <c r="R38" s="1088"/>
      <c r="S38" s="1088"/>
      <c r="T38" s="1088"/>
    </row>
    <row r="39" spans="2:20" hidden="1">
      <c r="C39" s="800">
        <v>39026</v>
      </c>
      <c r="D39" s="800">
        <v>39055</v>
      </c>
      <c r="E39" s="1132">
        <f t="shared" si="1"/>
        <v>30</v>
      </c>
      <c r="F39" s="1068">
        <v>693000</v>
      </c>
      <c r="G39" s="1359">
        <f>+((408000/30)*E39)</f>
        <v>408000</v>
      </c>
      <c r="H39" s="1061">
        <f>+G39*12%</f>
        <v>48960</v>
      </c>
      <c r="I39" s="1061">
        <f>+G39*15.51%</f>
        <v>63280.799999999996</v>
      </c>
      <c r="J39" s="1356">
        <f t="shared" si="2"/>
        <v>112240.79999999999</v>
      </c>
      <c r="K39" s="1370"/>
      <c r="L39" s="1316">
        <v>44256</v>
      </c>
      <c r="M39" s="1316">
        <v>44286</v>
      </c>
      <c r="N39" s="1315">
        <f t="shared" si="3"/>
        <v>688947.36842105258</v>
      </c>
      <c r="O39" s="1088"/>
      <c r="P39" s="1088"/>
      <c r="Q39" s="1088"/>
      <c r="R39" s="1088"/>
      <c r="S39" s="1088"/>
      <c r="T39" s="1088"/>
    </row>
    <row r="40" spans="2:20" hidden="1">
      <c r="C40" s="800">
        <v>39056</v>
      </c>
      <c r="D40" s="800">
        <v>39082</v>
      </c>
      <c r="E40" s="1132">
        <f t="shared" si="1"/>
        <v>27</v>
      </c>
      <c r="F40" s="1068">
        <v>693000</v>
      </c>
      <c r="G40" s="1359">
        <f>+((408000/30)*E40)</f>
        <v>367200</v>
      </c>
      <c r="H40" s="1061">
        <f>+G40*12%</f>
        <v>44064</v>
      </c>
      <c r="I40" s="1061">
        <f>+G40*15.51%</f>
        <v>56952.719999999994</v>
      </c>
      <c r="J40" s="1356">
        <f t="shared" si="2"/>
        <v>101016.72</v>
      </c>
      <c r="K40" s="1370"/>
      <c r="L40" s="1316">
        <v>50131</v>
      </c>
      <c r="M40" s="1316">
        <v>44314</v>
      </c>
      <c r="N40" s="1315">
        <f t="shared" si="3"/>
        <v>688947.36842105258</v>
      </c>
      <c r="O40" s="1088"/>
      <c r="P40" s="1088"/>
      <c r="Q40" s="1088"/>
      <c r="R40" s="1088"/>
      <c r="S40" s="1088"/>
      <c r="T40" s="1088"/>
    </row>
    <row r="41" spans="2:20" hidden="1">
      <c r="C41" s="803"/>
      <c r="D41" s="802" t="s">
        <v>719</v>
      </c>
      <c r="E41" s="1361">
        <f>SUM(E36:E40)+1</f>
        <v>150</v>
      </c>
      <c r="F41" s="1362">
        <f>AVERAGE(F36,F40,F38,F39,F37,F34,F32)</f>
        <v>679221.05263157899</v>
      </c>
      <c r="G41" s="1355"/>
      <c r="H41" s="1061"/>
      <c r="I41" s="1061"/>
      <c r="J41" s="1356"/>
      <c r="K41" s="1370"/>
      <c r="L41" s="1316">
        <v>56005</v>
      </c>
      <c r="M41" s="1316">
        <v>44347</v>
      </c>
      <c r="N41" s="1315">
        <f t="shared" si="3"/>
        <v>688947.36842105258</v>
      </c>
      <c r="O41" s="1088"/>
      <c r="P41" s="1088"/>
      <c r="Q41" s="1088"/>
      <c r="R41" s="1088"/>
      <c r="S41" s="1088"/>
      <c r="T41" s="1088"/>
    </row>
    <row r="42" spans="2:20" hidden="1">
      <c r="B42" s="1364" t="s">
        <v>715</v>
      </c>
      <c r="C42" s="2681"/>
      <c r="D42" s="2681"/>
      <c r="E42" s="2681"/>
      <c r="F42" s="1371"/>
      <c r="G42" s="1068"/>
      <c r="H42" s="1061"/>
      <c r="I42" s="1061"/>
      <c r="J42" s="1061"/>
      <c r="K42" s="1370"/>
      <c r="L42" s="1316">
        <v>61880</v>
      </c>
      <c r="M42" s="1316">
        <v>44377</v>
      </c>
      <c r="N42" s="1315">
        <f t="shared" si="3"/>
        <v>688947.36842105258</v>
      </c>
      <c r="O42" s="1061"/>
      <c r="P42" s="1061"/>
      <c r="Q42" s="1061"/>
      <c r="R42" s="1061"/>
      <c r="S42" s="1061"/>
      <c r="T42" s="1061"/>
    </row>
    <row r="43" spans="2:20" hidden="1">
      <c r="C43" s="800">
        <v>38728</v>
      </c>
      <c r="D43" s="800">
        <v>38898</v>
      </c>
      <c r="E43" s="741">
        <f t="shared" ref="E43:E49" si="4">_xlfn.DAYS(D43,C43)+1</f>
        <v>171</v>
      </c>
      <c r="F43" s="1068">
        <f>3927000/5.7</f>
        <v>688947.36842105258</v>
      </c>
      <c r="G43" s="1355">
        <v>3927000</v>
      </c>
      <c r="H43" s="1061">
        <f>+G43*12%</f>
        <v>471240</v>
      </c>
      <c r="I43" s="1061">
        <f>+G43*15.51%</f>
        <v>609077.69999999995</v>
      </c>
      <c r="J43" s="1356">
        <f t="shared" ref="J43:J49" si="5">SUM(H43:I43)</f>
        <v>1080317.7</v>
      </c>
      <c r="K43" s="1370"/>
      <c r="L43" s="1316">
        <v>67763</v>
      </c>
      <c r="M43" s="1316">
        <v>44408</v>
      </c>
      <c r="N43" s="1315">
        <v>600600</v>
      </c>
      <c r="O43" s="741"/>
      <c r="P43" s="741"/>
      <c r="Q43" s="741"/>
      <c r="R43" s="741"/>
      <c r="S43" s="741"/>
      <c r="T43" s="741"/>
    </row>
    <row r="44" spans="2:20" hidden="1">
      <c r="C44" s="800">
        <v>38908</v>
      </c>
      <c r="D44" s="800">
        <v>38933</v>
      </c>
      <c r="E44" s="741">
        <f t="shared" si="4"/>
        <v>26</v>
      </c>
      <c r="F44" s="1068">
        <v>600600</v>
      </c>
      <c r="G44" s="1355">
        <f t="shared" ref="G44:G49" si="6">+F44</f>
        <v>600600</v>
      </c>
      <c r="H44" s="1061">
        <f t="shared" ref="H44:H49" si="7">+G44*12%</f>
        <v>72072</v>
      </c>
      <c r="I44" s="1061">
        <f t="shared" ref="I44:I49" si="8">+G44*15.51%</f>
        <v>93153.06</v>
      </c>
      <c r="J44" s="1356">
        <f t="shared" si="5"/>
        <v>165225.06</v>
      </c>
      <c r="K44" s="1370"/>
      <c r="L44" s="1316">
        <v>73628</v>
      </c>
      <c r="M44" s="1316">
        <v>44439</v>
      </c>
      <c r="N44" s="1315">
        <v>600600</v>
      </c>
      <c r="O44" s="741"/>
      <c r="P44" s="741"/>
      <c r="Q44" s="741"/>
      <c r="R44" s="741"/>
      <c r="S44" s="741"/>
      <c r="T44" s="741"/>
    </row>
    <row r="45" spans="2:20" hidden="1">
      <c r="C45" s="800">
        <v>38934</v>
      </c>
      <c r="D45" s="800">
        <v>38964</v>
      </c>
      <c r="E45" s="741">
        <f t="shared" si="4"/>
        <v>31</v>
      </c>
      <c r="F45" s="1068">
        <v>693000</v>
      </c>
      <c r="G45" s="1355">
        <f t="shared" si="6"/>
        <v>693000</v>
      </c>
      <c r="H45" s="1061">
        <f t="shared" si="7"/>
        <v>83160</v>
      </c>
      <c r="I45" s="1061">
        <f t="shared" si="8"/>
        <v>107484.29999999999</v>
      </c>
      <c r="J45" s="1356">
        <f t="shared" si="5"/>
        <v>190644.3</v>
      </c>
      <c r="K45" s="1370"/>
      <c r="L45" s="1316">
        <v>79506</v>
      </c>
      <c r="M45" s="1316">
        <v>44469</v>
      </c>
      <c r="N45" s="1315">
        <v>693000</v>
      </c>
      <c r="O45" s="741"/>
      <c r="P45" s="741"/>
      <c r="Q45" s="741"/>
      <c r="R45" s="741"/>
      <c r="S45" s="741"/>
      <c r="T45" s="741"/>
    </row>
    <row r="46" spans="2:20" hidden="1">
      <c r="C46" s="800">
        <v>38965</v>
      </c>
      <c r="D46" s="800">
        <v>38994</v>
      </c>
      <c r="E46" s="741">
        <f t="shared" si="4"/>
        <v>30</v>
      </c>
      <c r="F46" s="1068">
        <v>693000</v>
      </c>
      <c r="G46" s="1355">
        <f t="shared" si="6"/>
        <v>693000</v>
      </c>
      <c r="H46" s="1061">
        <f t="shared" si="7"/>
        <v>83160</v>
      </c>
      <c r="I46" s="1061">
        <f t="shared" si="8"/>
        <v>107484.29999999999</v>
      </c>
      <c r="J46" s="1356">
        <f t="shared" si="5"/>
        <v>190644.3</v>
      </c>
      <c r="K46" s="1370"/>
      <c r="L46" s="1316">
        <v>85381</v>
      </c>
      <c r="M46" s="1316">
        <v>44500</v>
      </c>
      <c r="N46" s="1315">
        <v>693000</v>
      </c>
      <c r="O46" s="741"/>
      <c r="P46" s="741"/>
      <c r="Q46" s="741"/>
      <c r="R46" s="741"/>
      <c r="S46" s="741"/>
      <c r="T46" s="741"/>
    </row>
    <row r="47" spans="2:20" hidden="1">
      <c r="C47" s="800">
        <v>38995</v>
      </c>
      <c r="D47" s="800">
        <v>39025</v>
      </c>
      <c r="E47" s="741">
        <f t="shared" si="4"/>
        <v>31</v>
      </c>
      <c r="F47" s="1068">
        <v>693000</v>
      </c>
      <c r="G47" s="1355">
        <f t="shared" si="6"/>
        <v>693000</v>
      </c>
      <c r="H47" s="1061">
        <f t="shared" si="7"/>
        <v>83160</v>
      </c>
      <c r="I47" s="1061">
        <f t="shared" si="8"/>
        <v>107484.29999999999</v>
      </c>
      <c r="J47" s="1356">
        <f t="shared" si="5"/>
        <v>190644.3</v>
      </c>
      <c r="K47" s="1370"/>
      <c r="L47" s="1316">
        <v>91252</v>
      </c>
      <c r="M47" s="1316">
        <v>44530</v>
      </c>
      <c r="N47" s="1315">
        <v>693000</v>
      </c>
      <c r="O47" s="741"/>
      <c r="P47" s="741"/>
      <c r="Q47" s="741"/>
      <c r="R47" s="741"/>
      <c r="S47" s="741"/>
      <c r="T47" s="741"/>
    </row>
    <row r="48" spans="2:20" hidden="1">
      <c r="C48" s="800">
        <v>39026</v>
      </c>
      <c r="D48" s="800">
        <v>39055</v>
      </c>
      <c r="E48" s="741">
        <f t="shared" si="4"/>
        <v>30</v>
      </c>
      <c r="F48" s="1068">
        <v>693000</v>
      </c>
      <c r="G48" s="1061">
        <f t="shared" si="6"/>
        <v>693000</v>
      </c>
      <c r="H48" s="1061">
        <f t="shared" si="7"/>
        <v>83160</v>
      </c>
      <c r="I48" s="1061">
        <f t="shared" si="8"/>
        <v>107484.29999999999</v>
      </c>
      <c r="J48" s="1356">
        <f t="shared" si="5"/>
        <v>190644.3</v>
      </c>
      <c r="K48" s="1370"/>
      <c r="L48" s="1316">
        <v>97126</v>
      </c>
      <c r="M48" s="1316">
        <v>44561</v>
      </c>
      <c r="N48" s="1315">
        <v>693000</v>
      </c>
      <c r="O48" s="741"/>
      <c r="P48" s="741"/>
      <c r="Q48" s="741"/>
      <c r="R48" s="741"/>
      <c r="S48" s="741"/>
      <c r="T48" s="741"/>
    </row>
    <row r="49" spans="2:20" hidden="1">
      <c r="C49" s="800">
        <v>39056</v>
      </c>
      <c r="D49" s="800">
        <v>39082</v>
      </c>
      <c r="E49" s="741">
        <f t="shared" si="4"/>
        <v>27</v>
      </c>
      <c r="F49" s="1068">
        <v>693000</v>
      </c>
      <c r="G49" s="1061">
        <f t="shared" si="6"/>
        <v>693000</v>
      </c>
      <c r="H49" s="1061">
        <f t="shared" si="7"/>
        <v>83160</v>
      </c>
      <c r="I49" s="1061">
        <f t="shared" si="8"/>
        <v>107484.29999999999</v>
      </c>
      <c r="J49" s="1356">
        <f t="shared" si="5"/>
        <v>190644.3</v>
      </c>
      <c r="K49" s="1372"/>
      <c r="L49" s="1372"/>
      <c r="M49" s="814"/>
      <c r="N49" s="814"/>
    </row>
    <row r="50" spans="2:20" hidden="1">
      <c r="C50" s="802"/>
      <c r="D50" s="802"/>
      <c r="E50" s="1373"/>
      <c r="F50" s="2682" t="str">
        <f>+G30</f>
        <v>Diferencia Valor a completar Seg Social</v>
      </c>
      <c r="G50" s="2682"/>
      <c r="H50" s="2682"/>
      <c r="I50" s="2682"/>
      <c r="J50" s="1366">
        <f>SUM(J43:J49)- SUM(J32:J40)</f>
        <v>904253.70000000019</v>
      </c>
      <c r="K50" s="1370"/>
      <c r="L50" s="1370"/>
      <c r="M50" s="814"/>
      <c r="N50" s="814"/>
    </row>
    <row r="51" spans="2:20" hidden="1">
      <c r="C51" s="1374"/>
      <c r="D51" s="1374"/>
      <c r="E51" s="1374"/>
      <c r="F51" s="1375"/>
      <c r="G51" s="1374"/>
      <c r="H51" s="1374"/>
      <c r="I51" s="1374"/>
      <c r="J51" s="1376"/>
      <c r="K51" s="1370"/>
      <c r="L51" s="1370"/>
      <c r="M51" s="814"/>
      <c r="N51" s="814"/>
    </row>
    <row r="52" spans="2:20" hidden="1">
      <c r="C52" s="802"/>
      <c r="D52" s="802"/>
      <c r="E52" s="1373"/>
      <c r="F52" s="1377"/>
      <c r="G52" s="1374"/>
      <c r="H52" s="1374"/>
      <c r="I52" s="1374"/>
      <c r="J52" s="1376"/>
      <c r="K52" s="1370"/>
      <c r="L52" s="1378"/>
      <c r="M52" s="2680" t="s">
        <v>722</v>
      </c>
      <c r="N52" s="2680"/>
      <c r="O52" s="2680"/>
      <c r="P52" s="2680"/>
      <c r="Q52" s="2680"/>
      <c r="R52" s="2680"/>
      <c r="S52" s="2680"/>
      <c r="T52" s="2680"/>
    </row>
    <row r="53" spans="2:20" hidden="1">
      <c r="B53" s="2604" t="s">
        <v>64</v>
      </c>
      <c r="C53" s="2681"/>
      <c r="D53" s="2681"/>
      <c r="E53" s="2681"/>
      <c r="F53" s="2605"/>
      <c r="L53" s="1093" t="s">
        <v>494</v>
      </c>
      <c r="M53" s="1093" t="s">
        <v>712</v>
      </c>
      <c r="N53" s="1093" t="s">
        <v>713</v>
      </c>
      <c r="O53" s="1093" t="s">
        <v>78</v>
      </c>
      <c r="P53" s="1093" t="s">
        <v>79</v>
      </c>
      <c r="Q53" s="1093" t="s">
        <v>186</v>
      </c>
      <c r="R53" s="1093" t="s">
        <v>187</v>
      </c>
      <c r="S53" s="1093" t="s">
        <v>82</v>
      </c>
      <c r="T53" s="1093" t="s">
        <v>83</v>
      </c>
    </row>
    <row r="54" spans="2:20" hidden="1">
      <c r="B54" s="1379" t="s">
        <v>723</v>
      </c>
      <c r="C54" s="800">
        <v>39098</v>
      </c>
      <c r="D54" s="800">
        <v>39128</v>
      </c>
      <c r="E54" s="741">
        <f>_xlfn.DAYS(D54,C54)+1</f>
        <v>31</v>
      </c>
      <c r="F54" s="1068">
        <v>693000</v>
      </c>
      <c r="G54" s="1061">
        <f>+((433700/30)*E54)</f>
        <v>448156.66666666663</v>
      </c>
      <c r="H54" s="1061">
        <f>+G54*12.5%</f>
        <v>56019.583333333328</v>
      </c>
      <c r="I54" s="1061">
        <f>+G54*15.51%</f>
        <v>69509.098999999987</v>
      </c>
      <c r="J54" s="1356">
        <f>SUM(H54:I54)</f>
        <v>125528.68233333332</v>
      </c>
      <c r="K54" s="1370"/>
      <c r="L54" s="1316">
        <v>44212</v>
      </c>
      <c r="M54" s="1316">
        <v>44227</v>
      </c>
      <c r="N54" s="1315">
        <v>693000</v>
      </c>
      <c r="O54" s="1088"/>
      <c r="P54" s="1088"/>
      <c r="Q54" s="1088"/>
      <c r="R54" s="1088"/>
      <c r="S54" s="1088"/>
      <c r="T54" s="1088"/>
    </row>
    <row r="55" spans="2:20" hidden="1">
      <c r="B55" s="741"/>
      <c r="C55" s="800">
        <v>39129</v>
      </c>
      <c r="D55" s="800">
        <v>39156</v>
      </c>
      <c r="E55" s="741">
        <f>_xlfn.DAYS(D55,C55)+1</f>
        <v>28</v>
      </c>
      <c r="F55" s="1068">
        <v>693000</v>
      </c>
      <c r="G55" s="1355">
        <f>+((433700/30)*E55)</f>
        <v>404786.66666666663</v>
      </c>
      <c r="H55" s="1061">
        <f t="shared" ref="H55:H68" si="9">+G55*12.5%</f>
        <v>50598.333333333328</v>
      </c>
      <c r="I55" s="1061">
        <f t="shared" ref="I55:I68" si="10">+G55*15.51%</f>
        <v>62782.411999999989</v>
      </c>
      <c r="J55" s="1356">
        <f t="shared" ref="J55:J68" si="11">SUM(H55:I55)</f>
        <v>113380.74533333333</v>
      </c>
      <c r="K55" s="1370"/>
      <c r="L55" s="1316">
        <v>38384</v>
      </c>
      <c r="M55" s="1316">
        <v>44255</v>
      </c>
      <c r="N55" s="1315">
        <v>693000</v>
      </c>
      <c r="O55" s="1088"/>
      <c r="P55" s="1088"/>
      <c r="Q55" s="1088"/>
      <c r="R55" s="1088"/>
      <c r="S55" s="1088"/>
      <c r="T55" s="1088"/>
    </row>
    <row r="56" spans="2:20" hidden="1">
      <c r="B56" s="741"/>
      <c r="C56" s="800">
        <v>39157</v>
      </c>
      <c r="D56" s="800">
        <v>39187</v>
      </c>
      <c r="E56" s="741">
        <f>_xlfn.DAYS(D56,C56)+1</f>
        <v>31</v>
      </c>
      <c r="F56" s="1068">
        <v>693000</v>
      </c>
      <c r="G56" s="1355">
        <f>+((433700/30)*E56)</f>
        <v>448156.66666666663</v>
      </c>
      <c r="H56" s="1061">
        <f t="shared" si="9"/>
        <v>56019.583333333328</v>
      </c>
      <c r="I56" s="1061">
        <f t="shared" si="10"/>
        <v>69509.098999999987</v>
      </c>
      <c r="J56" s="1356">
        <f t="shared" si="11"/>
        <v>125528.68233333332</v>
      </c>
      <c r="K56" s="1370"/>
      <c r="L56" s="1316">
        <v>44256</v>
      </c>
      <c r="M56" s="1316">
        <v>44286</v>
      </c>
      <c r="N56" s="1315">
        <v>693000</v>
      </c>
      <c r="O56" s="1088"/>
      <c r="P56" s="1088"/>
      <c r="Q56" s="1088"/>
      <c r="R56" s="1088"/>
      <c r="S56" s="1088"/>
      <c r="T56" s="1088"/>
    </row>
    <row r="57" spans="2:20" ht="13.5" hidden="1" thickBot="1">
      <c r="B57" s="741"/>
      <c r="C57" s="800"/>
      <c r="D57" s="805" t="s">
        <v>719</v>
      </c>
      <c r="E57" s="1380">
        <f>SUM(E54:E56)+1</f>
        <v>91</v>
      </c>
      <c r="F57" s="1068"/>
      <c r="G57" s="1355"/>
      <c r="H57" s="1061"/>
      <c r="I57" s="1061"/>
      <c r="J57" s="1356"/>
      <c r="K57" s="1370"/>
      <c r="L57" s="1316">
        <v>50131</v>
      </c>
      <c r="M57" s="1316">
        <v>44301</v>
      </c>
      <c r="N57" s="1315">
        <v>693000</v>
      </c>
      <c r="O57" s="1088"/>
      <c r="P57" s="1088"/>
      <c r="Q57" s="1088"/>
      <c r="R57" s="1088"/>
      <c r="S57" s="1088"/>
      <c r="T57" s="1088"/>
    </row>
    <row r="58" spans="2:20" hidden="1">
      <c r="B58" s="741"/>
      <c r="C58" s="800">
        <v>39189</v>
      </c>
      <c r="D58" s="804">
        <v>39218</v>
      </c>
      <c r="E58" s="1043">
        <f>_xlfn.DAYS(D58,C58)+1</f>
        <v>30</v>
      </c>
      <c r="F58" s="1068">
        <v>700000</v>
      </c>
      <c r="G58" s="1355">
        <f>+((433700/30)*E58)</f>
        <v>433700</v>
      </c>
      <c r="H58" s="1061">
        <f t="shared" si="9"/>
        <v>54212.5</v>
      </c>
      <c r="I58" s="1061">
        <f t="shared" si="10"/>
        <v>67266.87</v>
      </c>
      <c r="J58" s="1356">
        <f t="shared" si="11"/>
        <v>121479.37</v>
      </c>
      <c r="K58" s="1370"/>
      <c r="L58" s="1316">
        <v>39189</v>
      </c>
      <c r="M58" s="1316">
        <v>39202</v>
      </c>
      <c r="N58" s="1315">
        <v>700000</v>
      </c>
      <c r="O58" s="1088"/>
      <c r="P58" s="1088"/>
      <c r="Q58" s="1088"/>
      <c r="R58" s="1088"/>
      <c r="S58" s="1088"/>
      <c r="T58" s="1088"/>
    </row>
    <row r="59" spans="2:20" hidden="1">
      <c r="B59" s="741"/>
      <c r="C59" s="800">
        <v>39219</v>
      </c>
      <c r="D59" s="800">
        <v>39249</v>
      </c>
      <c r="E59" s="741">
        <f>_xlfn.DAYS(D59,C59)+1</f>
        <v>31</v>
      </c>
      <c r="F59" s="1068">
        <v>700000</v>
      </c>
      <c r="G59" s="1355">
        <f>+((433700/30)*E59)</f>
        <v>448156.66666666663</v>
      </c>
      <c r="H59" s="1061">
        <f t="shared" si="9"/>
        <v>56019.583333333328</v>
      </c>
      <c r="I59" s="1061">
        <f t="shared" si="10"/>
        <v>69509.098999999987</v>
      </c>
      <c r="J59" s="1356">
        <f t="shared" si="11"/>
        <v>125528.68233333332</v>
      </c>
      <c r="K59" s="1370"/>
      <c r="L59" s="1316">
        <v>56005</v>
      </c>
      <c r="M59" s="1316">
        <v>44347</v>
      </c>
      <c r="N59" s="1315">
        <v>700000</v>
      </c>
      <c r="O59" s="1061"/>
      <c r="P59" s="1061"/>
      <c r="Q59" s="1061"/>
      <c r="R59" s="1061"/>
      <c r="S59" s="1061"/>
      <c r="T59" s="1061"/>
    </row>
    <row r="60" spans="2:20" hidden="1">
      <c r="B60" s="741"/>
      <c r="C60" s="800">
        <v>39252</v>
      </c>
      <c r="D60" s="800">
        <v>39281</v>
      </c>
      <c r="E60" s="741">
        <f>_xlfn.DAYS(D60,C60)+1</f>
        <v>30</v>
      </c>
      <c r="F60" s="1068">
        <v>700000</v>
      </c>
      <c r="G60" s="1355">
        <f>+((433700/30)*E60)</f>
        <v>433700</v>
      </c>
      <c r="H60" s="1061">
        <f t="shared" si="9"/>
        <v>54212.5</v>
      </c>
      <c r="I60" s="1061">
        <f t="shared" si="10"/>
        <v>67266.87</v>
      </c>
      <c r="J60" s="1356">
        <f t="shared" si="11"/>
        <v>121479.37</v>
      </c>
      <c r="K60" s="1370"/>
      <c r="L60" s="1316">
        <v>61880</v>
      </c>
      <c r="M60" s="1316">
        <v>44377</v>
      </c>
      <c r="N60" s="1315">
        <v>700000</v>
      </c>
      <c r="O60" s="741"/>
      <c r="P60" s="741"/>
      <c r="Q60" s="741"/>
      <c r="R60" s="741"/>
      <c r="S60" s="741"/>
      <c r="T60" s="741"/>
    </row>
    <row r="61" spans="2:20" ht="13.5" hidden="1" thickBot="1">
      <c r="B61" s="741"/>
      <c r="C61" s="800"/>
      <c r="D61" s="805" t="s">
        <v>719</v>
      </c>
      <c r="E61" s="1380">
        <f>SUM(E58:E60)+1</f>
        <v>92</v>
      </c>
      <c r="F61" s="1068"/>
      <c r="G61" s="1355"/>
      <c r="H61" s="1061"/>
      <c r="I61" s="1061"/>
      <c r="J61" s="1356"/>
      <c r="K61" s="1370"/>
      <c r="L61" s="1316">
        <v>67763</v>
      </c>
      <c r="M61" s="1316">
        <v>44408</v>
      </c>
      <c r="N61" s="1315">
        <v>700000</v>
      </c>
      <c r="O61" s="741"/>
      <c r="P61" s="741"/>
      <c r="Q61" s="741"/>
      <c r="R61" s="741"/>
      <c r="S61" s="741"/>
      <c r="T61" s="741"/>
    </row>
    <row r="62" spans="2:20" ht="12" hidden="1" customHeight="1" thickTop="1">
      <c r="B62" s="741"/>
      <c r="C62" s="800">
        <v>39282</v>
      </c>
      <c r="D62" s="804">
        <v>39297</v>
      </c>
      <c r="E62" s="1043">
        <f>_xlfn.DAYS(D62,C62)+1</f>
        <v>16</v>
      </c>
      <c r="F62" s="1068">
        <v>350000</v>
      </c>
      <c r="G62" s="1355">
        <f>+((F62/30)*E62)</f>
        <v>186666.66666666666</v>
      </c>
      <c r="H62" s="1061">
        <f t="shared" si="9"/>
        <v>23333.333333333332</v>
      </c>
      <c r="I62" s="1061">
        <f t="shared" si="10"/>
        <v>28951.999999999996</v>
      </c>
      <c r="J62" s="1356">
        <f t="shared" si="11"/>
        <v>52285.333333333328</v>
      </c>
      <c r="K62" s="1370"/>
      <c r="L62" s="1316">
        <v>73628</v>
      </c>
      <c r="M62" s="1316">
        <v>44439</v>
      </c>
      <c r="N62" s="1315">
        <v>700000</v>
      </c>
      <c r="O62" s="741"/>
      <c r="P62" s="741"/>
      <c r="Q62" s="741"/>
      <c r="R62" s="741"/>
      <c r="S62" s="741"/>
      <c r="T62" s="741"/>
    </row>
    <row r="63" spans="2:20" ht="12" hidden="1" customHeight="1">
      <c r="B63" s="741"/>
      <c r="C63" s="800"/>
      <c r="D63" s="800"/>
      <c r="E63" s="741"/>
      <c r="F63" s="1068"/>
      <c r="G63" s="1355"/>
      <c r="H63" s="1061"/>
      <c r="I63" s="1061"/>
      <c r="J63" s="1356"/>
      <c r="K63" s="1370"/>
      <c r="L63" s="1316">
        <v>79506</v>
      </c>
      <c r="M63" s="1316">
        <v>44469</v>
      </c>
      <c r="N63" s="1315">
        <v>700000</v>
      </c>
      <c r="O63" s="741"/>
      <c r="P63" s="741"/>
      <c r="Q63" s="741"/>
      <c r="R63" s="741"/>
      <c r="S63" s="741"/>
      <c r="T63" s="741"/>
    </row>
    <row r="64" spans="2:20" hidden="1">
      <c r="B64" s="741"/>
      <c r="C64" s="800">
        <v>39298</v>
      </c>
      <c r="D64" s="800">
        <v>39328</v>
      </c>
      <c r="E64" s="741">
        <f>_xlfn.DAYS(D64,C64)+1</f>
        <v>31</v>
      </c>
      <c r="F64" s="1068">
        <v>700000</v>
      </c>
      <c r="G64" s="1355">
        <f>+((433700/30)*E64)</f>
        <v>448156.66666666663</v>
      </c>
      <c r="H64" s="1061">
        <f t="shared" si="9"/>
        <v>56019.583333333328</v>
      </c>
      <c r="I64" s="1061">
        <f t="shared" si="10"/>
        <v>69509.098999999987</v>
      </c>
      <c r="J64" s="1356">
        <f t="shared" si="11"/>
        <v>125528.68233333332</v>
      </c>
      <c r="K64" s="1370"/>
      <c r="L64" s="1316">
        <v>85381</v>
      </c>
      <c r="M64" s="1316">
        <v>44500</v>
      </c>
      <c r="N64" s="1315">
        <v>700000</v>
      </c>
      <c r="O64" s="741"/>
      <c r="P64" s="741"/>
      <c r="Q64" s="741"/>
      <c r="R64" s="741"/>
      <c r="S64" s="741"/>
      <c r="T64" s="741"/>
    </row>
    <row r="65" spans="2:20" hidden="1">
      <c r="B65" s="741"/>
      <c r="C65" s="800">
        <v>39329</v>
      </c>
      <c r="D65" s="800">
        <v>39358</v>
      </c>
      <c r="E65" s="741">
        <f>_xlfn.DAYS(D65,C65)+1</f>
        <v>30</v>
      </c>
      <c r="F65" s="1068">
        <v>700000</v>
      </c>
      <c r="G65" s="1355">
        <f>+((433700/30)*E65)</f>
        <v>433700</v>
      </c>
      <c r="H65" s="1061">
        <f t="shared" si="9"/>
        <v>54212.5</v>
      </c>
      <c r="I65" s="1061">
        <f t="shared" si="10"/>
        <v>67266.87</v>
      </c>
      <c r="J65" s="1356">
        <f t="shared" si="11"/>
        <v>121479.37</v>
      </c>
      <c r="K65" s="1370"/>
      <c r="L65" s="1316">
        <v>91252</v>
      </c>
      <c r="M65" s="1316">
        <v>44530</v>
      </c>
      <c r="N65" s="1315">
        <v>700000</v>
      </c>
      <c r="O65" s="741"/>
      <c r="P65" s="741"/>
      <c r="Q65" s="741"/>
      <c r="R65" s="741"/>
      <c r="S65" s="741"/>
      <c r="T65" s="741"/>
    </row>
    <row r="66" spans="2:20" hidden="1">
      <c r="B66" s="741"/>
      <c r="C66" s="800">
        <v>39359</v>
      </c>
      <c r="D66" s="800">
        <v>39389</v>
      </c>
      <c r="E66" s="741">
        <f>_xlfn.DAYS(D66,C66)+1</f>
        <v>31</v>
      </c>
      <c r="F66" s="1068">
        <v>700000</v>
      </c>
      <c r="G66" s="1355">
        <f>+((433700/30)*E66)</f>
        <v>448156.66666666663</v>
      </c>
      <c r="H66" s="1061">
        <f t="shared" si="9"/>
        <v>56019.583333333328</v>
      </c>
      <c r="I66" s="1061">
        <f t="shared" si="10"/>
        <v>69509.098999999987</v>
      </c>
      <c r="J66" s="1356">
        <f t="shared" si="11"/>
        <v>125528.68233333332</v>
      </c>
      <c r="K66" s="1370"/>
      <c r="L66" s="1316">
        <v>97126</v>
      </c>
      <c r="M66" s="1316">
        <v>44561</v>
      </c>
      <c r="N66" s="1315">
        <v>700000</v>
      </c>
      <c r="O66" s="741"/>
      <c r="P66" s="741"/>
      <c r="Q66" s="741"/>
      <c r="R66" s="741"/>
      <c r="S66" s="741"/>
      <c r="T66" s="741"/>
    </row>
    <row r="67" spans="2:20" hidden="1">
      <c r="B67" s="741"/>
      <c r="C67" s="800">
        <v>39390</v>
      </c>
      <c r="D67" s="800">
        <v>39419</v>
      </c>
      <c r="E67" s="741">
        <f>_xlfn.DAYS(D67,C67)+1</f>
        <v>30</v>
      </c>
      <c r="F67" s="1068">
        <v>700000</v>
      </c>
      <c r="G67" s="1355">
        <f>+((433700/30)*E67)</f>
        <v>433700</v>
      </c>
      <c r="H67" s="1061">
        <f t="shared" si="9"/>
        <v>54212.5</v>
      </c>
      <c r="I67" s="1061">
        <f t="shared" si="10"/>
        <v>67266.87</v>
      </c>
      <c r="J67" s="1356">
        <f t="shared" si="11"/>
        <v>121479.37</v>
      </c>
      <c r="K67" s="1370"/>
    </row>
    <row r="68" spans="2:20" hidden="1">
      <c r="B68" s="741"/>
      <c r="C68" s="800">
        <v>39420</v>
      </c>
      <c r="D68" s="800">
        <v>39447</v>
      </c>
      <c r="E68" s="741">
        <f>_xlfn.DAYS(D68,C68)+1</f>
        <v>28</v>
      </c>
      <c r="F68" s="1068">
        <v>700000</v>
      </c>
      <c r="G68" s="1355">
        <f>+((433700/30)*E68)</f>
        <v>404786.66666666663</v>
      </c>
      <c r="H68" s="1061">
        <f t="shared" si="9"/>
        <v>50598.333333333328</v>
      </c>
      <c r="I68" s="1061">
        <f t="shared" si="10"/>
        <v>62782.411999999989</v>
      </c>
      <c r="J68" s="1356">
        <f t="shared" si="11"/>
        <v>113380.74533333333</v>
      </c>
      <c r="K68" s="1370"/>
      <c r="L68" s="1370"/>
      <c r="M68" s="1370"/>
      <c r="N68" s="1370"/>
    </row>
    <row r="69" spans="2:20" ht="13.5" hidden="1" thickBot="1">
      <c r="B69" s="1132"/>
      <c r="C69" s="802"/>
      <c r="D69" s="806" t="s">
        <v>719</v>
      </c>
      <c r="E69" s="1381">
        <f>SUM(E64:E68)+1</f>
        <v>151</v>
      </c>
      <c r="F69" s="1362">
        <f>AVERAGE(F64,F68,F66,F67,F65,F62,F60,F59,F58,F56,F55,F54)</f>
        <v>669083.33333333337</v>
      </c>
      <c r="G69" s="1355"/>
      <c r="H69" s="1061"/>
      <c r="I69" s="1061"/>
      <c r="J69" s="1356"/>
      <c r="K69" s="1370"/>
      <c r="L69" s="1370"/>
      <c r="M69" s="1370"/>
      <c r="N69" s="1370"/>
    </row>
    <row r="70" spans="2:20" hidden="1">
      <c r="B70" s="2604" t="str">
        <f>+B42</f>
        <v>Relacion Laboral</v>
      </c>
      <c r="C70" s="2681"/>
      <c r="D70" s="2683"/>
      <c r="E70" s="2683"/>
      <c r="F70" s="2605"/>
      <c r="G70" s="1355"/>
      <c r="H70" s="1061"/>
      <c r="I70" s="1061"/>
      <c r="J70" s="1356"/>
      <c r="K70" s="1370"/>
    </row>
    <row r="71" spans="2:20" hidden="1">
      <c r="B71" s="741"/>
      <c r="C71" s="800">
        <v>39098</v>
      </c>
      <c r="D71" s="800">
        <v>39128</v>
      </c>
      <c r="E71" s="741">
        <f t="shared" ref="E71:E82" si="12">_xlfn.DAYS(D71,C71)+1</f>
        <v>31</v>
      </c>
      <c r="F71" s="1068">
        <v>693000</v>
      </c>
      <c r="G71" s="1355">
        <f>+F71</f>
        <v>693000</v>
      </c>
      <c r="H71" s="1061">
        <f>+F71*12.5%</f>
        <v>86625</v>
      </c>
      <c r="I71" s="1061">
        <f>+F71*15.51%</f>
        <v>107484.29999999999</v>
      </c>
      <c r="J71" s="1356">
        <f>SUM(H71:I71)</f>
        <v>194109.3</v>
      </c>
      <c r="K71" s="1370"/>
    </row>
    <row r="72" spans="2:20" hidden="1">
      <c r="B72" s="741"/>
      <c r="C72" s="800">
        <v>39129</v>
      </c>
      <c r="D72" s="800">
        <v>39156</v>
      </c>
      <c r="E72" s="741">
        <f t="shared" si="12"/>
        <v>28</v>
      </c>
      <c r="F72" s="1068">
        <v>693000</v>
      </c>
      <c r="G72" s="1355">
        <f t="shared" ref="G72:G82" si="13">+F72</f>
        <v>693000</v>
      </c>
      <c r="H72" s="1061">
        <f t="shared" ref="H72:H82" si="14">+F72*12.5%</f>
        <v>86625</v>
      </c>
      <c r="I72" s="1061">
        <f t="shared" ref="I72:I82" si="15">+F72*15.51%</f>
        <v>107484.29999999999</v>
      </c>
      <c r="J72" s="1356">
        <f t="shared" ref="J72:J82" si="16">SUM(H72:I72)</f>
        <v>194109.3</v>
      </c>
      <c r="K72" s="1370"/>
    </row>
    <row r="73" spans="2:20" hidden="1">
      <c r="B73" s="741"/>
      <c r="C73" s="800">
        <v>39157</v>
      </c>
      <c r="D73" s="800">
        <v>39187</v>
      </c>
      <c r="E73" s="741">
        <f t="shared" si="12"/>
        <v>31</v>
      </c>
      <c r="F73" s="1068">
        <v>693000</v>
      </c>
      <c r="G73" s="1355">
        <f t="shared" si="13"/>
        <v>693000</v>
      </c>
      <c r="H73" s="1061">
        <f t="shared" si="14"/>
        <v>86625</v>
      </c>
      <c r="I73" s="1061">
        <f t="shared" si="15"/>
        <v>107484.29999999999</v>
      </c>
      <c r="J73" s="1356">
        <f t="shared" si="16"/>
        <v>194109.3</v>
      </c>
      <c r="K73" s="1370"/>
    </row>
    <row r="74" spans="2:20" hidden="1">
      <c r="B74" s="741"/>
      <c r="C74" s="800">
        <v>39189</v>
      </c>
      <c r="D74" s="800">
        <v>39218</v>
      </c>
      <c r="E74" s="741">
        <f t="shared" si="12"/>
        <v>30</v>
      </c>
      <c r="F74" s="1068">
        <v>700000</v>
      </c>
      <c r="G74" s="1355">
        <f t="shared" si="13"/>
        <v>700000</v>
      </c>
      <c r="H74" s="1061">
        <f t="shared" si="14"/>
        <v>87500</v>
      </c>
      <c r="I74" s="1061">
        <f t="shared" si="15"/>
        <v>108569.99999999999</v>
      </c>
      <c r="J74" s="1356">
        <f t="shared" si="16"/>
        <v>196070</v>
      </c>
      <c r="K74" s="1370"/>
    </row>
    <row r="75" spans="2:20" hidden="1">
      <c r="B75" s="741"/>
      <c r="C75" s="800">
        <v>39219</v>
      </c>
      <c r="D75" s="800">
        <v>39249</v>
      </c>
      <c r="E75" s="741">
        <f t="shared" si="12"/>
        <v>31</v>
      </c>
      <c r="F75" s="1068">
        <v>700000</v>
      </c>
      <c r="G75" s="1355">
        <f t="shared" si="13"/>
        <v>700000</v>
      </c>
      <c r="H75" s="1061">
        <f t="shared" si="14"/>
        <v>87500</v>
      </c>
      <c r="I75" s="1061">
        <f t="shared" si="15"/>
        <v>108569.99999999999</v>
      </c>
      <c r="J75" s="1356">
        <f t="shared" si="16"/>
        <v>196070</v>
      </c>
      <c r="K75" s="1370"/>
    </row>
    <row r="76" spans="2:20" hidden="1">
      <c r="B76" s="741"/>
      <c r="C76" s="800">
        <v>39252</v>
      </c>
      <c r="D76" s="800">
        <v>39281</v>
      </c>
      <c r="E76" s="741">
        <f t="shared" si="12"/>
        <v>30</v>
      </c>
      <c r="F76" s="1068">
        <v>700000</v>
      </c>
      <c r="G76" s="1355">
        <f t="shared" si="13"/>
        <v>700000</v>
      </c>
      <c r="H76" s="1061">
        <f t="shared" si="14"/>
        <v>87500</v>
      </c>
      <c r="I76" s="1061">
        <f t="shared" si="15"/>
        <v>108569.99999999999</v>
      </c>
      <c r="J76" s="1356">
        <f t="shared" si="16"/>
        <v>196070</v>
      </c>
      <c r="K76" s="1370"/>
    </row>
    <row r="77" spans="2:20" hidden="1">
      <c r="B77" s="741"/>
      <c r="C77" s="800">
        <v>39282</v>
      </c>
      <c r="D77" s="800">
        <v>39297</v>
      </c>
      <c r="E77" s="741">
        <f t="shared" si="12"/>
        <v>16</v>
      </c>
      <c r="F77" s="1068">
        <v>350000</v>
      </c>
      <c r="G77" s="1355">
        <f t="shared" si="13"/>
        <v>350000</v>
      </c>
      <c r="H77" s="1061">
        <f t="shared" si="14"/>
        <v>43750</v>
      </c>
      <c r="I77" s="1061">
        <f t="shared" si="15"/>
        <v>54284.999999999993</v>
      </c>
      <c r="J77" s="1356">
        <f t="shared" si="16"/>
        <v>98035</v>
      </c>
      <c r="K77" s="1370"/>
    </row>
    <row r="78" spans="2:20" hidden="1">
      <c r="B78" s="741"/>
      <c r="C78" s="800">
        <v>39298</v>
      </c>
      <c r="D78" s="800">
        <v>39328</v>
      </c>
      <c r="E78" s="741">
        <f t="shared" si="12"/>
        <v>31</v>
      </c>
      <c r="F78" s="1068">
        <v>700000</v>
      </c>
      <c r="G78" s="1355">
        <f t="shared" si="13"/>
        <v>700000</v>
      </c>
      <c r="H78" s="1061">
        <f t="shared" si="14"/>
        <v>87500</v>
      </c>
      <c r="I78" s="1061">
        <f t="shared" si="15"/>
        <v>108569.99999999999</v>
      </c>
      <c r="J78" s="1356">
        <f t="shared" si="16"/>
        <v>196070</v>
      </c>
      <c r="K78" s="1370"/>
      <c r="L78" s="1378"/>
      <c r="M78" s="2680" t="s">
        <v>724</v>
      </c>
      <c r="N78" s="2680"/>
      <c r="O78" s="2680"/>
      <c r="P78" s="2680"/>
      <c r="Q78" s="2680"/>
      <c r="R78" s="2680"/>
      <c r="S78" s="2680"/>
      <c r="T78" s="2680"/>
    </row>
    <row r="79" spans="2:20" hidden="1">
      <c r="B79" s="741"/>
      <c r="C79" s="800">
        <v>39329</v>
      </c>
      <c r="D79" s="800">
        <v>39358</v>
      </c>
      <c r="E79" s="741">
        <f t="shared" si="12"/>
        <v>30</v>
      </c>
      <c r="F79" s="1068">
        <v>700000</v>
      </c>
      <c r="G79" s="1355">
        <f t="shared" si="13"/>
        <v>700000</v>
      </c>
      <c r="H79" s="1061">
        <f t="shared" si="14"/>
        <v>87500</v>
      </c>
      <c r="I79" s="1061">
        <f t="shared" si="15"/>
        <v>108569.99999999999</v>
      </c>
      <c r="J79" s="1356">
        <f t="shared" si="16"/>
        <v>196070</v>
      </c>
      <c r="K79" s="1370"/>
      <c r="L79" s="1093" t="s">
        <v>494</v>
      </c>
      <c r="M79" s="1093" t="s">
        <v>712</v>
      </c>
      <c r="N79" s="1093" t="s">
        <v>713</v>
      </c>
      <c r="O79" s="1093" t="s">
        <v>78</v>
      </c>
      <c r="P79" s="1093" t="s">
        <v>79</v>
      </c>
      <c r="Q79" s="1093" t="s">
        <v>186</v>
      </c>
      <c r="R79" s="1093" t="s">
        <v>187</v>
      </c>
      <c r="S79" s="1093" t="s">
        <v>82</v>
      </c>
      <c r="T79" s="1093" t="s">
        <v>83</v>
      </c>
    </row>
    <row r="80" spans="2:20" hidden="1">
      <c r="B80" s="741"/>
      <c r="C80" s="800">
        <v>39359</v>
      </c>
      <c r="D80" s="800">
        <v>39389</v>
      </c>
      <c r="E80" s="741">
        <f t="shared" si="12"/>
        <v>31</v>
      </c>
      <c r="F80" s="1068">
        <v>700000</v>
      </c>
      <c r="G80" s="1355">
        <f t="shared" si="13"/>
        <v>700000</v>
      </c>
      <c r="H80" s="1061">
        <f t="shared" si="14"/>
        <v>87500</v>
      </c>
      <c r="I80" s="1061">
        <f t="shared" si="15"/>
        <v>108569.99999999999</v>
      </c>
      <c r="J80" s="1356">
        <f t="shared" si="16"/>
        <v>196070</v>
      </c>
      <c r="K80" s="1370"/>
      <c r="L80" s="1316">
        <v>39468</v>
      </c>
      <c r="M80" s="1316">
        <v>39478</v>
      </c>
      <c r="N80" s="1315">
        <v>739830</v>
      </c>
      <c r="O80" s="1088"/>
      <c r="P80" s="1088"/>
      <c r="Q80" s="1088"/>
      <c r="R80" s="1088"/>
      <c r="S80" s="1088"/>
      <c r="T80" s="1088"/>
    </row>
    <row r="81" spans="2:20" hidden="1">
      <c r="B81" s="741"/>
      <c r="C81" s="800">
        <v>39390</v>
      </c>
      <c r="D81" s="800">
        <v>39419</v>
      </c>
      <c r="E81" s="741">
        <f t="shared" si="12"/>
        <v>30</v>
      </c>
      <c r="F81" s="1068">
        <v>700000</v>
      </c>
      <c r="G81" s="1355">
        <f t="shared" si="13"/>
        <v>700000</v>
      </c>
      <c r="H81" s="1061">
        <f t="shared" si="14"/>
        <v>87500</v>
      </c>
      <c r="I81" s="1061">
        <f t="shared" si="15"/>
        <v>108569.99999999999</v>
      </c>
      <c r="J81" s="1356">
        <f t="shared" si="16"/>
        <v>196070</v>
      </c>
      <c r="K81" s="1370"/>
      <c r="L81" s="1316">
        <v>39479</v>
      </c>
      <c r="M81" s="1316">
        <v>39506</v>
      </c>
      <c r="N81" s="1315">
        <v>739830</v>
      </c>
      <c r="O81" s="1088"/>
      <c r="P81" s="1088"/>
      <c r="Q81" s="1088"/>
      <c r="R81" s="1088"/>
      <c r="S81" s="1088"/>
      <c r="T81" s="1088"/>
    </row>
    <row r="82" spans="2:20" hidden="1">
      <c r="B82" s="741"/>
      <c r="C82" s="800">
        <v>39420</v>
      </c>
      <c r="D82" s="800">
        <v>39447</v>
      </c>
      <c r="E82" s="741">
        <f t="shared" si="12"/>
        <v>28</v>
      </c>
      <c r="F82" s="1068">
        <v>700000</v>
      </c>
      <c r="G82" s="1355">
        <f t="shared" si="13"/>
        <v>700000</v>
      </c>
      <c r="H82" s="1061">
        <f t="shared" si="14"/>
        <v>87500</v>
      </c>
      <c r="I82" s="1061">
        <f t="shared" si="15"/>
        <v>108569.99999999999</v>
      </c>
      <c r="J82" s="1356">
        <f t="shared" si="16"/>
        <v>196070</v>
      </c>
      <c r="K82" s="1372"/>
      <c r="L82" s="1316">
        <v>39508</v>
      </c>
      <c r="M82" s="1316">
        <v>39538</v>
      </c>
      <c r="N82" s="1315">
        <v>739830</v>
      </c>
      <c r="O82" s="1088"/>
      <c r="P82" s="1088"/>
      <c r="Q82" s="1088"/>
      <c r="R82" s="1088"/>
      <c r="S82" s="1088"/>
      <c r="T82" s="1088"/>
    </row>
    <row r="83" spans="2:20" hidden="1">
      <c r="B83" s="741"/>
      <c r="C83" s="800"/>
      <c r="D83" s="800"/>
      <c r="E83" s="741"/>
      <c r="F83" s="2689" t="s">
        <v>716</v>
      </c>
      <c r="G83" s="2690"/>
      <c r="H83" s="2690"/>
      <c r="I83" s="2691"/>
      <c r="J83" s="1366">
        <f>SUM(J71:J82)- SUM(J54:J68)</f>
        <v>856315.18433333351</v>
      </c>
      <c r="K83" s="1370"/>
      <c r="L83" s="1316">
        <v>39539</v>
      </c>
      <c r="M83" s="1316">
        <v>39568</v>
      </c>
      <c r="N83" s="1315">
        <v>739830</v>
      </c>
      <c r="O83" s="1088"/>
      <c r="P83" s="1088"/>
      <c r="Q83" s="1088"/>
      <c r="R83" s="1088"/>
      <c r="S83" s="1088"/>
      <c r="T83" s="1088"/>
    </row>
    <row r="84" spans="2:20" hidden="1">
      <c r="B84" s="2604" t="s">
        <v>64</v>
      </c>
      <c r="C84" s="2681"/>
      <c r="D84" s="2681"/>
      <c r="E84" s="2681"/>
      <c r="F84" s="2605"/>
      <c r="G84" s="1061"/>
      <c r="H84" s="1061"/>
      <c r="I84" s="1061"/>
      <c r="J84" s="858"/>
      <c r="K84" s="1370"/>
      <c r="L84" s="1316">
        <v>39569</v>
      </c>
      <c r="M84" s="1316">
        <v>39588</v>
      </c>
      <c r="N84" s="1315">
        <v>739830</v>
      </c>
      <c r="O84" s="1088"/>
      <c r="P84" s="1088"/>
      <c r="Q84" s="1088"/>
      <c r="R84" s="1088"/>
      <c r="S84" s="1088"/>
      <c r="T84" s="1088"/>
    </row>
    <row r="85" spans="2:20" ht="15" hidden="1" customHeight="1">
      <c r="B85" s="1379" t="s">
        <v>725</v>
      </c>
      <c r="C85" s="807">
        <v>39468</v>
      </c>
      <c r="D85" s="807">
        <v>39498</v>
      </c>
      <c r="E85" s="1145">
        <f>_xlfn.DAYS(D85,C85)+1</f>
        <v>31</v>
      </c>
      <c r="F85" s="1068">
        <v>739830</v>
      </c>
      <c r="G85" s="1068">
        <f>+((461500/30)*E85)</f>
        <v>476883.33333333337</v>
      </c>
      <c r="H85" s="1068">
        <f>+G85*12.5%</f>
        <v>59610.416666666672</v>
      </c>
      <c r="I85" s="1068">
        <f>+G85*16%</f>
        <v>76301.333333333343</v>
      </c>
      <c r="J85" s="1382">
        <f>SUM(H85:I85)</f>
        <v>135911.75</v>
      </c>
      <c r="K85" s="1370"/>
      <c r="L85" s="1316">
        <v>39590</v>
      </c>
      <c r="M85" s="1316">
        <v>39599</v>
      </c>
      <c r="N85" s="1315">
        <v>1000000</v>
      </c>
      <c r="O85" s="1061"/>
      <c r="P85" s="1061"/>
      <c r="Q85" s="1061"/>
      <c r="R85" s="1061"/>
      <c r="S85" s="1061"/>
      <c r="T85" s="1061"/>
    </row>
    <row r="86" spans="2:20" ht="14.25" hidden="1" customHeight="1">
      <c r="B86" s="741"/>
      <c r="C86" s="807">
        <v>39499</v>
      </c>
      <c r="D86" s="807">
        <v>39527</v>
      </c>
      <c r="E86" s="1145">
        <f>_xlfn.DAYS(D86,C86)+1</f>
        <v>29</v>
      </c>
      <c r="F86" s="1068">
        <v>739830</v>
      </c>
      <c r="G86" s="1068">
        <f>+((461500/30)*E86)</f>
        <v>446116.66666666669</v>
      </c>
      <c r="H86" s="1068">
        <f t="shared" ref="H86:H98" si="17">+G86*12.5%</f>
        <v>55764.583333333336</v>
      </c>
      <c r="I86" s="1068">
        <f t="shared" ref="I86:I98" si="18">+G86*16%</f>
        <v>71378.666666666672</v>
      </c>
      <c r="J86" s="1382">
        <f t="shared" ref="J86:J98" si="19">SUM(H86:I86)</f>
        <v>127143.25</v>
      </c>
      <c r="K86" s="1370"/>
      <c r="L86" s="1316">
        <v>39600</v>
      </c>
      <c r="M86" s="1316">
        <v>44377</v>
      </c>
      <c r="N86" s="1315">
        <v>1000000</v>
      </c>
      <c r="O86" s="741"/>
      <c r="P86" s="741"/>
      <c r="Q86" s="741"/>
      <c r="R86" s="741"/>
      <c r="S86" s="741"/>
      <c r="T86" s="741"/>
    </row>
    <row r="87" spans="2:20" hidden="1">
      <c r="B87" s="741"/>
      <c r="C87" s="807">
        <v>39528</v>
      </c>
      <c r="D87" s="807">
        <v>39558</v>
      </c>
      <c r="E87" s="1145">
        <f>_xlfn.DAYS(D87,C87)+1</f>
        <v>31</v>
      </c>
      <c r="F87" s="1068">
        <v>739830</v>
      </c>
      <c r="G87" s="1068">
        <f>+((461500/30)*E87)</f>
        <v>476883.33333333337</v>
      </c>
      <c r="H87" s="1068">
        <f t="shared" si="17"/>
        <v>59610.416666666672</v>
      </c>
      <c r="I87" s="1068">
        <f t="shared" si="18"/>
        <v>76301.333333333343</v>
      </c>
      <c r="J87" s="1382">
        <f t="shared" si="19"/>
        <v>135911.75</v>
      </c>
      <c r="K87" s="1370"/>
      <c r="L87" s="1316">
        <v>39630</v>
      </c>
      <c r="M87" s="1316">
        <v>44408</v>
      </c>
      <c r="N87" s="1315">
        <v>1000000</v>
      </c>
      <c r="O87" s="741"/>
      <c r="P87" s="741"/>
      <c r="Q87" s="741"/>
      <c r="R87" s="741"/>
      <c r="S87" s="741"/>
      <c r="T87" s="741"/>
    </row>
    <row r="88" spans="2:20" hidden="1">
      <c r="B88" s="741"/>
      <c r="C88" s="807">
        <v>39559</v>
      </c>
      <c r="D88" s="807">
        <v>39588</v>
      </c>
      <c r="E88" s="1145">
        <f>_xlfn.DAYS(D88,C88)+1</f>
        <v>30</v>
      </c>
      <c r="F88" s="1068">
        <v>739830</v>
      </c>
      <c r="G88" s="1068">
        <f>+((461500/30)*E88)</f>
        <v>461500</v>
      </c>
      <c r="H88" s="1068">
        <f t="shared" si="17"/>
        <v>57687.5</v>
      </c>
      <c r="I88" s="1068">
        <f t="shared" si="18"/>
        <v>73840</v>
      </c>
      <c r="J88" s="1382">
        <f t="shared" si="19"/>
        <v>131527.5</v>
      </c>
      <c r="K88" s="1370"/>
      <c r="L88" s="1316">
        <v>39661</v>
      </c>
      <c r="M88" s="1316">
        <v>44439</v>
      </c>
      <c r="N88" s="1315">
        <v>1000000</v>
      </c>
      <c r="O88" s="741"/>
      <c r="P88" s="741"/>
      <c r="Q88" s="741"/>
      <c r="R88" s="741"/>
      <c r="S88" s="741"/>
      <c r="T88" s="741"/>
    </row>
    <row r="89" spans="2:20" ht="13.5" hidden="1" thickBot="1">
      <c r="B89" s="741"/>
      <c r="C89" s="2702" t="s">
        <v>719</v>
      </c>
      <c r="D89" s="2702"/>
      <c r="E89" s="1383">
        <f>+SUM(E85:E88)+1</f>
        <v>122</v>
      </c>
      <c r="F89" s="1068"/>
      <c r="G89" s="1068"/>
      <c r="H89" s="1068"/>
      <c r="I89" s="1068"/>
      <c r="J89" s="1382"/>
      <c r="K89" s="1370"/>
      <c r="L89" s="1316">
        <v>39692</v>
      </c>
      <c r="M89" s="1316">
        <v>44469</v>
      </c>
      <c r="N89" s="1315">
        <v>1000000</v>
      </c>
      <c r="O89" s="741"/>
      <c r="P89" s="741"/>
      <c r="Q89" s="741"/>
      <c r="R89" s="741"/>
      <c r="S89" s="741"/>
      <c r="T89" s="741"/>
    </row>
    <row r="90" spans="2:20" hidden="1">
      <c r="B90" s="741"/>
      <c r="C90" s="807">
        <v>39590</v>
      </c>
      <c r="D90" s="807">
        <v>39620</v>
      </c>
      <c r="E90" s="1145">
        <f t="shared" ref="E90:E96" si="20">_xlfn.DAYS(D90,C90)+1</f>
        <v>31</v>
      </c>
      <c r="F90" s="1068">
        <v>1000000</v>
      </c>
      <c r="G90" s="1068">
        <f>+((461500/30)*E90)</f>
        <v>476883.33333333337</v>
      </c>
      <c r="H90" s="1068">
        <f t="shared" si="17"/>
        <v>59610.416666666672</v>
      </c>
      <c r="I90" s="1068">
        <f t="shared" si="18"/>
        <v>76301.333333333343</v>
      </c>
      <c r="J90" s="1382">
        <f t="shared" si="19"/>
        <v>135911.75</v>
      </c>
      <c r="K90" s="1370"/>
      <c r="L90" s="1316">
        <v>39722</v>
      </c>
      <c r="M90" s="1316">
        <v>44500</v>
      </c>
      <c r="N90" s="1315">
        <v>1000000</v>
      </c>
      <c r="O90" s="741"/>
      <c r="P90" s="741"/>
      <c r="Q90" s="741"/>
      <c r="R90" s="741"/>
      <c r="S90" s="741"/>
      <c r="T90" s="741"/>
    </row>
    <row r="91" spans="2:20" hidden="1">
      <c r="B91" s="741"/>
      <c r="C91" s="807">
        <v>39621</v>
      </c>
      <c r="D91" s="807">
        <v>39650</v>
      </c>
      <c r="E91" s="1145">
        <f t="shared" si="20"/>
        <v>30</v>
      </c>
      <c r="F91" s="1068">
        <v>1000000</v>
      </c>
      <c r="G91" s="1068">
        <f t="shared" ref="G91:G96" si="21">+((461500/30)*E91)</f>
        <v>461500</v>
      </c>
      <c r="H91" s="1068">
        <f t="shared" si="17"/>
        <v>57687.5</v>
      </c>
      <c r="I91" s="1068">
        <f t="shared" si="18"/>
        <v>73840</v>
      </c>
      <c r="J91" s="1382">
        <f t="shared" si="19"/>
        <v>131527.5</v>
      </c>
      <c r="K91" s="1370"/>
      <c r="L91" s="1316">
        <v>39753</v>
      </c>
      <c r="M91" s="1316">
        <v>39782</v>
      </c>
      <c r="N91" s="1315">
        <v>1000000</v>
      </c>
      <c r="O91" s="741"/>
      <c r="P91" s="741"/>
      <c r="Q91" s="741"/>
      <c r="R91" s="741"/>
      <c r="S91" s="741"/>
      <c r="T91" s="741"/>
    </row>
    <row r="92" spans="2:20" hidden="1">
      <c r="B92" s="741"/>
      <c r="C92" s="807">
        <v>39651</v>
      </c>
      <c r="D92" s="807">
        <v>39681</v>
      </c>
      <c r="E92" s="1145">
        <f t="shared" si="20"/>
        <v>31</v>
      </c>
      <c r="F92" s="1068">
        <v>1000000</v>
      </c>
      <c r="G92" s="1068">
        <f t="shared" si="21"/>
        <v>476883.33333333337</v>
      </c>
      <c r="H92" s="1068">
        <f t="shared" si="17"/>
        <v>59610.416666666672</v>
      </c>
      <c r="I92" s="1068">
        <f t="shared" si="18"/>
        <v>76301.333333333343</v>
      </c>
      <c r="J92" s="1382">
        <f t="shared" si="19"/>
        <v>135911.75</v>
      </c>
      <c r="K92" s="1370"/>
      <c r="L92" s="1316">
        <v>39783</v>
      </c>
      <c r="M92" s="1316">
        <v>44551</v>
      </c>
      <c r="N92" s="1315">
        <v>1000000</v>
      </c>
      <c r="O92" s="1370"/>
      <c r="P92" s="1370"/>
      <c r="Q92" s="1370"/>
      <c r="R92" s="1370"/>
      <c r="S92" s="1370"/>
      <c r="T92" s="1370"/>
    </row>
    <row r="93" spans="2:20" hidden="1">
      <c r="B93" s="741"/>
      <c r="C93" s="807">
        <v>39682</v>
      </c>
      <c r="D93" s="807">
        <v>39712</v>
      </c>
      <c r="E93" s="1145">
        <f t="shared" si="20"/>
        <v>31</v>
      </c>
      <c r="F93" s="1068">
        <v>1000000</v>
      </c>
      <c r="G93" s="1068">
        <f t="shared" si="21"/>
        <v>476883.33333333337</v>
      </c>
      <c r="H93" s="1068">
        <f t="shared" si="17"/>
        <v>59610.416666666672</v>
      </c>
      <c r="I93" s="1068">
        <f t="shared" si="18"/>
        <v>76301.333333333343</v>
      </c>
      <c r="J93" s="1382">
        <f t="shared" si="19"/>
        <v>135911.75</v>
      </c>
      <c r="K93" s="1370"/>
      <c r="L93" s="1316">
        <v>39804</v>
      </c>
      <c r="M93" s="1316">
        <v>44561</v>
      </c>
      <c r="N93" s="1315">
        <v>333333</v>
      </c>
    </row>
    <row r="94" spans="2:20" hidden="1">
      <c r="B94" s="741"/>
      <c r="C94" s="807">
        <v>39713</v>
      </c>
      <c r="D94" s="807">
        <v>39742</v>
      </c>
      <c r="E94" s="1145">
        <f t="shared" si="20"/>
        <v>30</v>
      </c>
      <c r="F94" s="1068">
        <v>1000000</v>
      </c>
      <c r="G94" s="1068">
        <f t="shared" si="21"/>
        <v>461500</v>
      </c>
      <c r="H94" s="1068">
        <f t="shared" si="17"/>
        <v>57687.5</v>
      </c>
      <c r="I94" s="1068">
        <f t="shared" si="18"/>
        <v>73840</v>
      </c>
      <c r="J94" s="1382">
        <f t="shared" si="19"/>
        <v>131527.5</v>
      </c>
      <c r="K94" s="1370"/>
      <c r="L94" s="1370"/>
      <c r="M94" s="1370"/>
      <c r="N94" s="1370"/>
    </row>
    <row r="95" spans="2:20" hidden="1">
      <c r="B95" s="741"/>
      <c r="C95" s="807">
        <v>39743</v>
      </c>
      <c r="D95" s="807">
        <v>39773</v>
      </c>
      <c r="E95" s="1145">
        <f t="shared" si="20"/>
        <v>31</v>
      </c>
      <c r="F95" s="1068">
        <v>1000000</v>
      </c>
      <c r="G95" s="1068">
        <f t="shared" si="21"/>
        <v>476883.33333333337</v>
      </c>
      <c r="H95" s="1068">
        <f t="shared" si="17"/>
        <v>59610.416666666672</v>
      </c>
      <c r="I95" s="1068">
        <f t="shared" si="18"/>
        <v>76301.333333333343</v>
      </c>
      <c r="J95" s="1382">
        <f t="shared" si="19"/>
        <v>135911.75</v>
      </c>
      <c r="K95" s="1370"/>
      <c r="L95" s="1370"/>
      <c r="M95" s="1370"/>
      <c r="N95" s="1370"/>
    </row>
    <row r="96" spans="2:20" hidden="1">
      <c r="B96" s="741"/>
      <c r="C96" s="807">
        <v>39774</v>
      </c>
      <c r="D96" s="807">
        <v>39803</v>
      </c>
      <c r="E96" s="1145">
        <f t="shared" si="20"/>
        <v>30</v>
      </c>
      <c r="F96" s="1068">
        <v>1000000</v>
      </c>
      <c r="G96" s="1068">
        <f t="shared" si="21"/>
        <v>461500</v>
      </c>
      <c r="H96" s="1068">
        <f t="shared" si="17"/>
        <v>57687.5</v>
      </c>
      <c r="I96" s="1068">
        <f t="shared" si="18"/>
        <v>73840</v>
      </c>
      <c r="J96" s="1382">
        <f t="shared" si="19"/>
        <v>131527.5</v>
      </c>
      <c r="K96" s="1370"/>
      <c r="L96" s="1370"/>
      <c r="M96" s="1370"/>
      <c r="N96" s="1370"/>
    </row>
    <row r="97" spans="2:14" ht="13.5" hidden="1" thickBot="1">
      <c r="B97" s="741"/>
      <c r="C97" s="2702" t="s">
        <v>719</v>
      </c>
      <c r="D97" s="2702"/>
      <c r="E97" s="1383">
        <f>+SUM(E90:E96)+1</f>
        <v>215</v>
      </c>
      <c r="F97" s="1068"/>
      <c r="G97" s="1068"/>
      <c r="H97" s="1068"/>
      <c r="I97" s="1068"/>
      <c r="J97" s="1382"/>
      <c r="K97" s="1370"/>
      <c r="L97" s="1370"/>
      <c r="M97" s="1370"/>
      <c r="N97" s="1370"/>
    </row>
    <row r="98" spans="2:14" hidden="1">
      <c r="B98" s="741"/>
      <c r="C98" s="807">
        <v>39804</v>
      </c>
      <c r="D98" s="807">
        <v>39813</v>
      </c>
      <c r="E98" s="1145">
        <f>_xlfn.DAYS(D98,C98)+1</f>
        <v>10</v>
      </c>
      <c r="F98" s="1068">
        <v>333333</v>
      </c>
      <c r="G98" s="1068">
        <f>+((F98/30)*E98)</f>
        <v>111111</v>
      </c>
      <c r="H98" s="1068">
        <f t="shared" si="17"/>
        <v>13888.875</v>
      </c>
      <c r="I98" s="1068">
        <f t="shared" si="18"/>
        <v>17777.760000000002</v>
      </c>
      <c r="J98" s="1382">
        <f t="shared" si="19"/>
        <v>31666.635000000002</v>
      </c>
      <c r="K98" s="1370"/>
      <c r="L98" s="1370"/>
      <c r="M98" s="1370"/>
      <c r="N98" s="1370"/>
    </row>
    <row r="99" spans="2:14" hidden="1">
      <c r="B99" s="1132"/>
      <c r="C99" s="911"/>
      <c r="D99" s="911"/>
      <c r="E99" s="911"/>
      <c r="F99" s="1362">
        <f>AVERAGE(F94,F98,F93,F96,F95,F92,F90,F91,F88,F86,F87,F85)</f>
        <v>857721.08333333337</v>
      </c>
      <c r="G99" s="1068"/>
      <c r="H99" s="1068"/>
      <c r="I99" s="1068"/>
      <c r="J99" s="1382"/>
      <c r="K99" s="1370"/>
      <c r="L99" s="1370"/>
      <c r="M99" s="1370"/>
      <c r="N99" s="1370"/>
    </row>
    <row r="100" spans="2:14" hidden="1">
      <c r="B100" s="2604" t="str">
        <f>+B25</f>
        <v>Relacion Laboral</v>
      </c>
      <c r="C100" s="2681"/>
      <c r="D100" s="2681"/>
      <c r="E100" s="2681"/>
      <c r="F100" s="2605"/>
      <c r="G100" s="1061"/>
      <c r="H100" s="1061"/>
      <c r="I100" s="1061"/>
      <c r="J100" s="858"/>
      <c r="K100" s="1370"/>
      <c r="L100" s="1370"/>
      <c r="M100" s="1370"/>
      <c r="N100" s="1370"/>
    </row>
    <row r="101" spans="2:14" hidden="1">
      <c r="B101" s="1368"/>
      <c r="C101" s="800">
        <v>39468</v>
      </c>
      <c r="D101" s="800">
        <v>39498</v>
      </c>
      <c r="E101" s="741">
        <f t="shared" ref="E101:E112" si="22">_xlfn.DAYS(D101,C101)+1</f>
        <v>31</v>
      </c>
      <c r="F101" s="1068">
        <v>739830</v>
      </c>
      <c r="G101" s="1061">
        <f>+F101</f>
        <v>739830</v>
      </c>
      <c r="H101" s="1061">
        <f>+G101*12.5%</f>
        <v>92478.75</v>
      </c>
      <c r="I101" s="1061">
        <f>+G101*16%</f>
        <v>118372.8</v>
      </c>
      <c r="J101" s="1356">
        <f t="shared" ref="J101:J112" si="23">SUM(H101:I101)</f>
        <v>210851.55</v>
      </c>
      <c r="K101" s="1370"/>
      <c r="L101" s="1370"/>
      <c r="M101" s="1370"/>
      <c r="N101" s="1370"/>
    </row>
    <row r="102" spans="2:14" hidden="1">
      <c r="B102" s="1368"/>
      <c r="C102" s="800">
        <v>39499</v>
      </c>
      <c r="D102" s="800">
        <v>39527</v>
      </c>
      <c r="E102" s="741">
        <f t="shared" si="22"/>
        <v>29</v>
      </c>
      <c r="F102" s="1068">
        <v>739830</v>
      </c>
      <c r="G102" s="1061">
        <f t="shared" ref="G102:G112" si="24">+F102</f>
        <v>739830</v>
      </c>
      <c r="H102" s="1061">
        <f t="shared" ref="H102:H112" si="25">+G102*12.5%</f>
        <v>92478.75</v>
      </c>
      <c r="I102" s="1061">
        <f t="shared" ref="I102:I112" si="26">+G102*16%</f>
        <v>118372.8</v>
      </c>
      <c r="J102" s="1356">
        <f t="shared" si="23"/>
        <v>210851.55</v>
      </c>
      <c r="K102" s="1370"/>
      <c r="L102" s="1370"/>
      <c r="M102" s="1370"/>
      <c r="N102" s="1370"/>
    </row>
    <row r="103" spans="2:14" hidden="1">
      <c r="B103" s="1368"/>
      <c r="C103" s="800">
        <v>39528</v>
      </c>
      <c r="D103" s="800">
        <v>39558</v>
      </c>
      <c r="E103" s="741">
        <f t="shared" si="22"/>
        <v>31</v>
      </c>
      <c r="F103" s="1068">
        <v>739830</v>
      </c>
      <c r="G103" s="1061">
        <f t="shared" si="24"/>
        <v>739830</v>
      </c>
      <c r="H103" s="1061">
        <f t="shared" si="25"/>
        <v>92478.75</v>
      </c>
      <c r="I103" s="1061">
        <f t="shared" si="26"/>
        <v>118372.8</v>
      </c>
      <c r="J103" s="1356">
        <f t="shared" si="23"/>
        <v>210851.55</v>
      </c>
      <c r="K103" s="1370"/>
      <c r="L103" s="1370"/>
      <c r="M103" s="1370"/>
      <c r="N103" s="1370"/>
    </row>
    <row r="104" spans="2:14" hidden="1">
      <c r="B104" s="1368"/>
      <c r="C104" s="800">
        <v>39559</v>
      </c>
      <c r="D104" s="800">
        <v>39588</v>
      </c>
      <c r="E104" s="741">
        <f t="shared" si="22"/>
        <v>30</v>
      </c>
      <c r="F104" s="1068">
        <v>739830</v>
      </c>
      <c r="G104" s="1061">
        <f t="shared" si="24"/>
        <v>739830</v>
      </c>
      <c r="H104" s="1061">
        <f t="shared" si="25"/>
        <v>92478.75</v>
      </c>
      <c r="I104" s="1061">
        <f t="shared" si="26"/>
        <v>118372.8</v>
      </c>
      <c r="J104" s="1356">
        <f t="shared" si="23"/>
        <v>210851.55</v>
      </c>
      <c r="K104" s="1370"/>
      <c r="L104" s="1370"/>
      <c r="M104" s="1370"/>
      <c r="N104" s="1370"/>
    </row>
    <row r="105" spans="2:14" hidden="1">
      <c r="B105" s="1368"/>
      <c r="C105" s="800">
        <v>39590</v>
      </c>
      <c r="D105" s="800">
        <v>39620</v>
      </c>
      <c r="E105" s="741">
        <f t="shared" si="22"/>
        <v>31</v>
      </c>
      <c r="F105" s="1068">
        <v>1000000</v>
      </c>
      <c r="G105" s="1061">
        <f t="shared" si="24"/>
        <v>1000000</v>
      </c>
      <c r="H105" s="1061">
        <f t="shared" si="25"/>
        <v>125000</v>
      </c>
      <c r="I105" s="1061">
        <f t="shared" si="26"/>
        <v>160000</v>
      </c>
      <c r="J105" s="1356">
        <f t="shared" si="23"/>
        <v>285000</v>
      </c>
      <c r="K105" s="1370"/>
      <c r="L105" s="1370"/>
      <c r="M105" s="1370"/>
      <c r="N105" s="1370"/>
    </row>
    <row r="106" spans="2:14" hidden="1">
      <c r="B106" s="1368"/>
      <c r="C106" s="800">
        <v>39621</v>
      </c>
      <c r="D106" s="800">
        <v>39650</v>
      </c>
      <c r="E106" s="741">
        <f t="shared" si="22"/>
        <v>30</v>
      </c>
      <c r="F106" s="1068">
        <v>1000000</v>
      </c>
      <c r="G106" s="1061">
        <f t="shared" si="24"/>
        <v>1000000</v>
      </c>
      <c r="H106" s="1061">
        <f t="shared" si="25"/>
        <v>125000</v>
      </c>
      <c r="I106" s="1061">
        <f t="shared" si="26"/>
        <v>160000</v>
      </c>
      <c r="J106" s="1356">
        <f t="shared" si="23"/>
        <v>285000</v>
      </c>
      <c r="K106" s="1370"/>
      <c r="L106" s="1370"/>
      <c r="M106" s="1370"/>
      <c r="N106" s="1370"/>
    </row>
    <row r="107" spans="2:14" hidden="1">
      <c r="B107" s="1368"/>
      <c r="C107" s="800">
        <v>39651</v>
      </c>
      <c r="D107" s="800">
        <v>39681</v>
      </c>
      <c r="E107" s="741">
        <f t="shared" si="22"/>
        <v>31</v>
      </c>
      <c r="F107" s="1068">
        <v>1000000</v>
      </c>
      <c r="G107" s="1061">
        <f t="shared" si="24"/>
        <v>1000000</v>
      </c>
      <c r="H107" s="1061">
        <f t="shared" si="25"/>
        <v>125000</v>
      </c>
      <c r="I107" s="1061">
        <f t="shared" si="26"/>
        <v>160000</v>
      </c>
      <c r="J107" s="1356">
        <f t="shared" si="23"/>
        <v>285000</v>
      </c>
      <c r="K107" s="1370"/>
      <c r="L107" s="1370"/>
      <c r="M107" s="1370"/>
      <c r="N107" s="1370"/>
    </row>
    <row r="108" spans="2:14" hidden="1">
      <c r="B108" s="1368"/>
      <c r="C108" s="800">
        <v>39682</v>
      </c>
      <c r="D108" s="800">
        <v>39712</v>
      </c>
      <c r="E108" s="741">
        <f t="shared" si="22"/>
        <v>31</v>
      </c>
      <c r="F108" s="1068">
        <v>1000000</v>
      </c>
      <c r="G108" s="1061">
        <f t="shared" si="24"/>
        <v>1000000</v>
      </c>
      <c r="H108" s="1061">
        <f t="shared" si="25"/>
        <v>125000</v>
      </c>
      <c r="I108" s="1061">
        <f t="shared" si="26"/>
        <v>160000</v>
      </c>
      <c r="J108" s="1356">
        <f t="shared" si="23"/>
        <v>285000</v>
      </c>
      <c r="K108" s="1370"/>
      <c r="L108" s="1370"/>
      <c r="M108" s="1370"/>
      <c r="N108" s="1370"/>
    </row>
    <row r="109" spans="2:14" hidden="1">
      <c r="B109" s="1368"/>
      <c r="C109" s="800">
        <v>39713</v>
      </c>
      <c r="D109" s="800">
        <v>39742</v>
      </c>
      <c r="E109" s="741">
        <f t="shared" si="22"/>
        <v>30</v>
      </c>
      <c r="F109" s="1068">
        <v>1000000</v>
      </c>
      <c r="G109" s="1061">
        <f t="shared" si="24"/>
        <v>1000000</v>
      </c>
      <c r="H109" s="1061">
        <f t="shared" si="25"/>
        <v>125000</v>
      </c>
      <c r="I109" s="1061">
        <f t="shared" si="26"/>
        <v>160000</v>
      </c>
      <c r="J109" s="1356">
        <f t="shared" si="23"/>
        <v>285000</v>
      </c>
      <c r="K109" s="1370"/>
      <c r="L109" s="1370"/>
    </row>
    <row r="110" spans="2:14" hidden="1">
      <c r="B110" s="1368"/>
      <c r="C110" s="800">
        <v>39743</v>
      </c>
      <c r="D110" s="800">
        <v>39773</v>
      </c>
      <c r="E110" s="741">
        <f t="shared" si="22"/>
        <v>31</v>
      </c>
      <c r="F110" s="1068">
        <v>1000000</v>
      </c>
      <c r="G110" s="1061">
        <f t="shared" si="24"/>
        <v>1000000</v>
      </c>
      <c r="H110" s="1061">
        <f t="shared" si="25"/>
        <v>125000</v>
      </c>
      <c r="I110" s="1061">
        <f t="shared" si="26"/>
        <v>160000</v>
      </c>
      <c r="J110" s="1356">
        <f t="shared" si="23"/>
        <v>285000</v>
      </c>
      <c r="K110" s="1370"/>
      <c r="L110" s="1370"/>
    </row>
    <row r="111" spans="2:14" hidden="1">
      <c r="B111" s="1368"/>
      <c r="C111" s="800">
        <v>39774</v>
      </c>
      <c r="D111" s="800">
        <v>39803</v>
      </c>
      <c r="E111" s="741">
        <f t="shared" si="22"/>
        <v>30</v>
      </c>
      <c r="F111" s="1068">
        <v>1000000</v>
      </c>
      <c r="G111" s="1061">
        <f t="shared" si="24"/>
        <v>1000000</v>
      </c>
      <c r="H111" s="1061">
        <f t="shared" si="25"/>
        <v>125000</v>
      </c>
      <c r="I111" s="1061">
        <f t="shared" si="26"/>
        <v>160000</v>
      </c>
      <c r="J111" s="1356">
        <f t="shared" si="23"/>
        <v>285000</v>
      </c>
      <c r="K111" s="1370"/>
      <c r="L111" s="1370"/>
    </row>
    <row r="112" spans="2:14" hidden="1">
      <c r="B112" s="1368"/>
      <c r="C112" s="800">
        <v>39804</v>
      </c>
      <c r="D112" s="800">
        <v>39813</v>
      </c>
      <c r="E112" s="741">
        <f t="shared" si="22"/>
        <v>10</v>
      </c>
      <c r="F112" s="1068">
        <v>333333</v>
      </c>
      <c r="G112" s="1061">
        <f t="shared" si="24"/>
        <v>333333</v>
      </c>
      <c r="H112" s="1061">
        <f t="shared" si="25"/>
        <v>41666.625</v>
      </c>
      <c r="I112" s="1061">
        <f t="shared" si="26"/>
        <v>53333.279999999999</v>
      </c>
      <c r="J112" s="1356">
        <f t="shared" si="23"/>
        <v>94999.904999999999</v>
      </c>
      <c r="K112" s="1372"/>
      <c r="L112" s="1372"/>
    </row>
    <row r="113" spans="2:20" hidden="1">
      <c r="B113" s="1368"/>
      <c r="C113" s="2694"/>
      <c r="D113" s="2694"/>
      <c r="E113" s="1361"/>
      <c r="F113" s="2689" t="s">
        <v>716</v>
      </c>
      <c r="G113" s="2690"/>
      <c r="H113" s="2690"/>
      <c r="I113" s="2691"/>
      <c r="J113" s="1366">
        <f>SUM(J101:J112)- SUM(J85:J98)</f>
        <v>1433015.72</v>
      </c>
      <c r="K113" s="1370"/>
      <c r="L113" s="1370"/>
    </row>
    <row r="114" spans="2:20" hidden="1">
      <c r="B114" s="2696" t="s">
        <v>64</v>
      </c>
      <c r="C114" s="2697"/>
      <c r="D114" s="2698"/>
      <c r="E114" s="1384"/>
      <c r="F114" s="1068"/>
      <c r="G114" s="1068"/>
      <c r="H114" s="1068"/>
      <c r="I114" s="1068"/>
      <c r="J114" s="1385"/>
      <c r="K114" s="1370"/>
      <c r="L114" s="1370"/>
    </row>
    <row r="115" spans="2:20" hidden="1">
      <c r="B115" s="1386" t="s">
        <v>726</v>
      </c>
      <c r="C115" s="807">
        <v>39819</v>
      </c>
      <c r="D115" s="807">
        <v>40178</v>
      </c>
      <c r="E115" s="1145">
        <f>_xlfn.DAYS(D115,C115)+1</f>
        <v>360</v>
      </c>
      <c r="F115" s="1357">
        <f>9000000/6</f>
        <v>1500000</v>
      </c>
      <c r="G115" s="1068">
        <f>+F115*40%*12</f>
        <v>7200000</v>
      </c>
      <c r="H115" s="1068">
        <f>+G115*12.5%</f>
        <v>900000</v>
      </c>
      <c r="I115" s="1068">
        <f>+G115*16%</f>
        <v>1152000</v>
      </c>
      <c r="J115" s="1382">
        <f>SUM(H115:I115)</f>
        <v>2052000</v>
      </c>
      <c r="L115" s="2631" t="s">
        <v>727</v>
      </c>
      <c r="M115" s="2632"/>
      <c r="N115" s="2632"/>
      <c r="O115" s="2632"/>
      <c r="P115" s="2632"/>
      <c r="Q115" s="2632"/>
      <c r="R115" s="2632"/>
      <c r="S115" s="2632"/>
      <c r="T115" s="2633"/>
    </row>
    <row r="116" spans="2:20" hidden="1">
      <c r="B116" s="2699" t="str">
        <f>+B25</f>
        <v>Relacion Laboral</v>
      </c>
      <c r="C116" s="2700"/>
      <c r="D116" s="2700"/>
      <c r="E116" s="2700"/>
      <c r="F116" s="2701"/>
      <c r="G116" s="1068"/>
      <c r="H116" s="1068"/>
      <c r="I116" s="1068"/>
      <c r="J116" s="1385"/>
      <c r="L116" s="1093" t="s">
        <v>494</v>
      </c>
      <c r="M116" s="1093" t="s">
        <v>712</v>
      </c>
      <c r="N116" s="1093" t="s">
        <v>713</v>
      </c>
      <c r="O116" s="1093" t="s">
        <v>78</v>
      </c>
      <c r="P116" s="1093" t="s">
        <v>79</v>
      </c>
      <c r="Q116" s="1093" t="s">
        <v>186</v>
      </c>
      <c r="R116" s="1093" t="s">
        <v>187</v>
      </c>
      <c r="S116" s="1093" t="s">
        <v>82</v>
      </c>
      <c r="T116" s="1093" t="s">
        <v>83</v>
      </c>
    </row>
    <row r="117" spans="2:20" hidden="1">
      <c r="B117" s="1387"/>
      <c r="C117" s="807">
        <v>39819</v>
      </c>
      <c r="D117" s="807">
        <v>40178</v>
      </c>
      <c r="E117" s="1145">
        <f>_xlfn.DAYS(D117,C117)+1</f>
        <v>360</v>
      </c>
      <c r="F117" s="1068">
        <f>9000000/6</f>
        <v>1500000</v>
      </c>
      <c r="G117" s="1068">
        <f>+F117*12</f>
        <v>18000000</v>
      </c>
      <c r="H117" s="1068">
        <f>+G117*12.5%</f>
        <v>2250000</v>
      </c>
      <c r="I117" s="1068">
        <f>+G117*16%</f>
        <v>2880000</v>
      </c>
      <c r="J117" s="1382">
        <f>SUM(H117:I117)</f>
        <v>5130000</v>
      </c>
      <c r="K117" s="1388"/>
      <c r="L117" s="1316">
        <v>39819</v>
      </c>
      <c r="M117" s="1316">
        <v>39844</v>
      </c>
      <c r="N117" s="1315">
        <f>9000000/6</f>
        <v>1500000</v>
      </c>
      <c r="O117" s="1088"/>
      <c r="P117" s="1088"/>
      <c r="Q117" s="1088"/>
      <c r="R117" s="1088"/>
      <c r="S117" s="1088"/>
      <c r="T117" s="1088"/>
    </row>
    <row r="118" spans="2:20" hidden="1">
      <c r="B118" s="2692"/>
      <c r="C118" s="2683"/>
      <c r="D118" s="2693"/>
      <c r="E118" s="1389"/>
      <c r="F118" s="2689" t="s">
        <v>716</v>
      </c>
      <c r="G118" s="2690"/>
      <c r="H118" s="2690"/>
      <c r="I118" s="2691"/>
      <c r="J118" s="1366">
        <f>SUM(J117)- SUM(J115)</f>
        <v>3078000</v>
      </c>
      <c r="L118" s="1316">
        <v>39845</v>
      </c>
      <c r="M118" s="1316">
        <v>39872</v>
      </c>
      <c r="N118" s="1315">
        <f t="shared" ref="N118:N128" si="27">9000000/6</f>
        <v>1500000</v>
      </c>
      <c r="O118" s="1088"/>
      <c r="P118" s="1088"/>
      <c r="Q118" s="1088"/>
      <c r="R118" s="1088"/>
      <c r="S118" s="1088"/>
      <c r="T118" s="1088"/>
    </row>
    <row r="119" spans="2:20" hidden="1">
      <c r="B119" s="2692" t="s">
        <v>64</v>
      </c>
      <c r="C119" s="2683"/>
      <c r="D119" s="2693"/>
      <c r="E119" s="1389"/>
      <c r="F119" s="1390"/>
      <c r="G119" s="1391"/>
      <c r="H119" s="1391"/>
      <c r="I119" s="1392"/>
      <c r="J119" s="1366"/>
      <c r="L119" s="1316">
        <v>39873</v>
      </c>
      <c r="M119" s="1316">
        <v>39903</v>
      </c>
      <c r="N119" s="1315">
        <f t="shared" si="27"/>
        <v>1500000</v>
      </c>
      <c r="O119" s="1088"/>
      <c r="P119" s="1088"/>
      <c r="Q119" s="1088"/>
      <c r="R119" s="1088"/>
      <c r="S119" s="1088"/>
      <c r="T119" s="1088"/>
    </row>
    <row r="120" spans="2:20" hidden="1">
      <c r="B120" s="1145" t="s">
        <v>728</v>
      </c>
      <c r="C120" s="800">
        <v>40199</v>
      </c>
      <c r="D120" s="800">
        <v>40224</v>
      </c>
      <c r="E120" s="741">
        <f t="shared" ref="E120:E131" si="28">_xlfn.DAYS(D120,C120)+1</f>
        <v>26</v>
      </c>
      <c r="F120" s="1068">
        <v>1500000</v>
      </c>
      <c r="G120" s="1061">
        <f>+F120*40%</f>
        <v>600000</v>
      </c>
      <c r="H120" s="1061">
        <f>+G120*12.5%</f>
        <v>75000</v>
      </c>
      <c r="I120" s="1061">
        <f>+G120*16%</f>
        <v>96000</v>
      </c>
      <c r="J120" s="1356">
        <f t="shared" ref="J120:J131" si="29">SUM(H120:I120)</f>
        <v>171000</v>
      </c>
      <c r="L120" s="1316">
        <v>39904</v>
      </c>
      <c r="M120" s="1316">
        <v>39933</v>
      </c>
      <c r="N120" s="1315">
        <f t="shared" si="27"/>
        <v>1500000</v>
      </c>
      <c r="O120" s="1088"/>
      <c r="P120" s="1088"/>
      <c r="Q120" s="1088"/>
      <c r="R120" s="1088"/>
      <c r="S120" s="1088"/>
      <c r="T120" s="1088"/>
    </row>
    <row r="121" spans="2:20" hidden="1">
      <c r="B121" s="741"/>
      <c r="C121" s="800">
        <v>40210</v>
      </c>
      <c r="D121" s="800">
        <v>40237</v>
      </c>
      <c r="E121" s="741">
        <f t="shared" si="28"/>
        <v>28</v>
      </c>
      <c r="F121" s="1068">
        <v>1500000</v>
      </c>
      <c r="G121" s="1061">
        <f t="shared" ref="G121:G131" si="30">+F121*40%</f>
        <v>600000</v>
      </c>
      <c r="H121" s="1061">
        <f t="shared" ref="H121:H131" si="31">+G121*12.5%</f>
        <v>75000</v>
      </c>
      <c r="I121" s="1061">
        <f t="shared" ref="I121:I131" si="32">+G121*16%</f>
        <v>96000</v>
      </c>
      <c r="J121" s="1356">
        <f t="shared" si="29"/>
        <v>171000</v>
      </c>
      <c r="L121" s="1316">
        <v>39934</v>
      </c>
      <c r="M121" s="1316">
        <v>39964</v>
      </c>
      <c r="N121" s="1315">
        <f t="shared" si="27"/>
        <v>1500000</v>
      </c>
      <c r="O121" s="1088"/>
      <c r="P121" s="1088"/>
      <c r="Q121" s="1088"/>
      <c r="R121" s="1088"/>
      <c r="S121" s="1088"/>
      <c r="T121" s="1088"/>
    </row>
    <row r="122" spans="2:20" hidden="1">
      <c r="B122" s="741"/>
      <c r="C122" s="800">
        <v>40238</v>
      </c>
      <c r="D122" s="800">
        <v>40268</v>
      </c>
      <c r="E122" s="741">
        <f t="shared" si="28"/>
        <v>31</v>
      </c>
      <c r="F122" s="1068">
        <v>1500000</v>
      </c>
      <c r="G122" s="1061">
        <f t="shared" si="30"/>
        <v>600000</v>
      </c>
      <c r="H122" s="1061">
        <f t="shared" si="31"/>
        <v>75000</v>
      </c>
      <c r="I122" s="1061">
        <f t="shared" si="32"/>
        <v>96000</v>
      </c>
      <c r="J122" s="1356">
        <f t="shared" si="29"/>
        <v>171000</v>
      </c>
      <c r="L122" s="1316">
        <v>39965</v>
      </c>
      <c r="M122" s="1316">
        <v>39994</v>
      </c>
      <c r="N122" s="1315">
        <f t="shared" si="27"/>
        <v>1500000</v>
      </c>
      <c r="O122" s="1061"/>
      <c r="P122" s="1061"/>
      <c r="Q122" s="1061"/>
      <c r="R122" s="1061"/>
      <c r="S122" s="1061"/>
      <c r="T122" s="1061"/>
    </row>
    <row r="123" spans="2:20" hidden="1">
      <c r="B123" s="741"/>
      <c r="C123" s="800">
        <v>40269</v>
      </c>
      <c r="D123" s="800">
        <v>40298</v>
      </c>
      <c r="E123" s="741">
        <f t="shared" si="28"/>
        <v>30</v>
      </c>
      <c r="F123" s="1068">
        <v>1500000</v>
      </c>
      <c r="G123" s="1061">
        <f t="shared" si="30"/>
        <v>600000</v>
      </c>
      <c r="H123" s="1061">
        <f t="shared" si="31"/>
        <v>75000</v>
      </c>
      <c r="I123" s="1061">
        <f t="shared" si="32"/>
        <v>96000</v>
      </c>
      <c r="J123" s="1356">
        <f t="shared" si="29"/>
        <v>171000</v>
      </c>
      <c r="L123" s="1316">
        <v>39995</v>
      </c>
      <c r="M123" s="1316">
        <v>40025</v>
      </c>
      <c r="N123" s="1315">
        <f t="shared" si="27"/>
        <v>1500000</v>
      </c>
      <c r="O123" s="741"/>
      <c r="P123" s="741"/>
      <c r="Q123" s="741"/>
      <c r="R123" s="741"/>
      <c r="S123" s="741"/>
      <c r="T123" s="741"/>
    </row>
    <row r="124" spans="2:20" hidden="1">
      <c r="B124" s="741"/>
      <c r="C124" s="800">
        <v>40299</v>
      </c>
      <c r="D124" s="800">
        <v>40329</v>
      </c>
      <c r="E124" s="741">
        <f t="shared" si="28"/>
        <v>31</v>
      </c>
      <c r="F124" s="1068">
        <v>1500000</v>
      </c>
      <c r="G124" s="1061">
        <f t="shared" si="30"/>
        <v>600000</v>
      </c>
      <c r="H124" s="1061">
        <f t="shared" si="31"/>
        <v>75000</v>
      </c>
      <c r="I124" s="1061">
        <f t="shared" si="32"/>
        <v>96000</v>
      </c>
      <c r="J124" s="1356">
        <f t="shared" si="29"/>
        <v>171000</v>
      </c>
      <c r="L124" s="1316">
        <v>40026</v>
      </c>
      <c r="M124" s="1316">
        <v>40056</v>
      </c>
      <c r="N124" s="1315">
        <f t="shared" si="27"/>
        <v>1500000</v>
      </c>
      <c r="O124" s="741"/>
      <c r="P124" s="741"/>
      <c r="Q124" s="741"/>
      <c r="R124" s="741"/>
      <c r="S124" s="741"/>
      <c r="T124" s="741"/>
    </row>
    <row r="125" spans="2:20" hidden="1">
      <c r="B125" s="741"/>
      <c r="C125" s="800">
        <v>40330</v>
      </c>
      <c r="D125" s="800">
        <v>40359</v>
      </c>
      <c r="E125" s="741">
        <f t="shared" si="28"/>
        <v>30</v>
      </c>
      <c r="F125" s="1068">
        <v>1500000</v>
      </c>
      <c r="G125" s="1061">
        <f t="shared" si="30"/>
        <v>600000</v>
      </c>
      <c r="H125" s="1061">
        <f t="shared" si="31"/>
        <v>75000</v>
      </c>
      <c r="I125" s="1061">
        <f t="shared" si="32"/>
        <v>96000</v>
      </c>
      <c r="J125" s="1356">
        <f t="shared" si="29"/>
        <v>171000</v>
      </c>
      <c r="L125" s="1316">
        <v>40057</v>
      </c>
      <c r="M125" s="1316">
        <v>40086</v>
      </c>
      <c r="N125" s="1315">
        <f t="shared" si="27"/>
        <v>1500000</v>
      </c>
      <c r="O125" s="741"/>
      <c r="P125" s="741"/>
      <c r="Q125" s="741"/>
      <c r="R125" s="741"/>
      <c r="S125" s="741"/>
      <c r="T125" s="741"/>
    </row>
    <row r="126" spans="2:20" hidden="1">
      <c r="B126" s="741"/>
      <c r="C126" s="800">
        <v>40360</v>
      </c>
      <c r="D126" s="800">
        <v>40390</v>
      </c>
      <c r="E126" s="741">
        <f t="shared" si="28"/>
        <v>31</v>
      </c>
      <c r="F126" s="1068">
        <v>1500000</v>
      </c>
      <c r="G126" s="1061">
        <f t="shared" si="30"/>
        <v>600000</v>
      </c>
      <c r="H126" s="1061">
        <f t="shared" si="31"/>
        <v>75000</v>
      </c>
      <c r="I126" s="1061">
        <f t="shared" si="32"/>
        <v>96000</v>
      </c>
      <c r="J126" s="1356">
        <f t="shared" si="29"/>
        <v>171000</v>
      </c>
      <c r="L126" s="1316">
        <v>40087</v>
      </c>
      <c r="M126" s="1316">
        <v>40117</v>
      </c>
      <c r="N126" s="1315">
        <f t="shared" si="27"/>
        <v>1500000</v>
      </c>
      <c r="O126" s="741"/>
      <c r="P126" s="741"/>
      <c r="Q126" s="741"/>
      <c r="R126" s="741"/>
      <c r="S126" s="741"/>
      <c r="T126" s="741"/>
    </row>
    <row r="127" spans="2:20" hidden="1">
      <c r="B127" s="741"/>
      <c r="C127" s="800">
        <v>40391</v>
      </c>
      <c r="D127" s="800">
        <v>40421</v>
      </c>
      <c r="E127" s="741">
        <f t="shared" si="28"/>
        <v>31</v>
      </c>
      <c r="F127" s="1068">
        <v>1500000</v>
      </c>
      <c r="G127" s="1061">
        <f t="shared" si="30"/>
        <v>600000</v>
      </c>
      <c r="H127" s="1061">
        <f t="shared" si="31"/>
        <v>75000</v>
      </c>
      <c r="I127" s="1061">
        <f t="shared" si="32"/>
        <v>96000</v>
      </c>
      <c r="J127" s="1356">
        <f t="shared" si="29"/>
        <v>171000</v>
      </c>
      <c r="L127" s="1316">
        <v>40118</v>
      </c>
      <c r="M127" s="1316">
        <v>40147</v>
      </c>
      <c r="N127" s="1315">
        <f t="shared" si="27"/>
        <v>1500000</v>
      </c>
      <c r="O127" s="741"/>
      <c r="P127" s="741"/>
      <c r="Q127" s="741"/>
      <c r="R127" s="741"/>
      <c r="S127" s="741"/>
      <c r="T127" s="741"/>
    </row>
    <row r="128" spans="2:20" hidden="1">
      <c r="B128" s="741"/>
      <c r="C128" s="800">
        <v>40422</v>
      </c>
      <c r="D128" s="800">
        <v>40451</v>
      </c>
      <c r="E128" s="741">
        <f t="shared" si="28"/>
        <v>30</v>
      </c>
      <c r="F128" s="1068">
        <v>1500000</v>
      </c>
      <c r="G128" s="1061">
        <f t="shared" si="30"/>
        <v>600000</v>
      </c>
      <c r="H128" s="1061">
        <f t="shared" si="31"/>
        <v>75000</v>
      </c>
      <c r="I128" s="1061">
        <f t="shared" si="32"/>
        <v>96000</v>
      </c>
      <c r="J128" s="1356">
        <f t="shared" si="29"/>
        <v>171000</v>
      </c>
      <c r="L128" s="1316">
        <v>40148</v>
      </c>
      <c r="M128" s="1316">
        <v>40178</v>
      </c>
      <c r="N128" s="1315">
        <f t="shared" si="27"/>
        <v>1500000</v>
      </c>
      <c r="O128" s="741"/>
      <c r="P128" s="741"/>
      <c r="Q128" s="741"/>
      <c r="R128" s="741"/>
      <c r="S128" s="741"/>
      <c r="T128" s="741"/>
    </row>
    <row r="129" spans="2:20" hidden="1">
      <c r="B129" s="741"/>
      <c r="C129" s="800">
        <v>40452</v>
      </c>
      <c r="D129" s="800">
        <v>40482</v>
      </c>
      <c r="E129" s="741">
        <f t="shared" si="28"/>
        <v>31</v>
      </c>
      <c r="F129" s="1068">
        <v>1500000</v>
      </c>
      <c r="G129" s="1061">
        <f t="shared" si="30"/>
        <v>600000</v>
      </c>
      <c r="H129" s="1061">
        <f t="shared" si="31"/>
        <v>75000</v>
      </c>
      <c r="I129" s="1061">
        <f t="shared" si="32"/>
        <v>96000</v>
      </c>
      <c r="J129" s="1356">
        <f t="shared" si="29"/>
        <v>171000</v>
      </c>
      <c r="M129" s="814"/>
      <c r="N129" s="814"/>
    </row>
    <row r="130" spans="2:20" hidden="1">
      <c r="B130" s="741"/>
      <c r="C130" s="800">
        <v>40483</v>
      </c>
      <c r="D130" s="800">
        <v>40512</v>
      </c>
      <c r="E130" s="741">
        <f t="shared" si="28"/>
        <v>30</v>
      </c>
      <c r="F130" s="1068">
        <v>1500000</v>
      </c>
      <c r="G130" s="1061">
        <f t="shared" si="30"/>
        <v>600000</v>
      </c>
      <c r="H130" s="1061">
        <f t="shared" si="31"/>
        <v>75000</v>
      </c>
      <c r="I130" s="1061">
        <f t="shared" si="32"/>
        <v>96000</v>
      </c>
      <c r="J130" s="1356">
        <f t="shared" si="29"/>
        <v>171000</v>
      </c>
      <c r="M130" s="814"/>
      <c r="N130" s="814"/>
    </row>
    <row r="131" spans="2:20" hidden="1">
      <c r="B131" s="741"/>
      <c r="C131" s="800">
        <v>40513</v>
      </c>
      <c r="D131" s="800">
        <v>40543</v>
      </c>
      <c r="E131" s="741">
        <f t="shared" si="28"/>
        <v>31</v>
      </c>
      <c r="F131" s="1068">
        <v>1500000</v>
      </c>
      <c r="G131" s="1061">
        <f t="shared" si="30"/>
        <v>600000</v>
      </c>
      <c r="H131" s="1061">
        <f t="shared" si="31"/>
        <v>75000</v>
      </c>
      <c r="I131" s="1061">
        <f t="shared" si="32"/>
        <v>96000</v>
      </c>
      <c r="J131" s="1356">
        <f t="shared" si="29"/>
        <v>171000</v>
      </c>
      <c r="M131" s="814"/>
      <c r="N131" s="814"/>
    </row>
    <row r="132" spans="2:20" hidden="1">
      <c r="B132" s="1132"/>
      <c r="C132" s="2694" t="s">
        <v>719</v>
      </c>
      <c r="D132" s="2694"/>
      <c r="E132" s="1361">
        <f>SUM(E120:E131)</f>
        <v>360</v>
      </c>
      <c r="F132" s="1363"/>
      <c r="G132" s="1061"/>
      <c r="H132" s="1061"/>
      <c r="I132" s="1061"/>
      <c r="J132" s="1356"/>
      <c r="L132" s="2631" t="s">
        <v>729</v>
      </c>
      <c r="M132" s="2632"/>
      <c r="N132" s="2632"/>
      <c r="O132" s="2632"/>
      <c r="P132" s="2632"/>
      <c r="Q132" s="2632"/>
      <c r="R132" s="2632"/>
      <c r="S132" s="2632"/>
      <c r="T132" s="2633"/>
    </row>
    <row r="133" spans="2:20" hidden="1">
      <c r="B133" s="2604" t="str">
        <f>+B14</f>
        <v>Relacion Laboral</v>
      </c>
      <c r="C133" s="2681"/>
      <c r="D133" s="2681"/>
      <c r="E133" s="2681"/>
      <c r="F133" s="2605"/>
      <c r="G133" s="1061"/>
      <c r="H133" s="1061"/>
      <c r="I133" s="1061"/>
      <c r="J133" s="858"/>
      <c r="L133" s="1093" t="s">
        <v>494</v>
      </c>
      <c r="M133" s="1093" t="s">
        <v>712</v>
      </c>
      <c r="N133" s="1093" t="s">
        <v>713</v>
      </c>
      <c r="O133" s="1093" t="s">
        <v>78</v>
      </c>
      <c r="P133" s="1093" t="s">
        <v>79</v>
      </c>
      <c r="Q133" s="1093" t="s">
        <v>186</v>
      </c>
      <c r="R133" s="1093" t="s">
        <v>187</v>
      </c>
      <c r="S133" s="1093" t="s">
        <v>82</v>
      </c>
      <c r="T133" s="1093" t="s">
        <v>83</v>
      </c>
    </row>
    <row r="134" spans="2:20" hidden="1">
      <c r="B134" s="1393"/>
      <c r="C134" s="800">
        <v>40199</v>
      </c>
      <c r="D134" s="800">
        <v>40224</v>
      </c>
      <c r="E134" s="741">
        <f t="shared" ref="E134:E145" si="33">_xlfn.DAYS(D134,C134)+1</f>
        <v>26</v>
      </c>
      <c r="F134" s="1068">
        <v>1500000</v>
      </c>
      <c r="G134" s="1061">
        <f>+F134</f>
        <v>1500000</v>
      </c>
      <c r="H134" s="1061">
        <f>+F134*12.5%</f>
        <v>187500</v>
      </c>
      <c r="I134" s="1061">
        <f>+F134*16%</f>
        <v>240000</v>
      </c>
      <c r="J134" s="1356">
        <f>SUM(H134:I134)</f>
        <v>427500</v>
      </c>
      <c r="L134" s="1316">
        <v>40199</v>
      </c>
      <c r="M134" s="1316">
        <v>40209</v>
      </c>
      <c r="N134" s="1315">
        <f>9000000/6</f>
        <v>1500000</v>
      </c>
      <c r="O134" s="1088"/>
      <c r="P134" s="1088"/>
      <c r="Q134" s="1088"/>
      <c r="R134" s="1088"/>
      <c r="S134" s="1088"/>
      <c r="T134" s="1088"/>
    </row>
    <row r="135" spans="2:20" hidden="1">
      <c r="B135" s="1393"/>
      <c r="C135" s="800">
        <v>40225</v>
      </c>
      <c r="D135" s="800">
        <v>40237</v>
      </c>
      <c r="E135" s="741">
        <f t="shared" si="33"/>
        <v>13</v>
      </c>
      <c r="F135" s="1068">
        <v>1500000</v>
      </c>
      <c r="G135" s="1061">
        <f t="shared" ref="G135:G145" si="34">+F135</f>
        <v>1500000</v>
      </c>
      <c r="H135" s="1061">
        <f t="shared" ref="H135:H145" si="35">+F135*12.5%</f>
        <v>187500</v>
      </c>
      <c r="I135" s="1061">
        <f t="shared" ref="I135:I145" si="36">+F135*16%</f>
        <v>240000</v>
      </c>
      <c r="J135" s="1356">
        <f t="shared" ref="J135:J145" si="37">SUM(H135:I135)</f>
        <v>427500</v>
      </c>
      <c r="L135" s="1316">
        <v>40210</v>
      </c>
      <c r="M135" s="1316">
        <v>40237</v>
      </c>
      <c r="N135" s="1315">
        <f t="shared" ref="N135:N145" si="38">9000000/6</f>
        <v>1500000</v>
      </c>
      <c r="O135" s="1088"/>
      <c r="P135" s="1088"/>
      <c r="Q135" s="1088"/>
      <c r="R135" s="1088"/>
      <c r="S135" s="1088"/>
      <c r="T135" s="1088"/>
    </row>
    <row r="136" spans="2:20" hidden="1">
      <c r="B136" s="1393"/>
      <c r="C136" s="800">
        <v>40238</v>
      </c>
      <c r="D136" s="800">
        <v>40268</v>
      </c>
      <c r="E136" s="741">
        <f t="shared" si="33"/>
        <v>31</v>
      </c>
      <c r="F136" s="1068">
        <v>1500000</v>
      </c>
      <c r="G136" s="1061">
        <f t="shared" si="34"/>
        <v>1500000</v>
      </c>
      <c r="H136" s="1061">
        <f t="shared" si="35"/>
        <v>187500</v>
      </c>
      <c r="I136" s="1061">
        <f t="shared" si="36"/>
        <v>240000</v>
      </c>
      <c r="J136" s="1356">
        <f t="shared" si="37"/>
        <v>427500</v>
      </c>
      <c r="L136" s="1316">
        <v>40238</v>
      </c>
      <c r="M136" s="1316">
        <v>40268</v>
      </c>
      <c r="N136" s="1315">
        <f t="shared" si="38"/>
        <v>1500000</v>
      </c>
      <c r="O136" s="1088"/>
      <c r="P136" s="1088"/>
      <c r="Q136" s="1088"/>
      <c r="R136" s="1088"/>
      <c r="S136" s="1088"/>
      <c r="T136" s="1088"/>
    </row>
    <row r="137" spans="2:20" hidden="1">
      <c r="B137" s="1393"/>
      <c r="C137" s="800">
        <v>40269</v>
      </c>
      <c r="D137" s="800">
        <v>40298</v>
      </c>
      <c r="E137" s="741">
        <f t="shared" si="33"/>
        <v>30</v>
      </c>
      <c r="F137" s="1068">
        <v>1500000</v>
      </c>
      <c r="G137" s="1061">
        <f t="shared" si="34"/>
        <v>1500000</v>
      </c>
      <c r="H137" s="1061">
        <f t="shared" si="35"/>
        <v>187500</v>
      </c>
      <c r="I137" s="1061">
        <f t="shared" si="36"/>
        <v>240000</v>
      </c>
      <c r="J137" s="1356">
        <f t="shared" si="37"/>
        <v>427500</v>
      </c>
      <c r="L137" s="1316">
        <v>40269</v>
      </c>
      <c r="M137" s="1316">
        <v>40298</v>
      </c>
      <c r="N137" s="1315">
        <f t="shared" si="38"/>
        <v>1500000</v>
      </c>
      <c r="O137" s="1088"/>
      <c r="P137" s="1088"/>
      <c r="Q137" s="1088"/>
      <c r="R137" s="1088"/>
      <c r="S137" s="1088"/>
      <c r="T137" s="1088"/>
    </row>
    <row r="138" spans="2:20" hidden="1">
      <c r="B138" s="1393"/>
      <c r="C138" s="800">
        <v>40299</v>
      </c>
      <c r="D138" s="800">
        <v>40329</v>
      </c>
      <c r="E138" s="741">
        <f t="shared" si="33"/>
        <v>31</v>
      </c>
      <c r="F138" s="1068">
        <v>1500000</v>
      </c>
      <c r="G138" s="1061">
        <f t="shared" si="34"/>
        <v>1500000</v>
      </c>
      <c r="H138" s="1061">
        <f t="shared" si="35"/>
        <v>187500</v>
      </c>
      <c r="I138" s="1061">
        <f t="shared" si="36"/>
        <v>240000</v>
      </c>
      <c r="J138" s="1356">
        <f t="shared" si="37"/>
        <v>427500</v>
      </c>
      <c r="L138" s="1316">
        <v>40299</v>
      </c>
      <c r="M138" s="1316">
        <v>40329</v>
      </c>
      <c r="N138" s="1315">
        <f t="shared" si="38"/>
        <v>1500000</v>
      </c>
      <c r="O138" s="1088"/>
      <c r="P138" s="1088"/>
      <c r="Q138" s="1088"/>
      <c r="R138" s="1088"/>
      <c r="S138" s="1088"/>
      <c r="T138" s="1088"/>
    </row>
    <row r="139" spans="2:20" hidden="1">
      <c r="B139" s="1393"/>
      <c r="C139" s="800">
        <v>40330</v>
      </c>
      <c r="D139" s="800">
        <v>40359</v>
      </c>
      <c r="E139" s="741">
        <f t="shared" si="33"/>
        <v>30</v>
      </c>
      <c r="F139" s="1068">
        <v>1500000</v>
      </c>
      <c r="G139" s="1061">
        <f t="shared" si="34"/>
        <v>1500000</v>
      </c>
      <c r="H139" s="1061">
        <f t="shared" si="35"/>
        <v>187500</v>
      </c>
      <c r="I139" s="1061">
        <f t="shared" si="36"/>
        <v>240000</v>
      </c>
      <c r="J139" s="1356">
        <f t="shared" si="37"/>
        <v>427500</v>
      </c>
      <c r="L139" s="1316">
        <v>40330</v>
      </c>
      <c r="M139" s="1316">
        <v>40359</v>
      </c>
      <c r="N139" s="1315">
        <f t="shared" si="38"/>
        <v>1500000</v>
      </c>
      <c r="O139" s="1061"/>
      <c r="P139" s="1061"/>
      <c r="Q139" s="1061"/>
      <c r="R139" s="1061"/>
      <c r="S139" s="1061"/>
      <c r="T139" s="1061"/>
    </row>
    <row r="140" spans="2:20" hidden="1">
      <c r="B140" s="1393"/>
      <c r="C140" s="800">
        <v>40360</v>
      </c>
      <c r="D140" s="800">
        <v>40390</v>
      </c>
      <c r="E140" s="741">
        <f t="shared" si="33"/>
        <v>31</v>
      </c>
      <c r="F140" s="1068">
        <v>1500000</v>
      </c>
      <c r="G140" s="1061">
        <f t="shared" si="34"/>
        <v>1500000</v>
      </c>
      <c r="H140" s="1061">
        <f t="shared" si="35"/>
        <v>187500</v>
      </c>
      <c r="I140" s="1061">
        <f t="shared" si="36"/>
        <v>240000</v>
      </c>
      <c r="J140" s="1356">
        <f t="shared" si="37"/>
        <v>427500</v>
      </c>
      <c r="L140" s="1316">
        <v>40360</v>
      </c>
      <c r="M140" s="1316">
        <v>40390</v>
      </c>
      <c r="N140" s="1315">
        <f t="shared" si="38"/>
        <v>1500000</v>
      </c>
      <c r="O140" s="741"/>
      <c r="P140" s="741"/>
      <c r="Q140" s="741"/>
      <c r="R140" s="741"/>
      <c r="S140" s="741"/>
      <c r="T140" s="741"/>
    </row>
    <row r="141" spans="2:20" hidden="1">
      <c r="B141" s="1393"/>
      <c r="C141" s="800">
        <v>40391</v>
      </c>
      <c r="D141" s="800">
        <v>40421</v>
      </c>
      <c r="E141" s="741">
        <f t="shared" si="33"/>
        <v>31</v>
      </c>
      <c r="F141" s="1068">
        <v>1500000</v>
      </c>
      <c r="G141" s="1061">
        <f t="shared" si="34"/>
        <v>1500000</v>
      </c>
      <c r="H141" s="1061">
        <f t="shared" si="35"/>
        <v>187500</v>
      </c>
      <c r="I141" s="1061">
        <f t="shared" si="36"/>
        <v>240000</v>
      </c>
      <c r="J141" s="1356">
        <f t="shared" si="37"/>
        <v>427500</v>
      </c>
      <c r="L141" s="1316">
        <v>40391</v>
      </c>
      <c r="M141" s="1316">
        <v>40421</v>
      </c>
      <c r="N141" s="1315">
        <f t="shared" si="38"/>
        <v>1500000</v>
      </c>
      <c r="O141" s="741"/>
      <c r="P141" s="741"/>
      <c r="Q141" s="741"/>
      <c r="R141" s="741"/>
      <c r="S141" s="741"/>
      <c r="T141" s="741"/>
    </row>
    <row r="142" spans="2:20" hidden="1">
      <c r="B142" s="1393"/>
      <c r="C142" s="800">
        <v>40422</v>
      </c>
      <c r="D142" s="800">
        <v>40451</v>
      </c>
      <c r="E142" s="741">
        <f t="shared" si="33"/>
        <v>30</v>
      </c>
      <c r="F142" s="1068">
        <v>1500000</v>
      </c>
      <c r="G142" s="1061">
        <f t="shared" si="34"/>
        <v>1500000</v>
      </c>
      <c r="H142" s="1061">
        <f t="shared" si="35"/>
        <v>187500</v>
      </c>
      <c r="I142" s="1061">
        <f t="shared" si="36"/>
        <v>240000</v>
      </c>
      <c r="J142" s="1356">
        <f t="shared" si="37"/>
        <v>427500</v>
      </c>
      <c r="L142" s="1316">
        <v>40422</v>
      </c>
      <c r="M142" s="1316">
        <v>40451</v>
      </c>
      <c r="N142" s="1315">
        <f t="shared" si="38"/>
        <v>1500000</v>
      </c>
      <c r="O142" s="741"/>
      <c r="P142" s="741"/>
      <c r="Q142" s="741"/>
      <c r="R142" s="741"/>
      <c r="S142" s="741"/>
      <c r="T142" s="741"/>
    </row>
    <row r="143" spans="2:20" hidden="1">
      <c r="B143" s="1393"/>
      <c r="C143" s="800">
        <v>40452</v>
      </c>
      <c r="D143" s="800">
        <v>40482</v>
      </c>
      <c r="E143" s="741">
        <f t="shared" si="33"/>
        <v>31</v>
      </c>
      <c r="F143" s="1068">
        <v>1500000</v>
      </c>
      <c r="G143" s="1061">
        <f t="shared" si="34"/>
        <v>1500000</v>
      </c>
      <c r="H143" s="1061">
        <f t="shared" si="35"/>
        <v>187500</v>
      </c>
      <c r="I143" s="1061">
        <f t="shared" si="36"/>
        <v>240000</v>
      </c>
      <c r="J143" s="1356">
        <f t="shared" si="37"/>
        <v>427500</v>
      </c>
      <c r="L143" s="1316">
        <v>40452</v>
      </c>
      <c r="M143" s="1316">
        <v>40482</v>
      </c>
      <c r="N143" s="1315">
        <f t="shared" si="38"/>
        <v>1500000</v>
      </c>
      <c r="O143" s="741"/>
      <c r="P143" s="741"/>
      <c r="Q143" s="741"/>
      <c r="R143" s="741"/>
      <c r="S143" s="741"/>
      <c r="T143" s="741"/>
    </row>
    <row r="144" spans="2:20" hidden="1">
      <c r="B144" s="1393"/>
      <c r="C144" s="800">
        <v>40483</v>
      </c>
      <c r="D144" s="800">
        <v>40512</v>
      </c>
      <c r="E144" s="741">
        <f t="shared" si="33"/>
        <v>30</v>
      </c>
      <c r="F144" s="1068">
        <v>1500000</v>
      </c>
      <c r="G144" s="1061">
        <f t="shared" si="34"/>
        <v>1500000</v>
      </c>
      <c r="H144" s="1061">
        <f t="shared" si="35"/>
        <v>187500</v>
      </c>
      <c r="I144" s="1061">
        <f t="shared" si="36"/>
        <v>240000</v>
      </c>
      <c r="J144" s="1356">
        <f t="shared" si="37"/>
        <v>427500</v>
      </c>
      <c r="L144" s="1316">
        <v>40483</v>
      </c>
      <c r="M144" s="1316">
        <v>40512</v>
      </c>
      <c r="N144" s="1315">
        <f t="shared" si="38"/>
        <v>1500000</v>
      </c>
      <c r="O144" s="741"/>
      <c r="P144" s="741"/>
      <c r="Q144" s="741"/>
      <c r="R144" s="741"/>
      <c r="S144" s="741"/>
      <c r="T144" s="741"/>
    </row>
    <row r="145" spans="2:20" hidden="1">
      <c r="B145" s="1369"/>
      <c r="C145" s="800">
        <v>40513</v>
      </c>
      <c r="D145" s="800">
        <v>40543</v>
      </c>
      <c r="E145" s="741">
        <f t="shared" si="33"/>
        <v>31</v>
      </c>
      <c r="F145" s="1357">
        <v>1500000</v>
      </c>
      <c r="G145" s="1061">
        <f t="shared" si="34"/>
        <v>1500000</v>
      </c>
      <c r="H145" s="1061">
        <f t="shared" si="35"/>
        <v>187500</v>
      </c>
      <c r="I145" s="1061">
        <f t="shared" si="36"/>
        <v>240000</v>
      </c>
      <c r="J145" s="1356">
        <f t="shared" si="37"/>
        <v>427500</v>
      </c>
      <c r="K145" s="1372"/>
      <c r="L145" s="1316">
        <v>40513</v>
      </c>
      <c r="M145" s="1316">
        <v>40543</v>
      </c>
      <c r="N145" s="1315">
        <f t="shared" si="38"/>
        <v>1500000</v>
      </c>
      <c r="O145" s="741"/>
      <c r="P145" s="741"/>
      <c r="Q145" s="741"/>
      <c r="R145" s="741"/>
      <c r="S145" s="741"/>
      <c r="T145" s="741"/>
    </row>
    <row r="146" spans="2:20" hidden="1">
      <c r="B146" s="1369"/>
      <c r="C146" s="1393"/>
      <c r="D146" s="1394"/>
      <c r="E146" s="1389"/>
      <c r="F146" s="2689" t="s">
        <v>716</v>
      </c>
      <c r="G146" s="2690"/>
      <c r="H146" s="2690"/>
      <c r="I146" s="2691"/>
      <c r="J146" s="1366">
        <f>SUM(J134:J145)- SUM(J120:J131)</f>
        <v>3078000</v>
      </c>
      <c r="M146" s="814"/>
      <c r="N146" s="814"/>
    </row>
    <row r="147" spans="2:20" hidden="1">
      <c r="B147" s="2692" t="s">
        <v>64</v>
      </c>
      <c r="C147" s="2683"/>
      <c r="D147" s="2693"/>
      <c r="E147" s="1389"/>
      <c r="F147" s="1068"/>
      <c r="G147" s="1061"/>
      <c r="H147" s="1061"/>
      <c r="I147" s="1061"/>
      <c r="J147" s="858"/>
      <c r="M147" s="814"/>
      <c r="N147" s="814"/>
    </row>
    <row r="148" spans="2:20" hidden="1">
      <c r="B148" s="741" t="s">
        <v>730</v>
      </c>
      <c r="C148" s="800">
        <v>40576</v>
      </c>
      <c r="D148" s="800">
        <v>40604</v>
      </c>
      <c r="E148" s="741">
        <f t="shared" ref="E148:E157" si="39">_xlfn.DAYS(D148,C148)+1</f>
        <v>29</v>
      </c>
      <c r="F148" s="1068">
        <v>1700000</v>
      </c>
      <c r="G148" s="1061">
        <f>+F148*40%</f>
        <v>680000</v>
      </c>
      <c r="H148" s="1061">
        <f>+G148*12.5%</f>
        <v>85000</v>
      </c>
      <c r="I148" s="1061">
        <f>+G148*16%</f>
        <v>108800</v>
      </c>
      <c r="J148" s="1356">
        <f t="shared" ref="J148:J157" si="40">SUM(H148:I148)</f>
        <v>193800</v>
      </c>
      <c r="L148" s="2631" t="s">
        <v>731</v>
      </c>
      <c r="M148" s="2632"/>
      <c r="N148" s="2632"/>
      <c r="O148" s="2632"/>
      <c r="P148" s="2632"/>
      <c r="Q148" s="2632"/>
      <c r="R148" s="2632"/>
      <c r="S148" s="2632"/>
      <c r="T148" s="2633"/>
    </row>
    <row r="149" spans="2:20" hidden="1">
      <c r="B149" s="741"/>
      <c r="C149" s="800">
        <v>40605</v>
      </c>
      <c r="D149" s="800">
        <v>40635</v>
      </c>
      <c r="E149" s="741">
        <f t="shared" si="39"/>
        <v>31</v>
      </c>
      <c r="F149" s="1068">
        <v>1700000</v>
      </c>
      <c r="G149" s="1061">
        <f t="shared" ref="G149:G156" si="41">+F149*40%</f>
        <v>680000</v>
      </c>
      <c r="H149" s="1061">
        <f t="shared" ref="H149:H157" si="42">+G149*12.5%</f>
        <v>85000</v>
      </c>
      <c r="I149" s="1061">
        <f t="shared" ref="I149:I157" si="43">+G149*16%</f>
        <v>108800</v>
      </c>
      <c r="J149" s="1356">
        <f t="shared" si="40"/>
        <v>193800</v>
      </c>
      <c r="L149" s="1093" t="s">
        <v>494</v>
      </c>
      <c r="M149" s="1093" t="s">
        <v>712</v>
      </c>
      <c r="N149" s="1093" t="s">
        <v>713</v>
      </c>
      <c r="O149" s="1093" t="s">
        <v>78</v>
      </c>
      <c r="P149" s="1093" t="s">
        <v>79</v>
      </c>
      <c r="Q149" s="1093" t="s">
        <v>186</v>
      </c>
      <c r="R149" s="1093" t="s">
        <v>187</v>
      </c>
      <c r="S149" s="1093" t="s">
        <v>82</v>
      </c>
      <c r="T149" s="1093" t="s">
        <v>83</v>
      </c>
    </row>
    <row r="150" spans="2:20" hidden="1">
      <c r="B150" s="741"/>
      <c r="C150" s="800">
        <v>40636</v>
      </c>
      <c r="D150" s="800">
        <v>40665</v>
      </c>
      <c r="E150" s="741">
        <f t="shared" si="39"/>
        <v>30</v>
      </c>
      <c r="F150" s="1068">
        <v>1700000</v>
      </c>
      <c r="G150" s="1061">
        <f t="shared" si="41"/>
        <v>680000</v>
      </c>
      <c r="H150" s="1061">
        <f t="shared" si="42"/>
        <v>85000</v>
      </c>
      <c r="I150" s="1061">
        <f t="shared" si="43"/>
        <v>108800</v>
      </c>
      <c r="J150" s="1356">
        <f t="shared" si="40"/>
        <v>193800</v>
      </c>
      <c r="L150" s="1316">
        <v>40564</v>
      </c>
      <c r="M150" s="1316">
        <v>40574</v>
      </c>
      <c r="N150" s="1315">
        <v>1700000</v>
      </c>
      <c r="O150" s="1088"/>
      <c r="P150" s="1088"/>
      <c r="Q150" s="1088"/>
      <c r="R150" s="1088"/>
      <c r="S150" s="1088"/>
      <c r="T150" s="1088"/>
    </row>
    <row r="151" spans="2:20" hidden="1">
      <c r="B151" s="741"/>
      <c r="C151" s="800">
        <v>40666</v>
      </c>
      <c r="D151" s="800">
        <v>40696</v>
      </c>
      <c r="E151" s="741">
        <f t="shared" si="39"/>
        <v>31</v>
      </c>
      <c r="F151" s="1068">
        <v>1700000</v>
      </c>
      <c r="G151" s="1061">
        <f t="shared" si="41"/>
        <v>680000</v>
      </c>
      <c r="H151" s="1061">
        <f t="shared" si="42"/>
        <v>85000</v>
      </c>
      <c r="I151" s="1061">
        <f t="shared" si="43"/>
        <v>108800</v>
      </c>
      <c r="J151" s="1356">
        <f t="shared" si="40"/>
        <v>193800</v>
      </c>
      <c r="L151" s="1316">
        <v>40575</v>
      </c>
      <c r="M151" s="1316">
        <v>40602</v>
      </c>
      <c r="N151" s="1315">
        <v>1700000</v>
      </c>
      <c r="O151" s="1088"/>
      <c r="P151" s="1088"/>
      <c r="Q151" s="1088"/>
      <c r="R151" s="1088"/>
      <c r="S151" s="1088"/>
      <c r="T151" s="1088"/>
    </row>
    <row r="152" spans="2:20" hidden="1">
      <c r="B152" s="741"/>
      <c r="C152" s="800">
        <v>40697</v>
      </c>
      <c r="D152" s="800">
        <v>40739</v>
      </c>
      <c r="E152" s="741">
        <f t="shared" si="39"/>
        <v>43</v>
      </c>
      <c r="F152" s="1068">
        <v>1700000</v>
      </c>
      <c r="G152" s="1061">
        <f t="shared" si="41"/>
        <v>680000</v>
      </c>
      <c r="H152" s="1061">
        <f t="shared" si="42"/>
        <v>85000</v>
      </c>
      <c r="I152" s="1061">
        <f t="shared" si="43"/>
        <v>108800</v>
      </c>
      <c r="J152" s="1356">
        <f t="shared" si="40"/>
        <v>193800</v>
      </c>
      <c r="L152" s="1316">
        <v>40603</v>
      </c>
      <c r="M152" s="1316">
        <v>40633</v>
      </c>
      <c r="N152" s="1315">
        <v>1700000</v>
      </c>
      <c r="O152" s="1088"/>
      <c r="P152" s="1088"/>
      <c r="Q152" s="1088"/>
      <c r="R152" s="1088"/>
      <c r="S152" s="1088"/>
      <c r="T152" s="1088"/>
    </row>
    <row r="153" spans="2:20" hidden="1">
      <c r="B153" s="741"/>
      <c r="C153" s="800">
        <v>40740</v>
      </c>
      <c r="D153" s="800">
        <v>40770</v>
      </c>
      <c r="E153" s="741">
        <f t="shared" si="39"/>
        <v>31</v>
      </c>
      <c r="F153" s="1068">
        <v>1700000</v>
      </c>
      <c r="G153" s="1061">
        <f t="shared" si="41"/>
        <v>680000</v>
      </c>
      <c r="H153" s="1061">
        <f t="shared" si="42"/>
        <v>85000</v>
      </c>
      <c r="I153" s="1061">
        <f t="shared" si="43"/>
        <v>108800</v>
      </c>
      <c r="J153" s="1356">
        <f t="shared" si="40"/>
        <v>193800</v>
      </c>
      <c r="L153" s="1316">
        <v>40634</v>
      </c>
      <c r="M153" s="1316">
        <v>40663</v>
      </c>
      <c r="N153" s="1315">
        <v>1700000</v>
      </c>
      <c r="O153" s="1088"/>
      <c r="P153" s="1088"/>
      <c r="Q153" s="1088"/>
      <c r="R153" s="1088"/>
      <c r="S153" s="1088"/>
      <c r="T153" s="1088"/>
    </row>
    <row r="154" spans="2:20" hidden="1">
      <c r="B154" s="741"/>
      <c r="C154" s="800">
        <v>40771</v>
      </c>
      <c r="D154" s="800">
        <v>40801</v>
      </c>
      <c r="E154" s="741">
        <f t="shared" si="39"/>
        <v>31</v>
      </c>
      <c r="F154" s="1068">
        <v>1700000</v>
      </c>
      <c r="G154" s="1061">
        <f t="shared" si="41"/>
        <v>680000</v>
      </c>
      <c r="H154" s="1061">
        <f t="shared" si="42"/>
        <v>85000</v>
      </c>
      <c r="I154" s="1061">
        <f t="shared" si="43"/>
        <v>108800</v>
      </c>
      <c r="J154" s="1356">
        <f t="shared" si="40"/>
        <v>193800</v>
      </c>
      <c r="L154" s="1316">
        <v>40664</v>
      </c>
      <c r="M154" s="1316">
        <v>40694</v>
      </c>
      <c r="N154" s="1315">
        <v>1700000</v>
      </c>
      <c r="O154" s="1088"/>
      <c r="P154" s="1088"/>
      <c r="Q154" s="1088"/>
      <c r="R154" s="1088"/>
      <c r="S154" s="1088"/>
      <c r="T154" s="1088"/>
    </row>
    <row r="155" spans="2:20" hidden="1">
      <c r="B155" s="741"/>
      <c r="C155" s="800">
        <v>40802</v>
      </c>
      <c r="D155" s="800">
        <v>40831</v>
      </c>
      <c r="E155" s="741">
        <f t="shared" si="39"/>
        <v>30</v>
      </c>
      <c r="F155" s="1068">
        <v>1700000</v>
      </c>
      <c r="G155" s="1061">
        <f t="shared" si="41"/>
        <v>680000</v>
      </c>
      <c r="H155" s="1061">
        <f t="shared" si="42"/>
        <v>85000</v>
      </c>
      <c r="I155" s="1061">
        <f t="shared" si="43"/>
        <v>108800</v>
      </c>
      <c r="J155" s="1356">
        <f t="shared" si="40"/>
        <v>193800</v>
      </c>
      <c r="L155" s="1316">
        <v>40695</v>
      </c>
      <c r="M155" s="1316">
        <v>40724</v>
      </c>
      <c r="N155" s="1315">
        <v>1700000</v>
      </c>
      <c r="O155" s="1061"/>
      <c r="P155" s="1061"/>
      <c r="Q155" s="1061"/>
      <c r="R155" s="1061"/>
      <c r="S155" s="1061"/>
      <c r="T155" s="1061"/>
    </row>
    <row r="156" spans="2:20" hidden="1">
      <c r="B156" s="741"/>
      <c r="C156" s="800">
        <v>40832</v>
      </c>
      <c r="D156" s="800">
        <v>40862</v>
      </c>
      <c r="E156" s="741">
        <f t="shared" si="39"/>
        <v>31</v>
      </c>
      <c r="F156" s="1068">
        <v>1700000</v>
      </c>
      <c r="G156" s="1061">
        <f t="shared" si="41"/>
        <v>680000</v>
      </c>
      <c r="H156" s="1061">
        <f t="shared" si="42"/>
        <v>85000</v>
      </c>
      <c r="I156" s="1061">
        <f t="shared" si="43"/>
        <v>108800</v>
      </c>
      <c r="J156" s="1356">
        <f t="shared" si="40"/>
        <v>193800</v>
      </c>
      <c r="L156" s="1316">
        <v>40725</v>
      </c>
      <c r="M156" s="1316">
        <v>40755</v>
      </c>
      <c r="N156" s="1315">
        <v>1700000</v>
      </c>
      <c r="O156" s="741"/>
      <c r="P156" s="741"/>
      <c r="Q156" s="741"/>
      <c r="R156" s="741"/>
      <c r="S156" s="741"/>
      <c r="T156" s="741"/>
    </row>
    <row r="157" spans="2:20" hidden="1">
      <c r="B157" s="741"/>
      <c r="C157" s="800">
        <v>40863</v>
      </c>
      <c r="D157" s="800">
        <v>40903</v>
      </c>
      <c r="E157" s="741">
        <f t="shared" si="39"/>
        <v>41</v>
      </c>
      <c r="F157" s="1357">
        <v>1700000</v>
      </c>
      <c r="G157" s="1061">
        <f>+F157*40%</f>
        <v>680000</v>
      </c>
      <c r="H157" s="1061">
        <f t="shared" si="42"/>
        <v>85000</v>
      </c>
      <c r="I157" s="1061">
        <f t="shared" si="43"/>
        <v>108800</v>
      </c>
      <c r="J157" s="1356">
        <f t="shared" si="40"/>
        <v>193800</v>
      </c>
      <c r="L157" s="1316">
        <v>40756</v>
      </c>
      <c r="M157" s="1316">
        <v>40786</v>
      </c>
      <c r="N157" s="1315">
        <v>1700000</v>
      </c>
      <c r="O157" s="741"/>
      <c r="P157" s="741"/>
      <c r="Q157" s="741"/>
      <c r="R157" s="741"/>
      <c r="S157" s="741"/>
      <c r="T157" s="741"/>
    </row>
    <row r="158" spans="2:20" hidden="1">
      <c r="B158" s="1132"/>
      <c r="C158" s="2694" t="s">
        <v>719</v>
      </c>
      <c r="D158" s="2694"/>
      <c r="E158" s="1361">
        <f>SUM(E148:E157)</f>
        <v>328</v>
      </c>
      <c r="G158" s="1061"/>
      <c r="H158" s="1061"/>
      <c r="I158" s="1061"/>
      <c r="J158" s="1356"/>
      <c r="L158" s="1316">
        <v>40787</v>
      </c>
      <c r="M158" s="1316">
        <v>40816</v>
      </c>
      <c r="N158" s="1315">
        <v>1700000</v>
      </c>
      <c r="O158" s="741"/>
      <c r="P158" s="741"/>
      <c r="Q158" s="741"/>
      <c r="R158" s="741"/>
      <c r="S158" s="741"/>
      <c r="T158" s="741"/>
    </row>
    <row r="159" spans="2:20" hidden="1">
      <c r="B159" s="2687" t="str">
        <f>+B14</f>
        <v>Relacion Laboral</v>
      </c>
      <c r="C159" s="2695"/>
      <c r="D159" s="2695"/>
      <c r="E159" s="1395"/>
      <c r="F159" s="1371"/>
      <c r="G159" s="1061"/>
      <c r="H159" s="1061"/>
      <c r="I159" s="1061"/>
      <c r="J159" s="858"/>
      <c r="L159" s="1316">
        <v>40817</v>
      </c>
      <c r="M159" s="1316">
        <v>40847</v>
      </c>
      <c r="N159" s="1315">
        <v>1700000</v>
      </c>
      <c r="O159" s="741"/>
      <c r="P159" s="741"/>
      <c r="Q159" s="741"/>
      <c r="R159" s="741"/>
      <c r="S159" s="741"/>
      <c r="T159" s="741"/>
    </row>
    <row r="160" spans="2:20" hidden="1">
      <c r="B160" s="1368"/>
      <c r="C160" s="800">
        <v>40576</v>
      </c>
      <c r="D160" s="800">
        <v>40604</v>
      </c>
      <c r="E160" s="741">
        <f t="shared" ref="E160:E169" si="44">_xlfn.DAYS(D160,C160)+1</f>
        <v>29</v>
      </c>
      <c r="F160" s="1068">
        <v>1700000</v>
      </c>
      <c r="G160" s="1061">
        <f>+F160</f>
        <v>1700000</v>
      </c>
      <c r="H160" s="1061">
        <f>+F160*12.5%</f>
        <v>212500</v>
      </c>
      <c r="I160" s="1061">
        <f>+F160*16%</f>
        <v>272000</v>
      </c>
      <c r="J160" s="1356">
        <f>SUM(H160:I160)</f>
        <v>484500</v>
      </c>
      <c r="L160" s="1316">
        <v>40848</v>
      </c>
      <c r="M160" s="1316">
        <v>40877</v>
      </c>
      <c r="N160" s="1315">
        <v>1700000</v>
      </c>
      <c r="O160" s="741"/>
      <c r="P160" s="741"/>
      <c r="Q160" s="741"/>
      <c r="R160" s="741"/>
      <c r="S160" s="741"/>
      <c r="T160" s="741"/>
    </row>
    <row r="161" spans="2:20" hidden="1">
      <c r="B161" s="1368"/>
      <c r="C161" s="800">
        <v>40605</v>
      </c>
      <c r="D161" s="800">
        <v>40635</v>
      </c>
      <c r="E161" s="741">
        <f t="shared" si="44"/>
        <v>31</v>
      </c>
      <c r="F161" s="1068">
        <v>1700000</v>
      </c>
      <c r="G161" s="1061">
        <f t="shared" ref="G161:G169" si="45">+F161</f>
        <v>1700000</v>
      </c>
      <c r="H161" s="1061">
        <f t="shared" ref="H161:H169" si="46">+F161*12.5%</f>
        <v>212500</v>
      </c>
      <c r="I161" s="1061">
        <f t="shared" ref="I161:I169" si="47">+F161*16%</f>
        <v>272000</v>
      </c>
      <c r="J161" s="1356">
        <f t="shared" ref="J161:J169" si="48">SUM(H161:I161)</f>
        <v>484500</v>
      </c>
      <c r="L161" s="1316">
        <v>40878</v>
      </c>
      <c r="M161" s="1316">
        <v>40908</v>
      </c>
      <c r="N161" s="1315">
        <v>1700000</v>
      </c>
      <c r="O161" s="741"/>
      <c r="P161" s="741"/>
      <c r="Q161" s="741"/>
      <c r="R161" s="741"/>
      <c r="S161" s="741"/>
      <c r="T161" s="741"/>
    </row>
    <row r="162" spans="2:20" hidden="1">
      <c r="B162" s="1368"/>
      <c r="C162" s="800">
        <v>40636</v>
      </c>
      <c r="D162" s="800">
        <v>40665</v>
      </c>
      <c r="E162" s="741">
        <f t="shared" si="44"/>
        <v>30</v>
      </c>
      <c r="F162" s="1068">
        <v>1700000</v>
      </c>
      <c r="G162" s="1061">
        <f t="shared" si="45"/>
        <v>1700000</v>
      </c>
      <c r="H162" s="1061">
        <f t="shared" si="46"/>
        <v>212500</v>
      </c>
      <c r="I162" s="1061">
        <f t="shared" si="47"/>
        <v>272000</v>
      </c>
      <c r="J162" s="1356">
        <f t="shared" si="48"/>
        <v>484500</v>
      </c>
      <c r="M162" s="814"/>
      <c r="N162" s="814"/>
    </row>
    <row r="163" spans="2:20" hidden="1">
      <c r="B163" s="1368"/>
      <c r="C163" s="800">
        <v>40666</v>
      </c>
      <c r="D163" s="800">
        <v>40696</v>
      </c>
      <c r="E163" s="741">
        <f t="shared" si="44"/>
        <v>31</v>
      </c>
      <c r="F163" s="1068">
        <v>1700000</v>
      </c>
      <c r="G163" s="1061">
        <f t="shared" si="45"/>
        <v>1700000</v>
      </c>
      <c r="H163" s="1061">
        <f t="shared" si="46"/>
        <v>212500</v>
      </c>
      <c r="I163" s="1061">
        <f t="shared" si="47"/>
        <v>272000</v>
      </c>
      <c r="J163" s="1356">
        <f t="shared" si="48"/>
        <v>484500</v>
      </c>
      <c r="M163" s="814"/>
      <c r="N163" s="814"/>
    </row>
    <row r="164" spans="2:20" hidden="1">
      <c r="B164" s="1368"/>
      <c r="C164" s="800">
        <v>40697</v>
      </c>
      <c r="D164" s="800">
        <v>40739</v>
      </c>
      <c r="E164" s="741">
        <f t="shared" si="44"/>
        <v>43</v>
      </c>
      <c r="F164" s="1068">
        <v>1700000</v>
      </c>
      <c r="G164" s="1061">
        <f t="shared" si="45"/>
        <v>1700000</v>
      </c>
      <c r="H164" s="1061">
        <f t="shared" si="46"/>
        <v>212500</v>
      </c>
      <c r="I164" s="1061">
        <f t="shared" si="47"/>
        <v>272000</v>
      </c>
      <c r="J164" s="1356">
        <f t="shared" si="48"/>
        <v>484500</v>
      </c>
      <c r="M164" s="814"/>
      <c r="N164" s="814"/>
    </row>
    <row r="165" spans="2:20" hidden="1">
      <c r="B165" s="1368"/>
      <c r="C165" s="800">
        <v>40740</v>
      </c>
      <c r="D165" s="800">
        <v>40770</v>
      </c>
      <c r="E165" s="741">
        <f t="shared" si="44"/>
        <v>31</v>
      </c>
      <c r="F165" s="1068">
        <v>1700000</v>
      </c>
      <c r="G165" s="1061">
        <f t="shared" si="45"/>
        <v>1700000</v>
      </c>
      <c r="H165" s="1061">
        <f t="shared" si="46"/>
        <v>212500</v>
      </c>
      <c r="I165" s="1061">
        <f t="shared" si="47"/>
        <v>272000</v>
      </c>
      <c r="J165" s="1356">
        <f t="shared" si="48"/>
        <v>484500</v>
      </c>
      <c r="L165" s="2631" t="s">
        <v>732</v>
      </c>
      <c r="M165" s="2632"/>
      <c r="N165" s="2632"/>
      <c r="O165" s="2632"/>
      <c r="P165" s="2632"/>
      <c r="Q165" s="2632"/>
      <c r="R165" s="2632"/>
      <c r="S165" s="2632"/>
      <c r="T165" s="2633"/>
    </row>
    <row r="166" spans="2:20" hidden="1">
      <c r="B166" s="1368"/>
      <c r="C166" s="800">
        <v>40771</v>
      </c>
      <c r="D166" s="800">
        <v>40801</v>
      </c>
      <c r="E166" s="741">
        <f t="shared" si="44"/>
        <v>31</v>
      </c>
      <c r="F166" s="1068">
        <v>1700000</v>
      </c>
      <c r="G166" s="1061">
        <f t="shared" si="45"/>
        <v>1700000</v>
      </c>
      <c r="H166" s="1061">
        <f t="shared" si="46"/>
        <v>212500</v>
      </c>
      <c r="I166" s="1061">
        <f t="shared" si="47"/>
        <v>272000</v>
      </c>
      <c r="J166" s="1356">
        <f t="shared" si="48"/>
        <v>484500</v>
      </c>
      <c r="L166" s="1093" t="s">
        <v>494</v>
      </c>
      <c r="M166" s="1093" t="s">
        <v>712</v>
      </c>
      <c r="N166" s="1093" t="s">
        <v>713</v>
      </c>
      <c r="O166" s="1093" t="s">
        <v>78</v>
      </c>
      <c r="P166" s="1093" t="s">
        <v>79</v>
      </c>
      <c r="Q166" s="1093" t="s">
        <v>186</v>
      </c>
      <c r="R166" s="1093" t="s">
        <v>187</v>
      </c>
      <c r="S166" s="1093" t="s">
        <v>82</v>
      </c>
      <c r="T166" s="1093" t="s">
        <v>83</v>
      </c>
    </row>
    <row r="167" spans="2:20" hidden="1">
      <c r="B167" s="1368"/>
      <c r="C167" s="800">
        <v>40802</v>
      </c>
      <c r="D167" s="800">
        <v>40831</v>
      </c>
      <c r="E167" s="741">
        <f t="shared" si="44"/>
        <v>30</v>
      </c>
      <c r="F167" s="1068">
        <v>1700000</v>
      </c>
      <c r="G167" s="1061">
        <f t="shared" si="45"/>
        <v>1700000</v>
      </c>
      <c r="H167" s="1061">
        <f t="shared" si="46"/>
        <v>212500</v>
      </c>
      <c r="I167" s="1061">
        <f t="shared" si="47"/>
        <v>272000</v>
      </c>
      <c r="J167" s="1356">
        <f t="shared" si="48"/>
        <v>484500</v>
      </c>
      <c r="L167" s="1316">
        <v>40938</v>
      </c>
      <c r="M167" s="1316">
        <v>40939</v>
      </c>
      <c r="N167" s="1315">
        <v>1763410</v>
      </c>
      <c r="O167" s="1088"/>
      <c r="P167" s="1088"/>
      <c r="Q167" s="1088"/>
      <c r="R167" s="1088"/>
      <c r="S167" s="1088"/>
      <c r="T167" s="1088"/>
    </row>
    <row r="168" spans="2:20" hidden="1">
      <c r="B168" s="1368"/>
      <c r="C168" s="800">
        <v>40832</v>
      </c>
      <c r="D168" s="800">
        <v>40862</v>
      </c>
      <c r="E168" s="741">
        <f t="shared" si="44"/>
        <v>31</v>
      </c>
      <c r="F168" s="1068">
        <v>1700000</v>
      </c>
      <c r="G168" s="1061">
        <f t="shared" si="45"/>
        <v>1700000</v>
      </c>
      <c r="H168" s="1061">
        <f t="shared" si="46"/>
        <v>212500</v>
      </c>
      <c r="I168" s="1061">
        <f t="shared" si="47"/>
        <v>272000</v>
      </c>
      <c r="J168" s="1356">
        <f t="shared" si="48"/>
        <v>484500</v>
      </c>
      <c r="L168" s="1316">
        <v>40940</v>
      </c>
      <c r="M168" s="1316">
        <v>40967</v>
      </c>
      <c r="N168" s="1315">
        <v>1763410</v>
      </c>
      <c r="O168" s="1088"/>
      <c r="P168" s="1088"/>
      <c r="Q168" s="1088"/>
      <c r="R168" s="1088"/>
      <c r="S168" s="1088"/>
      <c r="T168" s="1088"/>
    </row>
    <row r="169" spans="2:20" hidden="1">
      <c r="B169" s="1368"/>
      <c r="C169" s="800">
        <v>40863</v>
      </c>
      <c r="D169" s="800">
        <v>40903</v>
      </c>
      <c r="E169" s="741">
        <f t="shared" si="44"/>
        <v>41</v>
      </c>
      <c r="F169" s="1357">
        <v>1700000</v>
      </c>
      <c r="G169" s="1061">
        <f t="shared" si="45"/>
        <v>1700000</v>
      </c>
      <c r="H169" s="1061">
        <f t="shared" si="46"/>
        <v>212500</v>
      </c>
      <c r="I169" s="1061">
        <f t="shared" si="47"/>
        <v>272000</v>
      </c>
      <c r="J169" s="1356">
        <f t="shared" si="48"/>
        <v>484500</v>
      </c>
      <c r="K169" s="1372"/>
      <c r="L169" s="1316">
        <v>40969</v>
      </c>
      <c r="M169" s="1316">
        <v>40999</v>
      </c>
      <c r="N169" s="1315">
        <v>1763410</v>
      </c>
      <c r="O169" s="1088"/>
      <c r="P169" s="1088"/>
      <c r="Q169" s="1088"/>
      <c r="R169" s="1088"/>
      <c r="S169" s="1088"/>
      <c r="T169" s="1088"/>
    </row>
    <row r="170" spans="2:20" hidden="1">
      <c r="C170" s="803"/>
      <c r="D170" s="808"/>
      <c r="E170" s="1043"/>
      <c r="F170" s="2689" t="s">
        <v>716</v>
      </c>
      <c r="G170" s="2690"/>
      <c r="H170" s="2690"/>
      <c r="I170" s="2691"/>
      <c r="J170" s="1366">
        <f>SUM(J160:J169)-SUM(J148:J157)</f>
        <v>2907000</v>
      </c>
      <c r="L170" s="1316">
        <v>41000</v>
      </c>
      <c r="M170" s="1316">
        <v>41029</v>
      </c>
      <c r="N170" s="1315">
        <v>1763410</v>
      </c>
      <c r="O170" s="1088"/>
      <c r="P170" s="1088"/>
      <c r="Q170" s="1088"/>
      <c r="R170" s="1088"/>
      <c r="S170" s="1088"/>
      <c r="T170" s="1088"/>
    </row>
    <row r="171" spans="2:20" hidden="1">
      <c r="B171" s="2692" t="s">
        <v>64</v>
      </c>
      <c r="C171" s="2683"/>
      <c r="D171" s="2693"/>
      <c r="E171" s="1389"/>
      <c r="F171" s="1068"/>
      <c r="G171" s="1061"/>
      <c r="H171" s="1061"/>
      <c r="I171" s="1061"/>
      <c r="J171" s="858"/>
      <c r="K171" s="1063"/>
      <c r="L171" s="1316">
        <v>41030</v>
      </c>
      <c r="M171" s="1316">
        <v>41060</v>
      </c>
      <c r="N171" s="1315">
        <v>1763410</v>
      </c>
      <c r="O171" s="1088"/>
      <c r="P171" s="1088"/>
      <c r="Q171" s="1088"/>
      <c r="R171" s="1088"/>
      <c r="S171" s="1088"/>
      <c r="T171" s="1088"/>
    </row>
    <row r="172" spans="2:20" hidden="1">
      <c r="B172" s="741" t="s">
        <v>733</v>
      </c>
      <c r="C172" s="800">
        <v>40938</v>
      </c>
      <c r="D172" s="800">
        <v>41060</v>
      </c>
      <c r="E172" s="741">
        <f>_xlfn.DAYS(D172,C172)+1</f>
        <v>123</v>
      </c>
      <c r="F172" s="1068">
        <v>1763410</v>
      </c>
      <c r="G172" s="1061">
        <f>(F172*4.1)*40%</f>
        <v>2891992.4</v>
      </c>
      <c r="H172" s="1061">
        <f>+G172*12.5%</f>
        <v>361499.05</v>
      </c>
      <c r="I172" s="1061">
        <f>+G172*16%</f>
        <v>462718.78399999999</v>
      </c>
      <c r="J172" s="1356">
        <f>SUM(H172:I172)</f>
        <v>824217.83400000003</v>
      </c>
      <c r="K172" s="1063"/>
      <c r="L172" s="1316">
        <v>41061</v>
      </c>
      <c r="M172" s="1316">
        <v>41090</v>
      </c>
      <c r="N172" s="1315">
        <v>1763410</v>
      </c>
      <c r="O172" s="1061"/>
      <c r="P172" s="1061"/>
      <c r="Q172" s="1061"/>
      <c r="R172" s="1061"/>
      <c r="S172" s="1061"/>
      <c r="T172" s="1061"/>
    </row>
    <row r="173" spans="2:20" hidden="1">
      <c r="B173" s="741"/>
      <c r="C173" s="800">
        <v>41095</v>
      </c>
      <c r="D173" s="800">
        <v>41274</v>
      </c>
      <c r="E173" s="741">
        <f>_xlfn.DAYS(D173,C173)+1</f>
        <v>180</v>
      </c>
      <c r="F173" s="1068">
        <v>1763410</v>
      </c>
      <c r="G173" s="1061">
        <f>(F173*4.4)*40%</f>
        <v>3103601.6000000006</v>
      </c>
      <c r="H173" s="1061">
        <f>+G173*12.5%</f>
        <v>387950.20000000007</v>
      </c>
      <c r="I173" s="1061">
        <f>+G173*16%</f>
        <v>496576.25600000011</v>
      </c>
      <c r="J173" s="1356">
        <f>SUM(H173:I173)</f>
        <v>884526.45600000024</v>
      </c>
      <c r="K173" s="1063"/>
      <c r="L173" s="1316">
        <v>41091</v>
      </c>
      <c r="M173" s="1316">
        <v>41121</v>
      </c>
      <c r="N173" s="1315">
        <v>1763410</v>
      </c>
      <c r="O173" s="741"/>
      <c r="P173" s="741"/>
      <c r="Q173" s="741"/>
      <c r="R173" s="741"/>
      <c r="S173" s="741"/>
      <c r="T173" s="741"/>
    </row>
    <row r="174" spans="2:20" hidden="1">
      <c r="B174" s="1368"/>
      <c r="C174" s="2694" t="s">
        <v>719</v>
      </c>
      <c r="D174" s="2694"/>
      <c r="E174" s="1361">
        <f>SUM(E172:E173)</f>
        <v>303</v>
      </c>
      <c r="F174" s="1363"/>
      <c r="G174" s="1061"/>
      <c r="H174" s="1061"/>
      <c r="I174" s="1061"/>
      <c r="J174" s="1356"/>
      <c r="K174" s="1063"/>
      <c r="L174" s="1316">
        <v>41122</v>
      </c>
      <c r="M174" s="1316">
        <v>41152</v>
      </c>
      <c r="N174" s="1315">
        <v>1763410</v>
      </c>
      <c r="O174" s="741"/>
      <c r="P174" s="741"/>
      <c r="Q174" s="741"/>
      <c r="R174" s="741"/>
      <c r="S174" s="741"/>
      <c r="T174" s="741"/>
    </row>
    <row r="175" spans="2:20" hidden="1">
      <c r="B175" s="2692" t="str">
        <f>+B14</f>
        <v>Relacion Laboral</v>
      </c>
      <c r="C175" s="2683"/>
      <c r="D175" s="2693"/>
      <c r="E175" s="1395"/>
      <c r="F175" s="1371"/>
      <c r="G175" s="1061"/>
      <c r="H175" s="1061"/>
      <c r="I175" s="1061"/>
      <c r="J175" s="858"/>
      <c r="K175" s="1063"/>
      <c r="L175" s="1316">
        <v>41153</v>
      </c>
      <c r="M175" s="1316">
        <v>41182</v>
      </c>
      <c r="N175" s="1315">
        <v>1763410</v>
      </c>
      <c r="O175" s="741"/>
      <c r="P175" s="741"/>
      <c r="Q175" s="741"/>
      <c r="R175" s="741"/>
      <c r="S175" s="741"/>
      <c r="T175" s="741"/>
    </row>
    <row r="176" spans="2:20" hidden="1">
      <c r="B176" s="1368"/>
      <c r="C176" s="800">
        <v>40938</v>
      </c>
      <c r="D176" s="800">
        <v>41060</v>
      </c>
      <c r="E176" s="741">
        <f>_xlfn.DAYS(D176,C176)+1</f>
        <v>123</v>
      </c>
      <c r="F176" s="1068">
        <v>1763410</v>
      </c>
      <c r="G176" s="1061">
        <f>+F176*6.066</f>
        <v>10696845.060000001</v>
      </c>
      <c r="H176" s="1061">
        <f>+G176*12.5%</f>
        <v>1337105.6325000001</v>
      </c>
      <c r="I176" s="1061">
        <f>+G176*16%</f>
        <v>1711495.2096000002</v>
      </c>
      <c r="J176" s="1356">
        <f>SUM(H176:I176)</f>
        <v>3048600.8421</v>
      </c>
      <c r="K176" s="1063"/>
      <c r="L176" s="1316">
        <v>41183</v>
      </c>
      <c r="M176" s="1316">
        <v>41213</v>
      </c>
      <c r="N176" s="1315">
        <v>1763410</v>
      </c>
      <c r="O176" s="741"/>
      <c r="P176" s="741"/>
      <c r="Q176" s="741"/>
      <c r="R176" s="741"/>
      <c r="S176" s="741"/>
      <c r="T176" s="741"/>
    </row>
    <row r="177" spans="2:20" hidden="1">
      <c r="B177" s="1368"/>
      <c r="C177" s="800">
        <v>41095</v>
      </c>
      <c r="D177" s="800">
        <v>41274</v>
      </c>
      <c r="E177" s="741">
        <f>_xlfn.DAYS(D177,C177)+1</f>
        <v>180</v>
      </c>
      <c r="F177" s="1068">
        <v>1763410</v>
      </c>
      <c r="G177" s="1061">
        <f>+F177*4.4</f>
        <v>7759004.0000000009</v>
      </c>
      <c r="H177" s="1061">
        <f>+G177*12.5%</f>
        <v>969875.50000000012</v>
      </c>
      <c r="I177" s="1061">
        <f>+G177*16%</f>
        <v>1241440.6400000001</v>
      </c>
      <c r="J177" s="1356">
        <f>SUM(H177:I177)</f>
        <v>2211316.14</v>
      </c>
      <c r="K177" s="1372"/>
      <c r="L177" s="1316">
        <v>41214</v>
      </c>
      <c r="M177" s="1316">
        <v>41243</v>
      </c>
      <c r="N177" s="1315">
        <v>1763410</v>
      </c>
      <c r="O177" s="741"/>
      <c r="P177" s="741"/>
      <c r="Q177" s="741"/>
      <c r="R177" s="741"/>
      <c r="S177" s="741"/>
      <c r="T177" s="741"/>
    </row>
    <row r="178" spans="2:20" hidden="1">
      <c r="B178" s="1368"/>
      <c r="C178" s="803"/>
      <c r="D178" s="808"/>
      <c r="E178" s="1043"/>
      <c r="F178" s="2689" t="s">
        <v>716</v>
      </c>
      <c r="G178" s="2690"/>
      <c r="H178" s="2690"/>
      <c r="I178" s="2691"/>
      <c r="J178" s="1366">
        <f>SUM(J176:J177)- SUM(J172:J173)</f>
        <v>3551172.6921000006</v>
      </c>
      <c r="L178" s="1316">
        <v>41244</v>
      </c>
      <c r="M178" s="1316">
        <v>41274</v>
      </c>
      <c r="N178" s="1315">
        <v>1763410</v>
      </c>
      <c r="O178" s="741"/>
      <c r="P178" s="741"/>
      <c r="Q178" s="741"/>
      <c r="R178" s="741"/>
      <c r="S178" s="741"/>
      <c r="T178" s="741"/>
    </row>
    <row r="179" spans="2:20" hidden="1">
      <c r="B179" s="1368"/>
      <c r="C179" s="803"/>
      <c r="D179" s="808"/>
      <c r="E179" s="1043"/>
      <c r="F179" s="1068"/>
      <c r="G179" s="1061"/>
      <c r="H179" s="1061"/>
      <c r="I179" s="1061"/>
      <c r="J179" s="858"/>
      <c r="M179" s="814"/>
      <c r="N179" s="814"/>
      <c r="O179" s="979"/>
    </row>
    <row r="180" spans="2:20" hidden="1">
      <c r="B180" s="2692" t="s">
        <v>64</v>
      </c>
      <c r="C180" s="2683"/>
      <c r="D180" s="2693"/>
      <c r="E180" s="1389"/>
      <c r="F180" s="1068"/>
      <c r="G180" s="1061"/>
      <c r="H180" s="1061"/>
      <c r="I180" s="1061"/>
      <c r="J180" s="858"/>
      <c r="M180" s="814"/>
      <c r="N180" s="814"/>
      <c r="O180" s="979"/>
    </row>
    <row r="181" spans="2:20" ht="20.25" hidden="1" customHeight="1">
      <c r="B181" s="741" t="s">
        <v>734</v>
      </c>
      <c r="C181" s="800"/>
      <c r="D181" s="800"/>
      <c r="E181" s="741"/>
      <c r="F181" s="1068"/>
      <c r="G181" s="1061"/>
      <c r="H181" s="1061"/>
      <c r="I181" s="1061"/>
      <c r="J181" s="858"/>
      <c r="L181" s="2631" t="s">
        <v>547</v>
      </c>
      <c r="M181" s="2632"/>
      <c r="N181" s="2632"/>
      <c r="O181" s="2632"/>
      <c r="P181" s="2632"/>
      <c r="Q181" s="2632"/>
      <c r="R181" s="2632"/>
      <c r="S181" s="2632"/>
      <c r="T181" s="2633"/>
    </row>
    <row r="182" spans="2:20" hidden="1">
      <c r="B182" s="1132"/>
      <c r="C182" s="800">
        <v>41311</v>
      </c>
      <c r="D182" s="800">
        <v>41492</v>
      </c>
      <c r="E182" s="741">
        <f>_xlfn.DAYS(D182,C182)+1</f>
        <v>182</v>
      </c>
      <c r="F182" s="1068">
        <v>1800000</v>
      </c>
      <c r="G182" s="1061">
        <f>(F182*6.066)*40%</f>
        <v>4367520</v>
      </c>
      <c r="H182" s="1061">
        <f>+G182*12.5%</f>
        <v>545940</v>
      </c>
      <c r="I182" s="1061">
        <f>+G182*16%</f>
        <v>698803.20000000007</v>
      </c>
      <c r="J182" s="1356">
        <f>SUM(H182:I182)</f>
        <v>1244743.2000000002</v>
      </c>
      <c r="L182" s="1093" t="s">
        <v>494</v>
      </c>
      <c r="M182" s="1093" t="s">
        <v>712</v>
      </c>
      <c r="N182" s="1093" t="s">
        <v>713</v>
      </c>
      <c r="O182" s="1093" t="s">
        <v>78</v>
      </c>
      <c r="P182" s="1093" t="s">
        <v>79</v>
      </c>
      <c r="Q182" s="1093" t="s">
        <v>186</v>
      </c>
      <c r="R182" s="1093" t="s">
        <v>187</v>
      </c>
      <c r="S182" s="1093" t="s">
        <v>82</v>
      </c>
      <c r="T182" s="1093" t="s">
        <v>83</v>
      </c>
    </row>
    <row r="183" spans="2:20" hidden="1">
      <c r="B183" s="1132"/>
      <c r="C183" s="800">
        <v>41508</v>
      </c>
      <c r="D183" s="800">
        <v>41639</v>
      </c>
      <c r="E183" s="741">
        <f>_xlfn.DAYS(D183,C183)+1</f>
        <v>132</v>
      </c>
      <c r="F183" s="1068">
        <v>1800000</v>
      </c>
      <c r="G183" s="1061">
        <f>(F183*4.4)*40%</f>
        <v>3168000.0000000005</v>
      </c>
      <c r="H183" s="1061">
        <f>+G183*12.5%</f>
        <v>396000.00000000006</v>
      </c>
      <c r="I183" s="1061">
        <f>+G183*16%</f>
        <v>506880.00000000006</v>
      </c>
      <c r="J183" s="1356">
        <f>SUM(H183:I183)</f>
        <v>902880.00000000012</v>
      </c>
      <c r="L183" s="1316">
        <v>41311</v>
      </c>
      <c r="M183" s="1316">
        <v>41333</v>
      </c>
      <c r="N183" s="1315">
        <v>1800000</v>
      </c>
      <c r="O183" s="1088"/>
      <c r="P183" s="1088"/>
      <c r="Q183" s="1088"/>
      <c r="R183" s="1088"/>
      <c r="S183" s="1088"/>
      <c r="T183" s="1088"/>
    </row>
    <row r="184" spans="2:20" hidden="1">
      <c r="B184" s="1368"/>
      <c r="C184" s="2694" t="s">
        <v>719</v>
      </c>
      <c r="D184" s="2694"/>
      <c r="E184" s="1361">
        <f>SUM(E182:E183)</f>
        <v>314</v>
      </c>
      <c r="F184" s="1068"/>
      <c r="G184" s="1061"/>
      <c r="H184" s="1061"/>
      <c r="I184" s="1061"/>
      <c r="J184" s="1356"/>
      <c r="L184" s="1316">
        <v>41334</v>
      </c>
      <c r="M184" s="1316">
        <v>41364</v>
      </c>
      <c r="N184" s="1315">
        <v>1800000</v>
      </c>
      <c r="O184" s="1088"/>
      <c r="P184" s="1088"/>
      <c r="Q184" s="1088"/>
      <c r="R184" s="1088"/>
      <c r="S184" s="1088"/>
      <c r="T184" s="1088"/>
    </row>
    <row r="185" spans="2:20" hidden="1">
      <c r="B185" s="2692" t="str">
        <f>+B14</f>
        <v>Relacion Laboral</v>
      </c>
      <c r="C185" s="2683"/>
      <c r="D185" s="2693"/>
      <c r="E185" s="1389"/>
      <c r="F185" s="1068"/>
      <c r="G185" s="1061"/>
      <c r="H185" s="1061"/>
      <c r="I185" s="1061"/>
      <c r="J185" s="1070"/>
      <c r="L185" s="1316">
        <v>41365</v>
      </c>
      <c r="M185" s="1316">
        <v>41394</v>
      </c>
      <c r="N185" s="1315">
        <v>1800000</v>
      </c>
      <c r="O185" s="1088"/>
      <c r="P185" s="1088"/>
      <c r="Q185" s="1088"/>
      <c r="R185" s="1088"/>
      <c r="S185" s="1088"/>
      <c r="T185" s="1088"/>
    </row>
    <row r="186" spans="2:20" hidden="1">
      <c r="B186" s="1396"/>
      <c r="C186" s="800">
        <v>41311</v>
      </c>
      <c r="D186" s="800">
        <v>41492</v>
      </c>
      <c r="E186" s="741">
        <f>_xlfn.DAYS(D186,C186)+1</f>
        <v>182</v>
      </c>
      <c r="F186" s="1068">
        <v>1800000</v>
      </c>
      <c r="G186" s="1061">
        <f>F186*6.066</f>
        <v>10918800</v>
      </c>
      <c r="H186" s="1061">
        <f>+G186*12.5%</f>
        <v>1364850</v>
      </c>
      <c r="I186" s="1061">
        <f>+G186*16%</f>
        <v>1747008</v>
      </c>
      <c r="J186" s="1356">
        <f>SUM(H186:I186)</f>
        <v>3111858</v>
      </c>
      <c r="L186" s="1316">
        <v>41395</v>
      </c>
      <c r="M186" s="1316">
        <v>41425</v>
      </c>
      <c r="N186" s="1315">
        <v>1800000</v>
      </c>
      <c r="O186" s="1088"/>
      <c r="P186" s="1088"/>
      <c r="Q186" s="1088"/>
      <c r="R186" s="1088"/>
      <c r="S186" s="1088"/>
      <c r="T186" s="1088"/>
    </row>
    <row r="187" spans="2:20" hidden="1">
      <c r="C187" s="800">
        <v>41508</v>
      </c>
      <c r="D187" s="800">
        <v>41639</v>
      </c>
      <c r="E187" s="741">
        <f>_xlfn.DAYS(D187,C187)+1</f>
        <v>132</v>
      </c>
      <c r="F187" s="1068">
        <v>1800000</v>
      </c>
      <c r="G187" s="1061">
        <f>F187*4.4</f>
        <v>7920000.0000000009</v>
      </c>
      <c r="H187" s="1061">
        <f>+G187*12.5%</f>
        <v>990000.00000000012</v>
      </c>
      <c r="I187" s="1061">
        <f>+G187*16%</f>
        <v>1267200.0000000002</v>
      </c>
      <c r="J187" s="1356">
        <f>SUM(H187:I187)</f>
        <v>2257200.0000000005</v>
      </c>
      <c r="K187" s="1372"/>
      <c r="L187" s="1316">
        <v>41426</v>
      </c>
      <c r="M187" s="1316">
        <v>41455</v>
      </c>
      <c r="N187" s="1315">
        <v>1800000</v>
      </c>
      <c r="O187" s="1088"/>
      <c r="P187" s="1088"/>
      <c r="Q187" s="1088"/>
      <c r="R187" s="1088"/>
      <c r="S187" s="1088"/>
      <c r="T187" s="1088"/>
    </row>
    <row r="188" spans="2:20" hidden="1">
      <c r="F188" s="2689" t="s">
        <v>716</v>
      </c>
      <c r="G188" s="2690"/>
      <c r="H188" s="2690"/>
      <c r="I188" s="2691"/>
      <c r="J188" s="1366">
        <f>SUM(J186:J187)- SUM(J182:J183)</f>
        <v>3221434.8</v>
      </c>
      <c r="K188" s="1397"/>
      <c r="L188" s="1316">
        <v>41456</v>
      </c>
      <c r="M188" s="1316">
        <v>41486</v>
      </c>
      <c r="N188" s="1315">
        <v>1800000</v>
      </c>
      <c r="O188" s="1061"/>
      <c r="P188" s="1061"/>
      <c r="Q188" s="1061"/>
      <c r="R188" s="1061"/>
      <c r="S188" s="1061"/>
      <c r="T188" s="1061"/>
    </row>
    <row r="189" spans="2:20" hidden="1">
      <c r="L189" s="1316">
        <v>41487</v>
      </c>
      <c r="M189" s="1316">
        <v>41517</v>
      </c>
      <c r="N189" s="1315">
        <v>1800000</v>
      </c>
      <c r="O189" s="741"/>
      <c r="P189" s="741"/>
      <c r="Q189" s="741"/>
      <c r="R189" s="741"/>
      <c r="S189" s="741"/>
      <c r="T189" s="741"/>
    </row>
    <row r="190" spans="2:20" hidden="1">
      <c r="L190" s="1316">
        <v>41518</v>
      </c>
      <c r="M190" s="1316">
        <v>41547</v>
      </c>
      <c r="N190" s="1315">
        <v>1800000</v>
      </c>
      <c r="O190" s="741"/>
      <c r="P190" s="741"/>
      <c r="Q190" s="741"/>
      <c r="R190" s="741"/>
      <c r="S190" s="741"/>
      <c r="T190" s="741"/>
    </row>
    <row r="191" spans="2:20" hidden="1">
      <c r="D191" s="900"/>
      <c r="F191" s="1341" t="s">
        <v>735</v>
      </c>
      <c r="J191" s="1388">
        <f>+SUM(J14,J26:J29,J43:J49,J71:J82,J101:J112,J117,J134:J145,J160:J169,J176:J177,J186:J187)</f>
        <v>35790448.49936153</v>
      </c>
      <c r="L191" s="1316">
        <v>41548</v>
      </c>
      <c r="M191" s="1316">
        <v>41578</v>
      </c>
      <c r="N191" s="1315">
        <v>1800000</v>
      </c>
      <c r="O191" s="741"/>
      <c r="P191" s="741"/>
      <c r="Q191" s="741"/>
      <c r="R191" s="741"/>
      <c r="S191" s="741"/>
      <c r="T191" s="741"/>
    </row>
    <row r="192" spans="2:20" ht="13.5" hidden="1" thickBot="1">
      <c r="F192" s="1398" t="s">
        <v>736</v>
      </c>
      <c r="G192" s="1151"/>
      <c r="H192" s="1151"/>
      <c r="I192" s="1151"/>
      <c r="J192" s="1399">
        <f>+SUM(J12,J18:J22,J32:J40,J54:J68,J85:J98,J115,J120:J131,J148:J157,J172:J173,J182:J183)</f>
        <v>15769004.634000003</v>
      </c>
      <c r="L192" s="1316">
        <v>41579</v>
      </c>
      <c r="M192" s="1316">
        <v>41608</v>
      </c>
      <c r="N192" s="1315">
        <v>1800000</v>
      </c>
      <c r="O192" s="741"/>
      <c r="P192" s="741"/>
      <c r="Q192" s="741"/>
      <c r="R192" s="741"/>
      <c r="S192" s="741"/>
      <c r="T192" s="741"/>
    </row>
    <row r="193" spans="2:20" hidden="1">
      <c r="F193" s="2684" t="s">
        <v>737</v>
      </c>
      <c r="G193" s="2684"/>
      <c r="H193" s="2684"/>
      <c r="I193" s="2684"/>
      <c r="J193" s="1400">
        <f>+J191-J192</f>
        <v>20021443.865361527</v>
      </c>
      <c r="K193" s="1400"/>
      <c r="L193" s="1316">
        <v>41609</v>
      </c>
      <c r="M193" s="1316">
        <v>41639</v>
      </c>
      <c r="N193" s="1315">
        <v>1800000</v>
      </c>
      <c r="O193" s="741"/>
      <c r="P193" s="741"/>
      <c r="Q193" s="741"/>
      <c r="R193" s="741"/>
      <c r="S193" s="741"/>
      <c r="T193" s="741"/>
    </row>
    <row r="194" spans="2:20" ht="13.5" hidden="1" thickBot="1">
      <c r="F194" s="2685" t="s">
        <v>738</v>
      </c>
      <c r="G194" s="2685"/>
      <c r="H194" s="2685"/>
      <c r="I194" s="2685"/>
      <c r="J194" s="1401"/>
    </row>
    <row r="195" spans="2:20" hidden="1">
      <c r="F195" s="2684" t="s">
        <v>739</v>
      </c>
      <c r="G195" s="2684"/>
      <c r="H195" s="2684"/>
      <c r="I195" s="2684"/>
      <c r="J195" s="1402">
        <f>+J193+J194</f>
        <v>20021443.865361527</v>
      </c>
      <c r="M195" s="814"/>
      <c r="N195" s="814"/>
    </row>
    <row r="196" spans="2:20" hidden="1">
      <c r="B196" s="814" t="s">
        <v>740</v>
      </c>
      <c r="F196" s="1403"/>
      <c r="M196" s="814"/>
      <c r="N196" s="814"/>
    </row>
    <row r="197" spans="2:20">
      <c r="B197" s="900" t="s">
        <v>307</v>
      </c>
      <c r="J197" s="925"/>
      <c r="M197" s="814"/>
      <c r="N197" s="814"/>
    </row>
    <row r="198" spans="2:20" ht="13.5" customHeight="1">
      <c r="B198" s="876" t="s">
        <v>741</v>
      </c>
      <c r="C198" s="1404">
        <v>99.7</v>
      </c>
      <c r="J198" s="925"/>
      <c r="M198" s="814"/>
      <c r="N198" s="814"/>
    </row>
    <row r="199" spans="2:20" ht="25.5">
      <c r="B199" s="809" t="s">
        <v>742</v>
      </c>
      <c r="C199" s="1147">
        <f>+F12</f>
        <v>450067.17420510523</v>
      </c>
      <c r="D199" s="923"/>
      <c r="E199" s="923" t="s">
        <v>77</v>
      </c>
      <c r="F199" s="1784" t="s">
        <v>253</v>
      </c>
      <c r="J199" s="925"/>
      <c r="M199" s="814"/>
      <c r="N199" s="814"/>
    </row>
    <row r="200" spans="2:20">
      <c r="B200" s="1332" t="s">
        <v>743</v>
      </c>
      <c r="C200" s="1071" t="s">
        <v>744</v>
      </c>
      <c r="D200" s="1113" t="s">
        <v>529</v>
      </c>
      <c r="E200" s="735"/>
      <c r="F200" s="1236"/>
      <c r="J200" s="925"/>
      <c r="M200" s="814"/>
      <c r="N200" s="814"/>
    </row>
    <row r="201" spans="2:20">
      <c r="B201" s="1223">
        <v>38216</v>
      </c>
      <c r="C201" s="1223">
        <v>38352</v>
      </c>
      <c r="D201" s="1333">
        <f>_xlfn.DAYS(C201,B201)+1</f>
        <v>137</v>
      </c>
      <c r="E201" s="735"/>
      <c r="F201" s="1236"/>
      <c r="J201" s="925"/>
      <c r="M201" s="814"/>
      <c r="N201" s="814"/>
    </row>
    <row r="202" spans="2:20">
      <c r="B202" s="741" t="s">
        <v>303</v>
      </c>
      <c r="C202" s="811">
        <f>+(D201*C199)/360</f>
        <v>171275.56351694281</v>
      </c>
      <c r="D202" s="741">
        <v>55.99</v>
      </c>
      <c r="E202" s="741">
        <f>$C$198/D202</f>
        <v>1.7806751205572424</v>
      </c>
      <c r="F202" s="1335">
        <f>+C202*E202</f>
        <v>304986.13471404178</v>
      </c>
      <c r="J202" s="925"/>
      <c r="M202" s="814"/>
      <c r="N202" s="814"/>
    </row>
    <row r="203" spans="2:20">
      <c r="B203" s="741" t="s">
        <v>32</v>
      </c>
      <c r="C203" s="811">
        <f>+(C202*D201*0.12)/360</f>
        <v>7821.5840672737222</v>
      </c>
      <c r="D203" s="741">
        <v>55.99</v>
      </c>
      <c r="E203" s="741">
        <f>$C$198/D203</f>
        <v>1.7806751205572424</v>
      </c>
      <c r="F203" s="1335">
        <f>+C203*E203</f>
        <v>13927.700151941242</v>
      </c>
      <c r="J203" s="925"/>
      <c r="M203" s="814"/>
      <c r="N203" s="814"/>
    </row>
    <row r="204" spans="2:20">
      <c r="B204" s="741" t="s">
        <v>304</v>
      </c>
      <c r="C204" s="811">
        <f>+(C199*E12)/360</f>
        <v>171275.56351694281</v>
      </c>
      <c r="D204" s="741">
        <v>55.99</v>
      </c>
      <c r="E204" s="741">
        <f>$C$198/D204</f>
        <v>1.7806751205572424</v>
      </c>
      <c r="F204" s="1335">
        <f>+C204*E204</f>
        <v>304986.13471404178</v>
      </c>
      <c r="J204" s="925"/>
      <c r="M204" s="814"/>
      <c r="N204" s="814"/>
    </row>
    <row r="205" spans="2:20">
      <c r="B205" s="741" t="s">
        <v>104</v>
      </c>
      <c r="C205" s="812">
        <f>+(C199*E12)/720</f>
        <v>85637.781758471407</v>
      </c>
      <c r="D205" s="741">
        <v>55.99</v>
      </c>
      <c r="E205" s="741">
        <f>$C$198/D205</f>
        <v>1.7806751205572424</v>
      </c>
      <c r="F205" s="1335">
        <f>+C205*E205</f>
        <v>152493.06735702089</v>
      </c>
      <c r="M205" s="814"/>
      <c r="N205" s="814"/>
    </row>
    <row r="206" spans="2:20">
      <c r="E206" s="741" t="s">
        <v>97</v>
      </c>
      <c r="F206" s="1335">
        <f>SUM(F202:F205)</f>
        <v>776393.03693704563</v>
      </c>
    </row>
    <row r="207" spans="2:20">
      <c r="B207" s="900" t="s">
        <v>307</v>
      </c>
      <c r="I207" s="1063"/>
    </row>
    <row r="208" spans="2:20">
      <c r="B208" s="900" t="s">
        <v>741</v>
      </c>
      <c r="C208" s="1404">
        <v>99.7</v>
      </c>
      <c r="I208" s="1063"/>
    </row>
    <row r="209" spans="1:21" ht="23.25" customHeight="1">
      <c r="B209" s="809" t="s">
        <v>745</v>
      </c>
      <c r="C209" s="810">
        <f>+F23</f>
        <v>607500</v>
      </c>
      <c r="D209" s="735"/>
      <c r="E209" s="1113" t="s">
        <v>77</v>
      </c>
      <c r="F209" s="1342" t="s">
        <v>253</v>
      </c>
      <c r="G209" s="1063"/>
      <c r="H209" s="1063"/>
      <c r="I209" s="1063"/>
    </row>
    <row r="210" spans="1:21" ht="13.5" customHeight="1">
      <c r="B210" s="1332" t="s">
        <v>743</v>
      </c>
      <c r="C210" s="1071" t="s">
        <v>744</v>
      </c>
      <c r="D210" s="1113" t="s">
        <v>529</v>
      </c>
      <c r="E210" s="735"/>
      <c r="F210" s="1236"/>
      <c r="G210" s="1063"/>
      <c r="H210" s="1063"/>
      <c r="I210" s="1063"/>
    </row>
    <row r="211" spans="1:21" ht="12.75" customHeight="1">
      <c r="B211" s="800">
        <v>38353</v>
      </c>
      <c r="C211" s="800">
        <v>38717</v>
      </c>
      <c r="D211" s="1333">
        <v>360</v>
      </c>
      <c r="E211" s="735"/>
      <c r="F211" s="1236"/>
      <c r="G211" s="1063"/>
      <c r="H211" s="1063"/>
      <c r="I211" s="1063"/>
    </row>
    <row r="212" spans="1:21">
      <c r="B212" s="741" t="s">
        <v>303</v>
      </c>
      <c r="C212" s="811">
        <f>+(D211*C209)/360</f>
        <v>607500</v>
      </c>
      <c r="D212" s="813">
        <v>58.7</v>
      </c>
      <c r="E212" s="741">
        <f>$C$198/D212</f>
        <v>1.6984667802385007</v>
      </c>
      <c r="F212" s="1335">
        <f>+C212*E212</f>
        <v>1031818.5689948892</v>
      </c>
      <c r="G212" s="1063"/>
      <c r="H212" s="1063"/>
      <c r="I212" s="1063"/>
    </row>
    <row r="213" spans="1:21" s="979" customFormat="1">
      <c r="A213" s="814"/>
      <c r="B213" s="741" t="s">
        <v>32</v>
      </c>
      <c r="C213" s="811">
        <f>+(C212*D211*0.12)/360</f>
        <v>72900</v>
      </c>
      <c r="D213" s="813">
        <v>58.7</v>
      </c>
      <c r="E213" s="741">
        <f>$C$198/D213</f>
        <v>1.6984667802385007</v>
      </c>
      <c r="F213" s="1335">
        <f>+C213*E213</f>
        <v>123818.22827938671</v>
      </c>
      <c r="G213" s="1063"/>
      <c r="H213" s="1063"/>
      <c r="I213" s="1063"/>
      <c r="J213" s="814"/>
      <c r="K213" s="814"/>
      <c r="L213" s="814"/>
      <c r="O213" s="814"/>
      <c r="P213" s="814"/>
      <c r="Q213" s="814"/>
      <c r="R213" s="814"/>
      <c r="S213" s="814"/>
      <c r="T213" s="814"/>
      <c r="U213" s="814"/>
    </row>
    <row r="214" spans="1:21" s="979" customFormat="1">
      <c r="A214" s="814"/>
      <c r="B214" s="741" t="s">
        <v>304</v>
      </c>
      <c r="C214" s="811">
        <f>+(C209*D211)/360</f>
        <v>607500</v>
      </c>
      <c r="D214" s="813">
        <v>58.7</v>
      </c>
      <c r="E214" s="741">
        <f>$C$198/D214</f>
        <v>1.6984667802385007</v>
      </c>
      <c r="F214" s="1335">
        <f>+C214*E214</f>
        <v>1031818.5689948892</v>
      </c>
      <c r="G214" s="1063"/>
      <c r="H214" s="1063"/>
      <c r="I214" s="1063"/>
      <c r="J214" s="814"/>
      <c r="K214" s="814"/>
      <c r="L214" s="814"/>
      <c r="O214" s="814"/>
      <c r="P214" s="814"/>
      <c r="Q214" s="814"/>
      <c r="R214" s="814"/>
      <c r="S214" s="814"/>
      <c r="T214" s="814"/>
      <c r="U214" s="814"/>
    </row>
    <row r="215" spans="1:21" s="979" customFormat="1">
      <c r="A215" s="814"/>
      <c r="B215" s="741" t="s">
        <v>104</v>
      </c>
      <c r="C215" s="812">
        <f>+(C209*D211)/720</f>
        <v>303750</v>
      </c>
      <c r="D215" s="813">
        <v>58.7</v>
      </c>
      <c r="E215" s="741">
        <f>$C$198/D215</f>
        <v>1.6984667802385007</v>
      </c>
      <c r="F215" s="1335">
        <f>+C215*E215</f>
        <v>515909.28449744458</v>
      </c>
      <c r="G215" s="1063"/>
      <c r="H215" s="1063"/>
      <c r="I215" s="1063"/>
      <c r="J215" s="814"/>
      <c r="K215" s="814"/>
      <c r="L215" s="814"/>
      <c r="O215" s="814"/>
      <c r="P215" s="814"/>
      <c r="Q215" s="814"/>
      <c r="R215" s="814"/>
      <c r="S215" s="814"/>
      <c r="T215" s="814"/>
      <c r="U215" s="814"/>
    </row>
    <row r="216" spans="1:21" s="979" customFormat="1" ht="15.75" customHeight="1">
      <c r="A216" s="814"/>
      <c r="B216" s="814"/>
      <c r="C216" s="814"/>
      <c r="D216" s="814"/>
      <c r="E216" s="741" t="s">
        <v>97</v>
      </c>
      <c r="F216" s="1335">
        <f>SUM(F212:F215)</f>
        <v>2703364.6507666097</v>
      </c>
      <c r="G216" s="1063"/>
      <c r="H216" s="1063"/>
      <c r="I216" s="1063"/>
      <c r="J216" s="814"/>
      <c r="K216" s="814"/>
      <c r="L216" s="814"/>
      <c r="O216" s="814"/>
      <c r="P216" s="814"/>
      <c r="Q216" s="814"/>
      <c r="R216" s="814"/>
      <c r="S216" s="814"/>
      <c r="T216" s="814"/>
      <c r="U216" s="814"/>
    </row>
    <row r="217" spans="1:21" s="979" customFormat="1" ht="15.75" customHeight="1">
      <c r="A217" s="814"/>
      <c r="B217" s="900" t="s">
        <v>307</v>
      </c>
      <c r="C217" s="814"/>
      <c r="D217" s="814"/>
      <c r="E217" s="814"/>
      <c r="F217" s="911"/>
      <c r="I217" s="1063"/>
      <c r="J217" s="814"/>
      <c r="K217" s="814"/>
      <c r="L217" s="814"/>
      <c r="O217" s="814"/>
      <c r="P217" s="814"/>
      <c r="Q217" s="814"/>
      <c r="R217" s="814"/>
      <c r="S217" s="814"/>
      <c r="T217" s="814"/>
      <c r="U217" s="814"/>
    </row>
    <row r="218" spans="1:21" s="979" customFormat="1" ht="15.75" customHeight="1">
      <c r="A218" s="814"/>
      <c r="B218" s="900" t="s">
        <v>741</v>
      </c>
      <c r="C218" s="1404">
        <v>99.7</v>
      </c>
      <c r="D218" s="814"/>
      <c r="E218" s="814"/>
      <c r="F218" s="911"/>
      <c r="I218" s="1063"/>
      <c r="J218" s="814"/>
      <c r="K218" s="814"/>
      <c r="L218" s="814"/>
      <c r="O218" s="814"/>
      <c r="P218" s="814"/>
      <c r="Q218" s="814"/>
      <c r="R218" s="814"/>
      <c r="S218" s="814"/>
      <c r="T218" s="814"/>
      <c r="U218" s="814"/>
    </row>
    <row r="219" spans="1:21" s="979" customFormat="1" ht="27.75" customHeight="1">
      <c r="A219" s="814"/>
      <c r="B219" s="809" t="s">
        <v>746</v>
      </c>
      <c r="C219" s="810">
        <v>679221.05263157899</v>
      </c>
      <c r="D219" s="735"/>
      <c r="E219" s="735" t="s">
        <v>77</v>
      </c>
      <c r="F219" s="1236" t="s">
        <v>253</v>
      </c>
      <c r="I219" s="1063"/>
      <c r="J219" s="814"/>
      <c r="K219" s="814"/>
      <c r="L219" s="814"/>
      <c r="O219" s="814"/>
      <c r="P219" s="814"/>
      <c r="Q219" s="814"/>
      <c r="R219" s="814"/>
      <c r="S219" s="814"/>
      <c r="T219" s="814"/>
      <c r="U219" s="814"/>
    </row>
    <row r="220" spans="1:21" s="979" customFormat="1" ht="18.75" customHeight="1">
      <c r="A220" s="814"/>
      <c r="B220" s="1332" t="s">
        <v>743</v>
      </c>
      <c r="C220" s="1071" t="s">
        <v>744</v>
      </c>
      <c r="D220" s="1113" t="s">
        <v>529</v>
      </c>
      <c r="E220" s="735"/>
      <c r="F220" s="1236"/>
      <c r="I220" s="1063"/>
      <c r="J220" s="814"/>
      <c r="K220" s="814"/>
      <c r="L220" s="814"/>
      <c r="O220" s="814"/>
      <c r="P220" s="814"/>
      <c r="Q220" s="814"/>
      <c r="R220" s="814"/>
      <c r="S220" s="814"/>
      <c r="T220" s="814"/>
      <c r="U220" s="814"/>
    </row>
    <row r="221" spans="1:21" s="979" customFormat="1" ht="15" customHeight="1">
      <c r="A221" s="814"/>
      <c r="B221" s="800">
        <v>38718</v>
      </c>
      <c r="C221" s="800">
        <v>39082</v>
      </c>
      <c r="D221" s="1333">
        <v>360</v>
      </c>
      <c r="E221" s="735"/>
      <c r="F221" s="1236"/>
      <c r="I221" s="1063"/>
      <c r="J221" s="814"/>
      <c r="K221" s="814"/>
      <c r="L221" s="814"/>
      <c r="O221" s="814"/>
      <c r="P221" s="814"/>
      <c r="Q221" s="814"/>
      <c r="R221" s="814"/>
      <c r="S221" s="814"/>
      <c r="T221" s="814"/>
      <c r="U221" s="814"/>
    </row>
    <row r="222" spans="1:21" s="979" customFormat="1" ht="15.75" customHeight="1">
      <c r="A222" s="814"/>
      <c r="B222" s="741" t="s">
        <v>303</v>
      </c>
      <c r="C222" s="811">
        <f>+(D221*C219)/360</f>
        <v>679221.05263157899</v>
      </c>
      <c r="D222" s="1763">
        <v>61.33</v>
      </c>
      <c r="E222" s="741">
        <f>$C$198/D222</f>
        <v>1.6256318278167292</v>
      </c>
      <c r="F222" s="1335">
        <f>+C222*E222</f>
        <v>1104163.3612810767</v>
      </c>
      <c r="G222" s="2503">
        <v>61.33</v>
      </c>
      <c r="I222" s="1063"/>
      <c r="J222" s="814"/>
      <c r="K222" s="814"/>
      <c r="L222" s="814"/>
      <c r="O222" s="814"/>
      <c r="P222" s="814"/>
      <c r="Q222" s="814"/>
      <c r="R222" s="814"/>
      <c r="S222" s="814"/>
      <c r="T222" s="814"/>
      <c r="U222" s="814"/>
    </row>
    <row r="223" spans="1:21" s="979" customFormat="1" ht="15.75" customHeight="1">
      <c r="A223" s="814"/>
      <c r="B223" s="741" t="s">
        <v>32</v>
      </c>
      <c r="C223" s="811">
        <f>+(C222*D221*0.12)/360</f>
        <v>81506.526315789466</v>
      </c>
      <c r="D223" s="1763">
        <v>61.33</v>
      </c>
      <c r="E223" s="741">
        <f>$C$198/D223</f>
        <v>1.6256318278167292</v>
      </c>
      <c r="F223" s="1335">
        <f>+C223*E223</f>
        <v>132499.60335372918</v>
      </c>
      <c r="I223" s="1063"/>
      <c r="J223" s="814"/>
      <c r="K223" s="814"/>
      <c r="L223" s="814"/>
      <c r="O223" s="814"/>
      <c r="P223" s="814"/>
      <c r="Q223" s="814"/>
      <c r="R223" s="814"/>
      <c r="S223" s="814"/>
      <c r="T223" s="814"/>
      <c r="U223" s="814"/>
    </row>
    <row r="224" spans="1:21" s="979" customFormat="1" ht="15.75" customHeight="1">
      <c r="A224" s="814"/>
      <c r="B224" s="741" t="s">
        <v>304</v>
      </c>
      <c r="C224" s="811">
        <f>+(C219*D221)/360</f>
        <v>679221.05263157899</v>
      </c>
      <c r="D224" s="1763">
        <v>61.33</v>
      </c>
      <c r="E224" s="741">
        <f>$C$198/D224</f>
        <v>1.6256318278167292</v>
      </c>
      <c r="F224" s="1335">
        <f>+C224*E224</f>
        <v>1104163.3612810767</v>
      </c>
      <c r="G224" s="814"/>
      <c r="H224" s="814"/>
      <c r="I224" s="1063"/>
      <c r="J224" s="814"/>
      <c r="K224" s="814"/>
      <c r="L224" s="814"/>
      <c r="O224" s="814"/>
      <c r="P224" s="814"/>
      <c r="Q224" s="814"/>
      <c r="R224" s="814"/>
      <c r="S224" s="814"/>
      <c r="T224" s="814"/>
      <c r="U224" s="814"/>
    </row>
    <row r="225" spans="1:21" s="979" customFormat="1" ht="15.75" customHeight="1">
      <c r="A225" s="814"/>
      <c r="B225" s="741" t="s">
        <v>104</v>
      </c>
      <c r="C225" s="812">
        <f>+(C219*D221)/720</f>
        <v>339610.5263157895</v>
      </c>
      <c r="D225" s="1763">
        <v>61.33</v>
      </c>
      <c r="E225" s="741">
        <f>$C$198/D225</f>
        <v>1.6256318278167292</v>
      </c>
      <c r="F225" s="1335">
        <f>+C225*E225</f>
        <v>552081.68064053834</v>
      </c>
      <c r="G225" s="814"/>
      <c r="H225" s="814"/>
      <c r="I225" s="1063"/>
      <c r="J225" s="814"/>
      <c r="K225" s="814"/>
      <c r="L225" s="814"/>
      <c r="O225" s="814"/>
      <c r="P225" s="814"/>
      <c r="Q225" s="814"/>
      <c r="R225" s="814"/>
      <c r="S225" s="814"/>
      <c r="T225" s="814"/>
      <c r="U225" s="814"/>
    </row>
    <row r="226" spans="1:21" s="979" customFormat="1" ht="15.75" customHeight="1">
      <c r="A226" s="814"/>
      <c r="B226" s="1405"/>
      <c r="C226" s="814"/>
      <c r="D226" s="814"/>
      <c r="E226" s="741" t="s">
        <v>97</v>
      </c>
      <c r="F226" s="1335">
        <f>SUM(F222:F225)</f>
        <v>2892908.0065564206</v>
      </c>
      <c r="G226" s="814"/>
      <c r="H226" s="814"/>
      <c r="I226" s="1063"/>
      <c r="J226" s="814"/>
      <c r="K226" s="814"/>
      <c r="L226" s="814"/>
      <c r="O226" s="814"/>
      <c r="P226" s="814"/>
      <c r="Q226" s="814"/>
      <c r="R226" s="814"/>
      <c r="S226" s="814"/>
      <c r="T226" s="814"/>
      <c r="U226" s="814"/>
    </row>
    <row r="227" spans="1:21" s="979" customFormat="1">
      <c r="A227" s="814"/>
      <c r="B227" s="900" t="s">
        <v>307</v>
      </c>
      <c r="C227" s="814"/>
      <c r="D227" s="814"/>
      <c r="E227" s="814"/>
      <c r="F227" s="911"/>
      <c r="G227" s="814"/>
      <c r="H227" s="814"/>
      <c r="I227" s="1063"/>
      <c r="J227" s="814"/>
      <c r="K227" s="814"/>
      <c r="L227" s="814"/>
      <c r="O227" s="814"/>
      <c r="P227" s="814"/>
      <c r="Q227" s="814"/>
      <c r="R227" s="814"/>
      <c r="S227" s="814"/>
      <c r="T227" s="814"/>
      <c r="U227" s="814"/>
    </row>
    <row r="228" spans="1:21" s="979" customFormat="1">
      <c r="A228" s="814"/>
      <c r="B228" s="900" t="s">
        <v>741</v>
      </c>
      <c r="C228" s="1404">
        <v>99.7</v>
      </c>
      <c r="D228" s="814"/>
      <c r="E228" s="814"/>
      <c r="F228" s="911"/>
      <c r="G228" s="814"/>
      <c r="H228" s="814"/>
      <c r="I228" s="1063"/>
      <c r="J228" s="814"/>
      <c r="K228" s="814"/>
      <c r="L228" s="814"/>
      <c r="O228" s="814"/>
      <c r="P228" s="814"/>
      <c r="Q228" s="814"/>
      <c r="R228" s="814"/>
      <c r="S228" s="814"/>
      <c r="T228" s="814"/>
      <c r="U228" s="814"/>
    </row>
    <row r="229" spans="1:21" s="979" customFormat="1" ht="25.5">
      <c r="A229" s="814"/>
      <c r="B229" s="809" t="s">
        <v>747</v>
      </c>
      <c r="C229" s="810">
        <v>669083.33333333337</v>
      </c>
      <c r="D229" s="735"/>
      <c r="E229" s="735" t="s">
        <v>77</v>
      </c>
      <c r="F229" s="1236" t="s">
        <v>253</v>
      </c>
      <c r="G229" s="814"/>
      <c r="H229" s="814"/>
      <c r="I229" s="1063"/>
      <c r="J229" s="814"/>
      <c r="K229" s="814"/>
      <c r="L229" s="814"/>
      <c r="O229" s="814"/>
      <c r="P229" s="814"/>
      <c r="Q229" s="814"/>
      <c r="R229" s="814"/>
      <c r="S229" s="814"/>
      <c r="T229" s="814"/>
      <c r="U229" s="814"/>
    </row>
    <row r="230" spans="1:21" s="979" customFormat="1">
      <c r="A230" s="814"/>
      <c r="B230" s="1332" t="s">
        <v>743</v>
      </c>
      <c r="C230" s="1071" t="s">
        <v>744</v>
      </c>
      <c r="D230" s="1113" t="s">
        <v>529</v>
      </c>
      <c r="E230" s="735"/>
      <c r="F230" s="1236"/>
      <c r="G230" s="814"/>
      <c r="H230" s="814"/>
      <c r="I230" s="1063"/>
      <c r="J230" s="814"/>
      <c r="K230" s="814"/>
      <c r="L230" s="814"/>
      <c r="O230" s="814"/>
      <c r="P230" s="814"/>
      <c r="Q230" s="814"/>
      <c r="R230" s="814"/>
      <c r="S230" s="814"/>
      <c r="T230" s="814"/>
      <c r="U230" s="814"/>
    </row>
    <row r="231" spans="1:21" s="979" customFormat="1">
      <c r="A231" s="814"/>
      <c r="B231" s="800">
        <v>39083</v>
      </c>
      <c r="C231" s="800">
        <v>39447</v>
      </c>
      <c r="D231" s="1333">
        <v>360</v>
      </c>
      <c r="E231" s="735"/>
      <c r="F231" s="1236"/>
      <c r="G231" s="814"/>
      <c r="H231" s="814"/>
      <c r="I231" s="1063"/>
      <c r="J231" s="814"/>
      <c r="K231" s="814"/>
      <c r="L231" s="814"/>
      <c r="O231" s="814"/>
      <c r="P231" s="814"/>
      <c r="Q231" s="814"/>
      <c r="R231" s="814"/>
      <c r="S231" s="814"/>
      <c r="T231" s="814"/>
      <c r="U231" s="814"/>
    </row>
    <row r="232" spans="1:21">
      <c r="B232" s="741" t="s">
        <v>303</v>
      </c>
      <c r="C232" s="811">
        <f>+(D231*C229)/360</f>
        <v>669083.33333333337</v>
      </c>
      <c r="D232" s="1763">
        <v>64.819999999999993</v>
      </c>
      <c r="E232" s="741">
        <f>$C$198/D232</f>
        <v>1.5381055229867326</v>
      </c>
      <c r="F232" s="1335">
        <f>+C232*E232</f>
        <v>1029120.7703383731</v>
      </c>
      <c r="G232" s="2503">
        <v>64.819999999999993</v>
      </c>
      <c r="I232" s="1063"/>
    </row>
    <row r="233" spans="1:21">
      <c r="B233" s="741" t="s">
        <v>32</v>
      </c>
      <c r="C233" s="811">
        <f>+(C232*D231*0.12)/360</f>
        <v>80290</v>
      </c>
      <c r="D233" s="1763">
        <v>64.819999999999993</v>
      </c>
      <c r="E233" s="741">
        <f>$C$198/D233</f>
        <v>1.5381055229867326</v>
      </c>
      <c r="F233" s="1335">
        <f>+C233*E233</f>
        <v>123494.49244060476</v>
      </c>
    </row>
    <row r="234" spans="1:21">
      <c r="B234" s="741" t="s">
        <v>304</v>
      </c>
      <c r="C234" s="811">
        <f>+(D231*C229)/360</f>
        <v>669083.33333333337</v>
      </c>
      <c r="D234" s="1763">
        <v>64.819999999999993</v>
      </c>
      <c r="E234" s="741">
        <f>$C$198/D234</f>
        <v>1.5381055229867326</v>
      </c>
      <c r="F234" s="1335">
        <f>+C234*E234</f>
        <v>1029120.7703383731</v>
      </c>
    </row>
    <row r="235" spans="1:21">
      <c r="B235" s="741" t="s">
        <v>104</v>
      </c>
      <c r="C235" s="812">
        <f>+(C229*D231)/720</f>
        <v>334541.66666666669</v>
      </c>
      <c r="D235" s="1763">
        <v>64.819999999999993</v>
      </c>
      <c r="E235" s="741">
        <f>$C$198/D235</f>
        <v>1.5381055229867326</v>
      </c>
      <c r="F235" s="1335">
        <f>+C235*E235</f>
        <v>514560.38516918657</v>
      </c>
    </row>
    <row r="236" spans="1:21" ht="12" customHeight="1">
      <c r="B236" s="1405"/>
      <c r="E236" s="741" t="s">
        <v>97</v>
      </c>
      <c r="F236" s="1335">
        <f>SUM(F232:F235)</f>
        <v>2696296.4182865378</v>
      </c>
    </row>
    <row r="237" spans="1:21">
      <c r="B237" s="900" t="s">
        <v>307</v>
      </c>
    </row>
    <row r="238" spans="1:21">
      <c r="B238" s="900" t="s">
        <v>741</v>
      </c>
      <c r="C238" s="1404">
        <v>99.7</v>
      </c>
    </row>
    <row r="239" spans="1:21" ht="25.5">
      <c r="B239" s="809" t="s">
        <v>748</v>
      </c>
      <c r="C239" s="810">
        <v>857721.08333333337</v>
      </c>
      <c r="D239" s="735"/>
      <c r="E239" s="735" t="s">
        <v>77</v>
      </c>
      <c r="F239" s="1236" t="s">
        <v>253</v>
      </c>
    </row>
    <row r="240" spans="1:21">
      <c r="B240" s="1332" t="s">
        <v>743</v>
      </c>
      <c r="C240" s="1071" t="s">
        <v>744</v>
      </c>
      <c r="D240" s="1113" t="s">
        <v>529</v>
      </c>
      <c r="E240" s="735"/>
      <c r="F240" s="1236"/>
    </row>
    <row r="241" spans="2:7">
      <c r="B241" s="800">
        <v>39448</v>
      </c>
      <c r="C241" s="800">
        <v>39813</v>
      </c>
      <c r="D241" s="1333">
        <v>360</v>
      </c>
      <c r="E241" s="735"/>
      <c r="F241" s="1236"/>
      <c r="G241" s="2503">
        <v>69.8</v>
      </c>
    </row>
    <row r="242" spans="2:7">
      <c r="B242" s="741" t="s">
        <v>303</v>
      </c>
      <c r="C242" s="811">
        <f>+(D241*C239)/360</f>
        <v>857721.08333333337</v>
      </c>
      <c r="D242" s="1763">
        <v>69.8</v>
      </c>
      <c r="E242" s="741">
        <f>$C$198/D242</f>
        <v>1.4283667621776506</v>
      </c>
      <c r="F242" s="1335">
        <f>+C242*E242</f>
        <v>1225140.2866523401</v>
      </c>
    </row>
    <row r="243" spans="2:7">
      <c r="B243" s="741" t="s">
        <v>32</v>
      </c>
      <c r="C243" s="811">
        <f>+(C242*D241*0.12)/360</f>
        <v>102926.53</v>
      </c>
      <c r="D243" s="1763">
        <v>69.8</v>
      </c>
      <c r="E243" s="741">
        <f>$C$198/D243</f>
        <v>1.4283667621776506</v>
      </c>
      <c r="F243" s="1335">
        <f>+C243*E243</f>
        <v>147016.83439828083</v>
      </c>
    </row>
    <row r="244" spans="2:7">
      <c r="B244" s="741" t="s">
        <v>304</v>
      </c>
      <c r="C244" s="811">
        <f>+(D241*C239)/360</f>
        <v>857721.08333333337</v>
      </c>
      <c r="D244" s="1763">
        <v>69.8</v>
      </c>
      <c r="E244" s="741">
        <f>$C$198/D244</f>
        <v>1.4283667621776506</v>
      </c>
      <c r="F244" s="1335">
        <f>+C244*E244</f>
        <v>1225140.2866523401</v>
      </c>
    </row>
    <row r="245" spans="2:7">
      <c r="B245" s="741" t="s">
        <v>104</v>
      </c>
      <c r="C245" s="812">
        <f>+(C239*D241)/720</f>
        <v>428860.54166666669</v>
      </c>
      <c r="D245" s="1763">
        <v>69.8</v>
      </c>
      <c r="E245" s="741">
        <f>$C$198/D245</f>
        <v>1.4283667621776506</v>
      </c>
      <c r="F245" s="1335">
        <f>+C245*E245</f>
        <v>612570.14332617004</v>
      </c>
    </row>
    <row r="246" spans="2:7">
      <c r="B246" s="1405"/>
      <c r="E246" s="741" t="s">
        <v>97</v>
      </c>
      <c r="F246" s="1335">
        <f>SUM(F242:F245)</f>
        <v>3209867.5510291308</v>
      </c>
    </row>
    <row r="247" spans="2:7">
      <c r="B247" s="900" t="s">
        <v>307</v>
      </c>
    </row>
    <row r="248" spans="2:7">
      <c r="B248" s="900" t="s">
        <v>741</v>
      </c>
      <c r="C248" s="1404">
        <v>99.7</v>
      </c>
    </row>
    <row r="249" spans="2:7" ht="25.5">
      <c r="B249" s="809" t="s">
        <v>749</v>
      </c>
      <c r="C249" s="810">
        <v>1500000</v>
      </c>
      <c r="D249" s="735"/>
      <c r="E249" s="735" t="s">
        <v>77</v>
      </c>
      <c r="F249" s="1236" t="s">
        <v>253</v>
      </c>
    </row>
    <row r="250" spans="2:7">
      <c r="B250" s="1332" t="s">
        <v>743</v>
      </c>
      <c r="C250" s="1071" t="s">
        <v>744</v>
      </c>
      <c r="D250" s="1113" t="s">
        <v>529</v>
      </c>
      <c r="E250" s="735"/>
      <c r="F250" s="1236"/>
    </row>
    <row r="251" spans="2:7">
      <c r="B251" s="800">
        <v>39814</v>
      </c>
      <c r="C251" s="800">
        <v>40178</v>
      </c>
      <c r="D251" s="1333">
        <v>360</v>
      </c>
      <c r="E251" s="735"/>
      <c r="F251" s="1236"/>
      <c r="G251" s="2503">
        <v>71.2</v>
      </c>
    </row>
    <row r="252" spans="2:7">
      <c r="B252" s="741" t="s">
        <v>303</v>
      </c>
      <c r="C252" s="811">
        <f>+(C249*D251)/360</f>
        <v>1500000</v>
      </c>
      <c r="D252" s="1763">
        <v>71.2</v>
      </c>
      <c r="E252" s="741">
        <f>$C$198/D252</f>
        <v>1.4002808988764044</v>
      </c>
      <c r="F252" s="1335">
        <f>+C252*E252</f>
        <v>2100421.3483146066</v>
      </c>
    </row>
    <row r="253" spans="2:7">
      <c r="B253" s="741" t="s">
        <v>32</v>
      </c>
      <c r="C253" s="811">
        <f>+(C252*D251*0.12)/360</f>
        <v>180000</v>
      </c>
      <c r="D253" s="1763">
        <v>71.2</v>
      </c>
      <c r="E253" s="741">
        <f>$C$198/D253</f>
        <v>1.4002808988764044</v>
      </c>
      <c r="F253" s="1335">
        <f>+C253*E253</f>
        <v>252050.5617977528</v>
      </c>
    </row>
    <row r="254" spans="2:7">
      <c r="B254" s="741" t="s">
        <v>304</v>
      </c>
      <c r="C254" s="811">
        <f>+(D251*C249)/360</f>
        <v>1500000</v>
      </c>
      <c r="D254" s="1763">
        <v>71.2</v>
      </c>
      <c r="E254" s="741">
        <f>$C$198/D254</f>
        <v>1.4002808988764044</v>
      </c>
      <c r="F254" s="1335">
        <f>+C254*E254</f>
        <v>2100421.3483146066</v>
      </c>
    </row>
    <row r="255" spans="2:7">
      <c r="B255" s="741" t="s">
        <v>104</v>
      </c>
      <c r="C255" s="812">
        <f>+(C249*D251)/720</f>
        <v>750000</v>
      </c>
      <c r="D255" s="1763">
        <v>71.2</v>
      </c>
      <c r="E255" s="741">
        <f>$C$198/D255</f>
        <v>1.4002808988764044</v>
      </c>
      <c r="F255" s="1335">
        <f>+C255*E255</f>
        <v>1050210.6741573033</v>
      </c>
    </row>
    <row r="256" spans="2:7">
      <c r="E256" s="741" t="s">
        <v>97</v>
      </c>
      <c r="F256" s="1335">
        <f>SUM(F252:F255)</f>
        <v>5503103.932584269</v>
      </c>
    </row>
    <row r="257" spans="2:7">
      <c r="B257" s="900" t="s">
        <v>307</v>
      </c>
    </row>
    <row r="258" spans="2:7">
      <c r="B258" s="900" t="s">
        <v>741</v>
      </c>
      <c r="C258" s="1404">
        <v>99.7</v>
      </c>
    </row>
    <row r="259" spans="2:7" ht="25.5">
      <c r="B259" s="809" t="s">
        <v>750</v>
      </c>
      <c r="C259" s="810">
        <v>1500000</v>
      </c>
      <c r="D259" s="735"/>
      <c r="E259" s="735" t="s">
        <v>77</v>
      </c>
      <c r="F259" s="1236" t="s">
        <v>253</v>
      </c>
    </row>
    <row r="260" spans="2:7">
      <c r="B260" s="1332" t="s">
        <v>743</v>
      </c>
      <c r="C260" s="1071" t="s">
        <v>744</v>
      </c>
      <c r="D260" s="1113" t="s">
        <v>529</v>
      </c>
      <c r="E260" s="735"/>
      <c r="F260" s="1236"/>
    </row>
    <row r="261" spans="2:7">
      <c r="B261" s="800">
        <v>40179</v>
      </c>
      <c r="C261" s="800">
        <v>40543</v>
      </c>
      <c r="D261" s="1333">
        <v>360</v>
      </c>
      <c r="E261" s="735"/>
      <c r="F261" s="1236"/>
      <c r="G261" s="2503">
        <v>73.45</v>
      </c>
    </row>
    <row r="262" spans="2:7">
      <c r="B262" s="741" t="s">
        <v>303</v>
      </c>
      <c r="C262" s="811">
        <f>+(D261*C259)/360</f>
        <v>1500000</v>
      </c>
      <c r="D262" s="1763">
        <v>73.45</v>
      </c>
      <c r="E262" s="741">
        <f>$C$198/D262</f>
        <v>1.3573859768550034</v>
      </c>
      <c r="F262" s="1335">
        <f>+C262*E262</f>
        <v>2036078.9652825051</v>
      </c>
    </row>
    <row r="263" spans="2:7">
      <c r="B263" s="741" t="s">
        <v>32</v>
      </c>
      <c r="C263" s="811">
        <f>+(C262*D261*0.12)/360</f>
        <v>180000</v>
      </c>
      <c r="D263" s="1763">
        <v>73.45</v>
      </c>
      <c r="E263" s="741">
        <f>$C$198/D263</f>
        <v>1.3573859768550034</v>
      </c>
      <c r="F263" s="1335">
        <f>+C263*E263</f>
        <v>244329.47583390062</v>
      </c>
    </row>
    <row r="264" spans="2:7">
      <c r="B264" s="741" t="s">
        <v>304</v>
      </c>
      <c r="C264" s="811">
        <f>+(C259*D261)/360</f>
        <v>1500000</v>
      </c>
      <c r="D264" s="1763">
        <v>73.45</v>
      </c>
      <c r="E264" s="741">
        <f>$C$198/D264</f>
        <v>1.3573859768550034</v>
      </c>
      <c r="F264" s="1335">
        <f>+C264*E264</f>
        <v>2036078.9652825051</v>
      </c>
    </row>
    <row r="265" spans="2:7">
      <c r="B265" s="741" t="s">
        <v>104</v>
      </c>
      <c r="C265" s="812">
        <f>+(C259*D261)/720</f>
        <v>750000</v>
      </c>
      <c r="D265" s="1763">
        <v>73.45</v>
      </c>
      <c r="E265" s="741">
        <f>$C$198/D265</f>
        <v>1.3573859768550034</v>
      </c>
      <c r="F265" s="1335">
        <f>+C265*E265</f>
        <v>1018039.4826412526</v>
      </c>
    </row>
    <row r="266" spans="2:7">
      <c r="E266" s="741" t="s">
        <v>97</v>
      </c>
      <c r="F266" s="1335">
        <f>SUM(F262:F265)</f>
        <v>5334526.8890401637</v>
      </c>
    </row>
    <row r="267" spans="2:7">
      <c r="B267" s="900" t="s">
        <v>307</v>
      </c>
    </row>
    <row r="268" spans="2:7">
      <c r="B268" s="900" t="s">
        <v>741</v>
      </c>
      <c r="C268" s="1404">
        <v>99.7</v>
      </c>
    </row>
    <row r="269" spans="2:7" ht="25.5">
      <c r="B269" s="809" t="s">
        <v>751</v>
      </c>
      <c r="C269" s="810">
        <v>1700000</v>
      </c>
      <c r="D269" s="735"/>
      <c r="E269" s="735" t="s">
        <v>77</v>
      </c>
      <c r="F269" s="1236" t="s">
        <v>253</v>
      </c>
    </row>
    <row r="270" spans="2:7">
      <c r="B270" s="1332" t="s">
        <v>743</v>
      </c>
      <c r="C270" s="1071" t="s">
        <v>744</v>
      </c>
      <c r="D270" s="1113" t="s">
        <v>529</v>
      </c>
      <c r="E270" s="735"/>
      <c r="F270" s="1236"/>
    </row>
    <row r="271" spans="2:7">
      <c r="B271" s="800">
        <v>40544</v>
      </c>
      <c r="C271" s="800">
        <v>40908</v>
      </c>
      <c r="D271" s="1333">
        <v>360</v>
      </c>
      <c r="E271" s="735"/>
      <c r="F271" s="1236"/>
      <c r="G271" s="2503">
        <v>76.19</v>
      </c>
    </row>
    <row r="272" spans="2:7">
      <c r="B272" s="741" t="s">
        <v>303</v>
      </c>
      <c r="C272" s="811">
        <f>+(D271*C269)/360</f>
        <v>1700000</v>
      </c>
      <c r="D272" s="1763">
        <v>76.19</v>
      </c>
      <c r="E272" s="741">
        <f>$C$198/D272</f>
        <v>1.308570678566741</v>
      </c>
      <c r="F272" s="1335">
        <f>+C272*E272</f>
        <v>2224570.1535634599</v>
      </c>
    </row>
    <row r="273" spans="2:7">
      <c r="B273" s="741" t="s">
        <v>32</v>
      </c>
      <c r="C273" s="811">
        <f>+(C272*D271*0.12)/360</f>
        <v>204000</v>
      </c>
      <c r="D273" s="1763">
        <v>76.19</v>
      </c>
      <c r="E273" s="741">
        <f>$C$198/D273</f>
        <v>1.308570678566741</v>
      </c>
      <c r="F273" s="1335">
        <f>+C273*E273</f>
        <v>266948.41842761519</v>
      </c>
    </row>
    <row r="274" spans="2:7">
      <c r="B274" s="741" t="s">
        <v>304</v>
      </c>
      <c r="C274" s="811">
        <f>+(C269*D271)/360</f>
        <v>1700000</v>
      </c>
      <c r="D274" s="1763">
        <v>76.19</v>
      </c>
      <c r="E274" s="741">
        <f>$C$198/D274</f>
        <v>1.308570678566741</v>
      </c>
      <c r="F274" s="1335">
        <f>+C274*E274</f>
        <v>2224570.1535634599</v>
      </c>
    </row>
    <row r="275" spans="2:7">
      <c r="B275" s="741" t="s">
        <v>104</v>
      </c>
      <c r="C275" s="812">
        <f>+(C269*D271)/720</f>
        <v>850000</v>
      </c>
      <c r="D275" s="1763">
        <v>76.19</v>
      </c>
      <c r="E275" s="741">
        <f>$C$198/D275</f>
        <v>1.308570678566741</v>
      </c>
      <c r="F275" s="1335">
        <f>+C275*E275</f>
        <v>1112285.0767817299</v>
      </c>
    </row>
    <row r="276" spans="2:7">
      <c r="E276" s="741" t="s">
        <v>97</v>
      </c>
      <c r="F276" s="1335">
        <f>SUM(F272:F275)</f>
        <v>5828373.8023362653</v>
      </c>
    </row>
    <row r="277" spans="2:7">
      <c r="B277" s="900" t="s">
        <v>307</v>
      </c>
    </row>
    <row r="278" spans="2:7">
      <c r="B278" s="900" t="s">
        <v>741</v>
      </c>
      <c r="C278" s="1404">
        <v>99.7</v>
      </c>
    </row>
    <row r="279" spans="2:7" ht="25.5">
      <c r="B279" s="809" t="s">
        <v>752</v>
      </c>
      <c r="C279" s="1068">
        <v>1763410</v>
      </c>
      <c r="D279" s="735"/>
      <c r="E279" s="735" t="s">
        <v>77</v>
      </c>
      <c r="F279" s="1236" t="s">
        <v>253</v>
      </c>
    </row>
    <row r="280" spans="2:7">
      <c r="B280" s="1332" t="s">
        <v>743</v>
      </c>
      <c r="C280" s="1071" t="s">
        <v>744</v>
      </c>
      <c r="D280" s="1113" t="s">
        <v>529</v>
      </c>
      <c r="E280" s="735"/>
      <c r="F280" s="1236"/>
    </row>
    <row r="281" spans="2:7">
      <c r="B281" s="800">
        <v>40909</v>
      </c>
      <c r="C281" s="800">
        <v>41274</v>
      </c>
      <c r="D281" s="1333">
        <v>360</v>
      </c>
      <c r="E281" s="735"/>
      <c r="F281" s="1236"/>
      <c r="G281" s="2503">
        <v>78.05</v>
      </c>
    </row>
    <row r="282" spans="2:7">
      <c r="B282" s="741" t="s">
        <v>303</v>
      </c>
      <c r="C282" s="811">
        <f>+(D281*C279)/360</f>
        <v>1763410</v>
      </c>
      <c r="D282" s="1763">
        <v>78.05</v>
      </c>
      <c r="E282" s="741">
        <f>$C$198/D282</f>
        <v>1.2773862908392057</v>
      </c>
      <c r="F282" s="1335">
        <f>+C282*E282</f>
        <v>2252555.7591287638</v>
      </c>
    </row>
    <row r="283" spans="2:7">
      <c r="B283" s="741" t="s">
        <v>32</v>
      </c>
      <c r="C283" s="811">
        <f>+(C282*D281*0.12)/360</f>
        <v>211609.2</v>
      </c>
      <c r="D283" s="1763">
        <v>78.05</v>
      </c>
      <c r="E283" s="741">
        <f>$C$198/D283</f>
        <v>1.2773862908392057</v>
      </c>
      <c r="F283" s="1335">
        <f>+C283*E283</f>
        <v>270306.69109545165</v>
      </c>
    </row>
    <row r="284" spans="2:7">
      <c r="B284" s="741" t="s">
        <v>304</v>
      </c>
      <c r="C284" s="811">
        <f>+(C279*D281)/360</f>
        <v>1763410</v>
      </c>
      <c r="D284" s="1763">
        <v>78.05</v>
      </c>
      <c r="E284" s="741">
        <f>$C$198/D284</f>
        <v>1.2773862908392057</v>
      </c>
      <c r="F284" s="1335">
        <f>+C284*E284</f>
        <v>2252555.7591287638</v>
      </c>
    </row>
    <row r="285" spans="2:7">
      <c r="B285" s="741" t="s">
        <v>104</v>
      </c>
      <c r="C285" s="812">
        <f>+(C279*D281)/720</f>
        <v>881705</v>
      </c>
      <c r="D285" s="1763">
        <v>78.05</v>
      </c>
      <c r="E285" s="741">
        <f>$C$198/D285</f>
        <v>1.2773862908392057</v>
      </c>
      <c r="F285" s="1335">
        <f>+C285*E285</f>
        <v>1126277.8795643819</v>
      </c>
    </row>
    <row r="286" spans="2:7">
      <c r="D286" s="1764"/>
      <c r="E286" s="741" t="s">
        <v>97</v>
      </c>
      <c r="F286" s="1335">
        <f>SUM(F282:F285)</f>
        <v>5901696.0889173616</v>
      </c>
    </row>
    <row r="287" spans="2:7">
      <c r="B287" s="900" t="s">
        <v>307</v>
      </c>
    </row>
    <row r="288" spans="2:7">
      <c r="B288" s="900" t="s">
        <v>741</v>
      </c>
      <c r="C288" s="1404">
        <v>99.7</v>
      </c>
    </row>
    <row r="289" spans="1:8" ht="38.25">
      <c r="B289" s="809" t="s">
        <v>753</v>
      </c>
      <c r="C289" s="810">
        <v>1800000</v>
      </c>
      <c r="D289" s="735"/>
      <c r="E289" s="735" t="s">
        <v>77</v>
      </c>
      <c r="F289" s="1236" t="s">
        <v>253</v>
      </c>
    </row>
    <row r="290" spans="1:8">
      <c r="B290" s="1332" t="s">
        <v>743</v>
      </c>
      <c r="C290" s="1071" t="s">
        <v>744</v>
      </c>
      <c r="D290" s="1113" t="s">
        <v>529</v>
      </c>
      <c r="E290" s="735"/>
      <c r="F290" s="1236"/>
    </row>
    <row r="291" spans="1:8">
      <c r="B291" s="800">
        <v>41275</v>
      </c>
      <c r="C291" s="800">
        <v>41639</v>
      </c>
      <c r="D291" s="1333">
        <v>360</v>
      </c>
      <c r="E291" s="735"/>
      <c r="F291" s="1236"/>
    </row>
    <row r="292" spans="1:8">
      <c r="B292" s="741" t="s">
        <v>303</v>
      </c>
      <c r="C292" s="811">
        <f>+(D291*C289)/360</f>
        <v>1800000</v>
      </c>
      <c r="D292" s="1763">
        <v>79.56</v>
      </c>
      <c r="E292" s="741">
        <f>$C$198/D292</f>
        <v>1.2531422825540472</v>
      </c>
      <c r="F292" s="1335">
        <f>+C292*E292</f>
        <v>2255656.1085972851</v>
      </c>
      <c r="G292" s="2503">
        <v>79.56</v>
      </c>
    </row>
    <row r="293" spans="1:8">
      <c r="B293" s="741" t="s">
        <v>32</v>
      </c>
      <c r="C293" s="811">
        <f>+(C292*D291*0.12)/360</f>
        <v>216000</v>
      </c>
      <c r="D293" s="1763">
        <v>79.56</v>
      </c>
      <c r="E293" s="741">
        <f>$C$198/D293</f>
        <v>1.2531422825540472</v>
      </c>
      <c r="F293" s="1335">
        <f>+C293*E293</f>
        <v>270678.73303167423</v>
      </c>
    </row>
    <row r="294" spans="1:8">
      <c r="B294" s="741" t="s">
        <v>304</v>
      </c>
      <c r="C294" s="811">
        <f>+(C289*D291)/360</f>
        <v>1800000</v>
      </c>
      <c r="D294" s="1763">
        <v>79.56</v>
      </c>
      <c r="E294" s="741">
        <f>$C$198/D294</f>
        <v>1.2531422825540472</v>
      </c>
      <c r="F294" s="1335">
        <f>+C294*E294</f>
        <v>2255656.1085972851</v>
      </c>
    </row>
    <row r="295" spans="1:8">
      <c r="B295" s="741" t="s">
        <v>104</v>
      </c>
      <c r="C295" s="812">
        <f>+(C289*D291)/720</f>
        <v>900000</v>
      </c>
      <c r="D295" s="1763">
        <v>79.56</v>
      </c>
      <c r="E295" s="741">
        <f>$C$198/D295</f>
        <v>1.2531422825540472</v>
      </c>
      <c r="F295" s="1335">
        <f>+C295*E295</f>
        <v>1127828.0542986426</v>
      </c>
    </row>
    <row r="296" spans="1:8">
      <c r="E296" s="741" t="s">
        <v>97</v>
      </c>
      <c r="F296" s="1335">
        <f>SUM(F292:F295)</f>
        <v>5909819.0045248866</v>
      </c>
    </row>
    <row r="297" spans="1:8" ht="13.5" thickBot="1">
      <c r="B297" s="1117" t="s">
        <v>754</v>
      </c>
      <c r="C297" s="1040"/>
      <c r="D297" s="1040"/>
      <c r="E297" s="1040" t="s">
        <v>67</v>
      </c>
      <c r="F297" s="1336">
        <f>+F206+F216+F226+F236+F246+F256+F266+F276+F286+F296</f>
        <v>40756349.380978689</v>
      </c>
    </row>
    <row r="298" spans="1:8" ht="13.5" thickTop="1">
      <c r="B298" s="900"/>
      <c r="F298" s="1337"/>
    </row>
    <row r="299" spans="1:8">
      <c r="B299" s="900" t="str">
        <f>+B4</f>
        <v>Fecha Ejecutoriada</v>
      </c>
      <c r="C299" s="815">
        <v>43430</v>
      </c>
    </row>
    <row r="300" spans="1:8" ht="17.25" customHeight="1">
      <c r="B300" s="2686" t="s">
        <v>160</v>
      </c>
      <c r="C300" s="2686"/>
      <c r="D300" s="2686"/>
      <c r="E300" s="2686"/>
      <c r="F300" s="2686"/>
      <c r="G300" s="2686"/>
      <c r="H300" s="2686"/>
    </row>
    <row r="301" spans="1:8" ht="23.25" customHeight="1">
      <c r="B301" s="923" t="s">
        <v>337</v>
      </c>
      <c r="C301" s="923" t="s">
        <v>40</v>
      </c>
      <c r="D301" s="970" t="s">
        <v>755</v>
      </c>
      <c r="E301" s="970" t="s">
        <v>43</v>
      </c>
      <c r="F301" s="1338" t="s">
        <v>129</v>
      </c>
      <c r="G301" s="1119" t="s">
        <v>47</v>
      </c>
      <c r="H301" s="970" t="s">
        <v>48</v>
      </c>
    </row>
    <row r="302" spans="1:8">
      <c r="A302" s="814">
        <v>1</v>
      </c>
      <c r="B302" s="800">
        <v>43431</v>
      </c>
      <c r="C302" s="800">
        <v>43434</v>
      </c>
      <c r="D302" s="1120">
        <v>4.4200000000000003E-2</v>
      </c>
      <c r="E302" s="1120">
        <f>((1+D302)^(1/365)-1)</f>
        <v>1.185030263928244E-4</v>
      </c>
      <c r="F302" s="1339">
        <f>+$F$297</f>
        <v>40756349.380978689</v>
      </c>
      <c r="G302" s="1122">
        <f>_xlfn.DAYS(C302,B302)+1</f>
        <v>4</v>
      </c>
      <c r="H302" s="811">
        <f>+F302*G302*E302</f>
        <v>19319.00298547716</v>
      </c>
    </row>
    <row r="303" spans="1:8">
      <c r="A303" s="814">
        <v>2</v>
      </c>
      <c r="B303" s="800">
        <v>43435</v>
      </c>
      <c r="C303" s="800">
        <v>43465</v>
      </c>
      <c r="D303" s="1120">
        <v>4.5400000000000003E-2</v>
      </c>
      <c r="E303" s="1120">
        <f t="shared" ref="E303:E341" si="49">((1+D303)^(1/365)-1)</f>
        <v>1.2165010369624696E-4</v>
      </c>
      <c r="F303" s="1339">
        <f t="shared" ref="F303:F341" si="50">+$F$297</f>
        <v>40756349.380978689</v>
      </c>
      <c r="G303" s="1122">
        <f>_xlfn.DAYS(C303,B303)+1</f>
        <v>31</v>
      </c>
      <c r="H303" s="811">
        <f t="shared" ref="H303:H335" si="51">+F303*G303*E303</f>
        <v>153698.43798277239</v>
      </c>
    </row>
    <row r="304" spans="1:8">
      <c r="A304" s="814">
        <v>3</v>
      </c>
      <c r="B304" s="800">
        <v>43466</v>
      </c>
      <c r="C304" s="800">
        <v>43496</v>
      </c>
      <c r="D304" s="1120">
        <v>4.5600000000000002E-2</v>
      </c>
      <c r="E304" s="1120">
        <f t="shared" si="49"/>
        <v>1.2217426630578565E-4</v>
      </c>
      <c r="F304" s="1339">
        <f t="shared" si="50"/>
        <v>40756349.380978689</v>
      </c>
      <c r="G304" s="1122">
        <f t="shared" ref="G304:G341" si="52">_xlfn.DAYS(C304,B304)+1</f>
        <v>31</v>
      </c>
      <c r="H304" s="811">
        <f t="shared" si="51"/>
        <v>154360.6895706233</v>
      </c>
    </row>
    <row r="305" spans="1:8">
      <c r="A305" s="814">
        <v>4</v>
      </c>
      <c r="B305" s="800">
        <v>43497</v>
      </c>
      <c r="C305" s="800">
        <v>43522</v>
      </c>
      <c r="D305" s="1120">
        <v>4.5699999999999998E-2</v>
      </c>
      <c r="E305" s="1120">
        <f t="shared" si="49"/>
        <v>1.2243631011710221E-4</v>
      </c>
      <c r="F305" s="1339">
        <f t="shared" si="50"/>
        <v>40756349.380978689</v>
      </c>
      <c r="G305" s="1122">
        <f t="shared" si="52"/>
        <v>26</v>
      </c>
      <c r="H305" s="811">
        <f t="shared" si="51"/>
        <v>129741.48283331232</v>
      </c>
    </row>
    <row r="306" spans="1:8">
      <c r="A306" s="1348" t="s">
        <v>756</v>
      </c>
      <c r="C306" s="800"/>
      <c r="D306" s="1120"/>
      <c r="E306" s="1120"/>
      <c r="F306" s="1339"/>
      <c r="G306" s="1122"/>
      <c r="H306" s="811"/>
    </row>
    <row r="307" spans="1:8">
      <c r="A307" s="814">
        <v>5</v>
      </c>
      <c r="B307" s="800">
        <v>43523</v>
      </c>
      <c r="C307" s="800">
        <v>43537</v>
      </c>
      <c r="D307" s="1120">
        <v>0</v>
      </c>
      <c r="E307" s="1120">
        <v>0</v>
      </c>
      <c r="F307" s="1339">
        <v>0</v>
      </c>
      <c r="G307" s="1122">
        <v>0</v>
      </c>
      <c r="H307" s="811">
        <v>0</v>
      </c>
    </row>
    <row r="308" spans="1:8">
      <c r="A308" s="814">
        <v>6</v>
      </c>
      <c r="B308" s="800">
        <v>43538</v>
      </c>
      <c r="C308" s="800">
        <v>43555</v>
      </c>
      <c r="D308" s="1120">
        <v>4.5499999999999999E-2</v>
      </c>
      <c r="E308" s="1120">
        <f t="shared" si="49"/>
        <v>1.2191219750046223E-4</v>
      </c>
      <c r="F308" s="1339">
        <f t="shared" si="50"/>
        <v>40756349.380978689</v>
      </c>
      <c r="G308" s="1122">
        <f t="shared" si="52"/>
        <v>18</v>
      </c>
      <c r="H308" s="811">
        <f>+F308*G308*E308</f>
        <v>89436.530072370879</v>
      </c>
    </row>
    <row r="309" spans="1:8">
      <c r="A309" s="814">
        <v>7</v>
      </c>
      <c r="B309" s="800">
        <v>43556</v>
      </c>
      <c r="C309" s="800">
        <v>43585</v>
      </c>
      <c r="D309" s="1120">
        <v>4.5400000000000003E-2</v>
      </c>
      <c r="E309" s="1120">
        <f t="shared" si="49"/>
        <v>1.2165010369624696E-4</v>
      </c>
      <c r="F309" s="1339">
        <f t="shared" si="50"/>
        <v>40756349.380978689</v>
      </c>
      <c r="G309" s="1122">
        <f t="shared" si="52"/>
        <v>30</v>
      </c>
      <c r="H309" s="811">
        <f t="shared" si="51"/>
        <v>148740.42385429583</v>
      </c>
    </row>
    <row r="310" spans="1:8">
      <c r="A310" s="814">
        <v>8</v>
      </c>
      <c r="B310" s="800">
        <v>43586</v>
      </c>
      <c r="C310" s="800">
        <v>43616</v>
      </c>
      <c r="D310" s="1120">
        <v>4.4999999999999998E-2</v>
      </c>
      <c r="E310" s="1120">
        <f t="shared" si="49"/>
        <v>1.2060147839498825E-4</v>
      </c>
      <c r="F310" s="1339">
        <f t="shared" si="50"/>
        <v>40756349.380978689</v>
      </c>
      <c r="G310" s="1122">
        <f t="shared" si="52"/>
        <v>31</v>
      </c>
      <c r="H310" s="811">
        <f t="shared" si="51"/>
        <v>152373.55566918952</v>
      </c>
    </row>
    <row r="311" spans="1:8">
      <c r="A311" s="814">
        <v>9</v>
      </c>
      <c r="B311" s="800">
        <v>43617</v>
      </c>
      <c r="C311" s="800">
        <v>43646</v>
      </c>
      <c r="D311" s="1120">
        <v>4.5199999999999997E-2</v>
      </c>
      <c r="E311" s="1120">
        <f t="shared" si="49"/>
        <v>1.2112584107204505E-4</v>
      </c>
      <c r="F311" s="1339">
        <f t="shared" si="50"/>
        <v>40756349.380978689</v>
      </c>
      <c r="G311" s="1122">
        <f t="shared" si="52"/>
        <v>30</v>
      </c>
      <c r="H311" s="811">
        <f t="shared" si="51"/>
        <v>148099.41293391498</v>
      </c>
    </row>
    <row r="312" spans="1:8">
      <c r="A312" s="814">
        <v>10</v>
      </c>
      <c r="B312" s="800">
        <v>43647</v>
      </c>
      <c r="C312" s="800">
        <v>43677</v>
      </c>
      <c r="D312" s="1120">
        <v>4.4699999999999997E-2</v>
      </c>
      <c r="E312" s="1120">
        <f t="shared" si="49"/>
        <v>1.198147466965338E-4</v>
      </c>
      <c r="F312" s="1339">
        <f t="shared" si="50"/>
        <v>40756349.380978689</v>
      </c>
      <c r="G312" s="1122">
        <f t="shared" si="52"/>
        <v>31</v>
      </c>
      <c r="H312" s="811">
        <f t="shared" si="51"/>
        <v>151379.56199807921</v>
      </c>
    </row>
    <row r="313" spans="1:8">
      <c r="A313" s="814">
        <v>11</v>
      </c>
      <c r="B313" s="800">
        <v>43678</v>
      </c>
      <c r="C313" s="800">
        <v>43708</v>
      </c>
      <c r="D313" s="1120">
        <v>4.4299999999999999E-2</v>
      </c>
      <c r="E313" s="1120">
        <f t="shared" si="49"/>
        <v>1.187654205565547E-4</v>
      </c>
      <c r="F313" s="1339">
        <f t="shared" si="50"/>
        <v>40756349.380978689</v>
      </c>
      <c r="G313" s="1122">
        <f t="shared" si="52"/>
        <v>31</v>
      </c>
      <c r="H313" s="811">
        <f t="shared" si="51"/>
        <v>150053.79421203618</v>
      </c>
    </row>
    <row r="314" spans="1:8">
      <c r="A314" s="814">
        <v>12</v>
      </c>
      <c r="B314" s="800">
        <v>43709</v>
      </c>
      <c r="C314" s="800">
        <v>43738</v>
      </c>
      <c r="D314" s="1120">
        <v>0.2898</v>
      </c>
      <c r="E314" s="1120">
        <f t="shared" si="49"/>
        <v>6.9746823462724095E-4</v>
      </c>
      <c r="F314" s="1339">
        <f t="shared" si="50"/>
        <v>40756349.380978689</v>
      </c>
      <c r="G314" s="1122">
        <f t="shared" si="52"/>
        <v>30</v>
      </c>
      <c r="H314" s="811">
        <f t="shared" si="51"/>
        <v>852787.77157806745</v>
      </c>
    </row>
    <row r="315" spans="1:8">
      <c r="A315" s="814">
        <v>13</v>
      </c>
      <c r="B315" s="800">
        <v>43739</v>
      </c>
      <c r="C315" s="800">
        <v>43769</v>
      </c>
      <c r="D315" s="1120">
        <v>0.28649999999999998</v>
      </c>
      <c r="E315" s="1120">
        <f t="shared" si="49"/>
        <v>6.9044469314105683E-4</v>
      </c>
      <c r="F315" s="1339">
        <f t="shared" si="50"/>
        <v>40756349.380978689</v>
      </c>
      <c r="G315" s="1122">
        <f t="shared" si="52"/>
        <v>31</v>
      </c>
      <c r="H315" s="811">
        <f t="shared" si="51"/>
        <v>872340.15939888556</v>
      </c>
    </row>
    <row r="316" spans="1:8">
      <c r="A316" s="814">
        <v>14</v>
      </c>
      <c r="B316" s="800">
        <v>43770</v>
      </c>
      <c r="C316" s="800">
        <v>43799</v>
      </c>
      <c r="D316" s="1120">
        <v>0.28544999999999998</v>
      </c>
      <c r="E316" s="1120">
        <f t="shared" si="49"/>
        <v>6.8820616169262827E-4</v>
      </c>
      <c r="F316" s="1339">
        <f t="shared" si="50"/>
        <v>40756349.380978689</v>
      </c>
      <c r="G316" s="1122">
        <f t="shared" si="52"/>
        <v>30</v>
      </c>
      <c r="H316" s="811">
        <f t="shared" si="51"/>
        <v>841463.12316261209</v>
      </c>
    </row>
    <row r="317" spans="1:8">
      <c r="A317" s="814">
        <v>15</v>
      </c>
      <c r="B317" s="800">
        <v>43800</v>
      </c>
      <c r="C317" s="800">
        <v>43830</v>
      </c>
      <c r="D317" s="1120">
        <v>0.28364999999999996</v>
      </c>
      <c r="E317" s="1120">
        <f t="shared" si="49"/>
        <v>6.8436443340047504E-4</v>
      </c>
      <c r="F317" s="1339">
        <f t="shared" si="50"/>
        <v>40756349.380978689</v>
      </c>
      <c r="G317" s="1122">
        <f t="shared" si="52"/>
        <v>31</v>
      </c>
      <c r="H317" s="811">
        <f t="shared" si="51"/>
        <v>864658.07449914375</v>
      </c>
    </row>
    <row r="318" spans="1:8">
      <c r="A318" s="814">
        <v>16</v>
      </c>
      <c r="B318" s="800">
        <v>43831</v>
      </c>
      <c r="C318" s="800">
        <v>43861</v>
      </c>
      <c r="D318" s="1120">
        <v>0.28155000000000002</v>
      </c>
      <c r="E318" s="1120">
        <f t="shared" si="49"/>
        <v>6.7987562124560696E-4</v>
      </c>
      <c r="F318" s="1339">
        <f t="shared" si="50"/>
        <v>40756349.380978689</v>
      </c>
      <c r="G318" s="1122">
        <f t="shared" si="52"/>
        <v>31</v>
      </c>
      <c r="H318" s="811">
        <f t="shared" si="51"/>
        <v>858986.69900797284</v>
      </c>
    </row>
    <row r="319" spans="1:8">
      <c r="A319" s="814">
        <v>17</v>
      </c>
      <c r="B319" s="800">
        <v>43862</v>
      </c>
      <c r="C319" s="800">
        <v>43890</v>
      </c>
      <c r="D319" s="1120">
        <v>0.28589999999999999</v>
      </c>
      <c r="E319" s="1120">
        <f t="shared" si="49"/>
        <v>6.8916575551658532E-4</v>
      </c>
      <c r="F319" s="1339">
        <f t="shared" si="50"/>
        <v>40756349.380978689</v>
      </c>
      <c r="G319" s="1122">
        <f t="shared" si="52"/>
        <v>29</v>
      </c>
      <c r="H319" s="811">
        <f t="shared" si="51"/>
        <v>814548.52908396279</v>
      </c>
    </row>
    <row r="320" spans="1:8">
      <c r="A320" s="814">
        <v>18</v>
      </c>
      <c r="B320" s="800">
        <v>43891</v>
      </c>
      <c r="C320" s="800">
        <v>43921</v>
      </c>
      <c r="D320" s="1120">
        <v>0.28425</v>
      </c>
      <c r="E320" s="1120">
        <f t="shared" si="49"/>
        <v>6.8564560609574166E-4</v>
      </c>
      <c r="F320" s="1339">
        <f t="shared" si="50"/>
        <v>40756349.380978689</v>
      </c>
      <c r="G320" s="1122">
        <f t="shared" si="52"/>
        <v>31</v>
      </c>
      <c r="H320" s="811">
        <f t="shared" si="51"/>
        <v>866276.76808069914</v>
      </c>
    </row>
    <row r="321" spans="1:8">
      <c r="A321" s="814">
        <v>19</v>
      </c>
      <c r="B321" s="800">
        <v>43922</v>
      </c>
      <c r="C321" s="800">
        <v>43951</v>
      </c>
      <c r="D321" s="1120">
        <v>0.28034999999999999</v>
      </c>
      <c r="E321" s="1120">
        <f t="shared" si="49"/>
        <v>6.7730729113191224E-4</v>
      </c>
      <c r="F321" s="1339">
        <f t="shared" si="50"/>
        <v>40756349.380978689</v>
      </c>
      <c r="G321" s="1122">
        <f t="shared" si="52"/>
        <v>30</v>
      </c>
      <c r="H321" s="811">
        <f t="shared" si="51"/>
        <v>828137.17786969384</v>
      </c>
    </row>
    <row r="322" spans="1:8">
      <c r="A322" s="814">
        <v>20</v>
      </c>
      <c r="B322" s="800">
        <v>43952</v>
      </c>
      <c r="C322" s="800">
        <v>43982</v>
      </c>
      <c r="D322" s="1120">
        <v>0.27285000000000004</v>
      </c>
      <c r="E322" s="1120">
        <f t="shared" si="49"/>
        <v>6.6120063584418354E-4</v>
      </c>
      <c r="F322" s="1339">
        <f t="shared" si="50"/>
        <v>40756349.380978689</v>
      </c>
      <c r="G322" s="1122">
        <f t="shared" si="52"/>
        <v>31</v>
      </c>
      <c r="H322" s="811">
        <f t="shared" si="51"/>
        <v>835391.84788711497</v>
      </c>
    </row>
    <row r="323" spans="1:8">
      <c r="A323" s="814">
        <v>21</v>
      </c>
      <c r="B323" s="800">
        <v>43983</v>
      </c>
      <c r="C323" s="800">
        <v>44012</v>
      </c>
      <c r="D323" s="1120">
        <v>0.27179999999999999</v>
      </c>
      <c r="E323" s="1120">
        <f t="shared" si="49"/>
        <v>6.5893815469997286E-4</v>
      </c>
      <c r="F323" s="1339">
        <f t="shared" si="50"/>
        <v>40756349.380978689</v>
      </c>
      <c r="G323" s="1122">
        <f t="shared" si="52"/>
        <v>30</v>
      </c>
      <c r="H323" s="811">
        <f t="shared" si="51"/>
        <v>805677.40960228432</v>
      </c>
    </row>
    <row r="324" spans="1:8">
      <c r="A324" s="814">
        <v>22</v>
      </c>
      <c r="B324" s="800">
        <v>44013</v>
      </c>
      <c r="C324" s="800">
        <v>44043</v>
      </c>
      <c r="D324" s="1120">
        <v>0.27179999999999999</v>
      </c>
      <c r="E324" s="1120">
        <f t="shared" si="49"/>
        <v>6.5893815469997286E-4</v>
      </c>
      <c r="F324" s="1339">
        <f t="shared" si="50"/>
        <v>40756349.380978689</v>
      </c>
      <c r="G324" s="1122">
        <f t="shared" si="52"/>
        <v>31</v>
      </c>
      <c r="H324" s="811">
        <f t="shared" si="51"/>
        <v>832533.32325569389</v>
      </c>
    </row>
    <row r="325" spans="1:8">
      <c r="A325" s="814">
        <v>23</v>
      </c>
      <c r="B325" s="800">
        <v>44044</v>
      </c>
      <c r="C325" s="800">
        <v>44074</v>
      </c>
      <c r="D325" s="1120">
        <v>0.27434999999999998</v>
      </c>
      <c r="E325" s="1120">
        <f t="shared" si="49"/>
        <v>6.6442952514544906E-4</v>
      </c>
      <c r="F325" s="1339">
        <f t="shared" si="50"/>
        <v>40756349.380978689</v>
      </c>
      <c r="G325" s="1122">
        <f t="shared" si="52"/>
        <v>31</v>
      </c>
      <c r="H325" s="811">
        <f t="shared" si="51"/>
        <v>839471.37784183631</v>
      </c>
    </row>
    <row r="326" spans="1:8">
      <c r="A326" s="814">
        <v>24</v>
      </c>
      <c r="B326" s="800">
        <v>44075</v>
      </c>
      <c r="C326" s="800">
        <v>44104</v>
      </c>
      <c r="D326" s="1120">
        <v>0.27524999999999999</v>
      </c>
      <c r="E326" s="1120">
        <f t="shared" si="49"/>
        <v>6.6636503991857055E-4</v>
      </c>
      <c r="F326" s="1339">
        <f t="shared" si="50"/>
        <v>40756349.380978689</v>
      </c>
      <c r="G326" s="1122">
        <f t="shared" si="52"/>
        <v>30</v>
      </c>
      <c r="H326" s="811">
        <f t="shared" si="51"/>
        <v>814758.19146573218</v>
      </c>
    </row>
    <row r="327" spans="1:8">
      <c r="A327" s="814">
        <v>25</v>
      </c>
      <c r="B327" s="800">
        <v>44105</v>
      </c>
      <c r="C327" s="800">
        <v>44135</v>
      </c>
      <c r="D327" s="1120">
        <v>0.27134999999999998</v>
      </c>
      <c r="E327" s="1120">
        <f t="shared" si="49"/>
        <v>6.5796794962613703E-4</v>
      </c>
      <c r="F327" s="1339">
        <f t="shared" si="50"/>
        <v>40756349.380978689</v>
      </c>
      <c r="G327" s="1122">
        <f t="shared" si="52"/>
        <v>31</v>
      </c>
      <c r="H327" s="811">
        <f t="shared" si="51"/>
        <v>831307.5207299199</v>
      </c>
    </row>
    <row r="328" spans="1:8">
      <c r="A328" s="814">
        <v>26</v>
      </c>
      <c r="B328" s="800">
        <v>44136</v>
      </c>
      <c r="C328" s="800">
        <v>44165</v>
      </c>
      <c r="D328" s="1120">
        <v>0.2676</v>
      </c>
      <c r="E328" s="1120">
        <f t="shared" si="49"/>
        <v>6.4986956374091243E-4</v>
      </c>
      <c r="F328" s="1339">
        <f t="shared" si="50"/>
        <v>40756349.380978689</v>
      </c>
      <c r="G328" s="1122">
        <f t="shared" si="52"/>
        <v>30</v>
      </c>
      <c r="H328" s="811">
        <f t="shared" si="51"/>
        <v>794589.32975666481</v>
      </c>
    </row>
    <row r="329" spans="1:8">
      <c r="A329" s="814">
        <v>27</v>
      </c>
      <c r="B329" s="800">
        <v>44166</v>
      </c>
      <c r="C329" s="800">
        <v>44196</v>
      </c>
      <c r="D329" s="1120">
        <v>0.26190000000000002</v>
      </c>
      <c r="E329" s="1120">
        <f t="shared" si="49"/>
        <v>6.3751414410861962E-4</v>
      </c>
      <c r="F329" s="1339">
        <f t="shared" si="50"/>
        <v>40756349.380978689</v>
      </c>
      <c r="G329" s="1122">
        <f t="shared" si="52"/>
        <v>31</v>
      </c>
      <c r="H329" s="811">
        <f t="shared" si="51"/>
        <v>805465.2249708015</v>
      </c>
    </row>
    <row r="330" spans="1:8">
      <c r="A330" s="814">
        <v>28</v>
      </c>
      <c r="B330" s="800">
        <v>44197</v>
      </c>
      <c r="C330" s="800">
        <v>44227</v>
      </c>
      <c r="D330" s="1120">
        <v>0.25979999999999998</v>
      </c>
      <c r="E330" s="1120">
        <f t="shared" si="49"/>
        <v>6.3294811266723094E-4</v>
      </c>
      <c r="F330" s="1339">
        <f t="shared" si="50"/>
        <v>40756349.380978689</v>
      </c>
      <c r="G330" s="1122">
        <f t="shared" si="52"/>
        <v>31</v>
      </c>
      <c r="H330" s="811">
        <f t="shared" si="51"/>
        <v>799696.28701679863</v>
      </c>
    </row>
    <row r="331" spans="1:8">
      <c r="A331" s="814">
        <v>29</v>
      </c>
      <c r="B331" s="800">
        <v>44228</v>
      </c>
      <c r="C331" s="800">
        <v>44255</v>
      </c>
      <c r="D331" s="1120">
        <v>0.2631</v>
      </c>
      <c r="E331" s="1120">
        <f t="shared" si="49"/>
        <v>6.4011990387169426E-4</v>
      </c>
      <c r="F331" s="1339">
        <f t="shared" si="50"/>
        <v>40756349.380978689</v>
      </c>
      <c r="G331" s="1122">
        <f t="shared" si="52"/>
        <v>28</v>
      </c>
      <c r="H331" s="811">
        <f t="shared" si="51"/>
        <v>730490.61254157138</v>
      </c>
    </row>
    <row r="332" spans="1:8">
      <c r="A332" s="814">
        <v>30</v>
      </c>
      <c r="B332" s="800">
        <v>44256</v>
      </c>
      <c r="C332" s="800">
        <v>44286</v>
      </c>
      <c r="D332" s="1120">
        <v>0.26114999999999999</v>
      </c>
      <c r="E332" s="1120">
        <f t="shared" si="49"/>
        <v>6.3588428907812578E-4</v>
      </c>
      <c r="F332" s="1339">
        <f t="shared" si="50"/>
        <v>40756349.380978689</v>
      </c>
      <c r="G332" s="1122">
        <f t="shared" si="52"/>
        <v>31</v>
      </c>
      <c r="H332" s="811">
        <f t="shared" si="51"/>
        <v>803405.98979784374</v>
      </c>
    </row>
    <row r="333" spans="1:8">
      <c r="A333" s="814">
        <v>31</v>
      </c>
      <c r="B333" s="800">
        <v>44287</v>
      </c>
      <c r="C333" s="800">
        <v>44316</v>
      </c>
      <c r="D333" s="1120">
        <v>0.25964999999999999</v>
      </c>
      <c r="E333" s="1120">
        <f t="shared" si="49"/>
        <v>6.326216771728177E-4</v>
      </c>
      <c r="F333" s="1339">
        <f t="shared" si="50"/>
        <v>40756349.380978689</v>
      </c>
      <c r="G333" s="1122">
        <f t="shared" si="52"/>
        <v>30</v>
      </c>
      <c r="H333" s="811">
        <f t="shared" si="51"/>
        <v>773500.50302508206</v>
      </c>
    </row>
    <row r="334" spans="1:8">
      <c r="A334" s="814">
        <v>32</v>
      </c>
      <c r="B334" s="800">
        <v>44317</v>
      </c>
      <c r="C334" s="800">
        <v>44347</v>
      </c>
      <c r="D334" s="1120">
        <v>0.25829999999999997</v>
      </c>
      <c r="E334" s="1120">
        <f t="shared" si="49"/>
        <v>6.2968201205726437E-4</v>
      </c>
      <c r="F334" s="1339">
        <f t="shared" si="50"/>
        <v>40756349.380978689</v>
      </c>
      <c r="G334" s="1122">
        <f t="shared" si="52"/>
        <v>31</v>
      </c>
      <c r="H334" s="811">
        <f t="shared" si="51"/>
        <v>795569.74255202862</v>
      </c>
    </row>
    <row r="335" spans="1:8">
      <c r="A335" s="814">
        <v>33</v>
      </c>
      <c r="B335" s="800">
        <v>44348</v>
      </c>
      <c r="C335" s="800">
        <v>44377</v>
      </c>
      <c r="D335" s="1120">
        <v>0.25814999999999999</v>
      </c>
      <c r="E335" s="1120">
        <f t="shared" si="49"/>
        <v>6.2935518846773952E-4</v>
      </c>
      <c r="F335" s="1339">
        <f t="shared" si="50"/>
        <v>40756349.380978689</v>
      </c>
      <c r="G335" s="1122">
        <f t="shared" si="52"/>
        <v>30</v>
      </c>
      <c r="H335" s="811">
        <f t="shared" si="51"/>
        <v>769506.59837768646</v>
      </c>
    </row>
    <row r="336" spans="1:8">
      <c r="A336" s="814">
        <v>34</v>
      </c>
      <c r="B336" s="800">
        <v>44378</v>
      </c>
      <c r="C336" s="800">
        <v>44408</v>
      </c>
      <c r="D336" s="1120">
        <f>17.18%*1.5</f>
        <v>0.25770000000000004</v>
      </c>
      <c r="E336" s="1120">
        <f>((1+D336)^(1/365)-1)</f>
        <v>6.2837448450037137E-4</v>
      </c>
      <c r="F336" s="1339">
        <f>+$F$297</f>
        <v>40756349.380978689</v>
      </c>
      <c r="G336" s="1122">
        <f t="shared" si="52"/>
        <v>31</v>
      </c>
      <c r="H336" s="811">
        <f t="shared" ref="H336:H341" si="53">+F336*G336*E336</f>
        <v>793917.75100407493</v>
      </c>
    </row>
    <row r="337" spans="1:11">
      <c r="A337" s="814">
        <v>35</v>
      </c>
      <c r="B337" s="800">
        <v>44409</v>
      </c>
      <c r="C337" s="800">
        <v>44439</v>
      </c>
      <c r="D337" s="1120">
        <f>17.24%*1.5</f>
        <v>0.2586</v>
      </c>
      <c r="E337" s="1120">
        <f t="shared" si="49"/>
        <v>6.3033554269220637E-4</v>
      </c>
      <c r="F337" s="1339">
        <f t="shared" si="50"/>
        <v>40756349.380978689</v>
      </c>
      <c r="G337" s="1122">
        <f t="shared" si="52"/>
        <v>31</v>
      </c>
      <c r="H337" s="816">
        <f t="shared" si="53"/>
        <v>796395.44376158353</v>
      </c>
    </row>
    <row r="338" spans="1:11">
      <c r="A338" s="814">
        <v>36</v>
      </c>
      <c r="B338" s="800">
        <v>44440</v>
      </c>
      <c r="C338" s="800">
        <v>44469</v>
      </c>
      <c r="D338" s="1120">
        <f>17.19%*1.5</f>
        <v>0.25785000000000002</v>
      </c>
      <c r="E338" s="1120">
        <f t="shared" si="49"/>
        <v>6.2870142469861889E-4</v>
      </c>
      <c r="F338" s="1339">
        <f t="shared" si="50"/>
        <v>40756349.380978689</v>
      </c>
      <c r="G338" s="1122">
        <f t="shared" si="52"/>
        <v>30</v>
      </c>
      <c r="H338" s="816">
        <f t="shared" si="53"/>
        <v>768707.24764007924</v>
      </c>
    </row>
    <row r="339" spans="1:11">
      <c r="A339" s="814">
        <v>37</v>
      </c>
      <c r="B339" s="800">
        <v>44470</v>
      </c>
      <c r="C339" s="800">
        <v>44500</v>
      </c>
      <c r="D339" s="1120">
        <f>17.08%*1.5</f>
        <v>0.25619999999999998</v>
      </c>
      <c r="E339" s="1120">
        <f t="shared" si="49"/>
        <v>6.2510294214179751E-4</v>
      </c>
      <c r="F339" s="1339">
        <f t="shared" si="50"/>
        <v>40756349.380978689</v>
      </c>
      <c r="G339" s="1122">
        <f t="shared" si="52"/>
        <v>31</v>
      </c>
      <c r="H339" s="816">
        <f t="shared" si="53"/>
        <v>789784.33117927308</v>
      </c>
    </row>
    <row r="340" spans="1:11">
      <c r="A340" s="814">
        <v>38</v>
      </c>
      <c r="B340" s="800">
        <v>44501</v>
      </c>
      <c r="C340" s="800">
        <v>44530</v>
      </c>
      <c r="D340" s="1120">
        <f>17.27%*1.5</f>
        <v>0.25905</v>
      </c>
      <c r="E340" s="1120">
        <f t="shared" si="49"/>
        <v>6.3131554742335005E-4</v>
      </c>
      <c r="F340" s="1339">
        <f t="shared" si="50"/>
        <v>40756349.380978689</v>
      </c>
      <c r="G340" s="1122">
        <f t="shared" si="52"/>
        <v>30</v>
      </c>
      <c r="H340" s="816">
        <f t="shared" si="53"/>
        <v>771903.51061289618</v>
      </c>
    </row>
    <row r="341" spans="1:11">
      <c r="A341" s="814">
        <v>39</v>
      </c>
      <c r="B341" s="800">
        <v>44531</v>
      </c>
      <c r="C341" s="800">
        <v>44550</v>
      </c>
      <c r="D341" s="1120">
        <f>17.46%*1.5</f>
        <v>0.26190000000000002</v>
      </c>
      <c r="E341" s="1120">
        <f t="shared" si="49"/>
        <v>6.3751414410861962E-4</v>
      </c>
      <c r="F341" s="1339">
        <f t="shared" si="50"/>
        <v>40756349.380978689</v>
      </c>
      <c r="G341" s="1122">
        <f t="shared" si="52"/>
        <v>20</v>
      </c>
      <c r="H341" s="811">
        <f t="shared" si="53"/>
        <v>519654.98385213001</v>
      </c>
    </row>
    <row r="342" spans="1:11">
      <c r="F342" s="1340"/>
      <c r="G342" s="1123" t="s">
        <v>93</v>
      </c>
      <c r="H342" s="1124">
        <f>SUM(H302:H341)</f>
        <v>23768128.421664201</v>
      </c>
    </row>
    <row r="343" spans="1:11">
      <c r="F343" s="1341"/>
      <c r="G343" s="726" t="s">
        <v>757</v>
      </c>
      <c r="H343" s="1125">
        <f>+(F297+H342)*20%</f>
        <v>12904895.560528578</v>
      </c>
    </row>
    <row r="344" spans="1:11">
      <c r="F344" s="814"/>
    </row>
    <row r="345" spans="1:11">
      <c r="B345" s="2687" t="s">
        <v>55</v>
      </c>
      <c r="C345" s="2688"/>
      <c r="D345" s="900"/>
      <c r="F345" s="814"/>
    </row>
    <row r="346" spans="1:11">
      <c r="B346" s="726" t="s">
        <v>56</v>
      </c>
      <c r="C346" s="726"/>
      <c r="D346" s="900"/>
      <c r="F346" s="814"/>
      <c r="K346" s="1414">
        <v>46649346</v>
      </c>
    </row>
    <row r="347" spans="1:11">
      <c r="B347" s="741" t="s">
        <v>133</v>
      </c>
      <c r="C347" s="857">
        <f>+F297</f>
        <v>40756349.380978689</v>
      </c>
      <c r="F347" s="814"/>
      <c r="J347" s="927">
        <v>40756349.380978689</v>
      </c>
      <c r="K347" s="1414">
        <v>27204783</v>
      </c>
    </row>
    <row r="348" spans="1:11">
      <c r="B348" s="741" t="s">
        <v>134</v>
      </c>
      <c r="C348" s="858">
        <f>+H342</f>
        <v>23768128.421664201</v>
      </c>
      <c r="F348" s="814"/>
      <c r="J348" s="927">
        <v>23768128.421664201</v>
      </c>
      <c r="K348" s="1414">
        <f>+C349</f>
        <v>12904895.560528578</v>
      </c>
    </row>
    <row r="349" spans="1:11">
      <c r="B349" s="741" t="str">
        <f>+G343</f>
        <v>COSTAS</v>
      </c>
      <c r="C349" s="858">
        <f>+H343</f>
        <v>12904895.560528578</v>
      </c>
      <c r="J349" s="927">
        <v>12904895.560528578</v>
      </c>
      <c r="K349" s="1414">
        <v>161324400</v>
      </c>
    </row>
    <row r="350" spans="1:11" ht="13.5" thickBot="1">
      <c r="B350" s="817" t="s">
        <v>61</v>
      </c>
      <c r="C350" s="859">
        <f>SUM(C347:C349)-1</f>
        <v>77429372.363171473</v>
      </c>
      <c r="J350" s="927">
        <v>161324400</v>
      </c>
      <c r="K350" s="1414">
        <f>SUM(K346:K349)</f>
        <v>248083424.56052858</v>
      </c>
    </row>
    <row r="351" spans="1:11" ht="13.5" thickTop="1">
      <c r="I351" s="814">
        <v>23600</v>
      </c>
      <c r="J351" s="927">
        <v>238753772.36317101</v>
      </c>
      <c r="K351" s="1337">
        <f>+K350-C350</f>
        <v>170654052.19735712</v>
      </c>
    </row>
    <row r="352" spans="1:11">
      <c r="C352" s="979"/>
      <c r="I352" s="814">
        <v>38500</v>
      </c>
      <c r="K352" s="1150">
        <f>+K346+K347+K348+K349</f>
        <v>248083424.56052858</v>
      </c>
    </row>
    <row r="353" spans="2:11">
      <c r="C353" s="979"/>
      <c r="F353" s="814"/>
      <c r="I353" s="814">
        <f>+I351+I352</f>
        <v>62100</v>
      </c>
    </row>
    <row r="354" spans="2:11" ht="25.5">
      <c r="B354" s="818" t="s">
        <v>63</v>
      </c>
      <c r="C354" s="979"/>
      <c r="F354" s="814"/>
      <c r="J354" s="884" t="str">
        <f>+B359</f>
        <v>PLANILLAS J NEIL CARRASQUILLA</v>
      </c>
      <c r="K354" s="1150">
        <v>161324400</v>
      </c>
    </row>
    <row r="355" spans="2:11">
      <c r="B355" s="818" t="s">
        <v>64</v>
      </c>
      <c r="C355" s="979"/>
      <c r="F355" s="814"/>
    </row>
    <row r="356" spans="2:11">
      <c r="B356" s="900" t="s">
        <v>65</v>
      </c>
      <c r="C356" s="979"/>
      <c r="J356" s="1415">
        <f>+J347+J348+J349</f>
        <v>77429373.363171473</v>
      </c>
    </row>
    <row r="357" spans="2:11">
      <c r="B357" s="1406" t="s">
        <v>758</v>
      </c>
      <c r="C357" s="1407">
        <v>161324400</v>
      </c>
      <c r="J357" s="1416">
        <f>+J356*45%</f>
        <v>34843218.013427161</v>
      </c>
      <c r="K357" s="1418">
        <v>0.45</v>
      </c>
    </row>
    <row r="358" spans="2:11">
      <c r="J358" s="1416">
        <f>+J356*55%</f>
        <v>42586155.349744312</v>
      </c>
      <c r="K358" s="1418">
        <v>0.55000000000000004</v>
      </c>
    </row>
    <row r="359" spans="2:11" ht="13.5">
      <c r="B359" s="773" t="s">
        <v>759</v>
      </c>
      <c r="C359" s="1408"/>
      <c r="D359" s="1408"/>
      <c r="E359" s="1408"/>
      <c r="F359" s="1408"/>
      <c r="G359" s="1408"/>
      <c r="J359" s="1417">
        <f>+J357+J358</f>
        <v>77429373.363171473</v>
      </c>
    </row>
    <row r="360" spans="2:11" ht="25.5">
      <c r="B360" s="793" t="s">
        <v>11</v>
      </c>
      <c r="C360" s="1409" t="s">
        <v>760</v>
      </c>
      <c r="D360" s="1410" t="s">
        <v>761</v>
      </c>
      <c r="E360" s="1409" t="s">
        <v>762</v>
      </c>
      <c r="F360" s="1410" t="s">
        <v>763</v>
      </c>
      <c r="G360" s="1409" t="s">
        <v>764</v>
      </c>
    </row>
    <row r="361" spans="2:11">
      <c r="B361" s="1411">
        <v>38231</v>
      </c>
      <c r="C361" s="1412">
        <v>65300</v>
      </c>
      <c r="D361" s="1412">
        <v>307300</v>
      </c>
      <c r="E361" s="1412">
        <v>54100</v>
      </c>
      <c r="F361" s="1412">
        <v>254600</v>
      </c>
      <c r="G361" s="1412">
        <f>SUM(C361:F361)</f>
        <v>681300</v>
      </c>
    </row>
    <row r="362" spans="2:11">
      <c r="B362" s="1411">
        <v>38261</v>
      </c>
      <c r="C362" s="1412">
        <v>65300</v>
      </c>
      <c r="D362" s="1412">
        <v>306200</v>
      </c>
      <c r="E362" s="1412">
        <v>54100</v>
      </c>
      <c r="F362" s="1412">
        <v>253700</v>
      </c>
      <c r="G362" s="1412">
        <f t="shared" ref="G362:G425" si="54">SUM(C362:F362)</f>
        <v>679300</v>
      </c>
    </row>
    <row r="363" spans="2:11">
      <c r="B363" s="1411">
        <v>38292</v>
      </c>
      <c r="C363" s="1412">
        <v>65300</v>
      </c>
      <c r="D363" s="1412">
        <v>305100</v>
      </c>
      <c r="E363" s="1412">
        <v>54100</v>
      </c>
      <c r="F363" s="1412">
        <v>252800</v>
      </c>
      <c r="G363" s="1412">
        <f t="shared" si="54"/>
        <v>677300</v>
      </c>
    </row>
    <row r="364" spans="2:11">
      <c r="B364" s="1411">
        <v>38322</v>
      </c>
      <c r="C364" s="1412">
        <v>65300</v>
      </c>
      <c r="D364" s="1412">
        <v>303900</v>
      </c>
      <c r="E364" s="1412">
        <v>54100</v>
      </c>
      <c r="F364" s="1412">
        <v>251800</v>
      </c>
      <c r="G364" s="1412">
        <f t="shared" si="54"/>
        <v>675100</v>
      </c>
    </row>
    <row r="365" spans="2:11">
      <c r="B365" s="1411">
        <v>38353</v>
      </c>
      <c r="C365" s="1412">
        <v>91200</v>
      </c>
      <c r="D365" s="1412">
        <v>422900</v>
      </c>
      <c r="E365" s="1412">
        <v>72900</v>
      </c>
      <c r="F365" s="1412">
        <v>338000</v>
      </c>
      <c r="G365" s="1412">
        <f t="shared" si="54"/>
        <v>925000</v>
      </c>
    </row>
    <row r="366" spans="2:11">
      <c r="B366" s="1411">
        <v>38384</v>
      </c>
      <c r="C366" s="1412">
        <v>88100</v>
      </c>
      <c r="D366" s="1412">
        <v>407100</v>
      </c>
      <c r="E366" s="1412">
        <v>70500</v>
      </c>
      <c r="F366" s="1412">
        <v>325800</v>
      </c>
      <c r="G366" s="1412">
        <f t="shared" si="54"/>
        <v>891500</v>
      </c>
    </row>
    <row r="367" spans="2:11">
      <c r="B367" s="1411">
        <v>38412</v>
      </c>
      <c r="C367" s="1412">
        <v>91200</v>
      </c>
      <c r="D367" s="1412">
        <v>419800</v>
      </c>
      <c r="E367" s="1412">
        <v>72900</v>
      </c>
      <c r="F367" s="1412">
        <v>335600</v>
      </c>
      <c r="G367" s="1412">
        <f t="shared" si="54"/>
        <v>919500</v>
      </c>
    </row>
    <row r="368" spans="2:11">
      <c r="B368" s="1411">
        <v>38443</v>
      </c>
      <c r="C368" s="1412">
        <v>91200</v>
      </c>
      <c r="D368" s="1412">
        <v>418300</v>
      </c>
      <c r="E368" s="1412">
        <v>72900</v>
      </c>
      <c r="F368" s="1412">
        <v>334400</v>
      </c>
      <c r="G368" s="1412">
        <f t="shared" si="54"/>
        <v>916800</v>
      </c>
    </row>
    <row r="369" spans="2:7">
      <c r="B369" s="1411">
        <v>38473</v>
      </c>
      <c r="C369" s="1412">
        <v>91200</v>
      </c>
      <c r="D369" s="1412">
        <v>416600</v>
      </c>
      <c r="E369" s="1412">
        <v>72900</v>
      </c>
      <c r="F369" s="1412">
        <v>333000</v>
      </c>
      <c r="G369" s="1412">
        <f t="shared" si="54"/>
        <v>913700</v>
      </c>
    </row>
    <row r="370" spans="2:7">
      <c r="B370" s="1411">
        <v>38504</v>
      </c>
      <c r="C370" s="1412">
        <v>91200</v>
      </c>
      <c r="D370" s="1412">
        <v>415100</v>
      </c>
      <c r="E370" s="1412">
        <v>72900</v>
      </c>
      <c r="F370" s="1412">
        <v>331800</v>
      </c>
      <c r="G370" s="1412">
        <f t="shared" si="54"/>
        <v>911000</v>
      </c>
    </row>
    <row r="371" spans="2:7">
      <c r="B371" s="1411">
        <v>38534</v>
      </c>
      <c r="C371" s="1412">
        <v>91200</v>
      </c>
      <c r="D371" s="1412">
        <v>413600</v>
      </c>
      <c r="E371" s="1412">
        <v>72900</v>
      </c>
      <c r="F371" s="1412">
        <v>330700</v>
      </c>
      <c r="G371" s="1412">
        <f t="shared" si="54"/>
        <v>908400</v>
      </c>
    </row>
    <row r="372" spans="2:7">
      <c r="B372" s="1411">
        <v>38565</v>
      </c>
      <c r="C372" s="1412">
        <v>91200</v>
      </c>
      <c r="D372" s="1412">
        <v>411900</v>
      </c>
      <c r="E372" s="1412">
        <v>72900</v>
      </c>
      <c r="F372" s="1412">
        <v>329300</v>
      </c>
      <c r="G372" s="1412">
        <f t="shared" si="54"/>
        <v>905300</v>
      </c>
    </row>
    <row r="373" spans="2:7">
      <c r="B373" s="1411">
        <v>38596</v>
      </c>
      <c r="C373" s="1412">
        <v>91200</v>
      </c>
      <c r="D373" s="1412">
        <v>410400</v>
      </c>
      <c r="E373" s="1412">
        <v>72900</v>
      </c>
      <c r="F373" s="1412">
        <v>328100</v>
      </c>
      <c r="G373" s="1412">
        <f t="shared" si="54"/>
        <v>902600</v>
      </c>
    </row>
    <row r="374" spans="2:7">
      <c r="B374" s="1411">
        <v>38626</v>
      </c>
      <c r="C374" s="1412">
        <v>91200</v>
      </c>
      <c r="D374" s="1412">
        <v>408700</v>
      </c>
      <c r="E374" s="1412">
        <v>72900</v>
      </c>
      <c r="F374" s="1412">
        <v>326700</v>
      </c>
      <c r="G374" s="1412">
        <f t="shared" si="54"/>
        <v>899500</v>
      </c>
    </row>
    <row r="375" spans="2:7">
      <c r="B375" s="1411">
        <v>38657</v>
      </c>
      <c r="C375" s="1412">
        <v>91200</v>
      </c>
      <c r="D375" s="1412">
        <v>407300</v>
      </c>
      <c r="E375" s="1412">
        <v>72900</v>
      </c>
      <c r="F375" s="1412">
        <v>325500</v>
      </c>
      <c r="G375" s="1412">
        <f>SUM(C375:F375)</f>
        <v>896900</v>
      </c>
    </row>
    <row r="376" spans="2:7">
      <c r="B376" s="1411">
        <v>38687</v>
      </c>
      <c r="C376" s="1412">
        <v>91200</v>
      </c>
      <c r="D376" s="1412">
        <v>405700</v>
      </c>
      <c r="E376" s="1412">
        <v>72900</v>
      </c>
      <c r="F376" s="1412">
        <v>324300</v>
      </c>
      <c r="G376" s="1412">
        <f t="shared" si="54"/>
        <v>894100</v>
      </c>
    </row>
    <row r="377" spans="2:7">
      <c r="B377" s="1411">
        <v>38718</v>
      </c>
      <c r="C377" s="1412">
        <v>105300</v>
      </c>
      <c r="D377" s="1412">
        <v>466500</v>
      </c>
      <c r="E377" s="1412">
        <v>81600</v>
      </c>
      <c r="F377" s="1412">
        <v>361500</v>
      </c>
      <c r="G377" s="1412">
        <f t="shared" si="54"/>
        <v>1014900</v>
      </c>
    </row>
    <row r="378" spans="2:7">
      <c r="B378" s="1411">
        <v>38749</v>
      </c>
      <c r="C378" s="1412">
        <v>105300</v>
      </c>
      <c r="D378" s="1412">
        <v>464900</v>
      </c>
      <c r="E378" s="1412">
        <v>81600</v>
      </c>
      <c r="F378" s="1412">
        <v>360200</v>
      </c>
      <c r="G378" s="1412">
        <f t="shared" si="54"/>
        <v>1012000</v>
      </c>
    </row>
    <row r="379" spans="2:7">
      <c r="B379" s="1411">
        <v>38777</v>
      </c>
      <c r="C379" s="1412">
        <v>105300</v>
      </c>
      <c r="D379" s="1412">
        <v>463000</v>
      </c>
      <c r="E379" s="1412">
        <v>81600</v>
      </c>
      <c r="F379" s="1412">
        <v>358800</v>
      </c>
      <c r="G379" s="1412">
        <f t="shared" si="54"/>
        <v>1008700</v>
      </c>
    </row>
    <row r="380" spans="2:7">
      <c r="B380" s="1411">
        <v>38808</v>
      </c>
      <c r="C380" s="1412">
        <v>105300</v>
      </c>
      <c r="D380" s="1412">
        <v>461200</v>
      </c>
      <c r="E380" s="1412">
        <v>81600</v>
      </c>
      <c r="F380" s="1412">
        <v>357400</v>
      </c>
      <c r="G380" s="1412">
        <f t="shared" si="54"/>
        <v>1005500</v>
      </c>
    </row>
    <row r="381" spans="2:7">
      <c r="B381" s="1411">
        <v>38838</v>
      </c>
      <c r="C381" s="1412">
        <v>105300</v>
      </c>
      <c r="D381" s="1412">
        <v>459400</v>
      </c>
      <c r="E381" s="1412">
        <v>81600</v>
      </c>
      <c r="F381" s="1412">
        <v>356000</v>
      </c>
      <c r="G381" s="1412">
        <f t="shared" si="54"/>
        <v>1002300</v>
      </c>
    </row>
    <row r="382" spans="2:7">
      <c r="B382" s="1411">
        <v>38869</v>
      </c>
      <c r="C382" s="1412">
        <v>105300</v>
      </c>
      <c r="D382" s="1412">
        <v>457400</v>
      </c>
      <c r="E382" s="1412">
        <v>81600</v>
      </c>
      <c r="F382" s="1412">
        <v>354500</v>
      </c>
      <c r="G382" s="1412">
        <f t="shared" si="54"/>
        <v>998800</v>
      </c>
    </row>
    <row r="383" spans="2:7">
      <c r="B383" s="1411">
        <v>38899</v>
      </c>
      <c r="C383" s="1412">
        <v>105300</v>
      </c>
      <c r="D383" s="1412">
        <v>455600</v>
      </c>
      <c r="E383" s="1412">
        <v>81600</v>
      </c>
      <c r="F383" s="1412">
        <v>353100</v>
      </c>
      <c r="G383" s="1412">
        <f t="shared" si="54"/>
        <v>995600</v>
      </c>
    </row>
    <row r="384" spans="2:7">
      <c r="B384" s="1411">
        <v>38930</v>
      </c>
      <c r="C384" s="1412">
        <v>105300</v>
      </c>
      <c r="D384" s="1412">
        <v>447800</v>
      </c>
      <c r="E384" s="1412">
        <v>81600</v>
      </c>
      <c r="F384" s="1412">
        <v>347000</v>
      </c>
      <c r="G384" s="1412">
        <f t="shared" si="54"/>
        <v>981700</v>
      </c>
    </row>
    <row r="385" spans="2:7">
      <c r="B385" s="1411">
        <v>38961</v>
      </c>
      <c r="C385" s="1412">
        <v>105300</v>
      </c>
      <c r="D385" s="1412">
        <v>451800</v>
      </c>
      <c r="E385" s="1412">
        <v>81600</v>
      </c>
      <c r="F385" s="1412">
        <v>350100</v>
      </c>
      <c r="G385" s="1412">
        <f t="shared" si="54"/>
        <v>988800</v>
      </c>
    </row>
    <row r="386" spans="2:7">
      <c r="B386" s="1411">
        <v>38991</v>
      </c>
      <c r="C386" s="1412">
        <v>105300</v>
      </c>
      <c r="D386" s="1412">
        <v>449700</v>
      </c>
      <c r="E386" s="1412">
        <v>81600</v>
      </c>
      <c r="F386" s="1412">
        <v>348500</v>
      </c>
      <c r="G386" s="1412">
        <f t="shared" si="54"/>
        <v>985100</v>
      </c>
    </row>
    <row r="387" spans="2:7">
      <c r="B387" s="1411">
        <v>39022</v>
      </c>
      <c r="C387" s="1412">
        <v>105300</v>
      </c>
      <c r="D387" s="1412">
        <v>447800</v>
      </c>
      <c r="E387" s="1412">
        <v>81600</v>
      </c>
      <c r="F387" s="1412">
        <v>347000</v>
      </c>
      <c r="G387" s="1412">
        <f t="shared" si="54"/>
        <v>981700</v>
      </c>
    </row>
    <row r="388" spans="2:7">
      <c r="B388" s="1411">
        <v>39052</v>
      </c>
      <c r="C388" s="1412">
        <v>105300</v>
      </c>
      <c r="D388" s="1412">
        <v>445400</v>
      </c>
      <c r="E388" s="1412">
        <v>81600</v>
      </c>
      <c r="F388" s="1412">
        <v>345100</v>
      </c>
      <c r="G388" s="1412">
        <f t="shared" si="54"/>
        <v>977400</v>
      </c>
    </row>
    <row r="389" spans="2:7">
      <c r="B389" s="1411">
        <v>39083</v>
      </c>
      <c r="C389" s="1412">
        <v>103800</v>
      </c>
      <c r="D389" s="1412">
        <v>436400</v>
      </c>
      <c r="E389" s="1412">
        <v>83700</v>
      </c>
      <c r="F389" s="1412">
        <v>351900</v>
      </c>
      <c r="G389" s="1412">
        <f t="shared" si="54"/>
        <v>975800</v>
      </c>
    </row>
    <row r="390" spans="2:7">
      <c r="B390" s="1411">
        <v>39114</v>
      </c>
      <c r="C390" s="1412">
        <v>103800</v>
      </c>
      <c r="D390" s="1412">
        <v>434200</v>
      </c>
      <c r="E390" s="1412">
        <v>83700</v>
      </c>
      <c r="F390" s="1412">
        <v>350100</v>
      </c>
      <c r="G390" s="1412">
        <f t="shared" si="54"/>
        <v>971800</v>
      </c>
    </row>
    <row r="391" spans="2:7">
      <c r="B391" s="1411">
        <v>39142</v>
      </c>
      <c r="C391" s="1412">
        <v>103800</v>
      </c>
      <c r="D391" s="1412">
        <v>432000</v>
      </c>
      <c r="E391" s="1412">
        <v>83700</v>
      </c>
      <c r="F391" s="1412">
        <v>348400</v>
      </c>
      <c r="G391" s="1412">
        <f t="shared" si="54"/>
        <v>967900</v>
      </c>
    </row>
    <row r="392" spans="2:7">
      <c r="B392" s="1411">
        <v>39173</v>
      </c>
      <c r="C392" s="1412">
        <v>103800</v>
      </c>
      <c r="D392" s="1412">
        <v>430000</v>
      </c>
      <c r="E392" s="1412">
        <v>83700</v>
      </c>
      <c r="F392" s="1412">
        <v>346800</v>
      </c>
      <c r="G392" s="1412">
        <f t="shared" si="54"/>
        <v>964300</v>
      </c>
    </row>
    <row r="393" spans="2:7">
      <c r="B393" s="1411">
        <v>39203</v>
      </c>
      <c r="C393" s="1412">
        <v>103800</v>
      </c>
      <c r="D393" s="1412">
        <v>427100</v>
      </c>
      <c r="E393" s="1412">
        <v>83700</v>
      </c>
      <c r="F393" s="1412">
        <v>344400</v>
      </c>
      <c r="G393" s="1412">
        <f t="shared" si="54"/>
        <v>959000</v>
      </c>
    </row>
    <row r="394" spans="2:7">
      <c r="B394" s="1411">
        <v>39234</v>
      </c>
      <c r="C394" s="1412">
        <v>103800</v>
      </c>
      <c r="D394" s="1412">
        <v>424900</v>
      </c>
      <c r="E394" s="1412">
        <v>83700</v>
      </c>
      <c r="F394" s="1412">
        <v>342600</v>
      </c>
      <c r="G394" s="1412">
        <f t="shared" si="54"/>
        <v>955000</v>
      </c>
    </row>
    <row r="395" spans="2:7">
      <c r="B395" s="1411">
        <v>39264</v>
      </c>
      <c r="C395" s="1412">
        <v>103800</v>
      </c>
      <c r="D395" s="1412">
        <v>422500</v>
      </c>
      <c r="E395" s="1412">
        <v>83700</v>
      </c>
      <c r="F395" s="1412">
        <v>340700</v>
      </c>
      <c r="G395" s="1412">
        <f t="shared" si="54"/>
        <v>950700</v>
      </c>
    </row>
    <row r="396" spans="2:7">
      <c r="B396" s="1411">
        <v>39295</v>
      </c>
      <c r="C396" s="1412">
        <v>103800</v>
      </c>
      <c r="D396" s="1412">
        <v>419900</v>
      </c>
      <c r="E396" s="1412">
        <v>83700</v>
      </c>
      <c r="F396" s="1412">
        <v>338600</v>
      </c>
      <c r="G396" s="1412">
        <f t="shared" si="54"/>
        <v>946000</v>
      </c>
    </row>
    <row r="397" spans="2:7">
      <c r="B397" s="1411">
        <v>39326</v>
      </c>
      <c r="C397" s="1412">
        <v>103800</v>
      </c>
      <c r="D397" s="1412">
        <v>417400</v>
      </c>
      <c r="E397" s="1412">
        <v>83700</v>
      </c>
      <c r="F397" s="1412">
        <v>336600</v>
      </c>
      <c r="G397" s="1412">
        <f t="shared" si="54"/>
        <v>941500</v>
      </c>
    </row>
    <row r="398" spans="2:7">
      <c r="B398" s="1411">
        <v>39356</v>
      </c>
      <c r="C398" s="1412">
        <v>103800</v>
      </c>
      <c r="D398" s="1412">
        <v>414300</v>
      </c>
      <c r="E398" s="1412">
        <v>83700</v>
      </c>
      <c r="F398" s="1412">
        <v>334100</v>
      </c>
      <c r="G398" s="1412">
        <f t="shared" si="54"/>
        <v>935900</v>
      </c>
    </row>
    <row r="399" spans="2:7">
      <c r="B399" s="1411">
        <v>39387</v>
      </c>
      <c r="C399" s="1412">
        <v>103800</v>
      </c>
      <c r="D399" s="1412">
        <v>411800</v>
      </c>
      <c r="E399" s="1412">
        <v>83700</v>
      </c>
      <c r="F399" s="1412">
        <v>332000</v>
      </c>
      <c r="G399" s="1412">
        <f t="shared" si="54"/>
        <v>931300</v>
      </c>
    </row>
    <row r="400" spans="2:7">
      <c r="B400" s="1411">
        <v>39417</v>
      </c>
      <c r="C400" s="1412">
        <v>103800</v>
      </c>
      <c r="D400" s="1412">
        <v>408900</v>
      </c>
      <c r="E400" s="1412">
        <v>83700</v>
      </c>
      <c r="F400" s="1412">
        <v>329800</v>
      </c>
      <c r="G400" s="1412">
        <f t="shared" si="54"/>
        <v>926200</v>
      </c>
    </row>
    <row r="401" spans="2:7">
      <c r="B401" s="1411">
        <v>39448</v>
      </c>
      <c r="C401" s="1412">
        <v>137300</v>
      </c>
      <c r="D401" s="1412">
        <v>537300</v>
      </c>
      <c r="E401" s="1412">
        <v>107300</v>
      </c>
      <c r="F401" s="1412">
        <v>419900</v>
      </c>
      <c r="G401" s="1412">
        <f t="shared" si="54"/>
        <v>1201800</v>
      </c>
    </row>
    <row r="402" spans="2:7">
      <c r="B402" s="1411">
        <v>39479</v>
      </c>
      <c r="C402" s="1412">
        <v>137300</v>
      </c>
      <c r="D402" s="1412">
        <v>533500</v>
      </c>
      <c r="E402" s="1412">
        <v>107300</v>
      </c>
      <c r="F402" s="1412">
        <v>417000</v>
      </c>
      <c r="G402" s="1412">
        <f t="shared" si="54"/>
        <v>1195100</v>
      </c>
    </row>
    <row r="403" spans="2:7">
      <c r="B403" s="1411">
        <v>39508</v>
      </c>
      <c r="C403" s="1412">
        <v>137300</v>
      </c>
      <c r="D403" s="1412">
        <v>530000</v>
      </c>
      <c r="E403" s="1412">
        <v>107300</v>
      </c>
      <c r="F403" s="1412">
        <v>414200</v>
      </c>
      <c r="G403" s="1412">
        <f t="shared" si="54"/>
        <v>1188800</v>
      </c>
    </row>
    <row r="404" spans="2:7">
      <c r="B404" s="1411">
        <v>39539</v>
      </c>
      <c r="C404" s="1412">
        <v>137300</v>
      </c>
      <c r="D404" s="1412">
        <v>525800</v>
      </c>
      <c r="E404" s="1412">
        <v>107300</v>
      </c>
      <c r="F404" s="1412">
        <v>410900</v>
      </c>
      <c r="G404" s="1412">
        <f t="shared" si="54"/>
        <v>1181300</v>
      </c>
    </row>
    <row r="405" spans="2:7">
      <c r="B405" s="1411">
        <v>39569</v>
      </c>
      <c r="C405" s="1412">
        <v>137300</v>
      </c>
      <c r="D405" s="1412">
        <v>522200</v>
      </c>
      <c r="E405" s="1412">
        <v>107300</v>
      </c>
      <c r="F405" s="1412">
        <v>408100</v>
      </c>
      <c r="G405" s="1412">
        <f t="shared" si="54"/>
        <v>1174900</v>
      </c>
    </row>
    <row r="406" spans="2:7">
      <c r="B406" s="1411">
        <v>39600</v>
      </c>
      <c r="C406" s="1412">
        <v>137300</v>
      </c>
      <c r="D406" s="1412">
        <v>518800</v>
      </c>
      <c r="E406" s="1412">
        <v>107300</v>
      </c>
      <c r="F406" s="1412">
        <v>405400</v>
      </c>
      <c r="G406" s="1412">
        <f t="shared" si="54"/>
        <v>1168800</v>
      </c>
    </row>
    <row r="407" spans="2:7">
      <c r="B407" s="1411">
        <v>39630</v>
      </c>
      <c r="C407" s="1412">
        <v>137300</v>
      </c>
      <c r="D407" s="1412">
        <v>514500</v>
      </c>
      <c r="E407" s="1412">
        <v>107300</v>
      </c>
      <c r="F407" s="1412">
        <v>402100</v>
      </c>
      <c r="G407" s="1412">
        <f t="shared" si="54"/>
        <v>1161200</v>
      </c>
    </row>
    <row r="408" spans="2:7">
      <c r="B408" s="1411">
        <v>39661</v>
      </c>
      <c r="C408" s="1412">
        <v>137300</v>
      </c>
      <c r="D408" s="1412">
        <v>511300</v>
      </c>
      <c r="E408" s="1412">
        <v>107300</v>
      </c>
      <c r="F408" s="1412">
        <v>399600</v>
      </c>
      <c r="G408" s="1412">
        <f t="shared" si="54"/>
        <v>1155500</v>
      </c>
    </row>
    <row r="409" spans="2:7">
      <c r="B409" s="1411">
        <v>39692</v>
      </c>
      <c r="C409" s="1412">
        <v>137300</v>
      </c>
      <c r="D409" s="1412">
        <v>507500</v>
      </c>
      <c r="E409" s="1412">
        <v>107300</v>
      </c>
      <c r="F409" s="1412">
        <v>396700</v>
      </c>
      <c r="G409" s="1412">
        <f t="shared" si="54"/>
        <v>1148800</v>
      </c>
    </row>
    <row r="410" spans="2:7">
      <c r="B410" s="1411">
        <v>39722</v>
      </c>
      <c r="C410" s="1412">
        <v>137300</v>
      </c>
      <c r="D410" s="1412">
        <v>503500</v>
      </c>
      <c r="E410" s="1412">
        <v>107300</v>
      </c>
      <c r="F410" s="1412">
        <v>393500</v>
      </c>
      <c r="G410" s="1412">
        <f t="shared" si="54"/>
        <v>1141600</v>
      </c>
    </row>
    <row r="411" spans="2:7">
      <c r="B411" s="1411">
        <v>39753</v>
      </c>
      <c r="C411" s="1412">
        <v>137300</v>
      </c>
      <c r="D411" s="1412">
        <v>500300</v>
      </c>
      <c r="E411" s="1412">
        <v>107300</v>
      </c>
      <c r="F411" s="1412">
        <v>391000</v>
      </c>
      <c r="G411" s="1412">
        <f t="shared" si="54"/>
        <v>1135900</v>
      </c>
    </row>
    <row r="412" spans="2:7">
      <c r="B412" s="1411">
        <v>39783</v>
      </c>
      <c r="C412" s="1412">
        <v>137300</v>
      </c>
      <c r="D412" s="1412">
        <v>496400</v>
      </c>
      <c r="E412" s="1412">
        <v>107300</v>
      </c>
      <c r="F412" s="1412">
        <v>387900</v>
      </c>
      <c r="G412" s="1412">
        <f t="shared" si="54"/>
        <v>1128900</v>
      </c>
    </row>
    <row r="413" spans="2:7">
      <c r="B413" s="1411">
        <v>39814</v>
      </c>
      <c r="C413" s="1412">
        <v>240000</v>
      </c>
      <c r="D413" s="1412">
        <v>862000</v>
      </c>
      <c r="E413" s="1412">
        <v>187500</v>
      </c>
      <c r="F413" s="1412">
        <v>673400</v>
      </c>
      <c r="G413" s="1412">
        <f t="shared" si="54"/>
        <v>1962900</v>
      </c>
    </row>
    <row r="414" spans="2:7">
      <c r="B414" s="1411">
        <v>39845</v>
      </c>
      <c r="C414" s="1412">
        <v>240000</v>
      </c>
      <c r="D414" s="1412">
        <v>856300</v>
      </c>
      <c r="E414" s="1412">
        <v>187500</v>
      </c>
      <c r="F414" s="1412">
        <v>669000</v>
      </c>
      <c r="G414" s="1412">
        <f t="shared" si="54"/>
        <v>1952800</v>
      </c>
    </row>
    <row r="415" spans="2:7">
      <c r="B415" s="1411">
        <v>39873</v>
      </c>
      <c r="C415" s="1412">
        <v>240000</v>
      </c>
      <c r="D415" s="1412">
        <v>849900</v>
      </c>
      <c r="E415" s="1412">
        <v>187500</v>
      </c>
      <c r="F415" s="1412">
        <v>664000</v>
      </c>
      <c r="G415" s="1412">
        <f t="shared" si="54"/>
        <v>1941400</v>
      </c>
    </row>
    <row r="416" spans="2:7">
      <c r="B416" s="1411">
        <v>39904</v>
      </c>
      <c r="C416" s="1412">
        <v>240000</v>
      </c>
      <c r="D416" s="1412">
        <v>843700</v>
      </c>
      <c r="E416" s="1412">
        <v>187500</v>
      </c>
      <c r="F416" s="1412">
        <v>659200</v>
      </c>
      <c r="G416" s="1412">
        <f t="shared" si="54"/>
        <v>1930400</v>
      </c>
    </row>
    <row r="417" spans="2:8">
      <c r="B417" s="1411">
        <v>39934</v>
      </c>
      <c r="C417" s="1412">
        <v>240000</v>
      </c>
      <c r="D417" s="1412">
        <v>838000</v>
      </c>
      <c r="E417" s="1412">
        <v>187500</v>
      </c>
      <c r="F417" s="1412">
        <v>654700</v>
      </c>
      <c r="G417" s="1412">
        <f t="shared" si="54"/>
        <v>1920200</v>
      </c>
    </row>
    <row r="418" spans="2:8">
      <c r="B418" s="1411">
        <v>39965</v>
      </c>
      <c r="C418" s="1412">
        <v>240000</v>
      </c>
      <c r="D418" s="1412">
        <v>832400</v>
      </c>
      <c r="E418" s="1412">
        <v>187500</v>
      </c>
      <c r="F418" s="1412">
        <v>650300</v>
      </c>
      <c r="G418" s="1412">
        <f t="shared" si="54"/>
        <v>1910200</v>
      </c>
    </row>
    <row r="419" spans="2:8">
      <c r="B419" s="1411">
        <v>39995</v>
      </c>
      <c r="C419" s="1412">
        <v>240000</v>
      </c>
      <c r="D419" s="1412">
        <v>826000</v>
      </c>
      <c r="E419" s="1412">
        <v>187500</v>
      </c>
      <c r="F419" s="1412">
        <v>645300</v>
      </c>
      <c r="G419" s="1412">
        <f t="shared" si="54"/>
        <v>1898800</v>
      </c>
    </row>
    <row r="420" spans="2:8">
      <c r="B420" s="1411">
        <v>40026</v>
      </c>
      <c r="C420" s="1412">
        <v>240000</v>
      </c>
      <c r="D420" s="1412">
        <v>821000</v>
      </c>
      <c r="E420" s="1412">
        <v>187500</v>
      </c>
      <c r="F420" s="1412">
        <v>641400</v>
      </c>
      <c r="G420" s="1412">
        <f t="shared" si="54"/>
        <v>1889900</v>
      </c>
    </row>
    <row r="421" spans="2:8">
      <c r="B421" s="1411">
        <v>40057</v>
      </c>
      <c r="C421" s="1412">
        <v>240000</v>
      </c>
      <c r="D421" s="1412">
        <v>810000</v>
      </c>
      <c r="E421" s="1412">
        <v>187500</v>
      </c>
      <c r="F421" s="1412">
        <v>632800</v>
      </c>
      <c r="G421" s="1412">
        <f t="shared" si="54"/>
        <v>1870300</v>
      </c>
    </row>
    <row r="422" spans="2:8">
      <c r="B422" s="1411">
        <v>40087</v>
      </c>
      <c r="C422" s="1412">
        <v>240000</v>
      </c>
      <c r="D422" s="1412">
        <v>810000</v>
      </c>
      <c r="E422" s="1412">
        <v>187500</v>
      </c>
      <c r="F422" s="1412">
        <v>632800</v>
      </c>
      <c r="G422" s="1412">
        <f t="shared" si="54"/>
        <v>1870300</v>
      </c>
    </row>
    <row r="423" spans="2:8">
      <c r="B423" s="1411">
        <v>40118</v>
      </c>
      <c r="C423" s="1412">
        <v>240000</v>
      </c>
      <c r="D423" s="1412">
        <v>805200</v>
      </c>
      <c r="E423" s="1412">
        <v>187500</v>
      </c>
      <c r="F423" s="1412">
        <v>629100</v>
      </c>
      <c r="G423" s="1412">
        <f t="shared" si="54"/>
        <v>1861800</v>
      </c>
    </row>
    <row r="424" spans="2:8">
      <c r="B424" s="1411">
        <v>40148</v>
      </c>
      <c r="C424" s="1412">
        <v>240000</v>
      </c>
      <c r="D424" s="1412">
        <v>799600</v>
      </c>
      <c r="E424" s="1412">
        <v>187500</v>
      </c>
      <c r="F424" s="1412">
        <v>624700</v>
      </c>
      <c r="G424" s="1412">
        <f t="shared" si="54"/>
        <v>1851800</v>
      </c>
    </row>
    <row r="425" spans="2:8">
      <c r="B425" s="1411">
        <v>40179</v>
      </c>
      <c r="C425" s="1412">
        <v>240000</v>
      </c>
      <c r="D425" s="1412">
        <v>795300</v>
      </c>
      <c r="E425" s="1412">
        <v>187500</v>
      </c>
      <c r="F425" s="1412">
        <v>621400</v>
      </c>
      <c r="G425" s="1412">
        <f t="shared" si="54"/>
        <v>1844200</v>
      </c>
      <c r="H425" s="1150"/>
    </row>
    <row r="426" spans="2:8">
      <c r="B426" s="1411">
        <v>40210</v>
      </c>
      <c r="C426" s="1412">
        <v>240000</v>
      </c>
      <c r="D426" s="1412">
        <v>790900</v>
      </c>
      <c r="E426" s="1412">
        <v>187500</v>
      </c>
      <c r="F426" s="1412">
        <v>617900</v>
      </c>
      <c r="G426" s="1412">
        <f t="shared" ref="G426:G472" si="55">SUM(C426:F426)</f>
        <v>1836300</v>
      </c>
    </row>
    <row r="427" spans="2:8">
      <c r="B427" s="1411">
        <v>40238</v>
      </c>
      <c r="C427" s="1412">
        <v>240000</v>
      </c>
      <c r="D427" s="1412">
        <v>785500</v>
      </c>
      <c r="E427" s="1412">
        <v>187500</v>
      </c>
      <c r="F427" s="1412">
        <v>613700</v>
      </c>
      <c r="G427" s="1412">
        <f t="shared" si="55"/>
        <v>1826700</v>
      </c>
    </row>
    <row r="428" spans="2:8">
      <c r="B428" s="1411">
        <v>40269</v>
      </c>
      <c r="C428" s="1412">
        <v>240000</v>
      </c>
      <c r="D428" s="1412">
        <v>781100</v>
      </c>
      <c r="E428" s="1412">
        <v>187500</v>
      </c>
      <c r="F428" s="1412">
        <v>610300</v>
      </c>
      <c r="G428" s="1412">
        <f t="shared" si="55"/>
        <v>1818900</v>
      </c>
    </row>
    <row r="429" spans="2:8">
      <c r="B429" s="1411">
        <v>40299</v>
      </c>
      <c r="C429" s="1412">
        <v>240000</v>
      </c>
      <c r="D429" s="1412">
        <v>776600</v>
      </c>
      <c r="E429" s="1412">
        <v>187500</v>
      </c>
      <c r="F429" s="1412">
        <v>606700</v>
      </c>
      <c r="G429" s="1412">
        <f t="shared" si="55"/>
        <v>1810800</v>
      </c>
    </row>
    <row r="430" spans="2:8">
      <c r="B430" s="1411">
        <v>40330</v>
      </c>
      <c r="C430" s="1412">
        <v>240000</v>
      </c>
      <c r="D430" s="1412">
        <v>772300</v>
      </c>
      <c r="E430" s="1412">
        <v>187500</v>
      </c>
      <c r="F430" s="1412">
        <v>603400</v>
      </c>
      <c r="G430" s="1412">
        <f t="shared" si="55"/>
        <v>1803200</v>
      </c>
    </row>
    <row r="431" spans="2:8">
      <c r="B431" s="1411">
        <v>40360</v>
      </c>
      <c r="C431" s="1412">
        <v>240000</v>
      </c>
      <c r="D431" s="1412">
        <v>767600</v>
      </c>
      <c r="E431" s="1412">
        <v>187500</v>
      </c>
      <c r="F431" s="1412">
        <v>599700</v>
      </c>
      <c r="G431" s="1412">
        <f t="shared" si="55"/>
        <v>1794800</v>
      </c>
    </row>
    <row r="432" spans="2:8">
      <c r="B432" s="1411">
        <v>40391</v>
      </c>
      <c r="C432" s="1412">
        <v>240000</v>
      </c>
      <c r="D432" s="1412">
        <v>763300</v>
      </c>
      <c r="E432" s="1412">
        <v>187500</v>
      </c>
      <c r="F432" s="1412">
        <v>596400</v>
      </c>
      <c r="G432" s="1412">
        <f t="shared" si="55"/>
        <v>1787200</v>
      </c>
    </row>
    <row r="433" spans="2:7">
      <c r="B433" s="1411">
        <v>40422</v>
      </c>
      <c r="C433" s="1412">
        <v>240000</v>
      </c>
      <c r="D433" s="1412">
        <v>759000</v>
      </c>
      <c r="E433" s="1412">
        <v>187500</v>
      </c>
      <c r="F433" s="1412">
        <v>593000</v>
      </c>
      <c r="G433" s="1412">
        <f t="shared" si="55"/>
        <v>1779500</v>
      </c>
    </row>
    <row r="434" spans="2:7">
      <c r="B434" s="1411">
        <v>40452</v>
      </c>
      <c r="C434" s="1412">
        <v>240000</v>
      </c>
      <c r="D434" s="1412">
        <v>754400</v>
      </c>
      <c r="E434" s="1412">
        <v>187500</v>
      </c>
      <c r="F434" s="1412">
        <v>589400</v>
      </c>
      <c r="G434" s="1412">
        <f t="shared" si="55"/>
        <v>1771300</v>
      </c>
    </row>
    <row r="435" spans="2:7">
      <c r="B435" s="1411">
        <v>40483</v>
      </c>
      <c r="C435" s="1412">
        <v>240000</v>
      </c>
      <c r="D435" s="1412">
        <v>750400</v>
      </c>
      <c r="E435" s="1412">
        <v>187500</v>
      </c>
      <c r="F435" s="1412">
        <v>586200</v>
      </c>
      <c r="G435" s="1412">
        <f t="shared" si="55"/>
        <v>1764100</v>
      </c>
    </row>
    <row r="436" spans="2:7">
      <c r="B436" s="1411">
        <v>40513</v>
      </c>
      <c r="C436" s="1412">
        <v>240000</v>
      </c>
      <c r="D436" s="1412">
        <v>745500</v>
      </c>
      <c r="E436" s="1412">
        <v>187500</v>
      </c>
      <c r="F436" s="1412">
        <v>582400</v>
      </c>
      <c r="G436" s="1412">
        <f t="shared" si="55"/>
        <v>1755400</v>
      </c>
    </row>
    <row r="437" spans="2:7">
      <c r="B437" s="1411">
        <v>40544</v>
      </c>
      <c r="C437" s="1412">
        <v>272000</v>
      </c>
      <c r="D437" s="1412">
        <v>840000</v>
      </c>
      <c r="E437" s="1412">
        <v>212500</v>
      </c>
      <c r="F437" s="1412">
        <v>656300</v>
      </c>
      <c r="G437" s="1412">
        <f t="shared" si="55"/>
        <v>1980800</v>
      </c>
    </row>
    <row r="438" spans="2:7">
      <c r="B438" s="1411">
        <v>40575</v>
      </c>
      <c r="C438" s="1412">
        <v>272000</v>
      </c>
      <c r="D438" s="1412">
        <v>835200</v>
      </c>
      <c r="E438" s="1412">
        <v>212500</v>
      </c>
      <c r="F438" s="1412">
        <v>652500</v>
      </c>
      <c r="G438" s="1412">
        <f t="shared" si="55"/>
        <v>1972200</v>
      </c>
    </row>
    <row r="439" spans="2:7">
      <c r="B439" s="1411">
        <v>40603</v>
      </c>
      <c r="C439" s="1412">
        <v>272000</v>
      </c>
      <c r="D439" s="1412">
        <v>829400</v>
      </c>
      <c r="E439" s="1412">
        <v>212500</v>
      </c>
      <c r="F439" s="1412">
        <v>648000</v>
      </c>
      <c r="G439" s="1412">
        <f t="shared" si="55"/>
        <v>1961900</v>
      </c>
    </row>
    <row r="440" spans="2:7">
      <c r="B440" s="1411">
        <v>40634</v>
      </c>
      <c r="C440" s="1412">
        <v>272000</v>
      </c>
      <c r="D440" s="1412">
        <v>823300</v>
      </c>
      <c r="E440" s="1412">
        <v>212500</v>
      </c>
      <c r="F440" s="1412">
        <v>643200</v>
      </c>
      <c r="G440" s="1412">
        <f t="shared" si="55"/>
        <v>1951000</v>
      </c>
    </row>
    <row r="441" spans="2:7">
      <c r="B441" s="1411">
        <v>40664</v>
      </c>
      <c r="C441" s="1412">
        <v>272000</v>
      </c>
      <c r="D441" s="1412">
        <v>817200</v>
      </c>
      <c r="E441" s="1412">
        <v>212500</v>
      </c>
      <c r="F441" s="1412">
        <v>638400</v>
      </c>
      <c r="G441" s="1412">
        <f t="shared" si="55"/>
        <v>1940100</v>
      </c>
    </row>
    <row r="442" spans="2:7">
      <c r="B442" s="1411">
        <v>40695</v>
      </c>
      <c r="C442" s="1412">
        <v>272000</v>
      </c>
      <c r="D442" s="1412">
        <v>810700</v>
      </c>
      <c r="E442" s="1412">
        <v>212500</v>
      </c>
      <c r="F442" s="1412">
        <v>633400</v>
      </c>
      <c r="G442" s="1412">
        <f t="shared" si="55"/>
        <v>1928600</v>
      </c>
    </row>
    <row r="443" spans="2:7">
      <c r="B443" s="1411">
        <v>40725</v>
      </c>
      <c r="C443" s="1412">
        <v>272000</v>
      </c>
      <c r="D443" s="1412">
        <v>804700</v>
      </c>
      <c r="E443" s="1412">
        <v>212500</v>
      </c>
      <c r="F443" s="1412">
        <v>628600</v>
      </c>
      <c r="G443" s="1412">
        <f t="shared" si="55"/>
        <v>1917800</v>
      </c>
    </row>
    <row r="444" spans="2:7">
      <c r="B444" s="1411">
        <v>40756</v>
      </c>
      <c r="C444" s="1412">
        <v>272000</v>
      </c>
      <c r="D444" s="1412">
        <v>798400</v>
      </c>
      <c r="E444" s="1412">
        <v>212500</v>
      </c>
      <c r="F444" s="1412">
        <v>623800</v>
      </c>
      <c r="G444" s="1412">
        <f t="shared" si="55"/>
        <v>1906700</v>
      </c>
    </row>
    <row r="445" spans="2:7">
      <c r="B445" s="1411">
        <v>40787</v>
      </c>
      <c r="C445" s="1412">
        <v>272000</v>
      </c>
      <c r="D445" s="1412">
        <v>791400</v>
      </c>
      <c r="E445" s="1412">
        <v>212500</v>
      </c>
      <c r="F445" s="1412">
        <v>618300</v>
      </c>
      <c r="G445" s="1412">
        <f t="shared" si="55"/>
        <v>1894200</v>
      </c>
    </row>
    <row r="446" spans="2:7">
      <c r="B446" s="1411">
        <v>40817</v>
      </c>
      <c r="C446" s="1412">
        <v>272000</v>
      </c>
      <c r="D446" s="1412">
        <v>784900</v>
      </c>
      <c r="E446" s="1412">
        <v>212500</v>
      </c>
      <c r="F446" s="1412">
        <v>613200</v>
      </c>
      <c r="G446" s="1412">
        <f t="shared" si="55"/>
        <v>1882600</v>
      </c>
    </row>
    <row r="447" spans="2:7">
      <c r="B447" s="1411">
        <v>40848</v>
      </c>
      <c r="C447" s="1412">
        <v>272000</v>
      </c>
      <c r="D447" s="1412">
        <v>778700</v>
      </c>
      <c r="E447" s="1412">
        <v>212500</v>
      </c>
      <c r="F447" s="1412">
        <v>608300</v>
      </c>
      <c r="G447" s="1412">
        <f t="shared" si="55"/>
        <v>1871500</v>
      </c>
    </row>
    <row r="448" spans="2:7">
      <c r="B448" s="1411">
        <v>40878</v>
      </c>
      <c r="C448" s="1412">
        <v>272000</v>
      </c>
      <c r="D448" s="1412">
        <v>771600</v>
      </c>
      <c r="E448" s="1412">
        <v>212500</v>
      </c>
      <c r="F448" s="1412">
        <v>602900</v>
      </c>
      <c r="G448" s="1412">
        <f t="shared" si="55"/>
        <v>1859000</v>
      </c>
    </row>
    <row r="449" spans="2:7">
      <c r="B449" s="1411">
        <v>40909</v>
      </c>
      <c r="C449" s="1412">
        <v>282200</v>
      </c>
      <c r="D449" s="1412">
        <v>793900</v>
      </c>
      <c r="E449" s="1412">
        <v>220500</v>
      </c>
      <c r="F449" s="1412">
        <v>620300</v>
      </c>
      <c r="G449" s="1412">
        <f t="shared" si="55"/>
        <v>1916900</v>
      </c>
    </row>
    <row r="450" spans="2:7">
      <c r="B450" s="1411">
        <v>40940</v>
      </c>
      <c r="C450" s="1412">
        <v>282200</v>
      </c>
      <c r="D450" s="1412">
        <v>787200</v>
      </c>
      <c r="E450" s="1412">
        <v>220500</v>
      </c>
      <c r="F450" s="1412">
        <v>615100</v>
      </c>
      <c r="G450" s="1412">
        <f>SUM(C450:F450)</f>
        <v>1905000</v>
      </c>
    </row>
    <row r="451" spans="2:7">
      <c r="B451" s="1411">
        <v>40969</v>
      </c>
      <c r="C451" s="1412">
        <v>282200</v>
      </c>
      <c r="D451" s="1412">
        <v>779300</v>
      </c>
      <c r="E451" s="1412">
        <v>220500</v>
      </c>
      <c r="F451" s="1412">
        <v>608900</v>
      </c>
      <c r="G451" s="1412">
        <f t="shared" si="55"/>
        <v>1890900</v>
      </c>
    </row>
    <row r="452" spans="2:7">
      <c r="B452" s="1411">
        <v>41000</v>
      </c>
      <c r="C452" s="1412">
        <v>282200</v>
      </c>
      <c r="D452" s="1412">
        <v>772600</v>
      </c>
      <c r="E452" s="1412">
        <v>220500</v>
      </c>
      <c r="F452" s="1412">
        <v>603700</v>
      </c>
      <c r="G452" s="1412">
        <f t="shared" si="55"/>
        <v>1879000</v>
      </c>
    </row>
    <row r="453" spans="2:7">
      <c r="B453" s="1411">
        <v>41030</v>
      </c>
      <c r="C453" s="1412">
        <v>282200</v>
      </c>
      <c r="D453" s="1412">
        <v>764500</v>
      </c>
      <c r="E453" s="1412">
        <v>220500</v>
      </c>
      <c r="F453" s="1412">
        <v>597400</v>
      </c>
      <c r="G453" s="1412">
        <f t="shared" si="55"/>
        <v>1864600</v>
      </c>
    </row>
    <row r="454" spans="2:7">
      <c r="B454" s="1411">
        <v>41061</v>
      </c>
      <c r="C454" s="1412">
        <v>282200</v>
      </c>
      <c r="D454" s="1412">
        <v>757800</v>
      </c>
      <c r="E454" s="1412">
        <v>220500</v>
      </c>
      <c r="F454" s="1412">
        <v>592200</v>
      </c>
      <c r="G454" s="1412">
        <f t="shared" si="55"/>
        <v>1852700</v>
      </c>
    </row>
    <row r="455" spans="2:7">
      <c r="B455" s="1411">
        <v>41091</v>
      </c>
      <c r="C455" s="1412">
        <v>282200</v>
      </c>
      <c r="D455" s="1412">
        <v>750600</v>
      </c>
      <c r="E455" s="1412">
        <v>220500</v>
      </c>
      <c r="F455" s="1412">
        <v>586500</v>
      </c>
      <c r="G455" s="1412">
        <f t="shared" si="55"/>
        <v>1839800</v>
      </c>
    </row>
    <row r="456" spans="2:7">
      <c r="B456" s="1411">
        <v>41122</v>
      </c>
      <c r="C456" s="1412">
        <v>282200</v>
      </c>
      <c r="D456" s="1412">
        <v>742900</v>
      </c>
      <c r="E456" s="1412">
        <v>220500</v>
      </c>
      <c r="F456" s="1412">
        <v>580500</v>
      </c>
      <c r="G456" s="1412">
        <f t="shared" si="55"/>
        <v>1826100</v>
      </c>
    </row>
    <row r="457" spans="2:7">
      <c r="B457" s="1411">
        <v>41153</v>
      </c>
      <c r="C457" s="1412">
        <v>282200</v>
      </c>
      <c r="D457" s="1412">
        <v>735900</v>
      </c>
      <c r="E457" s="1412">
        <v>220500</v>
      </c>
      <c r="F457" s="1412">
        <v>575000</v>
      </c>
      <c r="G457" s="1412">
        <f t="shared" si="55"/>
        <v>1813600</v>
      </c>
    </row>
    <row r="458" spans="2:7">
      <c r="B458" s="1411">
        <v>41183</v>
      </c>
      <c r="C458" s="1412">
        <v>282200</v>
      </c>
      <c r="D458" s="1412">
        <v>727700</v>
      </c>
      <c r="E458" s="1412">
        <v>220500</v>
      </c>
      <c r="F458" s="1412">
        <v>568600</v>
      </c>
      <c r="G458" s="1412">
        <f t="shared" si="55"/>
        <v>1799000</v>
      </c>
    </row>
    <row r="459" spans="2:7">
      <c r="B459" s="1411">
        <v>41214</v>
      </c>
      <c r="C459" s="1412">
        <v>282200</v>
      </c>
      <c r="D459" s="1412">
        <v>720900</v>
      </c>
      <c r="E459" s="1412">
        <v>220500</v>
      </c>
      <c r="F459" s="1412">
        <v>563300</v>
      </c>
      <c r="G459" s="1412">
        <f t="shared" si="55"/>
        <v>1786900</v>
      </c>
    </row>
    <row r="460" spans="2:7">
      <c r="B460" s="1411">
        <v>41244</v>
      </c>
      <c r="C460" s="1412">
        <v>282200</v>
      </c>
      <c r="D460" s="1412">
        <v>713400</v>
      </c>
      <c r="E460" s="1412">
        <v>220500</v>
      </c>
      <c r="F460" s="1412">
        <v>557500</v>
      </c>
      <c r="G460" s="1412">
        <f t="shared" si="55"/>
        <v>1773600</v>
      </c>
    </row>
    <row r="461" spans="2:7">
      <c r="B461" s="1411">
        <v>41275</v>
      </c>
      <c r="C461" s="1412">
        <v>288000</v>
      </c>
      <c r="D461" s="1412">
        <v>721000</v>
      </c>
      <c r="E461" s="1412">
        <v>225000</v>
      </c>
      <c r="F461" s="1412">
        <v>563300</v>
      </c>
      <c r="G461" s="1412">
        <f t="shared" si="55"/>
        <v>1797300</v>
      </c>
    </row>
    <row r="462" spans="2:7">
      <c r="B462" s="1411">
        <v>41306</v>
      </c>
      <c r="C462" s="1412">
        <v>288000</v>
      </c>
      <c r="D462" s="1412">
        <v>714100</v>
      </c>
      <c r="E462" s="1412">
        <v>225000</v>
      </c>
      <c r="F462" s="1412">
        <v>557900</v>
      </c>
      <c r="G462" s="1412">
        <f t="shared" si="55"/>
        <v>1785000</v>
      </c>
    </row>
    <row r="463" spans="2:7">
      <c r="B463" s="1411">
        <v>41334</v>
      </c>
      <c r="C463" s="1412">
        <v>288000</v>
      </c>
      <c r="D463" s="1412">
        <v>706500</v>
      </c>
      <c r="E463" s="1412">
        <v>225000</v>
      </c>
      <c r="F463" s="1412">
        <v>552000</v>
      </c>
      <c r="G463" s="1412">
        <f t="shared" si="55"/>
        <v>1771500</v>
      </c>
    </row>
    <row r="464" spans="2:7">
      <c r="B464" s="1411">
        <v>41365</v>
      </c>
      <c r="C464" s="1412">
        <v>288000</v>
      </c>
      <c r="D464" s="1412">
        <v>698700</v>
      </c>
      <c r="E464" s="1412">
        <v>225000</v>
      </c>
      <c r="F464" s="1412">
        <v>545800</v>
      </c>
      <c r="G464" s="1412">
        <f t="shared" si="55"/>
        <v>1757500</v>
      </c>
    </row>
    <row r="465" spans="2:7">
      <c r="B465" s="1411">
        <v>41395</v>
      </c>
      <c r="C465" s="1412">
        <v>288000</v>
      </c>
      <c r="D465" s="1412">
        <v>690500</v>
      </c>
      <c r="E465" s="1412">
        <v>225000</v>
      </c>
      <c r="F465" s="1412">
        <v>539500</v>
      </c>
      <c r="G465" s="1412">
        <f t="shared" si="55"/>
        <v>1743000</v>
      </c>
    </row>
    <row r="466" spans="2:7">
      <c r="B466" s="1411">
        <v>41426</v>
      </c>
      <c r="C466" s="1412">
        <v>288000</v>
      </c>
      <c r="D466" s="1412">
        <v>684000</v>
      </c>
      <c r="E466" s="1412">
        <v>225000</v>
      </c>
      <c r="F466" s="1412">
        <v>534400</v>
      </c>
      <c r="G466" s="1412">
        <f t="shared" si="55"/>
        <v>1731400</v>
      </c>
    </row>
    <row r="467" spans="2:7">
      <c r="B467" s="1411">
        <v>41456</v>
      </c>
      <c r="C467" s="1412">
        <v>288000</v>
      </c>
      <c r="D467" s="1412">
        <v>676500</v>
      </c>
      <c r="E467" s="1412">
        <v>225000</v>
      </c>
      <c r="F467" s="1412">
        <v>528600</v>
      </c>
      <c r="G467" s="1412">
        <f t="shared" si="55"/>
        <v>1718100</v>
      </c>
    </row>
    <row r="468" spans="2:7">
      <c r="B468" s="1411">
        <v>41487</v>
      </c>
      <c r="C468" s="1412">
        <v>288000</v>
      </c>
      <c r="D468" s="1412">
        <v>669100</v>
      </c>
      <c r="E468" s="1412">
        <v>225000</v>
      </c>
      <c r="F468" s="1412">
        <v>522700</v>
      </c>
      <c r="G468" s="1412">
        <f>SUM(C468:F468)</f>
        <v>1704800</v>
      </c>
    </row>
    <row r="469" spans="2:7">
      <c r="B469" s="1411">
        <v>41518</v>
      </c>
      <c r="C469" s="1412">
        <v>288000</v>
      </c>
      <c r="D469" s="1412">
        <v>662000</v>
      </c>
      <c r="E469" s="1412">
        <v>225000</v>
      </c>
      <c r="F469" s="1412">
        <v>517200</v>
      </c>
      <c r="G469" s="1412">
        <f t="shared" si="55"/>
        <v>1692200</v>
      </c>
    </row>
    <row r="470" spans="2:7">
      <c r="B470" s="1411">
        <v>41548</v>
      </c>
      <c r="C470" s="1412">
        <v>288000</v>
      </c>
      <c r="D470" s="1412">
        <v>654000</v>
      </c>
      <c r="E470" s="1412">
        <v>225000</v>
      </c>
      <c r="F470" s="1412">
        <v>511000</v>
      </c>
      <c r="G470" s="1412">
        <f t="shared" si="55"/>
        <v>1678000</v>
      </c>
    </row>
    <row r="471" spans="2:7">
      <c r="B471" s="1411">
        <v>41579</v>
      </c>
      <c r="C471" s="1412">
        <v>288000</v>
      </c>
      <c r="D471" s="1412">
        <v>647700</v>
      </c>
      <c r="E471" s="1412">
        <v>225000</v>
      </c>
      <c r="F471" s="1412">
        <v>506000</v>
      </c>
      <c r="G471" s="1412">
        <f t="shared" si="55"/>
        <v>1666700</v>
      </c>
    </row>
    <row r="472" spans="2:7">
      <c r="B472" s="1411">
        <v>41609</v>
      </c>
      <c r="C472" s="1412">
        <v>288000</v>
      </c>
      <c r="D472" s="1412">
        <v>640200</v>
      </c>
      <c r="E472" s="1412">
        <v>225000</v>
      </c>
      <c r="F472" s="1412">
        <v>500200</v>
      </c>
      <c r="G472" s="1412">
        <f t="shared" si="55"/>
        <v>1653400</v>
      </c>
    </row>
    <row r="473" spans="2:7">
      <c r="B473" s="728" t="s">
        <v>765</v>
      </c>
      <c r="C473" s="1413">
        <f>SUM(C361:C472)</f>
        <v>21375700</v>
      </c>
      <c r="D473" s="1413">
        <f>SUM(D361:D472)</f>
        <v>69023400</v>
      </c>
      <c r="E473" s="1413">
        <f>SUM(E361:E472)</f>
        <v>16756000</v>
      </c>
      <c r="F473" s="1413">
        <f>SUM(F361:F472)</f>
        <v>54169300</v>
      </c>
      <c r="G473" s="1413">
        <f>SUM(G361:G472)</f>
        <v>161324400</v>
      </c>
    </row>
    <row r="475" spans="2:7">
      <c r="B475" s="791"/>
      <c r="C475" s="1414"/>
      <c r="D475" s="1414"/>
      <c r="E475" s="1414"/>
      <c r="G475" s="1414"/>
    </row>
    <row r="476" spans="2:7">
      <c r="B476" s="728" t="s">
        <v>766</v>
      </c>
      <c r="C476" s="1412">
        <f>+C473</f>
        <v>21375700</v>
      </c>
      <c r="D476" s="1414"/>
      <c r="E476" s="1414"/>
      <c r="G476" s="1414"/>
    </row>
    <row r="477" spans="2:7">
      <c r="B477" s="728" t="s">
        <v>767</v>
      </c>
      <c r="C477" s="1412">
        <f>+D473</f>
        <v>69023400</v>
      </c>
      <c r="D477" s="1414">
        <f>+C476+C477</f>
        <v>90399100</v>
      </c>
      <c r="E477" s="1414"/>
      <c r="G477" s="1414"/>
    </row>
    <row r="478" spans="2:7">
      <c r="B478" s="728" t="s">
        <v>768</v>
      </c>
      <c r="C478" s="1412">
        <f>+E473</f>
        <v>16756000</v>
      </c>
      <c r="D478" s="1414"/>
      <c r="E478" s="1414"/>
      <c r="G478" s="1414"/>
    </row>
    <row r="479" spans="2:7">
      <c r="B479" s="728" t="s">
        <v>769</v>
      </c>
      <c r="C479" s="1412">
        <f>+F473</f>
        <v>54169300</v>
      </c>
      <c r="D479" s="1414">
        <f>+C478+C479</f>
        <v>70925300</v>
      </c>
      <c r="E479" s="1414"/>
      <c r="G479" s="1414"/>
    </row>
    <row r="480" spans="2:7">
      <c r="B480" s="728" t="s">
        <v>97</v>
      </c>
      <c r="C480" s="1412">
        <f>SUM(C476:C479)</f>
        <v>161324400</v>
      </c>
      <c r="D480" s="1414"/>
      <c r="E480" s="1414"/>
      <c r="G480" s="1414"/>
    </row>
  </sheetData>
  <mergeCells count="54">
    <mergeCell ref="B345:C345"/>
    <mergeCell ref="B175:D175"/>
    <mergeCell ref="F178:I178"/>
    <mergeCell ref="B180:D180"/>
    <mergeCell ref="L181:T181"/>
    <mergeCell ref="C184:D184"/>
    <mergeCell ref="B185:D185"/>
    <mergeCell ref="F188:I188"/>
    <mergeCell ref="F193:I193"/>
    <mergeCell ref="F194:I194"/>
    <mergeCell ref="F195:I195"/>
    <mergeCell ref="B300:H300"/>
    <mergeCell ref="L115:T115"/>
    <mergeCell ref="B116:F116"/>
    <mergeCell ref="B118:D118"/>
    <mergeCell ref="F118:I118"/>
    <mergeCell ref="C174:D174"/>
    <mergeCell ref="C132:D132"/>
    <mergeCell ref="L132:T132"/>
    <mergeCell ref="B133:F133"/>
    <mergeCell ref="F146:I146"/>
    <mergeCell ref="B147:D147"/>
    <mergeCell ref="L148:T148"/>
    <mergeCell ref="C158:D158"/>
    <mergeCell ref="B159:D159"/>
    <mergeCell ref="L165:T165"/>
    <mergeCell ref="F170:I170"/>
    <mergeCell ref="B171:D171"/>
    <mergeCell ref="B119:D119"/>
    <mergeCell ref="B84:F84"/>
    <mergeCell ref="C89:D89"/>
    <mergeCell ref="C97:D97"/>
    <mergeCell ref="B100:F100"/>
    <mergeCell ref="C113:D113"/>
    <mergeCell ref="F113:I113"/>
    <mergeCell ref="B114:D114"/>
    <mergeCell ref="F83:I83"/>
    <mergeCell ref="L19:T19"/>
    <mergeCell ref="B25:F25"/>
    <mergeCell ref="G30:I30"/>
    <mergeCell ref="B31:F31"/>
    <mergeCell ref="M35:T35"/>
    <mergeCell ref="C42:E42"/>
    <mergeCell ref="F50:I50"/>
    <mergeCell ref="M52:T52"/>
    <mergeCell ref="B53:F53"/>
    <mergeCell ref="B70:F70"/>
    <mergeCell ref="M78:T78"/>
    <mergeCell ref="B17:F17"/>
    <mergeCell ref="H9:I9"/>
    <mergeCell ref="M10:T10"/>
    <mergeCell ref="B11:F11"/>
    <mergeCell ref="B14:E14"/>
    <mergeCell ref="G15:I15"/>
  </mergeCells>
  <conditionalFormatting sqref="B301:C301">
    <cfRule type="duplicateValues" dxfId="47" priority="2"/>
  </conditionalFormatting>
  <conditionalFormatting sqref="D301">
    <cfRule type="duplicateValues" dxfId="46" priority="1"/>
  </conditionalFormatting>
  <pageMargins left="0.7" right="0.7" top="0.75" bottom="0.75" header="0.3" footer="0.3"/>
  <pageSetup paperSize="135" scale="68" fitToHeight="0"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F3B80-735C-46AD-A5D1-E44936EF72F3}">
  <sheetPr codeName="Hoja22"/>
  <dimension ref="A1:K63"/>
  <sheetViews>
    <sheetView topLeftCell="A36" zoomScale="110" zoomScaleNormal="110" workbookViewId="0">
      <selection activeCell="L52" sqref="L52"/>
    </sheetView>
  </sheetViews>
  <sheetFormatPr defaultColWidth="11.42578125" defaultRowHeight="12.75"/>
  <cols>
    <col min="1" max="1" width="3.28515625" customWidth="1"/>
    <col min="2" max="2" width="18.7109375" customWidth="1"/>
    <col min="3" max="3" width="15.7109375" customWidth="1"/>
    <col min="5" max="5" width="12.85546875" customWidth="1"/>
    <col min="6" max="6" width="12.85546875" bestFit="1" customWidth="1"/>
    <col min="8" max="8" width="14.85546875" customWidth="1"/>
  </cols>
  <sheetData>
    <row r="1" spans="1:8" ht="17.25" customHeight="1">
      <c r="B1" s="789" t="s">
        <v>0</v>
      </c>
      <c r="C1" s="902" t="s">
        <v>770</v>
      </c>
      <c r="D1" s="791"/>
      <c r="E1" s="791"/>
      <c r="F1" s="791"/>
      <c r="G1" s="791"/>
      <c r="H1" s="791"/>
    </row>
    <row r="2" spans="1:8" ht="13.5">
      <c r="B2" s="789" t="s">
        <v>238</v>
      </c>
      <c r="C2" s="929">
        <v>9068848</v>
      </c>
      <c r="D2" s="791"/>
      <c r="E2" s="791"/>
      <c r="F2" s="791"/>
      <c r="G2" s="791"/>
      <c r="H2" s="791"/>
    </row>
    <row r="3" spans="1:8" ht="13.5">
      <c r="B3" s="728" t="s">
        <v>4</v>
      </c>
      <c r="C3" s="724">
        <v>43517</v>
      </c>
      <c r="D3" s="791"/>
      <c r="E3" s="791"/>
      <c r="F3" s="791"/>
      <c r="G3" s="791"/>
      <c r="H3" s="791"/>
    </row>
    <row r="4" spans="1:8" ht="13.5">
      <c r="B4" s="728" t="s">
        <v>124</v>
      </c>
      <c r="C4" s="737" t="s">
        <v>771</v>
      </c>
      <c r="D4" s="737"/>
      <c r="E4" s="791"/>
      <c r="F4" s="791"/>
      <c r="G4" s="791"/>
      <c r="H4" s="791"/>
    </row>
    <row r="5" spans="1:8" ht="13.5">
      <c r="B5" s="728" t="s">
        <v>2</v>
      </c>
      <c r="C5" s="737" t="s">
        <v>772</v>
      </c>
      <c r="D5" s="791"/>
      <c r="E5" s="791"/>
      <c r="F5" s="791"/>
      <c r="G5" s="791"/>
      <c r="H5" s="791"/>
    </row>
    <row r="6" spans="1:8" ht="13.5">
      <c r="B6" s="728" t="s">
        <v>154</v>
      </c>
      <c r="C6" s="724">
        <v>43529</v>
      </c>
      <c r="D6" s="791"/>
      <c r="E6" s="791"/>
      <c r="F6" s="791"/>
      <c r="G6" s="791"/>
      <c r="H6" s="791"/>
    </row>
    <row r="7" spans="1:8" ht="13.5">
      <c r="B7" s="728" t="s">
        <v>773</v>
      </c>
      <c r="C7" s="929">
        <v>1473383</v>
      </c>
      <c r="D7" s="791"/>
      <c r="E7" s="791"/>
      <c r="F7" s="925"/>
      <c r="G7" s="925"/>
      <c r="H7" s="791"/>
    </row>
    <row r="8" spans="1:8" ht="13.5">
      <c r="B8" s="728" t="s">
        <v>774</v>
      </c>
      <c r="C8" s="790">
        <f>+C7/30</f>
        <v>49112.76666666667</v>
      </c>
      <c r="D8" s="791"/>
      <c r="E8" s="791"/>
      <c r="F8" s="925"/>
      <c r="G8" s="925"/>
      <c r="H8" s="791"/>
    </row>
    <row r="9" spans="1:8" ht="13.5">
      <c r="B9" s="728" t="s">
        <v>147</v>
      </c>
      <c r="C9" s="930" t="s">
        <v>40</v>
      </c>
      <c r="D9" s="922" t="s">
        <v>529</v>
      </c>
      <c r="E9" s="728" t="s">
        <v>198</v>
      </c>
      <c r="F9" s="925"/>
      <c r="G9" s="925"/>
      <c r="H9" s="791"/>
    </row>
    <row r="10" spans="1:8" ht="13.5">
      <c r="B10" s="724">
        <v>41369</v>
      </c>
      <c r="C10" s="724">
        <v>41726</v>
      </c>
      <c r="D10" s="737">
        <f>_xlfn.DAYS(C10,B10)</f>
        <v>357</v>
      </c>
      <c r="E10" s="850">
        <f>+C8*D10</f>
        <v>17533257.700000003</v>
      </c>
      <c r="F10" s="925"/>
      <c r="G10" s="925"/>
      <c r="H10" s="791"/>
    </row>
    <row r="11" spans="1:8" ht="13.5">
      <c r="B11" s="728" t="s">
        <v>4</v>
      </c>
      <c r="C11" s="724">
        <f>+C3</f>
        <v>43517</v>
      </c>
      <c r="D11" s="791"/>
      <c r="E11" s="791"/>
      <c r="F11" s="791"/>
      <c r="G11" s="791"/>
      <c r="H11" s="791"/>
    </row>
    <row r="12" spans="1:8" ht="13.5">
      <c r="B12" s="2559" t="s">
        <v>172</v>
      </c>
      <c r="C12" s="2559"/>
      <c r="D12" s="2559"/>
      <c r="E12" s="2559"/>
      <c r="F12" s="2559"/>
      <c r="G12" s="2559"/>
      <c r="H12" s="2559"/>
    </row>
    <row r="13" spans="1:8" ht="21" customHeight="1">
      <c r="B13" s="793" t="s">
        <v>337</v>
      </c>
      <c r="C13" s="793" t="s">
        <v>40</v>
      </c>
      <c r="D13" s="794" t="s">
        <v>755</v>
      </c>
      <c r="E13" s="793" t="s">
        <v>43</v>
      </c>
      <c r="F13" s="793" t="s">
        <v>129</v>
      </c>
      <c r="G13" s="794" t="s">
        <v>47</v>
      </c>
      <c r="H13" s="794" t="s">
        <v>48</v>
      </c>
    </row>
    <row r="14" spans="1:8" ht="13.5">
      <c r="A14" s="2">
        <v>1</v>
      </c>
      <c r="B14" s="724">
        <v>43518</v>
      </c>
      <c r="C14" s="724">
        <v>43524</v>
      </c>
      <c r="D14" s="796">
        <v>4.5699999999999998E-2</v>
      </c>
      <c r="E14" s="897">
        <f t="shared" ref="E14:E48" si="0">((1+D14)^(1/365)-1)</f>
        <v>1.2243631011710221E-4</v>
      </c>
      <c r="F14" s="895">
        <f t="shared" ref="F14:F48" si="1">+$E$10</f>
        <v>17533257.700000003</v>
      </c>
      <c r="G14" s="931">
        <f>_xlfn.DAYS(C14,B14)+1</f>
        <v>7</v>
      </c>
      <c r="H14" s="895">
        <f t="shared" ref="H14:H48" si="2">+F14*E14*G14</f>
        <v>15026.951639841893</v>
      </c>
    </row>
    <row r="15" spans="1:8" ht="13.5">
      <c r="A15" s="2">
        <v>2</v>
      </c>
      <c r="B15" s="724">
        <v>43525</v>
      </c>
      <c r="C15" s="724">
        <v>43555</v>
      </c>
      <c r="D15" s="796">
        <v>4.5499999999999999E-2</v>
      </c>
      <c r="E15" s="897">
        <f t="shared" si="0"/>
        <v>1.2191219750046223E-4</v>
      </c>
      <c r="F15" s="895">
        <f t="shared" si="1"/>
        <v>17533257.700000003</v>
      </c>
      <c r="G15" s="931">
        <f t="shared" ref="G15:G25" si="3">_xlfn.DAYS(C15,B15)+1</f>
        <v>31</v>
      </c>
      <c r="H15" s="895">
        <f t="shared" si="2"/>
        <v>66263.057242015915</v>
      </c>
    </row>
    <row r="16" spans="1:8" ht="13.5">
      <c r="A16" s="2">
        <v>3</v>
      </c>
      <c r="B16" s="724">
        <v>43556</v>
      </c>
      <c r="C16" s="724">
        <v>43585</v>
      </c>
      <c r="D16" s="796">
        <v>4.5400000000000003E-2</v>
      </c>
      <c r="E16" s="897">
        <f t="shared" si="0"/>
        <v>1.2165010369624696E-4</v>
      </c>
      <c r="F16" s="895">
        <f t="shared" si="1"/>
        <v>17533257.700000003</v>
      </c>
      <c r="G16" s="931">
        <f t="shared" si="3"/>
        <v>30</v>
      </c>
      <c r="H16" s="895">
        <f t="shared" si="2"/>
        <v>63987.678520140624</v>
      </c>
    </row>
    <row r="17" spans="1:11" ht="13.5">
      <c r="A17" s="2">
        <v>4</v>
      </c>
      <c r="B17" s="724">
        <v>43586</v>
      </c>
      <c r="C17" s="724">
        <v>43616</v>
      </c>
      <c r="D17" s="796">
        <v>4.4999999999999998E-2</v>
      </c>
      <c r="E17" s="897">
        <f t="shared" si="0"/>
        <v>1.2060147839498825E-4</v>
      </c>
      <c r="F17" s="895">
        <f t="shared" si="1"/>
        <v>17533257.700000003</v>
      </c>
      <c r="G17" s="931">
        <f t="shared" si="3"/>
        <v>31</v>
      </c>
      <c r="H17" s="895">
        <f t="shared" si="2"/>
        <v>65550.640790709673</v>
      </c>
    </row>
    <row r="18" spans="1:11" ht="13.5">
      <c r="A18" s="2">
        <v>5</v>
      </c>
      <c r="B18" s="724">
        <v>43617</v>
      </c>
      <c r="C18" s="724">
        <v>43646</v>
      </c>
      <c r="D18" s="796">
        <v>4.5199999999999997E-2</v>
      </c>
      <c r="E18" s="897">
        <f t="shared" si="0"/>
        <v>1.2112584107204505E-4</v>
      </c>
      <c r="F18" s="895">
        <f t="shared" si="1"/>
        <v>17533257.700000003</v>
      </c>
      <c r="G18" s="931">
        <f t="shared" si="3"/>
        <v>30</v>
      </c>
      <c r="H18" s="895">
        <f t="shared" si="2"/>
        <v>63711.917569362311</v>
      </c>
    </row>
    <row r="19" spans="1:11" ht="13.5">
      <c r="A19" s="2">
        <v>6</v>
      </c>
      <c r="B19" s="724">
        <v>43647</v>
      </c>
      <c r="C19" s="724">
        <v>43677</v>
      </c>
      <c r="D19" s="796">
        <v>4.4699999999999997E-2</v>
      </c>
      <c r="E19" s="897">
        <f t="shared" si="0"/>
        <v>1.198147466965338E-4</v>
      </c>
      <c r="F19" s="895">
        <f t="shared" si="1"/>
        <v>17533257.700000003</v>
      </c>
      <c r="G19" s="931">
        <f t="shared" si="3"/>
        <v>31</v>
      </c>
      <c r="H19" s="895">
        <f t="shared" si="2"/>
        <v>65123.027732807088</v>
      </c>
    </row>
    <row r="20" spans="1:11" ht="13.5">
      <c r="A20" s="2">
        <v>7</v>
      </c>
      <c r="B20" s="724">
        <v>43678</v>
      </c>
      <c r="C20" s="724">
        <v>43708</v>
      </c>
      <c r="D20" s="796">
        <v>4.4299999999999999E-2</v>
      </c>
      <c r="E20" s="897">
        <f t="shared" si="0"/>
        <v>1.187654205565547E-4</v>
      </c>
      <c r="F20" s="895">
        <f t="shared" si="1"/>
        <v>17533257.700000003</v>
      </c>
      <c r="G20" s="931">
        <f t="shared" si="3"/>
        <v>31</v>
      </c>
      <c r="H20" s="895">
        <f t="shared" si="2"/>
        <v>64552.686458475495</v>
      </c>
    </row>
    <row r="21" spans="1:11" ht="13.5">
      <c r="A21" s="2">
        <v>8</v>
      </c>
      <c r="B21" s="724">
        <v>43709</v>
      </c>
      <c r="C21" s="724">
        <v>43738</v>
      </c>
      <c r="D21" s="796">
        <v>4.48E-2</v>
      </c>
      <c r="E21" s="897">
        <f t="shared" si="0"/>
        <v>1.2007701562666284E-4</v>
      </c>
      <c r="F21" s="895">
        <f t="shared" si="1"/>
        <v>17533257.700000003</v>
      </c>
      <c r="G21" s="931">
        <f t="shared" si="3"/>
        <v>30</v>
      </c>
      <c r="H21" s="895">
        <f t="shared" si="2"/>
        <v>63160.237764876212</v>
      </c>
    </row>
    <row r="22" spans="1:11" ht="13.5">
      <c r="A22" s="2">
        <v>9</v>
      </c>
      <c r="B22" s="724">
        <v>43739</v>
      </c>
      <c r="C22" s="724">
        <v>43769</v>
      </c>
      <c r="D22" s="796">
        <v>4.41E-2</v>
      </c>
      <c r="E22" s="897">
        <f t="shared" si="0"/>
        <v>1.1824060716802975E-4</v>
      </c>
      <c r="F22" s="895">
        <f t="shared" si="1"/>
        <v>17533257.700000003</v>
      </c>
      <c r="G22" s="931">
        <f t="shared" si="3"/>
        <v>31</v>
      </c>
      <c r="H22" s="895">
        <f t="shared" si="2"/>
        <v>64267.434118527533</v>
      </c>
    </row>
    <row r="23" spans="1:11" ht="13.5">
      <c r="A23" s="2">
        <v>10</v>
      </c>
      <c r="B23" s="724">
        <v>43770</v>
      </c>
      <c r="C23" s="724">
        <v>43799</v>
      </c>
      <c r="D23" s="796">
        <v>4.4299999999999999E-2</v>
      </c>
      <c r="E23" s="897">
        <f t="shared" si="0"/>
        <v>1.187654205565547E-4</v>
      </c>
      <c r="F23" s="895">
        <f t="shared" si="1"/>
        <v>17533257.700000003</v>
      </c>
      <c r="G23" s="931">
        <f t="shared" si="3"/>
        <v>30</v>
      </c>
      <c r="H23" s="895">
        <f t="shared" si="2"/>
        <v>62470.341734008543</v>
      </c>
    </row>
    <row r="24" spans="1:11" ht="13.5">
      <c r="A24" s="2">
        <v>11</v>
      </c>
      <c r="B24" s="724">
        <v>43800</v>
      </c>
      <c r="C24" s="724">
        <v>43821</v>
      </c>
      <c r="D24" s="796">
        <v>4.5199999999999997E-2</v>
      </c>
      <c r="E24" s="897">
        <f t="shared" si="0"/>
        <v>1.2112584107204505E-4</v>
      </c>
      <c r="F24" s="895">
        <f t="shared" si="1"/>
        <v>17533257.700000003</v>
      </c>
      <c r="G24" s="931">
        <f t="shared" si="3"/>
        <v>22</v>
      </c>
      <c r="H24" s="895">
        <f t="shared" si="2"/>
        <v>46722.072884199028</v>
      </c>
    </row>
    <row r="25" spans="1:11" ht="13.5">
      <c r="A25" s="2">
        <v>12</v>
      </c>
      <c r="B25" s="724">
        <v>43822</v>
      </c>
      <c r="C25" s="724">
        <v>43830</v>
      </c>
      <c r="D25" s="796">
        <v>0.28364999999999996</v>
      </c>
      <c r="E25" s="897">
        <f t="shared" si="0"/>
        <v>6.8436443340047504E-4</v>
      </c>
      <c r="F25" s="895">
        <f t="shared" si="1"/>
        <v>17533257.700000003</v>
      </c>
      <c r="G25" s="931">
        <f t="shared" si="3"/>
        <v>9</v>
      </c>
      <c r="H25" s="895">
        <f t="shared" si="2"/>
        <v>107992.24174372517</v>
      </c>
      <c r="K25" s="54"/>
    </row>
    <row r="26" spans="1:11" ht="13.5">
      <c r="A26" s="2">
        <v>13</v>
      </c>
      <c r="B26" s="724">
        <v>43831</v>
      </c>
      <c r="C26" s="724">
        <v>43861</v>
      </c>
      <c r="D26" s="796">
        <v>0.28155000000000002</v>
      </c>
      <c r="E26" s="897">
        <f t="shared" si="0"/>
        <v>6.7987562124560696E-4</v>
      </c>
      <c r="F26" s="895">
        <f t="shared" si="1"/>
        <v>17533257.700000003</v>
      </c>
      <c r="G26" s="931">
        <f t="shared" ref="G26:G45" si="4">_xlfn.DAYS(C26,B26)+1</f>
        <v>31</v>
      </c>
      <c r="H26" s="895">
        <f t="shared" si="2"/>
        <v>369533.46860865154</v>
      </c>
      <c r="K26" s="54"/>
    </row>
    <row r="27" spans="1:11" ht="13.5">
      <c r="A27" s="2">
        <v>14</v>
      </c>
      <c r="B27" s="724">
        <v>43862</v>
      </c>
      <c r="C27" s="724">
        <v>43890</v>
      </c>
      <c r="D27" s="796">
        <v>0.28589999999999999</v>
      </c>
      <c r="E27" s="897">
        <f t="shared" si="0"/>
        <v>6.8916575551658532E-4</v>
      </c>
      <c r="F27" s="895">
        <f t="shared" si="1"/>
        <v>17533257.700000003</v>
      </c>
      <c r="G27" s="931">
        <f t="shared" si="4"/>
        <v>29</v>
      </c>
      <c r="H27" s="895">
        <f t="shared" si="2"/>
        <v>350416.30289513717</v>
      </c>
      <c r="K27" s="54"/>
    </row>
    <row r="28" spans="1:11" ht="13.5">
      <c r="A28" s="2">
        <v>15</v>
      </c>
      <c r="B28" s="724">
        <v>43891</v>
      </c>
      <c r="C28" s="724">
        <v>43921</v>
      </c>
      <c r="D28" s="796">
        <v>0.28425</v>
      </c>
      <c r="E28" s="897">
        <f t="shared" si="0"/>
        <v>6.8564560609574166E-4</v>
      </c>
      <c r="F28" s="895">
        <f t="shared" si="1"/>
        <v>17533257.700000003</v>
      </c>
      <c r="G28" s="931">
        <f t="shared" si="4"/>
        <v>31</v>
      </c>
      <c r="H28" s="895">
        <f t="shared" si="2"/>
        <v>372669.63417902926</v>
      </c>
      <c r="K28" s="54"/>
    </row>
    <row r="29" spans="1:11" ht="13.5">
      <c r="A29" s="2">
        <v>16</v>
      </c>
      <c r="B29" s="724">
        <v>43922</v>
      </c>
      <c r="C29" s="724">
        <v>43951</v>
      </c>
      <c r="D29" s="796">
        <v>0.28034999999999999</v>
      </c>
      <c r="E29" s="897">
        <f t="shared" si="0"/>
        <v>6.7730729113191224E-4</v>
      </c>
      <c r="F29" s="895">
        <f t="shared" si="1"/>
        <v>17533257.700000003</v>
      </c>
      <c r="G29" s="931">
        <f t="shared" si="4"/>
        <v>30</v>
      </c>
      <c r="H29" s="895">
        <f t="shared" si="2"/>
        <v>356262.09832514229</v>
      </c>
      <c r="K29" s="54"/>
    </row>
    <row r="30" spans="1:11" ht="13.5">
      <c r="A30" s="2">
        <v>17</v>
      </c>
      <c r="B30" s="724">
        <v>43952</v>
      </c>
      <c r="C30" s="724">
        <v>43982</v>
      </c>
      <c r="D30" s="796">
        <v>0.27285000000000004</v>
      </c>
      <c r="E30" s="897">
        <f t="shared" si="0"/>
        <v>6.6120063584418354E-4</v>
      </c>
      <c r="F30" s="895">
        <f t="shared" si="1"/>
        <v>17533257.700000003</v>
      </c>
      <c r="G30" s="931">
        <f t="shared" si="4"/>
        <v>31</v>
      </c>
      <c r="H30" s="895">
        <f t="shared" si="2"/>
        <v>359383.03532945784</v>
      </c>
      <c r="K30" s="54"/>
    </row>
    <row r="31" spans="1:11" ht="13.5">
      <c r="A31" s="2">
        <v>18</v>
      </c>
      <c r="B31" s="724">
        <v>43983</v>
      </c>
      <c r="C31" s="724">
        <v>44012</v>
      </c>
      <c r="D31" s="796">
        <v>0.27179999999999999</v>
      </c>
      <c r="E31" s="897">
        <f t="shared" si="0"/>
        <v>6.5893815469997286E-4</v>
      </c>
      <c r="F31" s="895">
        <f t="shared" si="1"/>
        <v>17533257.700000003</v>
      </c>
      <c r="G31" s="931">
        <f t="shared" si="4"/>
        <v>30</v>
      </c>
      <c r="H31" s="895">
        <f t="shared" si="2"/>
        <v>346599.97424151277</v>
      </c>
      <c r="K31" s="54"/>
    </row>
    <row r="32" spans="1:11" ht="13.5">
      <c r="A32" s="2">
        <v>19</v>
      </c>
      <c r="B32" s="724">
        <v>44013</v>
      </c>
      <c r="C32" s="724">
        <v>44043</v>
      </c>
      <c r="D32" s="796">
        <v>0.27179999999999999</v>
      </c>
      <c r="E32" s="897">
        <f t="shared" si="0"/>
        <v>6.5893815469997286E-4</v>
      </c>
      <c r="F32" s="895">
        <f t="shared" si="1"/>
        <v>17533257.700000003</v>
      </c>
      <c r="G32" s="931">
        <f t="shared" si="4"/>
        <v>31</v>
      </c>
      <c r="H32" s="895">
        <f t="shared" si="2"/>
        <v>358153.30671622982</v>
      </c>
      <c r="K32" s="54"/>
    </row>
    <row r="33" spans="1:11" ht="13.5">
      <c r="A33" s="2">
        <v>20</v>
      </c>
      <c r="B33" s="724">
        <v>44044</v>
      </c>
      <c r="C33" s="724">
        <v>44074</v>
      </c>
      <c r="D33" s="796">
        <v>0.27434999999999998</v>
      </c>
      <c r="E33" s="897">
        <f t="shared" si="0"/>
        <v>6.6442952514544906E-4</v>
      </c>
      <c r="F33" s="895">
        <f t="shared" si="1"/>
        <v>17533257.700000003</v>
      </c>
      <c r="G33" s="931">
        <f t="shared" si="4"/>
        <v>31</v>
      </c>
      <c r="H33" s="895">
        <f t="shared" si="2"/>
        <v>361138.03672377754</v>
      </c>
      <c r="K33" s="54"/>
    </row>
    <row r="34" spans="1:11" ht="13.5">
      <c r="A34" s="2">
        <v>21</v>
      </c>
      <c r="B34" s="724">
        <v>44075</v>
      </c>
      <c r="C34" s="724">
        <v>44104</v>
      </c>
      <c r="D34" s="796">
        <v>0.27524999999999999</v>
      </c>
      <c r="E34" s="897">
        <f t="shared" si="0"/>
        <v>6.6636503991857055E-4</v>
      </c>
      <c r="F34" s="895">
        <f t="shared" si="1"/>
        <v>17533257.700000003</v>
      </c>
      <c r="G34" s="931">
        <f t="shared" si="4"/>
        <v>30</v>
      </c>
      <c r="H34" s="895">
        <f t="shared" si="2"/>
        <v>350506.49901489256</v>
      </c>
      <c r="K34" s="54"/>
    </row>
    <row r="35" spans="1:11" ht="13.5">
      <c r="A35" s="2">
        <v>22</v>
      </c>
      <c r="B35" s="724">
        <v>44105</v>
      </c>
      <c r="C35" s="724">
        <v>44135</v>
      </c>
      <c r="D35" s="796">
        <v>0.27134999999999998</v>
      </c>
      <c r="E35" s="897">
        <f t="shared" si="0"/>
        <v>6.5796794962613703E-4</v>
      </c>
      <c r="F35" s="895">
        <f t="shared" si="1"/>
        <v>17533257.700000003</v>
      </c>
      <c r="G35" s="931">
        <f t="shared" si="4"/>
        <v>31</v>
      </c>
      <c r="H35" s="895">
        <f t="shared" si="2"/>
        <v>357625.9701932061</v>
      </c>
      <c r="K35" s="54"/>
    </row>
    <row r="36" spans="1:11" ht="13.5">
      <c r="A36" s="2">
        <v>23</v>
      </c>
      <c r="B36" s="724">
        <v>44136</v>
      </c>
      <c r="C36" s="724">
        <v>44165</v>
      </c>
      <c r="D36" s="796">
        <v>0.2676</v>
      </c>
      <c r="E36" s="897">
        <f t="shared" si="0"/>
        <v>6.4986956374091243E-4</v>
      </c>
      <c r="F36" s="895">
        <f t="shared" si="1"/>
        <v>17533257.700000003</v>
      </c>
      <c r="G36" s="931">
        <f t="shared" si="4"/>
        <v>30</v>
      </c>
      <c r="H36" s="895">
        <f t="shared" si="2"/>
        <v>341829.91597367986</v>
      </c>
      <c r="K36" s="54"/>
    </row>
    <row r="37" spans="1:11" ht="13.5">
      <c r="A37" s="2">
        <v>24</v>
      </c>
      <c r="B37" s="724">
        <v>44166</v>
      </c>
      <c r="C37" s="724">
        <v>44196</v>
      </c>
      <c r="D37" s="796">
        <v>0.26190000000000002</v>
      </c>
      <c r="E37" s="897">
        <f t="shared" si="0"/>
        <v>6.3751414410861962E-4</v>
      </c>
      <c r="F37" s="895">
        <f t="shared" si="1"/>
        <v>17533257.700000003</v>
      </c>
      <c r="G37" s="931">
        <f t="shared" si="4"/>
        <v>31</v>
      </c>
      <c r="H37" s="895">
        <f t="shared" si="2"/>
        <v>346508.69305759232</v>
      </c>
      <c r="K37" s="54"/>
    </row>
    <row r="38" spans="1:11" ht="13.5">
      <c r="A38" s="2">
        <v>25</v>
      </c>
      <c r="B38" s="724">
        <v>44197</v>
      </c>
      <c r="C38" s="724">
        <v>44227</v>
      </c>
      <c r="D38" s="796">
        <v>0.25979999999999998</v>
      </c>
      <c r="E38" s="897">
        <f t="shared" si="0"/>
        <v>6.3294811266723094E-4</v>
      </c>
      <c r="F38" s="895">
        <f t="shared" si="1"/>
        <v>17533257.700000003</v>
      </c>
      <c r="G38" s="931">
        <f t="shared" si="4"/>
        <v>31</v>
      </c>
      <c r="H38" s="895">
        <f t="shared" si="2"/>
        <v>344026.91347381909</v>
      </c>
      <c r="K38" s="54"/>
    </row>
    <row r="39" spans="1:11" ht="13.5">
      <c r="A39" s="2">
        <v>26</v>
      </c>
      <c r="B39" s="724">
        <v>44228</v>
      </c>
      <c r="C39" s="724">
        <v>44255</v>
      </c>
      <c r="D39" s="796">
        <v>0.2631</v>
      </c>
      <c r="E39" s="897">
        <f t="shared" si="0"/>
        <v>6.4011990387169426E-4</v>
      </c>
      <c r="F39" s="895">
        <f t="shared" si="1"/>
        <v>17533257.700000003</v>
      </c>
      <c r="G39" s="931">
        <f t="shared" si="4"/>
        <v>28</v>
      </c>
      <c r="H39" s="895">
        <f t="shared" si="2"/>
        <v>314254.84253748611</v>
      </c>
      <c r="K39" s="54"/>
    </row>
    <row r="40" spans="1:11" ht="13.5">
      <c r="A40" s="2">
        <v>27</v>
      </c>
      <c r="B40" s="724">
        <v>44256</v>
      </c>
      <c r="C40" s="724">
        <v>44286</v>
      </c>
      <c r="D40" s="796">
        <v>0.26114999999999999</v>
      </c>
      <c r="E40" s="897">
        <f t="shared" si="0"/>
        <v>6.3588428907812578E-4</v>
      </c>
      <c r="F40" s="895">
        <f t="shared" si="1"/>
        <v>17533257.700000003</v>
      </c>
      <c r="G40" s="931">
        <f t="shared" si="4"/>
        <v>31</v>
      </c>
      <c r="H40" s="895">
        <f t="shared" si="2"/>
        <v>345622.81634143036</v>
      </c>
      <c r="K40" s="54"/>
    </row>
    <row r="41" spans="1:11" ht="13.5">
      <c r="A41" s="2">
        <v>28</v>
      </c>
      <c r="B41" s="724">
        <v>44287</v>
      </c>
      <c r="C41" s="724">
        <v>44316</v>
      </c>
      <c r="D41" s="796">
        <v>0.25964999999999999</v>
      </c>
      <c r="E41" s="897">
        <f t="shared" si="0"/>
        <v>6.326216771728177E-4</v>
      </c>
      <c r="F41" s="895">
        <f t="shared" si="1"/>
        <v>17533257.700000003</v>
      </c>
      <c r="G41" s="931">
        <f t="shared" si="4"/>
        <v>30</v>
      </c>
      <c r="H41" s="895">
        <f t="shared" si="2"/>
        <v>332757.56677431666</v>
      </c>
      <c r="K41" s="54"/>
    </row>
    <row r="42" spans="1:11" ht="13.5">
      <c r="A42" s="2">
        <v>29</v>
      </c>
      <c r="B42" s="724">
        <v>44317</v>
      </c>
      <c r="C42" s="724">
        <v>44347</v>
      </c>
      <c r="D42" s="796">
        <v>0.25829999999999997</v>
      </c>
      <c r="E42" s="897">
        <f t="shared" si="0"/>
        <v>6.2968201205726437E-4</v>
      </c>
      <c r="F42" s="895">
        <f t="shared" si="1"/>
        <v>17533257.700000003</v>
      </c>
      <c r="G42" s="931">
        <f t="shared" si="4"/>
        <v>31</v>
      </c>
      <c r="H42" s="895">
        <f t="shared" si="2"/>
        <v>342251.68658009026</v>
      </c>
      <c r="K42" s="54"/>
    </row>
    <row r="43" spans="1:11" ht="13.5">
      <c r="A43" s="2">
        <v>30</v>
      </c>
      <c r="B43" s="724">
        <v>44348</v>
      </c>
      <c r="C43" s="724">
        <v>44377</v>
      </c>
      <c r="D43" s="796">
        <v>0.25814999999999999</v>
      </c>
      <c r="E43" s="897">
        <f t="shared" si="0"/>
        <v>6.2935518846773952E-4</v>
      </c>
      <c r="F43" s="895">
        <f t="shared" si="1"/>
        <v>17533257.700000003</v>
      </c>
      <c r="G43" s="931">
        <f t="shared" si="4"/>
        <v>30</v>
      </c>
      <c r="H43" s="895">
        <f t="shared" si="2"/>
        <v>331039.40112710843</v>
      </c>
      <c r="K43" s="54"/>
    </row>
    <row r="44" spans="1:11" ht="13.5">
      <c r="A44" s="2">
        <v>31</v>
      </c>
      <c r="B44" s="724">
        <v>44378</v>
      </c>
      <c r="C44" s="724">
        <v>44408</v>
      </c>
      <c r="D44" s="796">
        <f>17.18%*1.5</f>
        <v>0.25770000000000004</v>
      </c>
      <c r="E44" s="897">
        <f t="shared" si="0"/>
        <v>6.2837448450037137E-4</v>
      </c>
      <c r="F44" s="895">
        <f>+$E$10</f>
        <v>17533257.700000003</v>
      </c>
      <c r="G44" s="931">
        <f t="shared" si="4"/>
        <v>31</v>
      </c>
      <c r="H44" s="895">
        <f t="shared" si="2"/>
        <v>341541.00483433972</v>
      </c>
      <c r="K44" s="54"/>
    </row>
    <row r="45" spans="1:11" ht="13.5">
      <c r="A45" s="2">
        <v>32</v>
      </c>
      <c r="B45" s="724">
        <v>44409</v>
      </c>
      <c r="C45" s="724">
        <v>44439</v>
      </c>
      <c r="D45" s="796">
        <f>17.24%*1.5</f>
        <v>0.2586</v>
      </c>
      <c r="E45" s="897">
        <f t="shared" si="0"/>
        <v>6.3033554269220637E-4</v>
      </c>
      <c r="F45" s="895">
        <f t="shared" si="1"/>
        <v>17533257.700000003</v>
      </c>
      <c r="G45" s="931">
        <f t="shared" si="4"/>
        <v>31</v>
      </c>
      <c r="H45" s="895">
        <f t="shared" si="2"/>
        <v>342606.90073224599</v>
      </c>
      <c r="K45" s="54"/>
    </row>
    <row r="46" spans="1:11" ht="13.5">
      <c r="A46" s="2">
        <v>33</v>
      </c>
      <c r="B46" s="724">
        <v>44440</v>
      </c>
      <c r="C46" s="724">
        <v>44469</v>
      </c>
      <c r="D46" s="796">
        <f>17.19%*1.5</f>
        <v>0.25785000000000002</v>
      </c>
      <c r="E46" s="897">
        <f t="shared" si="0"/>
        <v>6.2870142469861889E-4</v>
      </c>
      <c r="F46" s="895">
        <f t="shared" si="1"/>
        <v>17533257.700000003</v>
      </c>
      <c r="G46" s="931">
        <f>_xlfn.DAYS(C46,B46)+1</f>
        <v>30</v>
      </c>
      <c r="H46" s="895">
        <f t="shared" si="2"/>
        <v>330695.52286794095</v>
      </c>
      <c r="K46" s="54"/>
    </row>
    <row r="47" spans="1:11" ht="13.5">
      <c r="A47" s="2">
        <v>34</v>
      </c>
      <c r="B47" s="724">
        <v>44470</v>
      </c>
      <c r="C47" s="724">
        <v>44500</v>
      </c>
      <c r="D47" s="796">
        <f>17.08%*1.5</f>
        <v>0.25619999999999998</v>
      </c>
      <c r="E47" s="897">
        <f t="shared" si="0"/>
        <v>6.2510294214179751E-4</v>
      </c>
      <c r="F47" s="895">
        <f t="shared" si="1"/>
        <v>17533257.700000003</v>
      </c>
      <c r="G47" s="931">
        <f>_xlfn.DAYS(C47,B47)+1</f>
        <v>31</v>
      </c>
      <c r="H47" s="895">
        <f t="shared" si="2"/>
        <v>339762.82018161012</v>
      </c>
      <c r="K47" s="54"/>
    </row>
    <row r="48" spans="1:11" ht="13.5">
      <c r="A48" s="2">
        <v>35</v>
      </c>
      <c r="B48" s="724">
        <v>44501</v>
      </c>
      <c r="C48" s="724">
        <v>44529</v>
      </c>
      <c r="D48" s="796">
        <f>17.27%*1.5</f>
        <v>0.25905</v>
      </c>
      <c r="E48" s="897">
        <f t="shared" si="0"/>
        <v>6.3131554742335005E-4</v>
      </c>
      <c r="F48" s="895">
        <f t="shared" si="1"/>
        <v>17533257.700000003</v>
      </c>
      <c r="G48" s="931">
        <f>_xlfn.DAYS(C48,B48)+1</f>
        <v>29</v>
      </c>
      <c r="H48" s="895">
        <f t="shared" si="2"/>
        <v>321001.52730671491</v>
      </c>
      <c r="K48" s="54"/>
    </row>
    <row r="49" spans="2:8" ht="13.5">
      <c r="B49" s="791"/>
      <c r="C49" s="791"/>
      <c r="D49" s="791"/>
      <c r="E49" s="791"/>
      <c r="F49" s="791"/>
      <c r="G49" s="728" t="s">
        <v>316</v>
      </c>
      <c r="H49" s="907">
        <f>SUM(H14:H48)</f>
        <v>8705016.2262141015</v>
      </c>
    </row>
    <row r="50" spans="2:8" ht="13.5">
      <c r="B50" s="2686" t="s">
        <v>55</v>
      </c>
      <c r="C50" s="2686"/>
      <c r="D50" s="791"/>
      <c r="E50" s="791"/>
      <c r="F50" s="791"/>
      <c r="G50" s="791"/>
      <c r="H50" s="791"/>
    </row>
    <row r="51" spans="2:8" ht="13.5">
      <c r="B51" s="726" t="s">
        <v>56</v>
      </c>
      <c r="C51" s="726"/>
      <c r="D51" s="791"/>
      <c r="E51" s="791"/>
      <c r="F51" s="791"/>
      <c r="G51" s="791"/>
      <c r="H51" s="791"/>
    </row>
    <row r="52" spans="2:8" ht="13.5">
      <c r="B52" s="741" t="s">
        <v>133</v>
      </c>
      <c r="C52" s="857">
        <f>+E10</f>
        <v>17533257.700000003</v>
      </c>
      <c r="D52" s="791"/>
      <c r="E52" s="791"/>
      <c r="F52" s="791"/>
      <c r="G52" s="791"/>
      <c r="H52" s="791"/>
    </row>
    <row r="53" spans="2:8" ht="13.5">
      <c r="B53" s="741" t="s">
        <v>134</v>
      </c>
      <c r="C53" s="858">
        <f>+H49</f>
        <v>8705016.2262141015</v>
      </c>
      <c r="D53" s="791"/>
      <c r="E53" s="791"/>
      <c r="F53" s="791"/>
      <c r="G53" s="791"/>
      <c r="H53" s="791"/>
    </row>
    <row r="54" spans="2:8" ht="14.25" thickBot="1">
      <c r="B54" s="817" t="s">
        <v>61</v>
      </c>
      <c r="C54" s="859">
        <f>SUM(C52:C53)</f>
        <v>26238273.926214106</v>
      </c>
      <c r="D54" s="791"/>
      <c r="E54" s="791"/>
      <c r="F54" s="791"/>
      <c r="G54" s="791"/>
      <c r="H54" s="791"/>
    </row>
    <row r="55" spans="2:8" ht="6" customHeight="1" thickTop="1">
      <c r="B55" s="876"/>
      <c r="C55" s="791"/>
      <c r="D55" s="791"/>
      <c r="E55" s="791"/>
      <c r="F55" s="791"/>
      <c r="G55" s="791"/>
      <c r="H55" s="791"/>
    </row>
    <row r="56" spans="2:8" ht="13.5">
      <c r="B56" s="900" t="s">
        <v>62</v>
      </c>
      <c r="C56" s="791"/>
      <c r="D56" s="791"/>
      <c r="E56" s="791"/>
      <c r="F56" s="791"/>
      <c r="G56" s="791"/>
      <c r="H56" s="791"/>
    </row>
    <row r="57" spans="2:8" ht="13.5">
      <c r="B57" s="814"/>
      <c r="C57" s="791"/>
      <c r="D57" s="791"/>
      <c r="E57" s="791"/>
      <c r="F57" s="791"/>
      <c r="G57" s="791"/>
      <c r="H57" s="791"/>
    </row>
    <row r="58" spans="2:8" ht="13.5">
      <c r="B58" s="814"/>
      <c r="C58" s="791"/>
      <c r="D58" s="791"/>
      <c r="E58" s="791"/>
      <c r="F58" s="791"/>
      <c r="G58" s="791"/>
      <c r="H58" s="791"/>
    </row>
    <row r="59" spans="2:8" ht="13.5">
      <c r="B59" s="818" t="s">
        <v>63</v>
      </c>
      <c r="C59" s="791"/>
      <c r="D59" s="791"/>
      <c r="E59" s="791"/>
      <c r="F59" s="791"/>
      <c r="G59" s="791"/>
      <c r="H59" s="791"/>
    </row>
    <row r="60" spans="2:8" ht="12.75" customHeight="1">
      <c r="B60" s="818" t="s">
        <v>64</v>
      </c>
      <c r="C60" s="791"/>
      <c r="D60" s="791"/>
      <c r="E60" s="791"/>
      <c r="F60" s="791"/>
      <c r="G60" s="791"/>
      <c r="H60" s="791"/>
    </row>
    <row r="61" spans="2:8" ht="13.5">
      <c r="B61" s="900" t="s">
        <v>65</v>
      </c>
      <c r="C61" s="791"/>
      <c r="D61" s="791"/>
      <c r="E61" s="791"/>
      <c r="F61" s="791"/>
      <c r="G61" s="791"/>
      <c r="H61" s="791"/>
    </row>
    <row r="62" spans="2:8" ht="13.5">
      <c r="B62" s="791"/>
      <c r="C62" s="791"/>
      <c r="D62" s="791"/>
      <c r="E62" s="791"/>
      <c r="F62" s="791"/>
      <c r="G62" s="791"/>
      <c r="H62" s="791"/>
    </row>
    <row r="63" spans="2:8" ht="13.5">
      <c r="B63" s="791"/>
      <c r="C63" s="791"/>
      <c r="D63" s="791"/>
      <c r="E63" s="791"/>
      <c r="F63" s="791"/>
      <c r="G63" s="791"/>
      <c r="H63" s="791"/>
    </row>
  </sheetData>
  <mergeCells count="2">
    <mergeCell ref="B12:H12"/>
    <mergeCell ref="B50:C50"/>
  </mergeCells>
  <conditionalFormatting sqref="B13:C13">
    <cfRule type="duplicateValues" dxfId="45" priority="3"/>
  </conditionalFormatting>
  <conditionalFormatting sqref="D13:H13">
    <cfRule type="duplicateValues" dxfId="44" priority="1"/>
  </conditionalFormatting>
  <pageMargins left="0.7" right="0.7" top="0.75" bottom="0.75" header="0.3" footer="0.3"/>
  <pageSetup paperSize="9" scale="88"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3"/>
  <dimension ref="A2:L95"/>
  <sheetViews>
    <sheetView topLeftCell="A77" zoomScale="130" zoomScaleNormal="130" workbookViewId="0">
      <selection activeCell="E88" sqref="E88"/>
    </sheetView>
  </sheetViews>
  <sheetFormatPr defaultColWidth="9.140625" defaultRowHeight="13.5"/>
  <cols>
    <col min="1" max="1" width="3.42578125" style="791" customWidth="1"/>
    <col min="2" max="3" width="16" customWidth="1"/>
    <col min="4" max="4" width="15.42578125" customWidth="1"/>
    <col min="5" max="5" width="11.28515625" bestFit="1" customWidth="1"/>
    <col min="6" max="6" width="11.85546875" style="960" bestFit="1" customWidth="1"/>
    <col min="7" max="7" width="14.140625" customWidth="1"/>
    <col min="8" max="8" width="9.7109375" style="93" customWidth="1"/>
    <col min="9" max="9" width="16" customWidth="1"/>
    <col min="10" max="10" width="12.85546875" customWidth="1"/>
    <col min="11" max="257" width="11.42578125" customWidth="1"/>
  </cols>
  <sheetData>
    <row r="2" spans="1:12" ht="25.5">
      <c r="B2" s="789" t="s">
        <v>0</v>
      </c>
      <c r="C2" s="887" t="s">
        <v>775</v>
      </c>
      <c r="D2" s="791"/>
      <c r="E2" s="791"/>
      <c r="F2" s="957"/>
      <c r="G2" s="791"/>
      <c r="H2" s="933"/>
      <c r="I2" s="791"/>
    </row>
    <row r="3" spans="1:12">
      <c r="B3" s="728" t="s">
        <v>185</v>
      </c>
      <c r="C3" s="944" t="s">
        <v>776</v>
      </c>
      <c r="D3" s="791"/>
      <c r="E3" s="791"/>
      <c r="F3" s="957"/>
      <c r="G3" s="791"/>
      <c r="H3" s="933"/>
      <c r="I3" s="791"/>
    </row>
    <row r="4" spans="1:12">
      <c r="B4" s="728" t="s">
        <v>4</v>
      </c>
      <c r="C4" s="945">
        <v>43525</v>
      </c>
      <c r="D4" s="791"/>
      <c r="E4" s="791"/>
      <c r="F4" s="957"/>
      <c r="G4" s="791"/>
      <c r="H4" s="933"/>
      <c r="I4" s="791"/>
    </row>
    <row r="5" spans="1:12">
      <c r="B5" s="728" t="s">
        <v>124</v>
      </c>
      <c r="C5" s="860" t="s">
        <v>777</v>
      </c>
      <c r="D5" s="791"/>
      <c r="E5" s="791"/>
      <c r="F5" s="957"/>
      <c r="G5" s="791"/>
      <c r="H5" s="933"/>
      <c r="I5" s="791"/>
    </row>
    <row r="6" spans="1:12" ht="25.5">
      <c r="B6" s="893" t="s">
        <v>154</v>
      </c>
      <c r="C6" s="945">
        <v>43705</v>
      </c>
      <c r="D6" s="791"/>
      <c r="E6" s="791"/>
      <c r="F6" s="957"/>
      <c r="G6" s="791"/>
      <c r="H6" s="933"/>
      <c r="I6" s="791"/>
    </row>
    <row r="7" spans="1:12">
      <c r="B7" s="791" t="s">
        <v>778</v>
      </c>
      <c r="C7" s="791"/>
      <c r="D7" s="791"/>
      <c r="E7" s="791"/>
      <c r="F7" s="957"/>
      <c r="G7" s="791"/>
      <c r="H7" s="933"/>
      <c r="I7" s="791"/>
    </row>
    <row r="8" spans="1:12" ht="15" customHeight="1">
      <c r="B8" s="728" t="s">
        <v>535</v>
      </c>
      <c r="C8" s="737"/>
      <c r="D8" s="935">
        <v>6687500</v>
      </c>
      <c r="E8" s="791"/>
      <c r="F8" s="791"/>
      <c r="G8" s="791"/>
      <c r="H8" s="791"/>
      <c r="I8" s="791"/>
    </row>
    <row r="9" spans="1:12">
      <c r="B9" s="2559" t="s">
        <v>172</v>
      </c>
      <c r="C9" s="2559"/>
      <c r="D9" s="2559"/>
      <c r="E9" s="2559"/>
      <c r="F9" s="2559"/>
      <c r="G9" s="2559"/>
      <c r="H9" s="2559"/>
      <c r="I9" s="791"/>
    </row>
    <row r="10" spans="1:12" ht="24" customHeight="1">
      <c r="B10" s="936" t="s">
        <v>337</v>
      </c>
      <c r="C10" s="793" t="s">
        <v>40</v>
      </c>
      <c r="D10" s="793" t="s">
        <v>148</v>
      </c>
      <c r="E10" s="794" t="s">
        <v>149</v>
      </c>
      <c r="F10" s="958" t="s">
        <v>88</v>
      </c>
      <c r="G10" s="794" t="s">
        <v>129</v>
      </c>
      <c r="H10" s="794" t="s">
        <v>47</v>
      </c>
      <c r="I10" s="794" t="s">
        <v>48</v>
      </c>
      <c r="J10" s="1"/>
    </row>
    <row r="11" spans="1:12">
      <c r="A11" s="737">
        <v>1</v>
      </c>
      <c r="B11" s="724">
        <v>42633</v>
      </c>
      <c r="C11" s="724">
        <v>42643</v>
      </c>
      <c r="D11" s="796">
        <v>0.21340000000000001</v>
      </c>
      <c r="E11" s="796">
        <f>+D11*1.5</f>
        <v>0.3201</v>
      </c>
      <c r="F11" s="959">
        <f>(1+E11)^(1/365)-1</f>
        <v>7.6113195596128058E-4</v>
      </c>
      <c r="G11" s="895">
        <f t="shared" ref="G11:G45" si="0">+$D$8</f>
        <v>6687500</v>
      </c>
      <c r="H11" s="931">
        <f t="shared" ref="H11:H40" si="1">_xlfn.DAYS(C11,B11)+1</f>
        <v>11</v>
      </c>
      <c r="I11" s="895">
        <f>G11*F11*H11-153-2</f>
        <v>55835.769510401704</v>
      </c>
      <c r="K11" s="46"/>
    </row>
    <row r="12" spans="1:12">
      <c r="A12" s="737">
        <v>2</v>
      </c>
      <c r="B12" s="724">
        <v>42644</v>
      </c>
      <c r="C12" s="932">
        <v>42674</v>
      </c>
      <c r="D12" s="796">
        <v>0.21990000000000001</v>
      </c>
      <c r="E12" s="796">
        <f t="shared" ref="E12:E41" si="2">+D12*1.5</f>
        <v>0.32985000000000003</v>
      </c>
      <c r="F12" s="959">
        <f t="shared" ref="F12:F41" si="3">(1+E12)^(1/365)-1</f>
        <v>7.8130822380240161E-4</v>
      </c>
      <c r="G12" s="895">
        <f t="shared" si="0"/>
        <v>6687500</v>
      </c>
      <c r="H12" s="931">
        <f t="shared" si="1"/>
        <v>31</v>
      </c>
      <c r="I12" s="895">
        <f>G12*F12*H12-1314</f>
        <v>160660.96114703538</v>
      </c>
    </row>
    <row r="13" spans="1:12">
      <c r="A13" s="737">
        <v>3</v>
      </c>
      <c r="B13" s="724">
        <v>42675</v>
      </c>
      <c r="C13" s="932">
        <v>42704</v>
      </c>
      <c r="D13" s="796">
        <v>0.21990000000000001</v>
      </c>
      <c r="E13" s="796">
        <f t="shared" si="2"/>
        <v>0.32985000000000003</v>
      </c>
      <c r="F13" s="959">
        <f t="shared" si="3"/>
        <v>7.8130822380240161E-4</v>
      </c>
      <c r="G13" s="895">
        <f t="shared" si="0"/>
        <v>6687500</v>
      </c>
      <c r="H13" s="931">
        <f t="shared" si="1"/>
        <v>30</v>
      </c>
      <c r="I13" s="895">
        <f t="shared" ref="I13:I41" si="4">G13*F13*H13</f>
        <v>156749.96240035683</v>
      </c>
    </row>
    <row r="14" spans="1:12">
      <c r="A14" s="737">
        <v>4</v>
      </c>
      <c r="B14" s="724">
        <v>42705</v>
      </c>
      <c r="C14" s="932">
        <v>42735</v>
      </c>
      <c r="D14" s="796">
        <v>0.21990000000000001</v>
      </c>
      <c r="E14" s="796">
        <f t="shared" si="2"/>
        <v>0.32985000000000003</v>
      </c>
      <c r="F14" s="959">
        <f t="shared" si="3"/>
        <v>7.8130822380240161E-4</v>
      </c>
      <c r="G14" s="895">
        <f t="shared" si="0"/>
        <v>6687500</v>
      </c>
      <c r="H14" s="931">
        <f t="shared" si="1"/>
        <v>31</v>
      </c>
      <c r="I14" s="895">
        <f t="shared" si="4"/>
        <v>161974.96114703538</v>
      </c>
      <c r="J14" s="46"/>
      <c r="L14" s="46"/>
    </row>
    <row r="15" spans="1:12">
      <c r="A15" s="737">
        <v>5</v>
      </c>
      <c r="B15" s="724">
        <v>42736</v>
      </c>
      <c r="C15" s="932">
        <v>42766</v>
      </c>
      <c r="D15" s="796">
        <v>0.22339999999999999</v>
      </c>
      <c r="E15" s="796">
        <f t="shared" si="2"/>
        <v>0.33509999999999995</v>
      </c>
      <c r="F15" s="959">
        <f t="shared" si="3"/>
        <v>7.9211135028089963E-4</v>
      </c>
      <c r="G15" s="895">
        <f t="shared" si="0"/>
        <v>6687500</v>
      </c>
      <c r="H15" s="931">
        <f t="shared" si="1"/>
        <v>31</v>
      </c>
      <c r="I15" s="895">
        <f t="shared" si="4"/>
        <v>164214.58430510902</v>
      </c>
    </row>
    <row r="16" spans="1:12">
      <c r="A16" s="737">
        <v>6</v>
      </c>
      <c r="B16" s="724">
        <v>42767</v>
      </c>
      <c r="C16" s="932">
        <v>42794</v>
      </c>
      <c r="D16" s="796">
        <v>0.22339999999999999</v>
      </c>
      <c r="E16" s="796">
        <f t="shared" si="2"/>
        <v>0.33509999999999995</v>
      </c>
      <c r="F16" s="959">
        <f t="shared" si="3"/>
        <v>7.9211135028089963E-4</v>
      </c>
      <c r="G16" s="895">
        <f t="shared" si="0"/>
        <v>6687500</v>
      </c>
      <c r="H16" s="931">
        <f t="shared" si="1"/>
        <v>28</v>
      </c>
      <c r="I16" s="895">
        <f t="shared" si="4"/>
        <v>148322.85034009846</v>
      </c>
    </row>
    <row r="17" spans="1:10">
      <c r="A17" s="737">
        <v>7</v>
      </c>
      <c r="B17" s="724">
        <v>42795</v>
      </c>
      <c r="C17" s="932">
        <v>42825</v>
      </c>
      <c r="D17" s="796">
        <v>0.22339999999999999</v>
      </c>
      <c r="E17" s="796">
        <f t="shared" si="2"/>
        <v>0.33509999999999995</v>
      </c>
      <c r="F17" s="959">
        <f t="shared" si="3"/>
        <v>7.9211135028089963E-4</v>
      </c>
      <c r="G17" s="895">
        <f t="shared" si="0"/>
        <v>6687500</v>
      </c>
      <c r="H17" s="931">
        <f t="shared" si="1"/>
        <v>31</v>
      </c>
      <c r="I17" s="895">
        <f t="shared" si="4"/>
        <v>164214.58430510902</v>
      </c>
      <c r="J17" s="46"/>
    </row>
    <row r="18" spans="1:10">
      <c r="A18" s="737">
        <v>8</v>
      </c>
      <c r="B18" s="724">
        <v>42826</v>
      </c>
      <c r="C18" s="932">
        <v>42855</v>
      </c>
      <c r="D18" s="796">
        <v>0.2233</v>
      </c>
      <c r="E18" s="796">
        <f t="shared" si="2"/>
        <v>0.33494999999999997</v>
      </c>
      <c r="F18" s="959">
        <f t="shared" si="3"/>
        <v>7.9180327787309324E-4</v>
      </c>
      <c r="G18" s="895">
        <f t="shared" si="0"/>
        <v>6687500</v>
      </c>
      <c r="H18" s="931">
        <f t="shared" si="1"/>
        <v>30</v>
      </c>
      <c r="I18" s="895">
        <f t="shared" si="4"/>
        <v>158855.53262328933</v>
      </c>
    </row>
    <row r="19" spans="1:10">
      <c r="A19" s="737">
        <v>9</v>
      </c>
      <c r="B19" s="724">
        <v>42856</v>
      </c>
      <c r="C19" s="932">
        <v>42886</v>
      </c>
      <c r="D19" s="796">
        <v>0.2233</v>
      </c>
      <c r="E19" s="796">
        <f t="shared" si="2"/>
        <v>0.33494999999999997</v>
      </c>
      <c r="F19" s="959">
        <f t="shared" si="3"/>
        <v>7.9180327787309324E-4</v>
      </c>
      <c r="G19" s="895">
        <f t="shared" si="0"/>
        <v>6687500</v>
      </c>
      <c r="H19" s="931">
        <f t="shared" si="1"/>
        <v>31</v>
      </c>
      <c r="I19" s="895">
        <f t="shared" si="4"/>
        <v>164150.71704406562</v>
      </c>
    </row>
    <row r="20" spans="1:10">
      <c r="A20" s="737">
        <v>10</v>
      </c>
      <c r="B20" s="724">
        <v>42887</v>
      </c>
      <c r="C20" s="932">
        <v>42916</v>
      </c>
      <c r="D20" s="796">
        <v>0.2233</v>
      </c>
      <c r="E20" s="796">
        <f t="shared" si="2"/>
        <v>0.33494999999999997</v>
      </c>
      <c r="F20" s="959">
        <f t="shared" si="3"/>
        <v>7.9180327787309324E-4</v>
      </c>
      <c r="G20" s="895">
        <f t="shared" si="0"/>
        <v>6687500</v>
      </c>
      <c r="H20" s="931">
        <f t="shared" si="1"/>
        <v>30</v>
      </c>
      <c r="I20" s="895">
        <f t="shared" si="4"/>
        <v>158855.53262328933</v>
      </c>
      <c r="J20" s="46"/>
    </row>
    <row r="21" spans="1:10">
      <c r="A21" s="737">
        <v>11</v>
      </c>
      <c r="B21" s="724">
        <v>42917</v>
      </c>
      <c r="C21" s="724">
        <v>42936</v>
      </c>
      <c r="D21" s="796">
        <v>0.2198</v>
      </c>
      <c r="E21" s="796">
        <f t="shared" si="2"/>
        <v>0.32969999999999999</v>
      </c>
      <c r="F21" s="959">
        <f t="shared" si="3"/>
        <v>7.8099893845218205E-4</v>
      </c>
      <c r="G21" s="895">
        <f t="shared" si="0"/>
        <v>6687500</v>
      </c>
      <c r="H21" s="931">
        <f t="shared" si="1"/>
        <v>20</v>
      </c>
      <c r="I21" s="895">
        <f t="shared" si="4"/>
        <v>104458.60801797935</v>
      </c>
    </row>
    <row r="22" spans="1:10">
      <c r="A22" s="737">
        <v>12</v>
      </c>
      <c r="B22" s="724">
        <v>42937</v>
      </c>
      <c r="C22" s="724">
        <v>42947</v>
      </c>
      <c r="D22" s="796">
        <v>0.2198</v>
      </c>
      <c r="E22" s="796">
        <f t="shared" si="2"/>
        <v>0.32969999999999999</v>
      </c>
      <c r="F22" s="959">
        <f t="shared" si="3"/>
        <v>7.8099893845218205E-4</v>
      </c>
      <c r="G22" s="895">
        <f t="shared" si="0"/>
        <v>6687500</v>
      </c>
      <c r="H22" s="931">
        <f t="shared" si="1"/>
        <v>11</v>
      </c>
      <c r="I22" s="895">
        <f t="shared" si="4"/>
        <v>57452.234409888639</v>
      </c>
    </row>
    <row r="23" spans="1:10">
      <c r="A23" s="737">
        <v>13</v>
      </c>
      <c r="B23" s="724">
        <v>42948</v>
      </c>
      <c r="C23" s="724">
        <v>42978</v>
      </c>
      <c r="D23" s="796">
        <v>0.2198</v>
      </c>
      <c r="E23" s="796">
        <f t="shared" si="2"/>
        <v>0.32969999999999999</v>
      </c>
      <c r="F23" s="959">
        <f t="shared" si="3"/>
        <v>7.8099893845218205E-4</v>
      </c>
      <c r="G23" s="895">
        <f t="shared" si="0"/>
        <v>6687500</v>
      </c>
      <c r="H23" s="931">
        <f t="shared" si="1"/>
        <v>31</v>
      </c>
      <c r="I23" s="895">
        <f t="shared" si="4"/>
        <v>161910.84242786799</v>
      </c>
      <c r="J23" s="46"/>
    </row>
    <row r="24" spans="1:10">
      <c r="A24" s="737">
        <v>14</v>
      </c>
      <c r="B24" s="724">
        <v>42979</v>
      </c>
      <c r="C24" s="724">
        <v>43008</v>
      </c>
      <c r="D24" s="796">
        <v>0.21479999999999999</v>
      </c>
      <c r="E24" s="796">
        <f t="shared" si="2"/>
        <v>0.32219999999999999</v>
      </c>
      <c r="F24" s="959">
        <f t="shared" si="3"/>
        <v>7.6549014202820231E-4</v>
      </c>
      <c r="G24" s="895">
        <f t="shared" si="0"/>
        <v>6687500</v>
      </c>
      <c r="H24" s="931">
        <f t="shared" si="1"/>
        <v>30</v>
      </c>
      <c r="I24" s="895">
        <f t="shared" si="4"/>
        <v>153576.45974440809</v>
      </c>
    </row>
    <row r="25" spans="1:10">
      <c r="A25" s="737">
        <v>15</v>
      </c>
      <c r="B25" s="724">
        <v>43009</v>
      </c>
      <c r="C25" s="724">
        <v>43039</v>
      </c>
      <c r="D25" s="796">
        <v>0.21149999999999999</v>
      </c>
      <c r="E25" s="796">
        <f t="shared" si="2"/>
        <v>0.31724999999999998</v>
      </c>
      <c r="F25" s="959">
        <f t="shared" si="3"/>
        <v>7.5520620308799913E-4</v>
      </c>
      <c r="G25" s="895">
        <f t="shared" si="0"/>
        <v>6687500</v>
      </c>
      <c r="H25" s="931">
        <f t="shared" si="1"/>
        <v>31</v>
      </c>
      <c r="I25" s="895">
        <f t="shared" si="4"/>
        <v>156563.68597768081</v>
      </c>
    </row>
    <row r="26" spans="1:10">
      <c r="A26" s="737">
        <v>16</v>
      </c>
      <c r="B26" s="724">
        <v>43040</v>
      </c>
      <c r="C26" s="724">
        <v>43069</v>
      </c>
      <c r="D26" s="796">
        <v>0.20960000000000001</v>
      </c>
      <c r="E26" s="796">
        <f t="shared" si="2"/>
        <v>0.31440000000000001</v>
      </c>
      <c r="F26" s="959">
        <f t="shared" si="3"/>
        <v>7.4926765057248268E-4</v>
      </c>
      <c r="G26" s="895">
        <f t="shared" si="0"/>
        <v>6687500</v>
      </c>
      <c r="H26" s="931">
        <f t="shared" si="1"/>
        <v>30</v>
      </c>
      <c r="I26" s="895">
        <f t="shared" si="4"/>
        <v>150321.82239610434</v>
      </c>
      <c r="J26" s="46"/>
    </row>
    <row r="27" spans="1:10">
      <c r="A27" s="737">
        <v>17</v>
      </c>
      <c r="B27" s="724">
        <v>43070</v>
      </c>
      <c r="C27" s="724">
        <v>43100</v>
      </c>
      <c r="D27" s="796">
        <v>0.2077</v>
      </c>
      <c r="E27" s="796">
        <f t="shared" si="2"/>
        <v>0.31154999999999999</v>
      </c>
      <c r="F27" s="959">
        <f t="shared" si="3"/>
        <v>7.4331624292400811E-4</v>
      </c>
      <c r="G27" s="895">
        <f t="shared" si="0"/>
        <v>6687500</v>
      </c>
      <c r="H27" s="931">
        <f t="shared" si="1"/>
        <v>31</v>
      </c>
      <c r="I27" s="895">
        <f t="shared" si="4"/>
        <v>154098.74861118343</v>
      </c>
    </row>
    <row r="28" spans="1:10">
      <c r="A28" s="737">
        <v>18</v>
      </c>
      <c r="B28" s="724">
        <v>43101</v>
      </c>
      <c r="C28" s="724">
        <v>43131</v>
      </c>
      <c r="D28" s="796">
        <v>0.2069</v>
      </c>
      <c r="E28" s="796">
        <f t="shared" si="2"/>
        <v>0.31035000000000001</v>
      </c>
      <c r="F28" s="959">
        <f t="shared" si="3"/>
        <v>7.4080652774299871E-4</v>
      </c>
      <c r="G28" s="895">
        <f t="shared" si="0"/>
        <v>6687500</v>
      </c>
      <c r="H28" s="931">
        <f t="shared" si="1"/>
        <v>31</v>
      </c>
      <c r="I28" s="895">
        <f t="shared" si="4"/>
        <v>153578.45328272041</v>
      </c>
    </row>
    <row r="29" spans="1:10">
      <c r="A29" s="737">
        <v>19</v>
      </c>
      <c r="B29" s="724">
        <v>43132</v>
      </c>
      <c r="C29" s="724">
        <v>43159</v>
      </c>
      <c r="D29" s="796">
        <v>0.21010000000000001</v>
      </c>
      <c r="E29" s="796">
        <f t="shared" si="2"/>
        <v>0.31515000000000004</v>
      </c>
      <c r="F29" s="959">
        <f t="shared" si="3"/>
        <v>7.5083167162115494E-4</v>
      </c>
      <c r="G29" s="895">
        <f t="shared" si="0"/>
        <v>6687500</v>
      </c>
      <c r="H29" s="931">
        <f t="shared" si="1"/>
        <v>28</v>
      </c>
      <c r="I29" s="895">
        <f t="shared" si="4"/>
        <v>140593.23051106127</v>
      </c>
    </row>
    <row r="30" spans="1:10">
      <c r="A30" s="737">
        <v>20</v>
      </c>
      <c r="B30" s="724">
        <v>43160</v>
      </c>
      <c r="C30" s="724">
        <v>43190</v>
      </c>
      <c r="D30" s="796">
        <v>0.20680000000000001</v>
      </c>
      <c r="E30" s="796">
        <f t="shared" si="2"/>
        <v>0.31020000000000003</v>
      </c>
      <c r="F30" s="959">
        <f t="shared" si="3"/>
        <v>7.4049265219700011E-4</v>
      </c>
      <c r="G30" s="895">
        <f t="shared" si="0"/>
        <v>6687500</v>
      </c>
      <c r="H30" s="931">
        <f t="shared" si="1"/>
        <v>31</v>
      </c>
      <c r="I30" s="895">
        <f t="shared" si="4"/>
        <v>153513.38295859061</v>
      </c>
    </row>
    <row r="31" spans="1:10">
      <c r="A31" s="737">
        <v>21</v>
      </c>
      <c r="B31" s="724">
        <v>43191</v>
      </c>
      <c r="C31" s="724">
        <v>43220</v>
      </c>
      <c r="D31" s="796">
        <v>0.20480000000000001</v>
      </c>
      <c r="E31" s="796">
        <f t="shared" si="2"/>
        <v>0.30720000000000003</v>
      </c>
      <c r="F31" s="959">
        <f t="shared" si="3"/>
        <v>7.34207604366377E-4</v>
      </c>
      <c r="G31" s="895">
        <f t="shared" si="0"/>
        <v>6687500</v>
      </c>
      <c r="H31" s="931">
        <f t="shared" si="1"/>
        <v>30</v>
      </c>
      <c r="I31" s="895">
        <f t="shared" si="4"/>
        <v>147300.40062600438</v>
      </c>
    </row>
    <row r="32" spans="1:10">
      <c r="A32" s="737">
        <v>22</v>
      </c>
      <c r="B32" s="724">
        <v>43221</v>
      </c>
      <c r="C32" s="724">
        <v>43251</v>
      </c>
      <c r="D32" s="796">
        <v>0.2044</v>
      </c>
      <c r="E32" s="796">
        <f t="shared" si="2"/>
        <v>0.30659999999999998</v>
      </c>
      <c r="F32" s="959">
        <f t="shared" si="3"/>
        <v>7.3294886878794152E-4</v>
      </c>
      <c r="G32" s="895">
        <f t="shared" si="0"/>
        <v>6687500</v>
      </c>
      <c r="H32" s="931">
        <f t="shared" si="1"/>
        <v>31</v>
      </c>
      <c r="I32" s="895">
        <f t="shared" si="4"/>
        <v>151949.46236060013</v>
      </c>
    </row>
    <row r="33" spans="1:10">
      <c r="A33" s="737">
        <v>23</v>
      </c>
      <c r="B33" s="724">
        <v>43252</v>
      </c>
      <c r="C33" s="724">
        <v>43281</v>
      </c>
      <c r="D33" s="796">
        <v>0.20280000000000001</v>
      </c>
      <c r="E33" s="796">
        <f t="shared" si="2"/>
        <v>0.30420000000000003</v>
      </c>
      <c r="F33" s="959">
        <f t="shared" si="3"/>
        <v>7.2790815549184096E-4</v>
      </c>
      <c r="G33" s="895">
        <f t="shared" si="0"/>
        <v>6687500</v>
      </c>
      <c r="H33" s="931">
        <f t="shared" si="1"/>
        <v>30</v>
      </c>
      <c r="I33" s="895">
        <f t="shared" si="4"/>
        <v>146036.57369555059</v>
      </c>
    </row>
    <row r="34" spans="1:10">
      <c r="A34" s="737">
        <v>24</v>
      </c>
      <c r="B34" s="724">
        <v>43282</v>
      </c>
      <c r="C34" s="724">
        <v>43312</v>
      </c>
      <c r="D34" s="796">
        <v>0.20030000000000001</v>
      </c>
      <c r="E34" s="796">
        <f t="shared" si="2"/>
        <v>0.30044999999999999</v>
      </c>
      <c r="F34" s="959">
        <f t="shared" si="3"/>
        <v>7.2001349197825526E-4</v>
      </c>
      <c r="G34" s="895">
        <f t="shared" si="0"/>
        <v>6687500</v>
      </c>
      <c r="H34" s="931">
        <f t="shared" si="1"/>
        <v>31</v>
      </c>
      <c r="I34" s="895">
        <f t="shared" si="4"/>
        <v>149267.79705574203</v>
      </c>
    </row>
    <row r="35" spans="1:10">
      <c r="A35" s="737">
        <v>25</v>
      </c>
      <c r="B35" s="724">
        <v>43313</v>
      </c>
      <c r="C35" s="724">
        <v>43343</v>
      </c>
      <c r="D35" s="796">
        <v>0.19939999999999999</v>
      </c>
      <c r="E35" s="796">
        <f t="shared" si="2"/>
        <v>0.29909999999999998</v>
      </c>
      <c r="F35" s="959">
        <f t="shared" si="3"/>
        <v>7.1716585429704161E-4</v>
      </c>
      <c r="G35" s="895">
        <f t="shared" si="0"/>
        <v>6687500</v>
      </c>
      <c r="H35" s="931">
        <f t="shared" si="1"/>
        <v>31</v>
      </c>
      <c r="I35" s="895">
        <f t="shared" si="4"/>
        <v>148677.44616895542</v>
      </c>
    </row>
    <row r="36" spans="1:10">
      <c r="A36" s="737">
        <v>26</v>
      </c>
      <c r="B36" s="724">
        <v>43344</v>
      </c>
      <c r="C36" s="724">
        <v>43373</v>
      </c>
      <c r="D36" s="796">
        <v>0.1981</v>
      </c>
      <c r="E36" s="796">
        <f t="shared" si="2"/>
        <v>0.29715000000000003</v>
      </c>
      <c r="F36" s="959">
        <f t="shared" si="3"/>
        <v>7.1304738558919389E-4</v>
      </c>
      <c r="G36" s="895">
        <f t="shared" si="0"/>
        <v>6687500</v>
      </c>
      <c r="H36" s="931">
        <f t="shared" si="1"/>
        <v>30</v>
      </c>
      <c r="I36" s="895">
        <f t="shared" si="4"/>
        <v>143055.13173383204</v>
      </c>
    </row>
    <row r="37" spans="1:10">
      <c r="A37" s="737">
        <v>27</v>
      </c>
      <c r="B37" s="724">
        <v>43374</v>
      </c>
      <c r="C37" s="724">
        <v>43404</v>
      </c>
      <c r="D37" s="796">
        <v>0.1963</v>
      </c>
      <c r="E37" s="796">
        <f t="shared" si="2"/>
        <v>0.29444999999999999</v>
      </c>
      <c r="F37" s="959">
        <f t="shared" si="3"/>
        <v>7.073346857742191E-4</v>
      </c>
      <c r="G37" s="895">
        <f t="shared" si="0"/>
        <v>6687500</v>
      </c>
      <c r="H37" s="931">
        <f t="shared" si="1"/>
        <v>31</v>
      </c>
      <c r="I37" s="895">
        <f t="shared" si="4"/>
        <v>146639.32204456779</v>
      </c>
    </row>
    <row r="38" spans="1:10">
      <c r="A38" s="737">
        <v>28</v>
      </c>
      <c r="B38" s="724">
        <v>43405</v>
      </c>
      <c r="C38" s="724">
        <v>43434</v>
      </c>
      <c r="D38" s="796">
        <v>0.19489999999999999</v>
      </c>
      <c r="E38" s="796">
        <f t="shared" si="2"/>
        <v>0.29235</v>
      </c>
      <c r="F38" s="959">
        <f t="shared" si="3"/>
        <v>7.0288325333756063E-4</v>
      </c>
      <c r="G38" s="895">
        <f t="shared" si="0"/>
        <v>6687500</v>
      </c>
      <c r="H38" s="931">
        <f t="shared" si="1"/>
        <v>30</v>
      </c>
      <c r="I38" s="895">
        <f t="shared" si="4"/>
        <v>141015.95270084811</v>
      </c>
    </row>
    <row r="39" spans="1:10">
      <c r="A39" s="737">
        <v>29</v>
      </c>
      <c r="B39" s="724">
        <v>43435</v>
      </c>
      <c r="C39" s="724">
        <v>43465</v>
      </c>
      <c r="D39" s="796">
        <v>0.19400000000000001</v>
      </c>
      <c r="E39" s="796">
        <f t="shared" si="2"/>
        <v>0.29100000000000004</v>
      </c>
      <c r="F39" s="959">
        <f t="shared" si="3"/>
        <v>7.0001780740103214E-4</v>
      </c>
      <c r="G39" s="895">
        <f t="shared" si="0"/>
        <v>6687500</v>
      </c>
      <c r="H39" s="931">
        <f t="shared" si="1"/>
        <v>31</v>
      </c>
      <c r="I39" s="895">
        <f t="shared" si="4"/>
        <v>145122.44169682646</v>
      </c>
    </row>
    <row r="40" spans="1:10">
      <c r="A40" s="737">
        <v>30</v>
      </c>
      <c r="B40" s="724">
        <v>43466</v>
      </c>
      <c r="C40" s="724">
        <v>43496</v>
      </c>
      <c r="D40" s="796">
        <v>0.19159999999999999</v>
      </c>
      <c r="E40" s="796">
        <f t="shared" si="2"/>
        <v>0.28739999999999999</v>
      </c>
      <c r="F40" s="959">
        <f t="shared" si="3"/>
        <v>6.9236198468725085E-4</v>
      </c>
      <c r="G40" s="895">
        <f t="shared" si="0"/>
        <v>6687500</v>
      </c>
      <c r="H40" s="931">
        <f t="shared" si="1"/>
        <v>31</v>
      </c>
      <c r="I40" s="895">
        <f t="shared" si="4"/>
        <v>143535.29395047569</v>
      </c>
    </row>
    <row r="41" spans="1:10" ht="14.25" thickBot="1">
      <c r="A41" s="737">
        <v>31</v>
      </c>
      <c r="B41" s="724">
        <v>43497</v>
      </c>
      <c r="C41" s="724">
        <v>43510</v>
      </c>
      <c r="D41" s="796">
        <v>0.19700000000000001</v>
      </c>
      <c r="E41" s="796">
        <f t="shared" si="2"/>
        <v>0.29549999999999998</v>
      </c>
      <c r="F41" s="959">
        <f t="shared" si="3"/>
        <v>7.0955770203506852E-4</v>
      </c>
      <c r="G41" s="965">
        <f t="shared" si="0"/>
        <v>6687500</v>
      </c>
      <c r="H41" s="966">
        <f>_xlfn.DAYS(C41,B41)+1</f>
        <v>14</v>
      </c>
      <c r="I41" s="965">
        <f t="shared" si="4"/>
        <v>66432.339853033292</v>
      </c>
    </row>
    <row r="42" spans="1:10" ht="14.25" thickBot="1">
      <c r="A42" s="737"/>
      <c r="B42" s="724"/>
      <c r="C42" s="724"/>
      <c r="D42" s="796"/>
      <c r="E42" s="796"/>
      <c r="F42" s="964"/>
      <c r="G42" s="2706" t="s">
        <v>779</v>
      </c>
      <c r="H42" s="2707"/>
      <c r="I42" s="968">
        <f>SUM(I11:I41)</f>
        <v>4408935.0856697112</v>
      </c>
    </row>
    <row r="43" spans="1:10" ht="6" customHeight="1">
      <c r="A43" s="737"/>
      <c r="B43" s="724"/>
      <c r="C43" s="724"/>
      <c r="D43" s="796"/>
      <c r="E43" s="796"/>
      <c r="F43" s="959"/>
      <c r="G43" s="963"/>
      <c r="H43" s="967"/>
      <c r="I43" s="963"/>
    </row>
    <row r="44" spans="1:10">
      <c r="A44" s="737">
        <v>32</v>
      </c>
      <c r="B44" s="724">
        <v>43511</v>
      </c>
      <c r="C44" s="724">
        <v>43524</v>
      </c>
      <c r="D44" s="796">
        <v>0.19699999999999998</v>
      </c>
      <c r="E44" s="796">
        <f t="shared" ref="E44:E57" si="5">+D44*1.5</f>
        <v>0.29549999999999998</v>
      </c>
      <c r="F44" s="959">
        <f>(1+E44)^(1/365)-1</f>
        <v>7.0955770203506852E-4</v>
      </c>
      <c r="G44" s="895">
        <f t="shared" si="0"/>
        <v>6687500</v>
      </c>
      <c r="H44" s="931">
        <f>_xlfn.DAYS(C44,B44)+1</f>
        <v>14</v>
      </c>
      <c r="I44" s="941">
        <f>ROUND(G44*F44*H44,2)</f>
        <v>66432.34</v>
      </c>
    </row>
    <row r="45" spans="1:10">
      <c r="A45" s="737">
        <v>33</v>
      </c>
      <c r="B45" s="724">
        <v>43525</v>
      </c>
      <c r="C45" s="724">
        <v>43555</v>
      </c>
      <c r="D45" s="796">
        <v>0.19370000000000001</v>
      </c>
      <c r="E45" s="796">
        <f>+D45*1.5</f>
        <v>0.29055000000000003</v>
      </c>
      <c r="F45" s="959">
        <f t="shared" ref="F45:F78" si="6">(1+E45)^(1/365)-1</f>
        <v>6.9906199467517638E-4</v>
      </c>
      <c r="G45" s="895">
        <f t="shared" si="0"/>
        <v>6687500</v>
      </c>
      <c r="H45" s="931">
        <f t="shared" ref="H45:H69" si="7">_xlfn.DAYS(C45,B45)+1</f>
        <v>31</v>
      </c>
      <c r="I45" s="941">
        <f t="shared" ref="I45:I79" si="8">ROUND(G45*F45*H45,2)</f>
        <v>144924.29</v>
      </c>
      <c r="J45" s="46"/>
    </row>
    <row r="46" spans="1:10">
      <c r="A46" s="737">
        <v>34</v>
      </c>
      <c r="B46" s="724">
        <v>43556</v>
      </c>
      <c r="C46" s="724">
        <v>43585</v>
      </c>
      <c r="D46" s="796">
        <v>0.19320000000000001</v>
      </c>
      <c r="E46" s="796">
        <f t="shared" si="5"/>
        <v>0.2898</v>
      </c>
      <c r="F46" s="959">
        <f t="shared" si="6"/>
        <v>6.9746823462724095E-4</v>
      </c>
      <c r="G46" s="895">
        <f t="shared" ref="G46:G79" si="9">+$D$8</f>
        <v>6687500</v>
      </c>
      <c r="H46" s="931">
        <f t="shared" si="7"/>
        <v>30</v>
      </c>
      <c r="I46" s="941">
        <f t="shared" si="8"/>
        <v>139929.56</v>
      </c>
    </row>
    <row r="47" spans="1:10">
      <c r="A47" s="737">
        <v>35</v>
      </c>
      <c r="B47" s="724">
        <v>43586</v>
      </c>
      <c r="C47" s="724">
        <v>43616</v>
      </c>
      <c r="D47" s="796">
        <v>0.19339999999999999</v>
      </c>
      <c r="E47" s="796">
        <f t="shared" si="5"/>
        <v>0.29009999999999997</v>
      </c>
      <c r="F47" s="959">
        <f t="shared" si="6"/>
        <v>6.9810584952367805E-4</v>
      </c>
      <c r="G47" s="895">
        <f t="shared" si="9"/>
        <v>6687500</v>
      </c>
      <c r="H47" s="931">
        <f t="shared" si="7"/>
        <v>31</v>
      </c>
      <c r="I47" s="941">
        <f t="shared" si="8"/>
        <v>144726.07</v>
      </c>
    </row>
    <row r="48" spans="1:10">
      <c r="A48" s="737">
        <v>36</v>
      </c>
      <c r="B48" s="724">
        <v>43617</v>
      </c>
      <c r="C48" s="724">
        <v>43646</v>
      </c>
      <c r="D48" s="796">
        <v>0.193</v>
      </c>
      <c r="E48" s="796">
        <f t="shared" si="5"/>
        <v>0.28949999999999998</v>
      </c>
      <c r="F48" s="959">
        <f t="shared" si="6"/>
        <v>6.9683047181468005E-4</v>
      </c>
      <c r="G48" s="895">
        <f t="shared" si="9"/>
        <v>6687500</v>
      </c>
      <c r="H48" s="931">
        <f t="shared" si="7"/>
        <v>30</v>
      </c>
      <c r="I48" s="941">
        <f t="shared" si="8"/>
        <v>139801.60999999999</v>
      </c>
    </row>
    <row r="49" spans="1:10">
      <c r="A49" s="737">
        <v>37</v>
      </c>
      <c r="B49" s="724">
        <v>43647</v>
      </c>
      <c r="C49" s="724">
        <v>43677</v>
      </c>
      <c r="D49" s="796">
        <v>0.1928</v>
      </c>
      <c r="E49" s="796">
        <f t="shared" si="5"/>
        <v>0.28920000000000001</v>
      </c>
      <c r="F49" s="959">
        <f t="shared" si="6"/>
        <v>6.9619256101671745E-4</v>
      </c>
      <c r="G49" s="895">
        <f t="shared" si="9"/>
        <v>6687500</v>
      </c>
      <c r="H49" s="931">
        <f t="shared" si="7"/>
        <v>31</v>
      </c>
      <c r="I49" s="941">
        <f t="shared" si="8"/>
        <v>144329.42000000001</v>
      </c>
    </row>
    <row r="50" spans="1:10">
      <c r="A50" s="737">
        <v>38</v>
      </c>
      <c r="B50" s="724">
        <v>43678</v>
      </c>
      <c r="C50" s="724">
        <v>43705</v>
      </c>
      <c r="D50" s="796">
        <v>0.19320000000000001</v>
      </c>
      <c r="E50" s="796">
        <f t="shared" si="5"/>
        <v>0.2898</v>
      </c>
      <c r="F50" s="959">
        <f t="shared" si="6"/>
        <v>6.9746823462724095E-4</v>
      </c>
      <c r="G50" s="895">
        <f t="shared" si="9"/>
        <v>6687500</v>
      </c>
      <c r="H50" s="931">
        <f>_xlfn.DAYS(C50,B50)+1</f>
        <v>28</v>
      </c>
      <c r="I50" s="941">
        <f t="shared" si="8"/>
        <v>130600.93</v>
      </c>
    </row>
    <row r="51" spans="1:10" s="60" customFormat="1">
      <c r="A51" s="737">
        <v>39</v>
      </c>
      <c r="B51" s="821">
        <v>43706</v>
      </c>
      <c r="C51" s="821">
        <v>43708</v>
      </c>
      <c r="D51" s="937">
        <v>0.19320000000000001</v>
      </c>
      <c r="E51" s="937">
        <f t="shared" si="5"/>
        <v>0.2898</v>
      </c>
      <c r="F51" s="959">
        <f t="shared" si="6"/>
        <v>6.9746823462724095E-4</v>
      </c>
      <c r="G51" s="938">
        <f t="shared" si="9"/>
        <v>6687500</v>
      </c>
      <c r="H51" s="939">
        <f t="shared" si="7"/>
        <v>3</v>
      </c>
      <c r="I51" s="941">
        <f t="shared" si="8"/>
        <v>13992.96</v>
      </c>
    </row>
    <row r="52" spans="1:10" s="60" customFormat="1">
      <c r="A52" s="737">
        <v>40</v>
      </c>
      <c r="B52" s="821">
        <v>43709</v>
      </c>
      <c r="C52" s="821">
        <v>43738</v>
      </c>
      <c r="D52" s="937">
        <v>0.19320000000000001</v>
      </c>
      <c r="E52" s="937">
        <f t="shared" si="5"/>
        <v>0.2898</v>
      </c>
      <c r="F52" s="959">
        <f t="shared" si="6"/>
        <v>6.9746823462724095E-4</v>
      </c>
      <c r="G52" s="938">
        <f t="shared" si="9"/>
        <v>6687500</v>
      </c>
      <c r="H52" s="939">
        <f t="shared" si="7"/>
        <v>30</v>
      </c>
      <c r="I52" s="941">
        <f t="shared" si="8"/>
        <v>139929.56</v>
      </c>
    </row>
    <row r="53" spans="1:10" s="60" customFormat="1">
      <c r="A53" s="737">
        <v>41</v>
      </c>
      <c r="B53" s="821">
        <v>43739</v>
      </c>
      <c r="C53" s="821">
        <v>43769</v>
      </c>
      <c r="D53" s="937">
        <v>0.191</v>
      </c>
      <c r="E53" s="937">
        <f t="shared" si="5"/>
        <v>0.28649999999999998</v>
      </c>
      <c r="F53" s="959">
        <f t="shared" si="6"/>
        <v>6.9044469314105683E-4</v>
      </c>
      <c r="G53" s="938">
        <f t="shared" si="9"/>
        <v>6687500</v>
      </c>
      <c r="H53" s="939">
        <f t="shared" si="7"/>
        <v>31</v>
      </c>
      <c r="I53" s="941">
        <f t="shared" si="8"/>
        <v>143137.82</v>
      </c>
    </row>
    <row r="54" spans="1:10">
      <c r="A54" s="737">
        <v>42</v>
      </c>
      <c r="B54" s="724">
        <v>43770</v>
      </c>
      <c r="C54" s="724">
        <v>43799</v>
      </c>
      <c r="D54" s="796">
        <v>0.19030000000000002</v>
      </c>
      <c r="E54" s="796">
        <f t="shared" si="5"/>
        <v>0.28545000000000004</v>
      </c>
      <c r="F54" s="959">
        <f t="shared" si="6"/>
        <v>6.8820616169262827E-4</v>
      </c>
      <c r="G54" s="895">
        <f t="shared" si="9"/>
        <v>6687500</v>
      </c>
      <c r="H54" s="931">
        <f t="shared" si="7"/>
        <v>30</v>
      </c>
      <c r="I54" s="941">
        <f t="shared" si="8"/>
        <v>138071.35999999999</v>
      </c>
    </row>
    <row r="55" spans="1:10">
      <c r="A55" s="737">
        <v>43</v>
      </c>
      <c r="B55" s="724">
        <v>43800</v>
      </c>
      <c r="C55" s="724">
        <v>43830</v>
      </c>
      <c r="D55" s="796">
        <v>0.18909999999999999</v>
      </c>
      <c r="E55" s="796">
        <f t="shared" si="5"/>
        <v>0.28364999999999996</v>
      </c>
      <c r="F55" s="959">
        <f t="shared" si="6"/>
        <v>6.8436443340047504E-4</v>
      </c>
      <c r="G55" s="895">
        <f t="shared" si="9"/>
        <v>6687500</v>
      </c>
      <c r="H55" s="931">
        <f t="shared" si="7"/>
        <v>31</v>
      </c>
      <c r="I55" s="941">
        <f t="shared" si="8"/>
        <v>141877.29999999999</v>
      </c>
    </row>
    <row r="56" spans="1:10">
      <c r="A56" s="737">
        <v>44</v>
      </c>
      <c r="B56" s="724">
        <v>43831</v>
      </c>
      <c r="C56" s="724">
        <v>43861</v>
      </c>
      <c r="D56" s="796">
        <v>0.18770000000000001</v>
      </c>
      <c r="E56" s="796">
        <f t="shared" si="5"/>
        <v>0.28155000000000002</v>
      </c>
      <c r="F56" s="959">
        <f t="shared" si="6"/>
        <v>6.7987562124560696E-4</v>
      </c>
      <c r="G56" s="895">
        <f t="shared" si="9"/>
        <v>6687500</v>
      </c>
      <c r="H56" s="931">
        <f t="shared" si="7"/>
        <v>31</v>
      </c>
      <c r="I56" s="941">
        <f t="shared" si="8"/>
        <v>140946.71</v>
      </c>
    </row>
    <row r="57" spans="1:10">
      <c r="A57" s="737">
        <v>45</v>
      </c>
      <c r="B57" s="724">
        <v>43862</v>
      </c>
      <c r="C57" s="724">
        <v>43890</v>
      </c>
      <c r="D57" s="796">
        <v>0.19059999999999999</v>
      </c>
      <c r="E57" s="796">
        <f t="shared" si="5"/>
        <v>0.28589999999999999</v>
      </c>
      <c r="F57" s="959">
        <f t="shared" si="6"/>
        <v>6.8916575551658532E-4</v>
      </c>
      <c r="G57" s="895">
        <f t="shared" si="9"/>
        <v>6687500</v>
      </c>
      <c r="H57" s="931">
        <f t="shared" si="7"/>
        <v>29</v>
      </c>
      <c r="I57" s="941">
        <f t="shared" si="8"/>
        <v>133655.07999999999</v>
      </c>
    </row>
    <row r="58" spans="1:10">
      <c r="A58" s="737">
        <v>46</v>
      </c>
      <c r="B58" s="724">
        <v>43891</v>
      </c>
      <c r="C58" s="724">
        <v>43921</v>
      </c>
      <c r="D58" s="796">
        <v>0.1895</v>
      </c>
      <c r="E58" s="796">
        <f>+D58*1.5</f>
        <v>0.28425</v>
      </c>
      <c r="F58" s="959">
        <f t="shared" si="6"/>
        <v>6.8564560609574166E-4</v>
      </c>
      <c r="G58" s="895">
        <f t="shared" si="9"/>
        <v>6687500</v>
      </c>
      <c r="H58" s="931">
        <f t="shared" si="7"/>
        <v>31</v>
      </c>
      <c r="I58" s="941">
        <f t="shared" si="8"/>
        <v>142142.9</v>
      </c>
    </row>
    <row r="59" spans="1:10">
      <c r="A59" s="737">
        <v>47</v>
      </c>
      <c r="B59" s="724">
        <v>43922</v>
      </c>
      <c r="C59" s="821">
        <v>43951</v>
      </c>
      <c r="D59" s="796">
        <v>0.18690000000000001</v>
      </c>
      <c r="E59" s="796">
        <f t="shared" ref="E59:E67" si="10">+D59*1.5</f>
        <v>0.28034999999999999</v>
      </c>
      <c r="F59" s="959">
        <f t="shared" si="6"/>
        <v>6.7730729113191224E-4</v>
      </c>
      <c r="G59" s="895">
        <f t="shared" si="9"/>
        <v>6687500</v>
      </c>
      <c r="H59" s="931">
        <f t="shared" si="7"/>
        <v>30</v>
      </c>
      <c r="I59" s="941">
        <f t="shared" si="8"/>
        <v>135884.78</v>
      </c>
    </row>
    <row r="60" spans="1:10">
      <c r="A60" s="737">
        <v>48</v>
      </c>
      <c r="B60" s="724">
        <v>43952</v>
      </c>
      <c r="C60" s="724">
        <v>43982</v>
      </c>
      <c r="D60" s="796">
        <v>0.18190000000000001</v>
      </c>
      <c r="E60" s="796">
        <f t="shared" si="10"/>
        <v>0.27285000000000004</v>
      </c>
      <c r="F60" s="959">
        <f t="shared" si="6"/>
        <v>6.6120063584418354E-4</v>
      </c>
      <c r="G60" s="895">
        <f t="shared" si="9"/>
        <v>6687500</v>
      </c>
      <c r="H60" s="931">
        <f t="shared" si="7"/>
        <v>31</v>
      </c>
      <c r="I60" s="941">
        <f t="shared" si="8"/>
        <v>137075.16</v>
      </c>
      <c r="J60" s="24"/>
    </row>
    <row r="61" spans="1:10">
      <c r="A61" s="737">
        <v>49</v>
      </c>
      <c r="B61" s="724">
        <v>43983</v>
      </c>
      <c r="C61" s="821">
        <v>44012</v>
      </c>
      <c r="D61" s="796">
        <v>0.1812</v>
      </c>
      <c r="E61" s="796">
        <f t="shared" si="10"/>
        <v>0.27179999999999999</v>
      </c>
      <c r="F61" s="959">
        <f t="shared" si="6"/>
        <v>6.5893815469997286E-4</v>
      </c>
      <c r="G61" s="895">
        <f t="shared" si="9"/>
        <v>6687500</v>
      </c>
      <c r="H61" s="931">
        <f t="shared" si="7"/>
        <v>30</v>
      </c>
      <c r="I61" s="941">
        <f t="shared" si="8"/>
        <v>132199.47</v>
      </c>
      <c r="J61" s="24"/>
    </row>
    <row r="62" spans="1:10">
      <c r="A62" s="737">
        <v>50</v>
      </c>
      <c r="B62" s="724">
        <v>44013</v>
      </c>
      <c r="C62" s="724">
        <v>44043</v>
      </c>
      <c r="D62" s="796">
        <v>0.1812</v>
      </c>
      <c r="E62" s="796">
        <f t="shared" si="10"/>
        <v>0.27179999999999999</v>
      </c>
      <c r="F62" s="959">
        <f t="shared" si="6"/>
        <v>6.5893815469997286E-4</v>
      </c>
      <c r="G62" s="895">
        <f t="shared" si="9"/>
        <v>6687500</v>
      </c>
      <c r="H62" s="931">
        <f t="shared" si="7"/>
        <v>31</v>
      </c>
      <c r="I62" s="941">
        <f t="shared" si="8"/>
        <v>136606.12</v>
      </c>
      <c r="J62" s="24"/>
    </row>
    <row r="63" spans="1:10">
      <c r="A63" s="737">
        <v>51</v>
      </c>
      <c r="B63" s="724">
        <v>44044</v>
      </c>
      <c r="C63" s="821">
        <v>44074</v>
      </c>
      <c r="D63" s="796">
        <v>0.18290000000000001</v>
      </c>
      <c r="E63" s="796">
        <f t="shared" si="10"/>
        <v>0.27434999999999998</v>
      </c>
      <c r="F63" s="959">
        <f t="shared" si="6"/>
        <v>6.6442952514544906E-4</v>
      </c>
      <c r="G63" s="895">
        <f t="shared" si="9"/>
        <v>6687500</v>
      </c>
      <c r="H63" s="931">
        <f t="shared" si="7"/>
        <v>31</v>
      </c>
      <c r="I63" s="941">
        <f t="shared" si="8"/>
        <v>137744.54999999999</v>
      </c>
      <c r="J63" s="24"/>
    </row>
    <row r="64" spans="1:10">
      <c r="A64" s="737">
        <v>52</v>
      </c>
      <c r="B64" s="724">
        <v>44075</v>
      </c>
      <c r="C64" s="724">
        <v>44104</v>
      </c>
      <c r="D64" s="796">
        <v>0.1835</v>
      </c>
      <c r="E64" s="796">
        <f t="shared" si="10"/>
        <v>0.27524999999999999</v>
      </c>
      <c r="F64" s="959">
        <f t="shared" si="6"/>
        <v>6.6636503991857055E-4</v>
      </c>
      <c r="G64" s="895">
        <f t="shared" si="9"/>
        <v>6687500</v>
      </c>
      <c r="H64" s="931">
        <f t="shared" si="7"/>
        <v>30</v>
      </c>
      <c r="I64" s="941">
        <f t="shared" si="8"/>
        <v>133689.49</v>
      </c>
      <c r="J64" s="24"/>
    </row>
    <row r="65" spans="1:10">
      <c r="A65" s="737">
        <v>53</v>
      </c>
      <c r="B65" s="724">
        <v>44105</v>
      </c>
      <c r="C65" s="821">
        <v>44135</v>
      </c>
      <c r="D65" s="796">
        <v>0.18090000000000001</v>
      </c>
      <c r="E65" s="796">
        <f t="shared" si="10"/>
        <v>0.27134999999999998</v>
      </c>
      <c r="F65" s="959">
        <f t="shared" si="6"/>
        <v>6.5796794962613703E-4</v>
      </c>
      <c r="G65" s="895">
        <f t="shared" si="9"/>
        <v>6687500</v>
      </c>
      <c r="H65" s="931">
        <f t="shared" si="7"/>
        <v>31</v>
      </c>
      <c r="I65" s="941">
        <f t="shared" si="8"/>
        <v>136404.98000000001</v>
      </c>
      <c r="J65" s="24"/>
    </row>
    <row r="66" spans="1:10">
      <c r="A66" s="737">
        <v>54</v>
      </c>
      <c r="B66" s="724">
        <v>44136</v>
      </c>
      <c r="C66" s="821">
        <v>44165</v>
      </c>
      <c r="D66" s="796">
        <v>0.1784</v>
      </c>
      <c r="E66" s="796">
        <f t="shared" si="10"/>
        <v>0.2676</v>
      </c>
      <c r="F66" s="959">
        <f t="shared" si="6"/>
        <v>6.4986956374091243E-4</v>
      </c>
      <c r="G66" s="895">
        <f t="shared" si="9"/>
        <v>6687500</v>
      </c>
      <c r="H66" s="931">
        <f t="shared" si="7"/>
        <v>30</v>
      </c>
      <c r="I66" s="941">
        <f t="shared" si="8"/>
        <v>130380.08</v>
      </c>
    </row>
    <row r="67" spans="1:10" ht="13.5" customHeight="1">
      <c r="A67" s="737">
        <v>55</v>
      </c>
      <c r="B67" s="724">
        <v>44166</v>
      </c>
      <c r="C67" s="821">
        <v>44196</v>
      </c>
      <c r="D67" s="796">
        <v>0.17460000000000001</v>
      </c>
      <c r="E67" s="796">
        <f t="shared" si="10"/>
        <v>0.26190000000000002</v>
      </c>
      <c r="F67" s="959">
        <f t="shared" si="6"/>
        <v>6.3751414410861962E-4</v>
      </c>
      <c r="G67" s="895">
        <f t="shared" si="9"/>
        <v>6687500</v>
      </c>
      <c r="H67" s="931">
        <f t="shared" si="7"/>
        <v>31</v>
      </c>
      <c r="I67" s="941">
        <f t="shared" si="8"/>
        <v>132164.65</v>
      </c>
    </row>
    <row r="68" spans="1:10" ht="13.5" customHeight="1">
      <c r="A68" s="737">
        <v>56</v>
      </c>
      <c r="B68" s="724">
        <v>44197</v>
      </c>
      <c r="C68" s="821">
        <v>44227</v>
      </c>
      <c r="D68" s="796">
        <v>0.17319999999999999</v>
      </c>
      <c r="E68" s="796">
        <f t="shared" ref="E68:E79" si="11">+D68*1.5</f>
        <v>0.25979999999999998</v>
      </c>
      <c r="F68" s="959">
        <f t="shared" si="6"/>
        <v>6.3294811266723094E-4</v>
      </c>
      <c r="G68" s="895">
        <f t="shared" si="9"/>
        <v>6687500</v>
      </c>
      <c r="H68" s="931">
        <f t="shared" si="7"/>
        <v>31</v>
      </c>
      <c r="I68" s="941">
        <f t="shared" si="8"/>
        <v>131218.06</v>
      </c>
    </row>
    <row r="69" spans="1:10" ht="13.5" customHeight="1">
      <c r="A69" s="737">
        <v>57</v>
      </c>
      <c r="B69" s="724">
        <v>44228</v>
      </c>
      <c r="C69" s="821">
        <v>44255</v>
      </c>
      <c r="D69" s="796">
        <v>0.1754</v>
      </c>
      <c r="E69" s="796">
        <f t="shared" si="11"/>
        <v>0.2631</v>
      </c>
      <c r="F69" s="959">
        <f t="shared" si="6"/>
        <v>6.4011990387169426E-4</v>
      </c>
      <c r="G69" s="895">
        <f t="shared" si="9"/>
        <v>6687500</v>
      </c>
      <c r="H69" s="931">
        <f t="shared" si="7"/>
        <v>28</v>
      </c>
      <c r="I69" s="941">
        <f t="shared" si="8"/>
        <v>119862.45</v>
      </c>
    </row>
    <row r="70" spans="1:10" ht="13.5" customHeight="1">
      <c r="A70" s="737">
        <v>58</v>
      </c>
      <c r="B70" s="724">
        <v>44256</v>
      </c>
      <c r="C70" s="821">
        <v>44286</v>
      </c>
      <c r="D70" s="796">
        <v>0.1741</v>
      </c>
      <c r="E70" s="796">
        <f t="shared" si="11"/>
        <v>0.26114999999999999</v>
      </c>
      <c r="F70" s="959">
        <f t="shared" si="6"/>
        <v>6.3588428907812578E-4</v>
      </c>
      <c r="G70" s="895">
        <f t="shared" si="9"/>
        <v>6687500</v>
      </c>
      <c r="H70" s="931">
        <f t="shared" ref="H70:H79" si="12">_xlfn.DAYS(C70,B70)+1</f>
        <v>31</v>
      </c>
      <c r="I70" s="941">
        <f t="shared" si="8"/>
        <v>131826.76</v>
      </c>
    </row>
    <row r="71" spans="1:10" ht="13.5" customHeight="1">
      <c r="A71" s="737">
        <v>59</v>
      </c>
      <c r="B71" s="724">
        <v>44287</v>
      </c>
      <c r="C71" s="821">
        <v>44316</v>
      </c>
      <c r="D71" s="796">
        <v>0.1731</v>
      </c>
      <c r="E71" s="796">
        <f t="shared" si="11"/>
        <v>0.25964999999999999</v>
      </c>
      <c r="F71" s="959">
        <f t="shared" si="6"/>
        <v>6.326216771728177E-4</v>
      </c>
      <c r="G71" s="895">
        <f t="shared" si="9"/>
        <v>6687500</v>
      </c>
      <c r="H71" s="931">
        <f t="shared" si="12"/>
        <v>30</v>
      </c>
      <c r="I71" s="941">
        <f t="shared" si="8"/>
        <v>126919.72</v>
      </c>
    </row>
    <row r="72" spans="1:10">
      <c r="A72" s="737">
        <v>60</v>
      </c>
      <c r="B72" s="724">
        <v>44317</v>
      </c>
      <c r="C72" s="821">
        <v>44347</v>
      </c>
      <c r="D72" s="796">
        <v>0.17219999999999999</v>
      </c>
      <c r="E72" s="796">
        <f t="shared" si="11"/>
        <v>0.25829999999999997</v>
      </c>
      <c r="F72" s="959">
        <f t="shared" si="6"/>
        <v>6.2968201205726437E-4</v>
      </c>
      <c r="G72" s="895">
        <f t="shared" si="9"/>
        <v>6687500</v>
      </c>
      <c r="H72" s="931">
        <f t="shared" si="12"/>
        <v>31</v>
      </c>
      <c r="I72" s="941">
        <f t="shared" si="8"/>
        <v>130540.95</v>
      </c>
    </row>
    <row r="73" spans="1:10">
      <c r="A73" s="737">
        <v>61</v>
      </c>
      <c r="B73" s="724">
        <v>44348</v>
      </c>
      <c r="C73" s="821">
        <v>44377</v>
      </c>
      <c r="D73" s="796">
        <v>0.1721</v>
      </c>
      <c r="E73" s="796">
        <f t="shared" si="11"/>
        <v>0.25814999999999999</v>
      </c>
      <c r="F73" s="959">
        <f t="shared" si="6"/>
        <v>6.2935518846773952E-4</v>
      </c>
      <c r="G73" s="895">
        <f t="shared" si="9"/>
        <v>6687500</v>
      </c>
      <c r="H73" s="931">
        <f t="shared" si="12"/>
        <v>30</v>
      </c>
      <c r="I73" s="941">
        <f t="shared" si="8"/>
        <v>126264.38</v>
      </c>
    </row>
    <row r="74" spans="1:10">
      <c r="A74" s="737">
        <v>62</v>
      </c>
      <c r="B74" s="724">
        <v>44378</v>
      </c>
      <c r="C74" s="821">
        <v>44408</v>
      </c>
      <c r="D74" s="796">
        <v>0.17180000000000001</v>
      </c>
      <c r="E74" s="796">
        <f t="shared" si="11"/>
        <v>0.25770000000000004</v>
      </c>
      <c r="F74" s="959">
        <f t="shared" si="6"/>
        <v>6.2837448450037137E-4</v>
      </c>
      <c r="G74" s="895">
        <f t="shared" si="9"/>
        <v>6687500</v>
      </c>
      <c r="H74" s="931">
        <f t="shared" si="12"/>
        <v>31</v>
      </c>
      <c r="I74" s="941">
        <f t="shared" si="8"/>
        <v>130269.89</v>
      </c>
    </row>
    <row r="75" spans="1:10">
      <c r="A75" s="737">
        <v>63</v>
      </c>
      <c r="B75" s="724">
        <v>44409</v>
      </c>
      <c r="C75" s="821">
        <v>44439</v>
      </c>
      <c r="D75" s="796">
        <v>0.1724</v>
      </c>
      <c r="E75" s="796">
        <f t="shared" si="11"/>
        <v>0.2586</v>
      </c>
      <c r="F75" s="959">
        <f t="shared" si="6"/>
        <v>6.3033554269220637E-4</v>
      </c>
      <c r="G75" s="895">
        <f t="shared" si="9"/>
        <v>6687500</v>
      </c>
      <c r="H75" s="931">
        <f t="shared" si="12"/>
        <v>31</v>
      </c>
      <c r="I75" s="941">
        <f t="shared" si="8"/>
        <v>130676.44</v>
      </c>
    </row>
    <row r="76" spans="1:10">
      <c r="A76" s="737">
        <v>64</v>
      </c>
      <c r="B76" s="724">
        <v>44440</v>
      </c>
      <c r="C76" s="821">
        <v>44469</v>
      </c>
      <c r="D76" s="796">
        <v>0.1719</v>
      </c>
      <c r="E76" s="796">
        <f t="shared" si="11"/>
        <v>0.25785000000000002</v>
      </c>
      <c r="F76" s="959">
        <f t="shared" si="6"/>
        <v>6.2870142469861889E-4</v>
      </c>
      <c r="G76" s="895">
        <f t="shared" si="9"/>
        <v>6687500</v>
      </c>
      <c r="H76" s="931">
        <f t="shared" si="12"/>
        <v>30</v>
      </c>
      <c r="I76" s="941">
        <f t="shared" si="8"/>
        <v>126133.22</v>
      </c>
    </row>
    <row r="77" spans="1:10">
      <c r="A77" s="737">
        <v>65</v>
      </c>
      <c r="B77" s="821">
        <v>44470</v>
      </c>
      <c r="C77" s="821">
        <v>44500</v>
      </c>
      <c r="D77" s="796">
        <v>0.17080000000000001</v>
      </c>
      <c r="E77" s="796">
        <f t="shared" si="11"/>
        <v>0.25619999999999998</v>
      </c>
      <c r="F77" s="959">
        <f t="shared" si="6"/>
        <v>6.2510294214179751E-4</v>
      </c>
      <c r="G77" s="895">
        <f t="shared" si="9"/>
        <v>6687500</v>
      </c>
      <c r="H77" s="931">
        <f t="shared" si="12"/>
        <v>31</v>
      </c>
      <c r="I77" s="941">
        <f t="shared" si="8"/>
        <v>129591.65</v>
      </c>
    </row>
    <row r="78" spans="1:10">
      <c r="A78" s="737">
        <v>66</v>
      </c>
      <c r="B78" s="821">
        <v>44501</v>
      </c>
      <c r="C78" s="821">
        <v>44530</v>
      </c>
      <c r="D78" s="796">
        <v>0.17269999999999999</v>
      </c>
      <c r="E78" s="796">
        <f t="shared" si="11"/>
        <v>0.25905</v>
      </c>
      <c r="F78" s="959">
        <f t="shared" si="6"/>
        <v>6.3131554742335005E-4</v>
      </c>
      <c r="G78" s="895">
        <f t="shared" si="9"/>
        <v>6687500</v>
      </c>
      <c r="H78" s="931">
        <f t="shared" si="12"/>
        <v>30</v>
      </c>
      <c r="I78" s="941">
        <f t="shared" si="8"/>
        <v>126657.68</v>
      </c>
    </row>
    <row r="79" spans="1:10">
      <c r="A79" s="737">
        <v>67</v>
      </c>
      <c r="B79" s="821">
        <v>44531</v>
      </c>
      <c r="C79" s="821">
        <v>44536</v>
      </c>
      <c r="D79" s="796">
        <v>0.17460000000000001</v>
      </c>
      <c r="E79" s="796">
        <f t="shared" si="11"/>
        <v>0.26190000000000002</v>
      </c>
      <c r="F79" s="959">
        <f>(1+E79)^(1/365)-1</f>
        <v>6.3751414410861962E-4</v>
      </c>
      <c r="G79" s="895">
        <f t="shared" si="9"/>
        <v>6687500</v>
      </c>
      <c r="H79" s="931">
        <f t="shared" si="12"/>
        <v>6</v>
      </c>
      <c r="I79" s="941">
        <f t="shared" si="8"/>
        <v>25580.26</v>
      </c>
    </row>
    <row r="80" spans="1:10" ht="14.25" thickBot="1">
      <c r="B80" s="791"/>
      <c r="C80" s="791"/>
      <c r="D80" s="791"/>
      <c r="E80" s="791"/>
      <c r="F80" s="957"/>
      <c r="G80" s="791"/>
      <c r="H80" s="962" t="s">
        <v>780</v>
      </c>
      <c r="I80" s="1943">
        <f>SUM(I44:I79)</f>
        <v>4552188.6500000013</v>
      </c>
      <c r="J80" s="46"/>
    </row>
    <row r="81" spans="2:10" ht="14.25" thickTop="1">
      <c r="B81" s="791"/>
      <c r="C81" s="791"/>
      <c r="D81" s="791"/>
      <c r="E81" s="791"/>
      <c r="F81" s="957"/>
      <c r="G81" s="933"/>
      <c r="H81" s="933"/>
      <c r="I81" s="791"/>
      <c r="J81" s="24"/>
    </row>
    <row r="82" spans="2:10">
      <c r="B82" s="2604" t="s">
        <v>55</v>
      </c>
      <c r="C82" s="2681"/>
      <c r="D82" s="2605"/>
      <c r="E82" s="791"/>
      <c r="F82" s="957"/>
      <c r="G82" s="934"/>
      <c r="H82" s="933"/>
      <c r="I82" s="879"/>
    </row>
    <row r="83" spans="2:10">
      <c r="B83" s="2708" t="s">
        <v>56</v>
      </c>
      <c r="C83" s="2709"/>
      <c r="D83" s="1010"/>
      <c r="E83" s="791"/>
      <c r="F83" s="957"/>
      <c r="G83" s="934"/>
      <c r="H83" s="933"/>
      <c r="I83" s="879"/>
    </row>
    <row r="84" spans="2:10">
      <c r="B84" s="2583" t="s">
        <v>133</v>
      </c>
      <c r="C84" s="2584"/>
      <c r="D84" s="941">
        <f>+D8</f>
        <v>6687500</v>
      </c>
      <c r="E84" s="791"/>
      <c r="F84" s="957"/>
      <c r="G84" s="934"/>
      <c r="H84" s="933"/>
      <c r="I84" s="879"/>
    </row>
    <row r="85" spans="2:10">
      <c r="B85" s="742" t="s">
        <v>781</v>
      </c>
      <c r="C85" s="830"/>
      <c r="D85" s="941">
        <f>ROUND(I42,0)</f>
        <v>4408935</v>
      </c>
      <c r="E85" s="879"/>
      <c r="F85" s="957"/>
      <c r="G85" s="791"/>
      <c r="H85" s="791"/>
      <c r="I85" s="791"/>
    </row>
    <row r="86" spans="2:10">
      <c r="B86" s="742" t="s">
        <v>782</v>
      </c>
      <c r="C86" s="830"/>
      <c r="D86" s="941">
        <f>+I80</f>
        <v>4552188.6500000013</v>
      </c>
      <c r="E86" s="961"/>
      <c r="F86" s="961"/>
      <c r="G86" s="791"/>
      <c r="H86" s="791"/>
      <c r="I86" s="791"/>
    </row>
    <row r="87" spans="2:10">
      <c r="B87" s="742" t="s">
        <v>60</v>
      </c>
      <c r="C87" s="737"/>
      <c r="D87" s="941">
        <f>(D84+D85)*5%</f>
        <v>554821.75</v>
      </c>
      <c r="E87" s="925"/>
      <c r="F87" s="925"/>
      <c r="G87" s="791"/>
      <c r="H87" s="933"/>
      <c r="I87" s="791"/>
    </row>
    <row r="88" spans="2:10" ht="14.25" thickBot="1">
      <c r="B88" s="743" t="s">
        <v>61</v>
      </c>
      <c r="C88" s="942"/>
      <c r="D88" s="943">
        <f>SUM(D84:D87)</f>
        <v>16203445.400000002</v>
      </c>
      <c r="E88" s="791"/>
      <c r="F88" s="957"/>
      <c r="G88" s="791"/>
      <c r="H88" s="933"/>
      <c r="I88" s="791"/>
    </row>
    <row r="89" spans="2:10" ht="14.25" thickTop="1">
      <c r="B89" s="900" t="s">
        <v>62</v>
      </c>
      <c r="C89" s="791"/>
      <c r="D89" s="791"/>
      <c r="E89" s="791"/>
      <c r="F89" s="957"/>
      <c r="G89" s="791"/>
      <c r="H89" s="933"/>
      <c r="I89" s="791"/>
    </row>
    <row r="90" spans="2:10">
      <c r="B90" s="814"/>
      <c r="C90" s="791"/>
      <c r="D90" s="791"/>
      <c r="E90" s="791"/>
      <c r="F90" s="957"/>
      <c r="G90" s="791"/>
      <c r="H90" s="933"/>
      <c r="I90" s="791"/>
    </row>
    <row r="91" spans="2:10">
      <c r="B91" s="814"/>
      <c r="C91" s="791"/>
      <c r="D91" s="791"/>
      <c r="E91" s="791"/>
      <c r="F91" s="957"/>
      <c r="G91" s="791"/>
      <c r="H91" s="933"/>
      <c r="I91" s="791"/>
    </row>
    <row r="92" spans="2:10">
      <c r="B92" s="818" t="s">
        <v>63</v>
      </c>
      <c r="C92" s="791"/>
      <c r="D92" s="791"/>
      <c r="E92" s="791"/>
      <c r="F92" s="957"/>
      <c r="G92" s="791"/>
      <c r="H92" s="933"/>
      <c r="I92" s="791"/>
    </row>
    <row r="93" spans="2:10">
      <c r="B93" s="818" t="s">
        <v>64</v>
      </c>
      <c r="C93" s="791"/>
      <c r="D93" s="791"/>
      <c r="E93" s="791"/>
      <c r="F93" s="957"/>
      <c r="G93" s="791"/>
      <c r="H93" s="933"/>
      <c r="I93" s="791"/>
    </row>
    <row r="94" spans="2:10">
      <c r="B94" s="900" t="s">
        <v>65</v>
      </c>
      <c r="C94" s="791"/>
      <c r="D94" s="791"/>
      <c r="E94" s="791"/>
      <c r="F94" s="957"/>
      <c r="G94" s="791"/>
      <c r="H94" s="933"/>
      <c r="I94" s="791"/>
    </row>
    <row r="95" spans="2:10">
      <c r="B95" s="791"/>
      <c r="C95" s="791"/>
      <c r="D95" s="791"/>
      <c r="E95" s="791"/>
      <c r="F95" s="957"/>
      <c r="G95" s="791"/>
      <c r="H95" s="933"/>
      <c r="I95" s="791"/>
    </row>
  </sheetData>
  <mergeCells count="5">
    <mergeCell ref="B9:H9"/>
    <mergeCell ref="B82:D82"/>
    <mergeCell ref="G42:H42"/>
    <mergeCell ref="B83:C83"/>
    <mergeCell ref="B84:C84"/>
  </mergeCells>
  <conditionalFormatting sqref="B23:C24 C26:C27 C29:C30 C32:C33 C35:C36 C38:C39 C44:C45 C47:C48 C51:C52 C54:C55 C57:C58 C60 C62 C64 B24:B76">
    <cfRule type="timePeriod" dxfId="43" priority="3" stopIfTrue="1" timePeriod="lastMonth">
      <formula>AND(MONTH(B23)=MONTH(EDATE(TODAY(),0-1)),YEAR(B23)=YEAR(EDATE(TODAY(),0-1)))</formula>
    </cfRule>
  </conditionalFormatting>
  <conditionalFormatting sqref="B10:C10">
    <cfRule type="duplicateValues" dxfId="42" priority="1"/>
  </conditionalFormatting>
  <pageMargins left="0.7" right="0.7" top="0.75" bottom="0.75" header="0.3" footer="0.3"/>
  <pageSetup paperSize="135" scale="64" orientation="portrait" horizontalDpi="300" verticalDpi="300"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3"/>
  <dimension ref="A2:J106"/>
  <sheetViews>
    <sheetView topLeftCell="A90" workbookViewId="0">
      <selection activeCell="F96" sqref="F96"/>
    </sheetView>
  </sheetViews>
  <sheetFormatPr defaultColWidth="9.140625" defaultRowHeight="12.75"/>
  <cols>
    <col min="1" max="1" width="3.5703125" customWidth="1"/>
    <col min="2" max="2" width="20.42578125" customWidth="1"/>
    <col min="3" max="3" width="18.5703125" customWidth="1"/>
    <col min="4" max="5" width="11.42578125" customWidth="1"/>
    <col min="6" max="6" width="15.42578125" customWidth="1"/>
    <col min="7" max="7" width="13.28515625" style="80" customWidth="1"/>
    <col min="8" max="8" width="18.140625" customWidth="1"/>
    <col min="9" max="9" width="14.85546875" bestFit="1" customWidth="1"/>
    <col min="10" max="254" width="11.42578125" customWidth="1"/>
  </cols>
  <sheetData>
    <row r="2" spans="1:10">
      <c r="B2" s="378" t="s">
        <v>121</v>
      </c>
      <c r="C2" s="196" t="s">
        <v>122</v>
      </c>
    </row>
    <row r="3" spans="1:10">
      <c r="B3" s="3" t="s">
        <v>67</v>
      </c>
      <c r="C3" s="69">
        <v>470900355.02999997</v>
      </c>
    </row>
    <row r="4" spans="1:10" ht="25.5">
      <c r="B4" s="64" t="s">
        <v>123</v>
      </c>
      <c r="C4" s="16">
        <v>42077</v>
      </c>
    </row>
    <row r="5" spans="1:10" ht="25.5">
      <c r="B5" s="3" t="s">
        <v>124</v>
      </c>
      <c r="C5" s="507" t="s">
        <v>125</v>
      </c>
    </row>
    <row r="6" spans="1:10">
      <c r="B6" s="3" t="s">
        <v>126</v>
      </c>
      <c r="C6" s="2"/>
    </row>
    <row r="7" spans="1:10">
      <c r="B7" s="3" t="s">
        <v>127</v>
      </c>
      <c r="C7" s="63" t="s">
        <v>128</v>
      </c>
    </row>
    <row r="8" spans="1:10">
      <c r="B8" s="1"/>
    </row>
    <row r="9" spans="1:10">
      <c r="A9" s="2"/>
      <c r="B9" s="2"/>
      <c r="C9" s="2549" t="s">
        <v>38</v>
      </c>
      <c r="D9" s="2549"/>
      <c r="E9" s="2549"/>
      <c r="F9" s="2549"/>
      <c r="G9" s="2549"/>
      <c r="H9" s="2"/>
    </row>
    <row r="10" spans="1:10" ht="24">
      <c r="A10" s="2"/>
      <c r="B10" s="470" t="s">
        <v>39</v>
      </c>
      <c r="C10" s="470" t="s">
        <v>40</v>
      </c>
      <c r="D10" s="470" t="s">
        <v>41</v>
      </c>
      <c r="E10" s="521" t="s">
        <v>43</v>
      </c>
      <c r="F10" s="17" t="s">
        <v>129</v>
      </c>
      <c r="G10" s="65" t="s">
        <v>47</v>
      </c>
      <c r="H10" s="17" t="s">
        <v>48</v>
      </c>
    </row>
    <row r="11" spans="1:10">
      <c r="A11" s="2">
        <v>1</v>
      </c>
      <c r="B11" s="16">
        <v>42078</v>
      </c>
      <c r="C11" s="16">
        <v>42094</v>
      </c>
      <c r="D11" s="395">
        <v>0.06</v>
      </c>
      <c r="E11" s="43">
        <f>((1+D11)^(1/365)-1)</f>
        <v>1.5965358745284597E-4</v>
      </c>
      <c r="F11" s="111">
        <f>+$C$3</f>
        <v>470900355.02999997</v>
      </c>
      <c r="G11" s="151">
        <f t="shared" ref="G11:G43" si="0">+_xlfn.DAYS(C11,B11)+1</f>
        <v>17</v>
      </c>
      <c r="H11" s="22">
        <f>(E11*F11)*G11</f>
        <v>1278075.8272270914</v>
      </c>
      <c r="I11" s="259"/>
      <c r="J11" s="46"/>
    </row>
    <row r="12" spans="1:10">
      <c r="A12" s="2">
        <v>2</v>
      </c>
      <c r="B12" s="16">
        <v>42095</v>
      </c>
      <c r="C12" s="16">
        <v>42124</v>
      </c>
      <c r="D12" s="395">
        <v>0.06</v>
      </c>
      <c r="E12" s="43">
        <f>((1+D12)^(1/365)-1)</f>
        <v>1.5965358745284597E-4</v>
      </c>
      <c r="F12" s="111">
        <f>+$C$3</f>
        <v>470900355.02999997</v>
      </c>
      <c r="G12" s="151">
        <f>+_xlfn.DAYS(C12,B12)+1</f>
        <v>30</v>
      </c>
      <c r="H12" s="22">
        <f t="shared" ref="H12:H75" si="1">(E12*F12)*G12</f>
        <v>2255427.9304007497</v>
      </c>
      <c r="I12" s="259"/>
      <c r="J12" s="46"/>
    </row>
    <row r="13" spans="1:10">
      <c r="A13" s="2">
        <v>3</v>
      </c>
      <c r="B13" s="16">
        <v>42125</v>
      </c>
      <c r="C13" s="16">
        <v>42154</v>
      </c>
      <c r="D13" s="395">
        <v>0.06</v>
      </c>
      <c r="E13" s="43">
        <f t="shared" ref="E13:E76" si="2">((1+D13)^(1/365)-1)</f>
        <v>1.5965358745284597E-4</v>
      </c>
      <c r="F13" s="111">
        <f t="shared" ref="F13:F76" si="3">+$C$3</f>
        <v>470900355.02999997</v>
      </c>
      <c r="G13" s="151">
        <f t="shared" si="0"/>
        <v>30</v>
      </c>
      <c r="H13" s="22">
        <f t="shared" si="1"/>
        <v>2255427.9304007497</v>
      </c>
    </row>
    <row r="14" spans="1:10">
      <c r="A14" s="2">
        <v>4</v>
      </c>
      <c r="B14" s="16">
        <v>42156</v>
      </c>
      <c r="C14" s="16">
        <v>42185</v>
      </c>
      <c r="D14" s="395">
        <v>0.06</v>
      </c>
      <c r="E14" s="43">
        <f t="shared" si="2"/>
        <v>1.5965358745284597E-4</v>
      </c>
      <c r="F14" s="111">
        <f t="shared" si="3"/>
        <v>470900355.02999997</v>
      </c>
      <c r="G14" s="151">
        <f t="shared" si="0"/>
        <v>30</v>
      </c>
      <c r="H14" s="22">
        <f t="shared" si="1"/>
        <v>2255427.9304007497</v>
      </c>
    </row>
    <row r="15" spans="1:10">
      <c r="A15" s="2">
        <v>5</v>
      </c>
      <c r="B15" s="16">
        <v>42186</v>
      </c>
      <c r="C15" s="16">
        <v>42216</v>
      </c>
      <c r="D15" s="395">
        <v>0.06</v>
      </c>
      <c r="E15" s="43">
        <f t="shared" si="2"/>
        <v>1.5965358745284597E-4</v>
      </c>
      <c r="F15" s="111">
        <f t="shared" si="3"/>
        <v>470900355.02999997</v>
      </c>
      <c r="G15" s="151">
        <f t="shared" si="0"/>
        <v>31</v>
      </c>
      <c r="H15" s="22">
        <f t="shared" si="1"/>
        <v>2330608.861414108</v>
      </c>
    </row>
    <row r="16" spans="1:10">
      <c r="A16" s="2">
        <v>6</v>
      </c>
      <c r="B16" s="16">
        <v>42217</v>
      </c>
      <c r="C16" s="16">
        <v>42246</v>
      </c>
      <c r="D16" s="395">
        <v>0.06</v>
      </c>
      <c r="E16" s="43">
        <f t="shared" si="2"/>
        <v>1.5965358745284597E-4</v>
      </c>
      <c r="F16" s="111">
        <f t="shared" si="3"/>
        <v>470900355.02999997</v>
      </c>
      <c r="G16" s="151">
        <f t="shared" si="0"/>
        <v>30</v>
      </c>
      <c r="H16" s="22">
        <f t="shared" si="1"/>
        <v>2255427.9304007497</v>
      </c>
    </row>
    <row r="17" spans="1:8">
      <c r="A17" s="2">
        <v>7</v>
      </c>
      <c r="B17" s="16">
        <v>42248</v>
      </c>
      <c r="C17" s="16">
        <v>42277</v>
      </c>
      <c r="D17" s="395">
        <v>0.06</v>
      </c>
      <c r="E17" s="43">
        <f t="shared" si="2"/>
        <v>1.5965358745284597E-4</v>
      </c>
      <c r="F17" s="111">
        <f t="shared" si="3"/>
        <v>470900355.02999997</v>
      </c>
      <c r="G17" s="151">
        <f t="shared" si="0"/>
        <v>30</v>
      </c>
      <c r="H17" s="22">
        <f t="shared" si="1"/>
        <v>2255427.9304007497</v>
      </c>
    </row>
    <row r="18" spans="1:8">
      <c r="A18" s="2">
        <v>8</v>
      </c>
      <c r="B18" s="16">
        <v>42278</v>
      </c>
      <c r="C18" s="16">
        <v>42308</v>
      </c>
      <c r="D18" s="395">
        <v>0.06</v>
      </c>
      <c r="E18" s="43">
        <f t="shared" si="2"/>
        <v>1.5965358745284597E-4</v>
      </c>
      <c r="F18" s="111">
        <f t="shared" si="3"/>
        <v>470900355.02999997</v>
      </c>
      <c r="G18" s="151">
        <f t="shared" si="0"/>
        <v>31</v>
      </c>
      <c r="H18" s="22">
        <f t="shared" si="1"/>
        <v>2330608.861414108</v>
      </c>
    </row>
    <row r="19" spans="1:8">
      <c r="A19" s="2">
        <v>9</v>
      </c>
      <c r="B19" s="16">
        <v>42309</v>
      </c>
      <c r="C19" s="16">
        <v>42338</v>
      </c>
      <c r="D19" s="395">
        <v>0.06</v>
      </c>
      <c r="E19" s="43">
        <f t="shared" si="2"/>
        <v>1.5965358745284597E-4</v>
      </c>
      <c r="F19" s="111">
        <f t="shared" si="3"/>
        <v>470900355.02999997</v>
      </c>
      <c r="G19" s="151">
        <f t="shared" si="0"/>
        <v>30</v>
      </c>
      <c r="H19" s="22">
        <f t="shared" si="1"/>
        <v>2255427.9304007497</v>
      </c>
    </row>
    <row r="20" spans="1:8">
      <c r="A20" s="2">
        <v>10</v>
      </c>
      <c r="B20" s="16">
        <v>42339</v>
      </c>
      <c r="C20" s="16">
        <v>42369</v>
      </c>
      <c r="D20" s="395">
        <v>0.06</v>
      </c>
      <c r="E20" s="43">
        <f t="shared" si="2"/>
        <v>1.5965358745284597E-4</v>
      </c>
      <c r="F20" s="111">
        <f t="shared" si="3"/>
        <v>470900355.02999997</v>
      </c>
      <c r="G20" s="151">
        <f t="shared" si="0"/>
        <v>31</v>
      </c>
      <c r="H20" s="22">
        <f t="shared" si="1"/>
        <v>2330608.861414108</v>
      </c>
    </row>
    <row r="21" spans="1:8">
      <c r="A21" s="2">
        <v>11</v>
      </c>
      <c r="B21" s="16">
        <v>42370</v>
      </c>
      <c r="C21" s="16">
        <v>42400</v>
      </c>
      <c r="D21" s="395">
        <v>0.06</v>
      </c>
      <c r="E21" s="43">
        <f t="shared" si="2"/>
        <v>1.5965358745284597E-4</v>
      </c>
      <c r="F21" s="111">
        <f t="shared" si="3"/>
        <v>470900355.02999997</v>
      </c>
      <c r="G21" s="151">
        <f t="shared" si="0"/>
        <v>31</v>
      </c>
      <c r="H21" s="22">
        <f t="shared" si="1"/>
        <v>2330608.861414108</v>
      </c>
    </row>
    <row r="22" spans="1:8">
      <c r="A22" s="2">
        <v>12</v>
      </c>
      <c r="B22" s="16">
        <v>42401</v>
      </c>
      <c r="C22" s="16">
        <v>42429</v>
      </c>
      <c r="D22" s="395">
        <v>0.06</v>
      </c>
      <c r="E22" s="43">
        <f t="shared" si="2"/>
        <v>1.5965358745284597E-4</v>
      </c>
      <c r="F22" s="111">
        <f t="shared" si="3"/>
        <v>470900355.02999997</v>
      </c>
      <c r="G22" s="151">
        <f t="shared" si="0"/>
        <v>29</v>
      </c>
      <c r="H22" s="22">
        <f t="shared" si="1"/>
        <v>2180246.9993873914</v>
      </c>
    </row>
    <row r="23" spans="1:8">
      <c r="A23" s="2">
        <v>13</v>
      </c>
      <c r="B23" s="16">
        <v>42430</v>
      </c>
      <c r="C23" s="16">
        <v>42460</v>
      </c>
      <c r="D23" s="395">
        <v>0.06</v>
      </c>
      <c r="E23" s="43">
        <f t="shared" si="2"/>
        <v>1.5965358745284597E-4</v>
      </c>
      <c r="F23" s="111">
        <f t="shared" si="3"/>
        <v>470900355.02999997</v>
      </c>
      <c r="G23" s="151">
        <f t="shared" si="0"/>
        <v>31</v>
      </c>
      <c r="H23" s="22">
        <f t="shared" si="1"/>
        <v>2330608.861414108</v>
      </c>
    </row>
    <row r="24" spans="1:8">
      <c r="A24" s="2">
        <v>14</v>
      </c>
      <c r="B24" s="16">
        <v>42461</v>
      </c>
      <c r="C24" s="16">
        <v>42490</v>
      </c>
      <c r="D24" s="395">
        <v>0.06</v>
      </c>
      <c r="E24" s="43">
        <f t="shared" si="2"/>
        <v>1.5965358745284597E-4</v>
      </c>
      <c r="F24" s="111">
        <f t="shared" si="3"/>
        <v>470900355.02999997</v>
      </c>
      <c r="G24" s="151">
        <f t="shared" si="0"/>
        <v>30</v>
      </c>
      <c r="H24" s="22">
        <f t="shared" si="1"/>
        <v>2255427.9304007497</v>
      </c>
    </row>
    <row r="25" spans="1:8">
      <c r="A25" s="2">
        <v>15</v>
      </c>
      <c r="B25" s="16">
        <v>42491</v>
      </c>
      <c r="C25" s="16">
        <v>42521</v>
      </c>
      <c r="D25" s="395">
        <v>0.06</v>
      </c>
      <c r="E25" s="43">
        <f t="shared" si="2"/>
        <v>1.5965358745284597E-4</v>
      </c>
      <c r="F25" s="111">
        <f t="shared" si="3"/>
        <v>470900355.02999997</v>
      </c>
      <c r="G25" s="151">
        <f t="shared" si="0"/>
        <v>31</v>
      </c>
      <c r="H25" s="22">
        <f t="shared" si="1"/>
        <v>2330608.861414108</v>
      </c>
    </row>
    <row r="26" spans="1:8">
      <c r="A26" s="2">
        <v>16</v>
      </c>
      <c r="B26" s="16">
        <v>42522</v>
      </c>
      <c r="C26" s="16">
        <v>42551</v>
      </c>
      <c r="D26" s="395">
        <v>0.06</v>
      </c>
      <c r="E26" s="43">
        <f t="shared" si="2"/>
        <v>1.5965358745284597E-4</v>
      </c>
      <c r="F26" s="111">
        <f t="shared" si="3"/>
        <v>470900355.02999997</v>
      </c>
      <c r="G26" s="151">
        <f t="shared" si="0"/>
        <v>30</v>
      </c>
      <c r="H26" s="22">
        <f t="shared" si="1"/>
        <v>2255427.9304007497</v>
      </c>
    </row>
    <row r="27" spans="1:8">
      <c r="A27" s="2">
        <v>17</v>
      </c>
      <c r="B27" s="16">
        <v>42552</v>
      </c>
      <c r="C27" s="16">
        <v>42582</v>
      </c>
      <c r="D27" s="395">
        <v>0.06</v>
      </c>
      <c r="E27" s="43">
        <f t="shared" si="2"/>
        <v>1.5965358745284597E-4</v>
      </c>
      <c r="F27" s="111">
        <f t="shared" si="3"/>
        <v>470900355.02999997</v>
      </c>
      <c r="G27" s="151">
        <f t="shared" si="0"/>
        <v>31</v>
      </c>
      <c r="H27" s="22">
        <f t="shared" si="1"/>
        <v>2330608.861414108</v>
      </c>
    </row>
    <row r="28" spans="1:8">
      <c r="A28" s="2">
        <v>18</v>
      </c>
      <c r="B28" s="16">
        <v>42583</v>
      </c>
      <c r="C28" s="16">
        <v>42613</v>
      </c>
      <c r="D28" s="395">
        <v>0.06</v>
      </c>
      <c r="E28" s="43">
        <f t="shared" si="2"/>
        <v>1.5965358745284597E-4</v>
      </c>
      <c r="F28" s="111">
        <f t="shared" si="3"/>
        <v>470900355.02999997</v>
      </c>
      <c r="G28" s="151">
        <f t="shared" si="0"/>
        <v>31</v>
      </c>
      <c r="H28" s="22">
        <f t="shared" si="1"/>
        <v>2330608.861414108</v>
      </c>
    </row>
    <row r="29" spans="1:8">
      <c r="A29" s="2">
        <v>19</v>
      </c>
      <c r="B29" s="16">
        <v>42614</v>
      </c>
      <c r="C29" s="16">
        <v>42643</v>
      </c>
      <c r="D29" s="395">
        <f>+$D$28</f>
        <v>0.06</v>
      </c>
      <c r="E29" s="43">
        <f t="shared" si="2"/>
        <v>1.5965358745284597E-4</v>
      </c>
      <c r="F29" s="111">
        <f t="shared" si="3"/>
        <v>470900355.02999997</v>
      </c>
      <c r="G29" s="151">
        <f t="shared" si="0"/>
        <v>30</v>
      </c>
      <c r="H29" s="22">
        <f t="shared" si="1"/>
        <v>2255427.9304007497</v>
      </c>
    </row>
    <row r="30" spans="1:8">
      <c r="A30" s="2">
        <v>20</v>
      </c>
      <c r="B30" s="16">
        <v>42644</v>
      </c>
      <c r="C30" s="16">
        <v>42674</v>
      </c>
      <c r="D30" s="395">
        <f t="shared" ref="D30:D91" si="4">+$D$28</f>
        <v>0.06</v>
      </c>
      <c r="E30" s="43">
        <f t="shared" si="2"/>
        <v>1.5965358745284597E-4</v>
      </c>
      <c r="F30" s="111">
        <f t="shared" si="3"/>
        <v>470900355.02999997</v>
      </c>
      <c r="G30" s="151">
        <f t="shared" si="0"/>
        <v>31</v>
      </c>
      <c r="H30" s="22">
        <f t="shared" si="1"/>
        <v>2330608.861414108</v>
      </c>
    </row>
    <row r="31" spans="1:8">
      <c r="A31" s="2">
        <v>21</v>
      </c>
      <c r="B31" s="16">
        <v>42675</v>
      </c>
      <c r="C31" s="16">
        <v>42704</v>
      </c>
      <c r="D31" s="395">
        <f t="shared" si="4"/>
        <v>0.06</v>
      </c>
      <c r="E31" s="43">
        <f t="shared" si="2"/>
        <v>1.5965358745284597E-4</v>
      </c>
      <c r="F31" s="111">
        <f t="shared" si="3"/>
        <v>470900355.02999997</v>
      </c>
      <c r="G31" s="151">
        <f t="shared" si="0"/>
        <v>30</v>
      </c>
      <c r="H31" s="22">
        <f t="shared" si="1"/>
        <v>2255427.9304007497</v>
      </c>
    </row>
    <row r="32" spans="1:8">
      <c r="A32" s="2">
        <v>22</v>
      </c>
      <c r="B32" s="16">
        <v>42705</v>
      </c>
      <c r="C32" s="16">
        <v>42735</v>
      </c>
      <c r="D32" s="395">
        <f t="shared" si="4"/>
        <v>0.06</v>
      </c>
      <c r="E32" s="43">
        <f t="shared" si="2"/>
        <v>1.5965358745284597E-4</v>
      </c>
      <c r="F32" s="111">
        <f t="shared" si="3"/>
        <v>470900355.02999997</v>
      </c>
      <c r="G32" s="151">
        <f t="shared" si="0"/>
        <v>31</v>
      </c>
      <c r="H32" s="22">
        <f t="shared" si="1"/>
        <v>2330608.861414108</v>
      </c>
    </row>
    <row r="33" spans="1:8">
      <c r="A33" s="2">
        <v>23</v>
      </c>
      <c r="B33" s="16">
        <v>42736</v>
      </c>
      <c r="C33" s="16">
        <v>42766</v>
      </c>
      <c r="D33" s="395">
        <f t="shared" si="4"/>
        <v>0.06</v>
      </c>
      <c r="E33" s="43">
        <f t="shared" si="2"/>
        <v>1.5965358745284597E-4</v>
      </c>
      <c r="F33" s="111">
        <f t="shared" si="3"/>
        <v>470900355.02999997</v>
      </c>
      <c r="G33" s="151">
        <f t="shared" si="0"/>
        <v>31</v>
      </c>
      <c r="H33" s="22">
        <f t="shared" si="1"/>
        <v>2330608.861414108</v>
      </c>
    </row>
    <row r="34" spans="1:8">
      <c r="A34" s="2">
        <v>24</v>
      </c>
      <c r="B34" s="16">
        <v>42767</v>
      </c>
      <c r="C34" s="16">
        <v>42794</v>
      </c>
      <c r="D34" s="395">
        <f t="shared" si="4"/>
        <v>0.06</v>
      </c>
      <c r="E34" s="43">
        <f t="shared" si="2"/>
        <v>1.5965358745284597E-4</v>
      </c>
      <c r="F34" s="111">
        <f t="shared" si="3"/>
        <v>470900355.02999997</v>
      </c>
      <c r="G34" s="151">
        <f t="shared" si="0"/>
        <v>28</v>
      </c>
      <c r="H34" s="22">
        <f t="shared" si="1"/>
        <v>2105066.0683740331</v>
      </c>
    </row>
    <row r="35" spans="1:8">
      <c r="A35" s="2">
        <v>25</v>
      </c>
      <c r="B35" s="16">
        <v>42795</v>
      </c>
      <c r="C35" s="16">
        <v>42825</v>
      </c>
      <c r="D35" s="395">
        <f t="shared" si="4"/>
        <v>0.06</v>
      </c>
      <c r="E35" s="43">
        <f t="shared" si="2"/>
        <v>1.5965358745284597E-4</v>
      </c>
      <c r="F35" s="111">
        <f t="shared" si="3"/>
        <v>470900355.02999997</v>
      </c>
      <c r="G35" s="151">
        <f t="shared" si="0"/>
        <v>31</v>
      </c>
      <c r="H35" s="22">
        <f t="shared" si="1"/>
        <v>2330608.861414108</v>
      </c>
    </row>
    <row r="36" spans="1:8">
      <c r="A36" s="2">
        <v>26</v>
      </c>
      <c r="B36" s="16">
        <v>42826</v>
      </c>
      <c r="C36" s="16">
        <v>42855</v>
      </c>
      <c r="D36" s="395">
        <f t="shared" si="4"/>
        <v>0.06</v>
      </c>
      <c r="E36" s="43">
        <f t="shared" si="2"/>
        <v>1.5965358745284597E-4</v>
      </c>
      <c r="F36" s="111">
        <f t="shared" si="3"/>
        <v>470900355.02999997</v>
      </c>
      <c r="G36" s="151">
        <f t="shared" si="0"/>
        <v>30</v>
      </c>
      <c r="H36" s="22">
        <f t="shared" si="1"/>
        <v>2255427.9304007497</v>
      </c>
    </row>
    <row r="37" spans="1:8">
      <c r="A37" s="2">
        <v>27</v>
      </c>
      <c r="B37" s="16">
        <v>42856</v>
      </c>
      <c r="C37" s="16">
        <v>42886</v>
      </c>
      <c r="D37" s="395">
        <f t="shared" si="4"/>
        <v>0.06</v>
      </c>
      <c r="E37" s="43">
        <f t="shared" si="2"/>
        <v>1.5965358745284597E-4</v>
      </c>
      <c r="F37" s="111">
        <f t="shared" si="3"/>
        <v>470900355.02999997</v>
      </c>
      <c r="G37" s="151">
        <f t="shared" si="0"/>
        <v>31</v>
      </c>
      <c r="H37" s="22">
        <f t="shared" si="1"/>
        <v>2330608.861414108</v>
      </c>
    </row>
    <row r="38" spans="1:8">
      <c r="A38" s="2">
        <v>28</v>
      </c>
      <c r="B38" s="16">
        <v>42887</v>
      </c>
      <c r="C38" s="16">
        <v>42916</v>
      </c>
      <c r="D38" s="395">
        <f t="shared" si="4"/>
        <v>0.06</v>
      </c>
      <c r="E38" s="43">
        <f t="shared" si="2"/>
        <v>1.5965358745284597E-4</v>
      </c>
      <c r="F38" s="111">
        <f t="shared" si="3"/>
        <v>470900355.02999997</v>
      </c>
      <c r="G38" s="151">
        <f t="shared" si="0"/>
        <v>30</v>
      </c>
      <c r="H38" s="22">
        <f t="shared" si="1"/>
        <v>2255427.9304007497</v>
      </c>
    </row>
    <row r="39" spans="1:8">
      <c r="A39" s="2">
        <v>29</v>
      </c>
      <c r="B39" s="16">
        <v>42917</v>
      </c>
      <c r="C39" s="16">
        <v>42947</v>
      </c>
      <c r="D39" s="395">
        <f t="shared" si="4"/>
        <v>0.06</v>
      </c>
      <c r="E39" s="43">
        <f t="shared" si="2"/>
        <v>1.5965358745284597E-4</v>
      </c>
      <c r="F39" s="111">
        <f t="shared" si="3"/>
        <v>470900355.02999997</v>
      </c>
      <c r="G39" s="151">
        <f t="shared" si="0"/>
        <v>31</v>
      </c>
      <c r="H39" s="22">
        <f t="shared" si="1"/>
        <v>2330608.861414108</v>
      </c>
    </row>
    <row r="40" spans="1:8">
      <c r="A40" s="2">
        <v>30</v>
      </c>
      <c r="B40" s="16">
        <v>42948</v>
      </c>
      <c r="C40" s="16">
        <v>42978</v>
      </c>
      <c r="D40" s="395">
        <f t="shared" si="4"/>
        <v>0.06</v>
      </c>
      <c r="E40" s="43">
        <f t="shared" si="2"/>
        <v>1.5965358745284597E-4</v>
      </c>
      <c r="F40" s="111">
        <f t="shared" si="3"/>
        <v>470900355.02999997</v>
      </c>
      <c r="G40" s="151">
        <f t="shared" si="0"/>
        <v>31</v>
      </c>
      <c r="H40" s="22">
        <f t="shared" si="1"/>
        <v>2330608.861414108</v>
      </c>
    </row>
    <row r="41" spans="1:8">
      <c r="A41" s="2">
        <v>31</v>
      </c>
      <c r="B41" s="16">
        <v>42979</v>
      </c>
      <c r="C41" s="16">
        <v>43008</v>
      </c>
      <c r="D41" s="395">
        <f t="shared" si="4"/>
        <v>0.06</v>
      </c>
      <c r="E41" s="43">
        <f t="shared" si="2"/>
        <v>1.5965358745284597E-4</v>
      </c>
      <c r="F41" s="111">
        <f t="shared" si="3"/>
        <v>470900355.02999997</v>
      </c>
      <c r="G41" s="151">
        <f t="shared" si="0"/>
        <v>30</v>
      </c>
      <c r="H41" s="22">
        <f t="shared" si="1"/>
        <v>2255427.9304007497</v>
      </c>
    </row>
    <row r="42" spans="1:8">
      <c r="A42" s="2">
        <v>32</v>
      </c>
      <c r="B42" s="16">
        <v>43009</v>
      </c>
      <c r="C42" s="16">
        <v>43039</v>
      </c>
      <c r="D42" s="395">
        <f t="shared" si="4"/>
        <v>0.06</v>
      </c>
      <c r="E42" s="43">
        <f t="shared" si="2"/>
        <v>1.5965358745284597E-4</v>
      </c>
      <c r="F42" s="111">
        <f t="shared" si="3"/>
        <v>470900355.02999997</v>
      </c>
      <c r="G42" s="151">
        <f t="shared" si="0"/>
        <v>31</v>
      </c>
      <c r="H42" s="22">
        <f t="shared" si="1"/>
        <v>2330608.861414108</v>
      </c>
    </row>
    <row r="43" spans="1:8">
      <c r="A43" s="2">
        <v>33</v>
      </c>
      <c r="B43" s="16">
        <v>43040</v>
      </c>
      <c r="C43" s="16">
        <v>43069</v>
      </c>
      <c r="D43" s="395">
        <f t="shared" si="4"/>
        <v>0.06</v>
      </c>
      <c r="E43" s="43">
        <f t="shared" si="2"/>
        <v>1.5965358745284597E-4</v>
      </c>
      <c r="F43" s="111">
        <f t="shared" si="3"/>
        <v>470900355.02999997</v>
      </c>
      <c r="G43" s="151">
        <f t="shared" si="0"/>
        <v>30</v>
      </c>
      <c r="H43" s="22">
        <f t="shared" si="1"/>
        <v>2255427.9304007497</v>
      </c>
    </row>
    <row r="44" spans="1:8">
      <c r="A44" s="2">
        <v>34</v>
      </c>
      <c r="B44" s="16">
        <v>43070</v>
      </c>
      <c r="C44" s="16">
        <v>43100</v>
      </c>
      <c r="D44" s="395">
        <f t="shared" si="4"/>
        <v>0.06</v>
      </c>
      <c r="E44" s="43">
        <f t="shared" si="2"/>
        <v>1.5965358745284597E-4</v>
      </c>
      <c r="F44" s="111">
        <f t="shared" si="3"/>
        <v>470900355.02999997</v>
      </c>
      <c r="G44" s="151">
        <f t="shared" ref="G44:G75" si="5">+_xlfn.DAYS(C44,B44)+1</f>
        <v>31</v>
      </c>
      <c r="H44" s="22">
        <f t="shared" si="1"/>
        <v>2330608.861414108</v>
      </c>
    </row>
    <row r="45" spans="1:8">
      <c r="A45" s="2">
        <v>35</v>
      </c>
      <c r="B45" s="16">
        <v>43101</v>
      </c>
      <c r="C45" s="16">
        <v>43131</v>
      </c>
      <c r="D45" s="395">
        <f t="shared" si="4"/>
        <v>0.06</v>
      </c>
      <c r="E45" s="43">
        <f t="shared" si="2"/>
        <v>1.5965358745284597E-4</v>
      </c>
      <c r="F45" s="111">
        <f t="shared" si="3"/>
        <v>470900355.02999997</v>
      </c>
      <c r="G45" s="151">
        <f t="shared" si="5"/>
        <v>31</v>
      </c>
      <c r="H45" s="22">
        <f t="shared" si="1"/>
        <v>2330608.861414108</v>
      </c>
    </row>
    <row r="46" spans="1:8">
      <c r="A46" s="2">
        <v>36</v>
      </c>
      <c r="B46" s="16">
        <v>43132</v>
      </c>
      <c r="C46" s="16">
        <v>43159</v>
      </c>
      <c r="D46" s="395">
        <f t="shared" si="4"/>
        <v>0.06</v>
      </c>
      <c r="E46" s="43">
        <f t="shared" si="2"/>
        <v>1.5965358745284597E-4</v>
      </c>
      <c r="F46" s="111">
        <f t="shared" si="3"/>
        <v>470900355.02999997</v>
      </c>
      <c r="G46" s="151">
        <f t="shared" si="5"/>
        <v>28</v>
      </c>
      <c r="H46" s="22">
        <f t="shared" si="1"/>
        <v>2105066.0683740331</v>
      </c>
    </row>
    <row r="47" spans="1:8">
      <c r="A47" s="2">
        <v>37</v>
      </c>
      <c r="B47" s="16">
        <v>43160</v>
      </c>
      <c r="C47" s="16">
        <v>43190</v>
      </c>
      <c r="D47" s="395">
        <f t="shared" si="4"/>
        <v>0.06</v>
      </c>
      <c r="E47" s="43">
        <f t="shared" si="2"/>
        <v>1.5965358745284597E-4</v>
      </c>
      <c r="F47" s="111">
        <f t="shared" si="3"/>
        <v>470900355.02999997</v>
      </c>
      <c r="G47" s="151">
        <f t="shared" si="5"/>
        <v>31</v>
      </c>
      <c r="H47" s="22">
        <f t="shared" si="1"/>
        <v>2330608.861414108</v>
      </c>
    </row>
    <row r="48" spans="1:8">
      <c r="A48" s="2">
        <v>38</v>
      </c>
      <c r="B48" s="16">
        <v>43191</v>
      </c>
      <c r="C48" s="16">
        <v>43220</v>
      </c>
      <c r="D48" s="395">
        <f t="shared" si="4"/>
        <v>0.06</v>
      </c>
      <c r="E48" s="43">
        <f t="shared" si="2"/>
        <v>1.5965358745284597E-4</v>
      </c>
      <c r="F48" s="111">
        <f t="shared" si="3"/>
        <v>470900355.02999997</v>
      </c>
      <c r="G48" s="151">
        <f t="shared" si="5"/>
        <v>30</v>
      </c>
      <c r="H48" s="22">
        <f t="shared" si="1"/>
        <v>2255427.9304007497</v>
      </c>
    </row>
    <row r="49" spans="1:8">
      <c r="A49" s="2">
        <v>39</v>
      </c>
      <c r="B49" s="16">
        <v>43221</v>
      </c>
      <c r="C49" s="16">
        <v>43251</v>
      </c>
      <c r="D49" s="395">
        <f t="shared" si="4"/>
        <v>0.06</v>
      </c>
      <c r="E49" s="43">
        <f t="shared" si="2"/>
        <v>1.5965358745284597E-4</v>
      </c>
      <c r="F49" s="111">
        <f t="shared" si="3"/>
        <v>470900355.02999997</v>
      </c>
      <c r="G49" s="151">
        <f t="shared" si="5"/>
        <v>31</v>
      </c>
      <c r="H49" s="22">
        <f t="shared" si="1"/>
        <v>2330608.861414108</v>
      </c>
    </row>
    <row r="50" spans="1:8">
      <c r="A50" s="2">
        <v>40</v>
      </c>
      <c r="B50" s="16">
        <v>43252</v>
      </c>
      <c r="C50" s="16">
        <v>43281</v>
      </c>
      <c r="D50" s="395">
        <f t="shared" si="4"/>
        <v>0.06</v>
      </c>
      <c r="E50" s="43">
        <f t="shared" si="2"/>
        <v>1.5965358745284597E-4</v>
      </c>
      <c r="F50" s="111">
        <f t="shared" si="3"/>
        <v>470900355.02999997</v>
      </c>
      <c r="G50" s="151">
        <f t="shared" si="5"/>
        <v>30</v>
      </c>
      <c r="H50" s="22">
        <f t="shared" si="1"/>
        <v>2255427.9304007497</v>
      </c>
    </row>
    <row r="51" spans="1:8">
      <c r="A51" s="2">
        <v>41</v>
      </c>
      <c r="B51" s="16">
        <v>43282</v>
      </c>
      <c r="C51" s="16">
        <v>43312</v>
      </c>
      <c r="D51" s="395">
        <f t="shared" si="4"/>
        <v>0.06</v>
      </c>
      <c r="E51" s="43">
        <f t="shared" si="2"/>
        <v>1.5965358745284597E-4</v>
      </c>
      <c r="F51" s="111">
        <f t="shared" si="3"/>
        <v>470900355.02999997</v>
      </c>
      <c r="G51" s="151">
        <f t="shared" si="5"/>
        <v>31</v>
      </c>
      <c r="H51" s="22">
        <f t="shared" si="1"/>
        <v>2330608.861414108</v>
      </c>
    </row>
    <row r="52" spans="1:8">
      <c r="A52" s="2">
        <v>42</v>
      </c>
      <c r="B52" s="16">
        <v>43313</v>
      </c>
      <c r="C52" s="16">
        <v>43343</v>
      </c>
      <c r="D52" s="395">
        <f t="shared" si="4"/>
        <v>0.06</v>
      </c>
      <c r="E52" s="43">
        <f t="shared" si="2"/>
        <v>1.5965358745284597E-4</v>
      </c>
      <c r="F52" s="111">
        <f t="shared" si="3"/>
        <v>470900355.02999997</v>
      </c>
      <c r="G52" s="151">
        <f t="shared" si="5"/>
        <v>31</v>
      </c>
      <c r="H52" s="22">
        <f t="shared" si="1"/>
        <v>2330608.861414108</v>
      </c>
    </row>
    <row r="53" spans="1:8">
      <c r="A53" s="2">
        <v>43</v>
      </c>
      <c r="B53" s="16">
        <v>43344</v>
      </c>
      <c r="C53" s="16">
        <v>43373</v>
      </c>
      <c r="D53" s="395">
        <f t="shared" si="4"/>
        <v>0.06</v>
      </c>
      <c r="E53" s="43">
        <f t="shared" si="2"/>
        <v>1.5965358745284597E-4</v>
      </c>
      <c r="F53" s="111">
        <f t="shared" si="3"/>
        <v>470900355.02999997</v>
      </c>
      <c r="G53" s="151">
        <f t="shared" si="5"/>
        <v>30</v>
      </c>
      <c r="H53" s="22">
        <f t="shared" si="1"/>
        <v>2255427.9304007497</v>
      </c>
    </row>
    <row r="54" spans="1:8">
      <c r="A54" s="2">
        <v>44</v>
      </c>
      <c r="B54" s="16">
        <v>43374</v>
      </c>
      <c r="C54" s="16">
        <v>43404</v>
      </c>
      <c r="D54" s="395">
        <f t="shared" si="4"/>
        <v>0.06</v>
      </c>
      <c r="E54" s="43">
        <f t="shared" si="2"/>
        <v>1.5965358745284597E-4</v>
      </c>
      <c r="F54" s="111">
        <f t="shared" si="3"/>
        <v>470900355.02999997</v>
      </c>
      <c r="G54" s="151">
        <f t="shared" si="5"/>
        <v>31</v>
      </c>
      <c r="H54" s="22">
        <f t="shared" si="1"/>
        <v>2330608.861414108</v>
      </c>
    </row>
    <row r="55" spans="1:8">
      <c r="A55" s="2">
        <v>45</v>
      </c>
      <c r="B55" s="16">
        <v>43405</v>
      </c>
      <c r="C55" s="16">
        <v>43434</v>
      </c>
      <c r="D55" s="395">
        <f t="shared" si="4"/>
        <v>0.06</v>
      </c>
      <c r="E55" s="43">
        <f t="shared" si="2"/>
        <v>1.5965358745284597E-4</v>
      </c>
      <c r="F55" s="111">
        <f t="shared" si="3"/>
        <v>470900355.02999997</v>
      </c>
      <c r="G55" s="151">
        <f t="shared" si="5"/>
        <v>30</v>
      </c>
      <c r="H55" s="22">
        <f t="shared" si="1"/>
        <v>2255427.9304007497</v>
      </c>
    </row>
    <row r="56" spans="1:8">
      <c r="A56" s="2">
        <v>46</v>
      </c>
      <c r="B56" s="16">
        <v>43435</v>
      </c>
      <c r="C56" s="16">
        <v>43465</v>
      </c>
      <c r="D56" s="395">
        <f t="shared" si="4"/>
        <v>0.06</v>
      </c>
      <c r="E56" s="43">
        <f t="shared" si="2"/>
        <v>1.5965358745284597E-4</v>
      </c>
      <c r="F56" s="111">
        <f t="shared" si="3"/>
        <v>470900355.02999997</v>
      </c>
      <c r="G56" s="151">
        <f t="shared" si="5"/>
        <v>31</v>
      </c>
      <c r="H56" s="22">
        <f t="shared" si="1"/>
        <v>2330608.861414108</v>
      </c>
    </row>
    <row r="57" spans="1:8">
      <c r="A57" s="2">
        <v>47</v>
      </c>
      <c r="B57" s="16">
        <v>43466</v>
      </c>
      <c r="C57" s="16">
        <v>43496</v>
      </c>
      <c r="D57" s="395">
        <f t="shared" si="4"/>
        <v>0.06</v>
      </c>
      <c r="E57" s="43">
        <f t="shared" si="2"/>
        <v>1.5965358745284597E-4</v>
      </c>
      <c r="F57" s="111">
        <f t="shared" si="3"/>
        <v>470900355.02999997</v>
      </c>
      <c r="G57" s="151">
        <f t="shared" si="5"/>
        <v>31</v>
      </c>
      <c r="H57" s="22">
        <f t="shared" si="1"/>
        <v>2330608.861414108</v>
      </c>
    </row>
    <row r="58" spans="1:8">
      <c r="A58" s="2">
        <v>48</v>
      </c>
      <c r="B58" s="16">
        <v>43497</v>
      </c>
      <c r="C58" s="16">
        <v>43524</v>
      </c>
      <c r="D58" s="395">
        <f t="shared" si="4"/>
        <v>0.06</v>
      </c>
      <c r="E58" s="43">
        <f t="shared" si="2"/>
        <v>1.5965358745284597E-4</v>
      </c>
      <c r="F58" s="111">
        <f t="shared" si="3"/>
        <v>470900355.02999997</v>
      </c>
      <c r="G58" s="151">
        <f t="shared" si="5"/>
        <v>28</v>
      </c>
      <c r="H58" s="22">
        <f t="shared" si="1"/>
        <v>2105066.0683740331</v>
      </c>
    </row>
    <row r="59" spans="1:8">
      <c r="A59" s="2">
        <v>49</v>
      </c>
      <c r="B59" s="16">
        <v>43525</v>
      </c>
      <c r="C59" s="16">
        <v>43555</v>
      </c>
      <c r="D59" s="395">
        <f t="shared" si="4"/>
        <v>0.06</v>
      </c>
      <c r="E59" s="43">
        <f t="shared" si="2"/>
        <v>1.5965358745284597E-4</v>
      </c>
      <c r="F59" s="111">
        <f t="shared" si="3"/>
        <v>470900355.02999997</v>
      </c>
      <c r="G59" s="151">
        <f t="shared" si="5"/>
        <v>31</v>
      </c>
      <c r="H59" s="22">
        <f t="shared" si="1"/>
        <v>2330608.861414108</v>
      </c>
    </row>
    <row r="60" spans="1:8">
      <c r="A60" s="2">
        <v>50</v>
      </c>
      <c r="B60" s="16">
        <v>43556</v>
      </c>
      <c r="C60" s="16">
        <v>43585</v>
      </c>
      <c r="D60" s="395">
        <f t="shared" si="4"/>
        <v>0.06</v>
      </c>
      <c r="E60" s="43">
        <f t="shared" si="2"/>
        <v>1.5965358745284597E-4</v>
      </c>
      <c r="F60" s="111">
        <f t="shared" si="3"/>
        <v>470900355.02999997</v>
      </c>
      <c r="G60" s="151">
        <f t="shared" si="5"/>
        <v>30</v>
      </c>
      <c r="H60" s="22">
        <f t="shared" si="1"/>
        <v>2255427.9304007497</v>
      </c>
    </row>
    <row r="61" spans="1:8">
      <c r="A61" s="2">
        <v>51</v>
      </c>
      <c r="B61" s="16">
        <v>43586</v>
      </c>
      <c r="C61" s="16">
        <v>43616</v>
      </c>
      <c r="D61" s="395">
        <f t="shared" si="4"/>
        <v>0.06</v>
      </c>
      <c r="E61" s="43">
        <f t="shared" si="2"/>
        <v>1.5965358745284597E-4</v>
      </c>
      <c r="F61" s="111">
        <f t="shared" si="3"/>
        <v>470900355.02999997</v>
      </c>
      <c r="G61" s="151">
        <f t="shared" si="5"/>
        <v>31</v>
      </c>
      <c r="H61" s="22">
        <f t="shared" si="1"/>
        <v>2330608.861414108</v>
      </c>
    </row>
    <row r="62" spans="1:8">
      <c r="A62" s="2">
        <v>52</v>
      </c>
      <c r="B62" s="16">
        <v>43617</v>
      </c>
      <c r="C62" s="16">
        <v>43646</v>
      </c>
      <c r="D62" s="395">
        <f t="shared" si="4"/>
        <v>0.06</v>
      </c>
      <c r="E62" s="43">
        <f t="shared" si="2"/>
        <v>1.5965358745284597E-4</v>
      </c>
      <c r="F62" s="111">
        <f t="shared" si="3"/>
        <v>470900355.02999997</v>
      </c>
      <c r="G62" s="151">
        <f t="shared" si="5"/>
        <v>30</v>
      </c>
      <c r="H62" s="22">
        <f t="shared" si="1"/>
        <v>2255427.9304007497</v>
      </c>
    </row>
    <row r="63" spans="1:8">
      <c r="A63" s="2">
        <v>53</v>
      </c>
      <c r="B63" s="16">
        <v>43647</v>
      </c>
      <c r="C63" s="16">
        <v>43677</v>
      </c>
      <c r="D63" s="395">
        <f t="shared" si="4"/>
        <v>0.06</v>
      </c>
      <c r="E63" s="43">
        <f t="shared" si="2"/>
        <v>1.5965358745284597E-4</v>
      </c>
      <c r="F63" s="111">
        <f t="shared" si="3"/>
        <v>470900355.02999997</v>
      </c>
      <c r="G63" s="151">
        <f t="shared" si="5"/>
        <v>31</v>
      </c>
      <c r="H63" s="22">
        <f t="shared" si="1"/>
        <v>2330608.861414108</v>
      </c>
    </row>
    <row r="64" spans="1:8">
      <c r="A64" s="2">
        <v>54</v>
      </c>
      <c r="B64" s="16">
        <v>43678</v>
      </c>
      <c r="C64" s="16">
        <v>43708</v>
      </c>
      <c r="D64" s="395">
        <f t="shared" si="4"/>
        <v>0.06</v>
      </c>
      <c r="E64" s="43">
        <f t="shared" si="2"/>
        <v>1.5965358745284597E-4</v>
      </c>
      <c r="F64" s="111">
        <f t="shared" si="3"/>
        <v>470900355.02999997</v>
      </c>
      <c r="G64" s="151">
        <f t="shared" si="5"/>
        <v>31</v>
      </c>
      <c r="H64" s="22">
        <f t="shared" si="1"/>
        <v>2330608.861414108</v>
      </c>
    </row>
    <row r="65" spans="1:9">
      <c r="A65" s="2">
        <v>55</v>
      </c>
      <c r="B65" s="16">
        <v>43709</v>
      </c>
      <c r="C65" s="16">
        <v>43738</v>
      </c>
      <c r="D65" s="395">
        <f t="shared" si="4"/>
        <v>0.06</v>
      </c>
      <c r="E65" s="43">
        <f t="shared" si="2"/>
        <v>1.5965358745284597E-4</v>
      </c>
      <c r="F65" s="111">
        <f t="shared" si="3"/>
        <v>470900355.02999997</v>
      </c>
      <c r="G65" s="151">
        <f t="shared" si="5"/>
        <v>30</v>
      </c>
      <c r="H65" s="22">
        <f t="shared" si="1"/>
        <v>2255427.9304007497</v>
      </c>
    </row>
    <row r="66" spans="1:9">
      <c r="A66" s="2">
        <v>56</v>
      </c>
      <c r="B66" s="16">
        <v>43739</v>
      </c>
      <c r="C66" s="16">
        <v>43769</v>
      </c>
      <c r="D66" s="395">
        <f t="shared" si="4"/>
        <v>0.06</v>
      </c>
      <c r="E66" s="43">
        <f t="shared" si="2"/>
        <v>1.5965358745284597E-4</v>
      </c>
      <c r="F66" s="111">
        <f t="shared" si="3"/>
        <v>470900355.02999997</v>
      </c>
      <c r="G66" s="151">
        <f t="shared" si="5"/>
        <v>31</v>
      </c>
      <c r="H66" s="22">
        <f t="shared" si="1"/>
        <v>2330608.861414108</v>
      </c>
    </row>
    <row r="67" spans="1:9">
      <c r="A67" s="2">
        <v>57</v>
      </c>
      <c r="B67" s="16">
        <v>43770</v>
      </c>
      <c r="C67" s="16">
        <v>43799</v>
      </c>
      <c r="D67" s="395">
        <f t="shared" si="4"/>
        <v>0.06</v>
      </c>
      <c r="E67" s="43">
        <f t="shared" si="2"/>
        <v>1.5965358745284597E-4</v>
      </c>
      <c r="F67" s="111">
        <f t="shared" si="3"/>
        <v>470900355.02999997</v>
      </c>
      <c r="G67" s="151">
        <f t="shared" si="5"/>
        <v>30</v>
      </c>
      <c r="H67" s="22">
        <f t="shared" si="1"/>
        <v>2255427.9304007497</v>
      </c>
    </row>
    <row r="68" spans="1:9">
      <c r="A68" s="2">
        <v>58</v>
      </c>
      <c r="B68" s="16">
        <v>43800</v>
      </c>
      <c r="C68" s="16">
        <v>43830</v>
      </c>
      <c r="D68" s="395">
        <f t="shared" si="4"/>
        <v>0.06</v>
      </c>
      <c r="E68" s="43">
        <f t="shared" si="2"/>
        <v>1.5965358745284597E-4</v>
      </c>
      <c r="F68" s="111">
        <f t="shared" si="3"/>
        <v>470900355.02999997</v>
      </c>
      <c r="G68" s="151">
        <f t="shared" si="5"/>
        <v>31</v>
      </c>
      <c r="H68" s="22">
        <f t="shared" si="1"/>
        <v>2330608.861414108</v>
      </c>
    </row>
    <row r="69" spans="1:9">
      <c r="A69" s="2">
        <v>59</v>
      </c>
      <c r="B69" s="16">
        <v>43831</v>
      </c>
      <c r="C69" s="16">
        <v>43861</v>
      </c>
      <c r="D69" s="395">
        <f t="shared" si="4"/>
        <v>0.06</v>
      </c>
      <c r="E69" s="43">
        <f t="shared" si="2"/>
        <v>1.5965358745284597E-4</v>
      </c>
      <c r="F69" s="111">
        <f t="shared" si="3"/>
        <v>470900355.02999997</v>
      </c>
      <c r="G69" s="151">
        <f t="shared" si="5"/>
        <v>31</v>
      </c>
      <c r="H69" s="22">
        <f t="shared" si="1"/>
        <v>2330608.861414108</v>
      </c>
      <c r="I69" s="95"/>
    </row>
    <row r="70" spans="1:9">
      <c r="A70" s="2">
        <v>60</v>
      </c>
      <c r="B70" s="16">
        <v>43862</v>
      </c>
      <c r="C70" s="16">
        <v>43890</v>
      </c>
      <c r="D70" s="395">
        <f t="shared" si="4"/>
        <v>0.06</v>
      </c>
      <c r="E70" s="43">
        <f t="shared" si="2"/>
        <v>1.5965358745284597E-4</v>
      </c>
      <c r="F70" s="111">
        <f t="shared" si="3"/>
        <v>470900355.02999997</v>
      </c>
      <c r="G70" s="151">
        <f t="shared" si="5"/>
        <v>29</v>
      </c>
      <c r="H70" s="22">
        <f t="shared" si="1"/>
        <v>2180246.9993873914</v>
      </c>
      <c r="I70" s="46"/>
    </row>
    <row r="71" spans="1:9">
      <c r="A71" s="2">
        <v>61</v>
      </c>
      <c r="B71" s="16">
        <v>43891</v>
      </c>
      <c r="C71" s="16">
        <v>43921</v>
      </c>
      <c r="D71" s="395">
        <f t="shared" si="4"/>
        <v>0.06</v>
      </c>
      <c r="E71" s="43">
        <f t="shared" si="2"/>
        <v>1.5965358745284597E-4</v>
      </c>
      <c r="F71" s="111">
        <f t="shared" si="3"/>
        <v>470900355.02999997</v>
      </c>
      <c r="G71" s="151">
        <f t="shared" si="5"/>
        <v>31</v>
      </c>
      <c r="H71" s="22">
        <f t="shared" si="1"/>
        <v>2330608.861414108</v>
      </c>
      <c r="I71" s="46"/>
    </row>
    <row r="72" spans="1:9">
      <c r="A72" s="2">
        <v>62</v>
      </c>
      <c r="B72" s="16">
        <v>43922</v>
      </c>
      <c r="C72" s="16">
        <v>43951</v>
      </c>
      <c r="D72" s="395">
        <f t="shared" si="4"/>
        <v>0.06</v>
      </c>
      <c r="E72" s="43">
        <f t="shared" si="2"/>
        <v>1.5965358745284597E-4</v>
      </c>
      <c r="F72" s="111">
        <f t="shared" si="3"/>
        <v>470900355.02999997</v>
      </c>
      <c r="G72" s="151">
        <f t="shared" si="5"/>
        <v>30</v>
      </c>
      <c r="H72" s="22">
        <f t="shared" si="1"/>
        <v>2255427.9304007497</v>
      </c>
      <c r="I72" s="46"/>
    </row>
    <row r="73" spans="1:9">
      <c r="A73" s="2">
        <v>63</v>
      </c>
      <c r="B73" s="16">
        <v>43952</v>
      </c>
      <c r="C73" s="16">
        <v>43982</v>
      </c>
      <c r="D73" s="395">
        <f t="shared" si="4"/>
        <v>0.06</v>
      </c>
      <c r="E73" s="43">
        <f t="shared" si="2"/>
        <v>1.5965358745284597E-4</v>
      </c>
      <c r="F73" s="111">
        <f t="shared" si="3"/>
        <v>470900355.02999997</v>
      </c>
      <c r="G73" s="151">
        <f t="shared" si="5"/>
        <v>31</v>
      </c>
      <c r="H73" s="22">
        <f t="shared" si="1"/>
        <v>2330608.861414108</v>
      </c>
    </row>
    <row r="74" spans="1:9">
      <c r="A74" s="2">
        <v>64</v>
      </c>
      <c r="B74" s="16">
        <v>43983</v>
      </c>
      <c r="C74" s="16">
        <v>44012</v>
      </c>
      <c r="D74" s="395">
        <f t="shared" si="4"/>
        <v>0.06</v>
      </c>
      <c r="E74" s="43">
        <f t="shared" si="2"/>
        <v>1.5965358745284597E-4</v>
      </c>
      <c r="F74" s="111">
        <f t="shared" si="3"/>
        <v>470900355.02999997</v>
      </c>
      <c r="G74" s="151">
        <f t="shared" si="5"/>
        <v>30</v>
      </c>
      <c r="H74" s="22">
        <f t="shared" si="1"/>
        <v>2255427.9304007497</v>
      </c>
    </row>
    <row r="75" spans="1:9">
      <c r="A75" s="2">
        <v>65</v>
      </c>
      <c r="B75" s="16">
        <v>44013</v>
      </c>
      <c r="C75" s="16">
        <v>44043</v>
      </c>
      <c r="D75" s="395">
        <f t="shared" si="4"/>
        <v>0.06</v>
      </c>
      <c r="E75" s="43">
        <f t="shared" si="2"/>
        <v>1.5965358745284597E-4</v>
      </c>
      <c r="F75" s="111">
        <f t="shared" si="3"/>
        <v>470900355.02999997</v>
      </c>
      <c r="G75" s="151">
        <f t="shared" si="5"/>
        <v>31</v>
      </c>
      <c r="H75" s="22">
        <f t="shared" si="1"/>
        <v>2330608.861414108</v>
      </c>
    </row>
    <row r="76" spans="1:9">
      <c r="A76" s="2">
        <v>66</v>
      </c>
      <c r="B76" s="16">
        <v>44044</v>
      </c>
      <c r="C76" s="16">
        <v>44074</v>
      </c>
      <c r="D76" s="395">
        <f t="shared" si="4"/>
        <v>0.06</v>
      </c>
      <c r="E76" s="43">
        <f t="shared" si="2"/>
        <v>1.5965358745284597E-4</v>
      </c>
      <c r="F76" s="111">
        <f t="shared" si="3"/>
        <v>470900355.02999997</v>
      </c>
      <c r="G76" s="151">
        <f t="shared" ref="G76:G89" si="6">+_xlfn.DAYS(C76,B76)+1</f>
        <v>31</v>
      </c>
      <c r="H76" s="22">
        <f t="shared" ref="H76:H91" si="7">(E76*F76)*G76</f>
        <v>2330608.861414108</v>
      </c>
    </row>
    <row r="77" spans="1:9">
      <c r="A77" s="2">
        <v>67</v>
      </c>
      <c r="B77" s="16">
        <v>44075</v>
      </c>
      <c r="C77" s="16">
        <v>44104</v>
      </c>
      <c r="D77" s="395">
        <f t="shared" si="4"/>
        <v>0.06</v>
      </c>
      <c r="E77" s="43">
        <f t="shared" ref="E77:E89" si="8">((1+D77)^(1/365)-1)</f>
        <v>1.5965358745284597E-4</v>
      </c>
      <c r="F77" s="111">
        <f t="shared" ref="F77:F91" si="9">+$C$3</f>
        <v>470900355.02999997</v>
      </c>
      <c r="G77" s="151">
        <f t="shared" si="6"/>
        <v>30</v>
      </c>
      <c r="H77" s="22">
        <f t="shared" si="7"/>
        <v>2255427.9304007497</v>
      </c>
    </row>
    <row r="78" spans="1:9">
      <c r="A78" s="2">
        <v>68</v>
      </c>
      <c r="B78" s="16">
        <v>44105</v>
      </c>
      <c r="C78" s="16">
        <v>44135</v>
      </c>
      <c r="D78" s="395">
        <f t="shared" si="4"/>
        <v>0.06</v>
      </c>
      <c r="E78" s="43">
        <f t="shared" si="8"/>
        <v>1.5965358745284597E-4</v>
      </c>
      <c r="F78" s="111">
        <f t="shared" si="9"/>
        <v>470900355.02999997</v>
      </c>
      <c r="G78" s="151">
        <f t="shared" si="6"/>
        <v>31</v>
      </c>
      <c r="H78" s="22">
        <f t="shared" si="7"/>
        <v>2330608.861414108</v>
      </c>
    </row>
    <row r="79" spans="1:9">
      <c r="A79" s="2">
        <v>69</v>
      </c>
      <c r="B79" s="16">
        <v>44136</v>
      </c>
      <c r="C79" s="16">
        <v>44165</v>
      </c>
      <c r="D79" s="395">
        <f t="shared" si="4"/>
        <v>0.06</v>
      </c>
      <c r="E79" s="43">
        <f t="shared" si="8"/>
        <v>1.5965358745284597E-4</v>
      </c>
      <c r="F79" s="111">
        <f t="shared" si="9"/>
        <v>470900355.02999997</v>
      </c>
      <c r="G79" s="151">
        <f t="shared" si="6"/>
        <v>30</v>
      </c>
      <c r="H79" s="22">
        <f t="shared" si="7"/>
        <v>2255427.9304007497</v>
      </c>
    </row>
    <row r="80" spans="1:9">
      <c r="A80" s="2">
        <v>70</v>
      </c>
      <c r="B80" s="16">
        <v>44166</v>
      </c>
      <c r="C80" s="16">
        <v>44196</v>
      </c>
      <c r="D80" s="395">
        <f t="shared" si="4"/>
        <v>0.06</v>
      </c>
      <c r="E80" s="43">
        <f t="shared" si="8"/>
        <v>1.5965358745284597E-4</v>
      </c>
      <c r="F80" s="111">
        <f t="shared" si="9"/>
        <v>470900355.02999997</v>
      </c>
      <c r="G80" s="151">
        <f t="shared" si="6"/>
        <v>31</v>
      </c>
      <c r="H80" s="22">
        <f t="shared" si="7"/>
        <v>2330608.861414108</v>
      </c>
    </row>
    <row r="81" spans="1:8">
      <c r="A81" s="2">
        <v>71</v>
      </c>
      <c r="B81" s="16">
        <v>44197</v>
      </c>
      <c r="C81" s="16">
        <v>44227</v>
      </c>
      <c r="D81" s="395">
        <f t="shared" si="4"/>
        <v>0.06</v>
      </c>
      <c r="E81" s="43">
        <f t="shared" si="8"/>
        <v>1.5965358745284597E-4</v>
      </c>
      <c r="F81" s="111">
        <f t="shared" si="9"/>
        <v>470900355.02999997</v>
      </c>
      <c r="G81" s="151">
        <f t="shared" si="6"/>
        <v>31</v>
      </c>
      <c r="H81" s="22">
        <f t="shared" si="7"/>
        <v>2330608.861414108</v>
      </c>
    </row>
    <row r="82" spans="1:8">
      <c r="A82" s="2">
        <v>72</v>
      </c>
      <c r="B82" s="16">
        <v>44228</v>
      </c>
      <c r="C82" s="16">
        <v>44255</v>
      </c>
      <c r="D82" s="395">
        <f t="shared" si="4"/>
        <v>0.06</v>
      </c>
      <c r="E82" s="43">
        <f t="shared" si="8"/>
        <v>1.5965358745284597E-4</v>
      </c>
      <c r="F82" s="111">
        <f t="shared" si="9"/>
        <v>470900355.02999997</v>
      </c>
      <c r="G82" s="151">
        <f t="shared" si="6"/>
        <v>28</v>
      </c>
      <c r="H82" s="22">
        <f t="shared" si="7"/>
        <v>2105066.0683740331</v>
      </c>
    </row>
    <row r="83" spans="1:8">
      <c r="A83" s="2">
        <v>73</v>
      </c>
      <c r="B83" s="16">
        <v>44256</v>
      </c>
      <c r="C83" s="16">
        <v>44286</v>
      </c>
      <c r="D83" s="395">
        <f t="shared" si="4"/>
        <v>0.06</v>
      </c>
      <c r="E83" s="43">
        <f t="shared" si="8"/>
        <v>1.5965358745284597E-4</v>
      </c>
      <c r="F83" s="111">
        <f t="shared" si="9"/>
        <v>470900355.02999997</v>
      </c>
      <c r="G83" s="151">
        <f t="shared" si="6"/>
        <v>31</v>
      </c>
      <c r="H83" s="22">
        <f t="shared" si="7"/>
        <v>2330608.861414108</v>
      </c>
    </row>
    <row r="84" spans="1:8">
      <c r="A84" s="2">
        <v>74</v>
      </c>
      <c r="B84" s="16">
        <v>44287</v>
      </c>
      <c r="C84" s="16">
        <v>44316</v>
      </c>
      <c r="D84" s="395">
        <f t="shared" si="4"/>
        <v>0.06</v>
      </c>
      <c r="E84" s="43">
        <f t="shared" si="8"/>
        <v>1.5965358745284597E-4</v>
      </c>
      <c r="F84" s="111">
        <f t="shared" si="9"/>
        <v>470900355.02999997</v>
      </c>
      <c r="G84" s="151">
        <f t="shared" si="6"/>
        <v>30</v>
      </c>
      <c r="H84" s="22">
        <f t="shared" si="7"/>
        <v>2255427.9304007497</v>
      </c>
    </row>
    <row r="85" spans="1:8">
      <c r="A85" s="2">
        <v>75</v>
      </c>
      <c r="B85" s="16">
        <v>44317</v>
      </c>
      <c r="C85" s="16">
        <v>44347</v>
      </c>
      <c r="D85" s="395">
        <f t="shared" si="4"/>
        <v>0.06</v>
      </c>
      <c r="E85" s="43">
        <f t="shared" si="8"/>
        <v>1.5965358745284597E-4</v>
      </c>
      <c r="F85" s="111">
        <f t="shared" si="9"/>
        <v>470900355.02999997</v>
      </c>
      <c r="G85" s="151">
        <f t="shared" si="6"/>
        <v>31</v>
      </c>
      <c r="H85" s="22">
        <f t="shared" si="7"/>
        <v>2330608.861414108</v>
      </c>
    </row>
    <row r="86" spans="1:8">
      <c r="A86" s="2">
        <v>76</v>
      </c>
      <c r="B86" s="16">
        <v>44348</v>
      </c>
      <c r="C86" s="16">
        <v>44377</v>
      </c>
      <c r="D86" s="395">
        <f t="shared" si="4"/>
        <v>0.06</v>
      </c>
      <c r="E86" s="43">
        <f t="shared" si="8"/>
        <v>1.5965358745284597E-4</v>
      </c>
      <c r="F86" s="111">
        <f t="shared" si="9"/>
        <v>470900355.02999997</v>
      </c>
      <c r="G86" s="151">
        <f t="shared" si="6"/>
        <v>30</v>
      </c>
      <c r="H86" s="22">
        <f t="shared" si="7"/>
        <v>2255427.9304007497</v>
      </c>
    </row>
    <row r="87" spans="1:8" s="374" customFormat="1">
      <c r="A87" s="2">
        <v>77</v>
      </c>
      <c r="B87" s="16">
        <v>44378</v>
      </c>
      <c r="C87" s="16">
        <v>44408</v>
      </c>
      <c r="D87" s="395">
        <f t="shared" si="4"/>
        <v>0.06</v>
      </c>
      <c r="E87" s="43">
        <f t="shared" si="8"/>
        <v>1.5965358745284597E-4</v>
      </c>
      <c r="F87" s="111">
        <f t="shared" si="9"/>
        <v>470900355.02999997</v>
      </c>
      <c r="G87" s="151">
        <f t="shared" si="6"/>
        <v>31</v>
      </c>
      <c r="H87" s="22">
        <f t="shared" si="7"/>
        <v>2330608.861414108</v>
      </c>
    </row>
    <row r="88" spans="1:8" s="188" customFormat="1">
      <c r="A88" s="2">
        <v>78</v>
      </c>
      <c r="B88" s="16">
        <v>44409</v>
      </c>
      <c r="C88" s="16">
        <v>44439</v>
      </c>
      <c r="D88" s="395">
        <f t="shared" si="4"/>
        <v>0.06</v>
      </c>
      <c r="E88" s="43">
        <f t="shared" si="8"/>
        <v>1.5965358745284597E-4</v>
      </c>
      <c r="F88" s="506">
        <f t="shared" si="9"/>
        <v>470900355.02999997</v>
      </c>
      <c r="G88" s="529">
        <f t="shared" si="6"/>
        <v>31</v>
      </c>
      <c r="H88" s="22">
        <f t="shared" si="7"/>
        <v>2330608.861414108</v>
      </c>
    </row>
    <row r="89" spans="1:8" s="188" customFormat="1">
      <c r="A89" s="2">
        <v>79</v>
      </c>
      <c r="B89" s="16">
        <v>44440</v>
      </c>
      <c r="C89" s="16">
        <v>44469</v>
      </c>
      <c r="D89" s="395">
        <f t="shared" si="4"/>
        <v>0.06</v>
      </c>
      <c r="E89" s="43">
        <f t="shared" si="8"/>
        <v>1.5965358745284597E-4</v>
      </c>
      <c r="F89" s="111">
        <f t="shared" si="9"/>
        <v>470900355.02999997</v>
      </c>
      <c r="G89" s="151">
        <f t="shared" si="6"/>
        <v>30</v>
      </c>
      <c r="H89" s="22">
        <f t="shared" si="7"/>
        <v>2255427.9304007497</v>
      </c>
    </row>
    <row r="90" spans="1:8" s="188" customFormat="1">
      <c r="A90" s="2">
        <v>80</v>
      </c>
      <c r="B90" s="16">
        <v>44470</v>
      </c>
      <c r="C90" s="16">
        <v>44500</v>
      </c>
      <c r="D90" s="395">
        <f t="shared" si="4"/>
        <v>0.06</v>
      </c>
      <c r="E90" s="43">
        <f>((1+D90)^(1/365)-1)</f>
        <v>1.5965358745284597E-4</v>
      </c>
      <c r="F90" s="506">
        <f t="shared" si="9"/>
        <v>470900355.02999997</v>
      </c>
      <c r="G90" s="529">
        <f>+_xlfn.DAYS(C90,B90)+1</f>
        <v>31</v>
      </c>
      <c r="H90" s="22">
        <f t="shared" si="7"/>
        <v>2330608.861414108</v>
      </c>
    </row>
    <row r="91" spans="1:8" s="188" customFormat="1">
      <c r="A91" s="2">
        <v>81</v>
      </c>
      <c r="B91" s="16">
        <v>44501</v>
      </c>
      <c r="C91" s="16">
        <v>44516</v>
      </c>
      <c r="D91" s="395">
        <f t="shared" si="4"/>
        <v>0.06</v>
      </c>
      <c r="E91" s="43">
        <f>((1+D91)^(1/365)-1)</f>
        <v>1.5965358745284597E-4</v>
      </c>
      <c r="F91" s="111">
        <f t="shared" si="9"/>
        <v>470900355.02999997</v>
      </c>
      <c r="G91" s="151">
        <f>+_xlfn.DAYS(C91,B91)+1</f>
        <v>16</v>
      </c>
      <c r="H91" s="22">
        <f t="shared" si="7"/>
        <v>1202894.8962137331</v>
      </c>
    </row>
    <row r="92" spans="1:8" ht="13.5" thickBot="1">
      <c r="F92" s="55" t="s">
        <v>97</v>
      </c>
      <c r="G92" s="530"/>
      <c r="H92" s="372">
        <f>SUM(H11:H91)</f>
        <v>183215928.87955415</v>
      </c>
    </row>
    <row r="93" spans="1:8" ht="13.5" thickTop="1">
      <c r="F93" s="1" t="s">
        <v>130</v>
      </c>
      <c r="G93" s="520"/>
      <c r="H93" s="527">
        <v>13900000</v>
      </c>
    </row>
    <row r="94" spans="1:8" ht="33.75">
      <c r="B94" s="2550" t="s">
        <v>55</v>
      </c>
      <c r="C94" s="2551"/>
      <c r="D94" s="2552"/>
      <c r="F94" s="508" t="s">
        <v>131</v>
      </c>
      <c r="G94" s="153"/>
      <c r="H94" s="22">
        <f>828116*2</f>
        <v>1656232</v>
      </c>
    </row>
    <row r="95" spans="1:8" ht="15.75" thickBot="1">
      <c r="B95" s="250" t="s">
        <v>56</v>
      </c>
      <c r="C95" s="250"/>
      <c r="D95" s="219"/>
      <c r="F95" s="373" t="s">
        <v>132</v>
      </c>
      <c r="G95" s="528"/>
      <c r="H95" s="631">
        <f>+C3+H92+H93+H94</f>
        <v>669672515.90955412</v>
      </c>
    </row>
    <row r="96" spans="1:8" ht="13.5" thickTop="1">
      <c r="B96" s="233" t="s">
        <v>133</v>
      </c>
      <c r="C96" s="511">
        <f>+C3</f>
        <v>470900355.02999997</v>
      </c>
      <c r="D96" s="251"/>
    </row>
    <row r="97" spans="2:4">
      <c r="B97" s="233" t="s">
        <v>134</v>
      </c>
      <c r="C97" s="511">
        <f>+H92</f>
        <v>183215928.87955415</v>
      </c>
      <c r="D97" s="251"/>
    </row>
    <row r="98" spans="2:4">
      <c r="B98" s="233" t="s">
        <v>135</v>
      </c>
      <c r="C98" s="511">
        <f>+H93</f>
        <v>13900000</v>
      </c>
      <c r="D98" s="251"/>
    </row>
    <row r="99" spans="2:4" ht="22.5">
      <c r="B99" s="508" t="s">
        <v>136</v>
      </c>
      <c r="C99" s="511">
        <f>+H94</f>
        <v>1656232</v>
      </c>
      <c r="D99" s="251"/>
    </row>
    <row r="100" spans="2:4" ht="13.5" thickBot="1">
      <c r="B100" s="509" t="s">
        <v>61</v>
      </c>
      <c r="C100" s="512">
        <f>SUM(C96:C99)</f>
        <v>669672515.90955412</v>
      </c>
      <c r="D100" s="510"/>
    </row>
    <row r="101" spans="2:4" ht="13.5" thickTop="1">
      <c r="B101" s="221" t="s">
        <v>62</v>
      </c>
    </row>
    <row r="102" spans="2:4">
      <c r="B102" s="217"/>
      <c r="C102" s="218"/>
    </row>
    <row r="103" spans="2:4">
      <c r="B103" s="217"/>
      <c r="C103" s="218"/>
    </row>
    <row r="104" spans="2:4">
      <c r="B104" s="476" t="s">
        <v>63</v>
      </c>
      <c r="C104" s="218"/>
    </row>
    <row r="105" spans="2:4">
      <c r="B105" s="476" t="s">
        <v>64</v>
      </c>
      <c r="C105" s="218"/>
    </row>
    <row r="106" spans="2:4">
      <c r="B106" s="221" t="s">
        <v>65</v>
      </c>
      <c r="C106" s="218"/>
    </row>
  </sheetData>
  <mergeCells count="2">
    <mergeCell ref="C9:G9"/>
    <mergeCell ref="B94:D94"/>
  </mergeCells>
  <pageMargins left="0.7" right="0.7" top="0.75" bottom="0.75"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F8482-50DD-4654-817C-59A285BB915C}">
  <sheetPr codeName="Hoja24"/>
  <dimension ref="A1:K56"/>
  <sheetViews>
    <sheetView topLeftCell="A44" zoomScaleNormal="100" workbookViewId="0">
      <selection activeCell="E60" sqref="E60"/>
    </sheetView>
  </sheetViews>
  <sheetFormatPr defaultColWidth="11.42578125" defaultRowHeight="12.75"/>
  <cols>
    <col min="1" max="1" width="3.85546875" customWidth="1"/>
    <col min="2" max="2" width="16" customWidth="1"/>
    <col min="3" max="3" width="21.28515625" customWidth="1"/>
    <col min="7" max="7" width="13.85546875" bestFit="1" customWidth="1"/>
    <col min="9" max="9" width="15.28515625" bestFit="1" customWidth="1"/>
    <col min="10" max="10" width="13.85546875" bestFit="1" customWidth="1"/>
  </cols>
  <sheetData>
    <row r="1" spans="1:9" ht="38.25" customHeight="1">
      <c r="B1" s="148" t="s">
        <v>508</v>
      </c>
      <c r="C1" s="536" t="s">
        <v>783</v>
      </c>
    </row>
    <row r="2" spans="1:9">
      <c r="B2" s="407" t="s">
        <v>4</v>
      </c>
      <c r="C2" s="16">
        <v>43536</v>
      </c>
    </row>
    <row r="3" spans="1:9" ht="22.5">
      <c r="B3" s="148" t="s">
        <v>784</v>
      </c>
      <c r="C3" s="16">
        <v>43487</v>
      </c>
    </row>
    <row r="4" spans="1:9">
      <c r="B4" s="407" t="s">
        <v>124</v>
      </c>
      <c r="C4" s="196" t="s">
        <v>785</v>
      </c>
    </row>
    <row r="5" spans="1:9" ht="51">
      <c r="B5" s="622" t="s">
        <v>331</v>
      </c>
      <c r="C5" s="187" t="s">
        <v>786</v>
      </c>
    </row>
    <row r="6" spans="1:9">
      <c r="B6" s="407" t="s">
        <v>164</v>
      </c>
      <c r="C6" s="88">
        <v>216778388</v>
      </c>
      <c r="E6" s="7"/>
    </row>
    <row r="7" spans="1:9" ht="22.5">
      <c r="B7" s="148" t="s">
        <v>787</v>
      </c>
      <c r="C7" s="605">
        <v>43539</v>
      </c>
    </row>
    <row r="8" spans="1:9">
      <c r="B8" s="606" t="s">
        <v>788</v>
      </c>
      <c r="D8" s="188"/>
    </row>
    <row r="9" spans="1:9">
      <c r="B9" s="188" t="s">
        <v>789</v>
      </c>
      <c r="D9" s="188"/>
    </row>
    <row r="10" spans="1:9">
      <c r="B10" s="2549" t="s">
        <v>172</v>
      </c>
      <c r="C10" s="2549"/>
      <c r="D10" s="2549"/>
      <c r="E10" s="2549"/>
      <c r="F10" s="2549"/>
      <c r="G10" s="2549"/>
      <c r="H10" s="2549"/>
      <c r="I10" s="2549"/>
    </row>
    <row r="11" spans="1:9" ht="24" customHeight="1">
      <c r="B11" s="396" t="s">
        <v>337</v>
      </c>
      <c r="C11" s="57" t="s">
        <v>40</v>
      </c>
      <c r="D11" s="2710" t="s">
        <v>755</v>
      </c>
      <c r="E11" s="2711"/>
      <c r="F11" s="66" t="s">
        <v>88</v>
      </c>
      <c r="G11" s="17" t="s">
        <v>129</v>
      </c>
      <c r="H11" s="94" t="s">
        <v>47</v>
      </c>
      <c r="I11" s="17" t="s">
        <v>48</v>
      </c>
    </row>
    <row r="12" spans="1:9">
      <c r="A12" s="2">
        <v>1</v>
      </c>
      <c r="B12" s="16">
        <v>43540</v>
      </c>
      <c r="C12" s="16">
        <v>43555</v>
      </c>
      <c r="D12" s="18">
        <v>0</v>
      </c>
      <c r="E12" s="18">
        <v>4.5499999999999999E-2</v>
      </c>
      <c r="F12" s="43">
        <f>(1+E12)^(1/365)-1</f>
        <v>1.2191219750046223E-4</v>
      </c>
      <c r="G12" s="22">
        <f>+$C$6</f>
        <v>216778388</v>
      </c>
      <c r="H12" s="97"/>
      <c r="I12" s="22">
        <f>+G12*H12*F12</f>
        <v>0</v>
      </c>
    </row>
    <row r="13" spans="1:9">
      <c r="A13" s="2">
        <v>2</v>
      </c>
      <c r="B13" s="16">
        <v>43556</v>
      </c>
      <c r="C13" s="16">
        <v>43585</v>
      </c>
      <c r="D13" s="18">
        <v>0</v>
      </c>
      <c r="E13" s="18">
        <v>4.5400000000000003E-2</v>
      </c>
      <c r="F13" s="43">
        <f t="shared" ref="F13:F26" si="0">(1+E13)^(1/365)-1</f>
        <v>1.2165010369624696E-4</v>
      </c>
      <c r="G13" s="22">
        <f t="shared" ref="G13:G46" si="1">+$C$6</f>
        <v>216778388</v>
      </c>
      <c r="H13" s="97"/>
      <c r="I13" s="22">
        <f t="shared" ref="I13:I43" si="2">+G13*H13*F13</f>
        <v>0</v>
      </c>
    </row>
    <row r="14" spans="1:9">
      <c r="A14" s="2">
        <v>3</v>
      </c>
      <c r="B14" s="16">
        <v>43586</v>
      </c>
      <c r="C14" s="16">
        <v>43616</v>
      </c>
      <c r="D14" s="18">
        <v>0</v>
      </c>
      <c r="E14" s="18">
        <v>4.4999999999999998E-2</v>
      </c>
      <c r="F14" s="43">
        <f t="shared" si="0"/>
        <v>1.2060147839498825E-4</v>
      </c>
      <c r="G14" s="22">
        <f t="shared" si="1"/>
        <v>216778388</v>
      </c>
      <c r="H14" s="97"/>
      <c r="I14" s="22">
        <f t="shared" si="2"/>
        <v>0</v>
      </c>
    </row>
    <row r="15" spans="1:9">
      <c r="A15" s="2">
        <v>4</v>
      </c>
      <c r="B15" s="16">
        <v>43617</v>
      </c>
      <c r="C15" s="16">
        <v>43646</v>
      </c>
      <c r="D15" s="18">
        <v>0</v>
      </c>
      <c r="E15" s="18">
        <v>4.5199999999999997E-2</v>
      </c>
      <c r="F15" s="43">
        <f t="shared" si="0"/>
        <v>1.2112584107204505E-4</v>
      </c>
      <c r="G15" s="22">
        <f t="shared" si="1"/>
        <v>216778388</v>
      </c>
      <c r="H15" s="97"/>
      <c r="I15" s="22">
        <f t="shared" si="2"/>
        <v>0</v>
      </c>
    </row>
    <row r="16" spans="1:9">
      <c r="A16" s="2">
        <v>5</v>
      </c>
      <c r="B16" s="16">
        <v>43647</v>
      </c>
      <c r="C16" s="16">
        <v>43661</v>
      </c>
      <c r="D16" s="18">
        <v>0</v>
      </c>
      <c r="E16" s="18">
        <v>4.4699999999999997E-2</v>
      </c>
      <c r="F16" s="43">
        <f>(1+E16)^(1/365)-1</f>
        <v>1.198147466965338E-4</v>
      </c>
      <c r="G16" s="22">
        <f t="shared" si="1"/>
        <v>216778388</v>
      </c>
      <c r="H16" s="97"/>
      <c r="I16" s="22">
        <f>+G16*H16*F16</f>
        <v>0</v>
      </c>
    </row>
    <row r="17" spans="1:9">
      <c r="A17" s="2">
        <v>6</v>
      </c>
      <c r="B17" s="16">
        <v>43662</v>
      </c>
      <c r="C17" s="16">
        <v>43677</v>
      </c>
      <c r="D17" s="18">
        <v>0</v>
      </c>
      <c r="E17" s="18">
        <v>4.4699999999999997E-2</v>
      </c>
      <c r="F17" s="43">
        <f t="shared" si="0"/>
        <v>1.198147466965338E-4</v>
      </c>
      <c r="G17" s="22">
        <f t="shared" si="1"/>
        <v>216778388</v>
      </c>
      <c r="H17" s="97">
        <f t="shared" ref="H17:H43" si="3">_xlfn.DAYS(C17,B17)+1</f>
        <v>16</v>
      </c>
      <c r="I17" s="22">
        <f t="shared" si="2"/>
        <v>415571.96236004675</v>
      </c>
    </row>
    <row r="18" spans="1:9">
      <c r="A18" s="2">
        <v>7</v>
      </c>
      <c r="B18" s="16">
        <v>43678</v>
      </c>
      <c r="C18" s="16">
        <v>43708</v>
      </c>
      <c r="D18" s="18">
        <v>0</v>
      </c>
      <c r="E18" s="18">
        <v>4.4299999999999999E-2</v>
      </c>
      <c r="F18" s="43">
        <f t="shared" si="0"/>
        <v>1.187654205565547E-4</v>
      </c>
      <c r="G18" s="22">
        <f t="shared" si="1"/>
        <v>216778388</v>
      </c>
      <c r="H18" s="97">
        <f t="shared" si="3"/>
        <v>31</v>
      </c>
      <c r="I18" s="22">
        <f t="shared" si="2"/>
        <v>798119.06897015171</v>
      </c>
    </row>
    <row r="19" spans="1:9">
      <c r="A19" s="2">
        <v>8</v>
      </c>
      <c r="B19" s="16">
        <v>43709</v>
      </c>
      <c r="C19" s="16">
        <v>43738</v>
      </c>
      <c r="D19" s="18">
        <v>0</v>
      </c>
      <c r="E19" s="18">
        <v>4.48E-2</v>
      </c>
      <c r="F19" s="43">
        <f t="shared" si="0"/>
        <v>1.2007701562666284E-4</v>
      </c>
      <c r="G19" s="22">
        <f t="shared" si="1"/>
        <v>216778388</v>
      </c>
      <c r="H19" s="97">
        <f t="shared" si="3"/>
        <v>30</v>
      </c>
      <c r="I19" s="22">
        <f t="shared" si="2"/>
        <v>780903.05650196341</v>
      </c>
    </row>
    <row r="20" spans="1:9">
      <c r="A20" s="2">
        <v>9</v>
      </c>
      <c r="B20" s="16">
        <v>43739</v>
      </c>
      <c r="C20" s="16">
        <v>43769</v>
      </c>
      <c r="D20" s="18">
        <v>0</v>
      </c>
      <c r="E20" s="18">
        <v>4.41E-2</v>
      </c>
      <c r="F20" s="43">
        <f t="shared" si="0"/>
        <v>1.1824060716802975E-4</v>
      </c>
      <c r="G20" s="22">
        <f t="shared" si="1"/>
        <v>216778388</v>
      </c>
      <c r="H20" s="97">
        <f t="shared" si="3"/>
        <v>31</v>
      </c>
      <c r="I20" s="22">
        <f t="shared" si="2"/>
        <v>794592.25475882879</v>
      </c>
    </row>
    <row r="21" spans="1:9">
      <c r="A21" s="2">
        <v>10</v>
      </c>
      <c r="B21" s="16">
        <v>43770</v>
      </c>
      <c r="C21" s="16">
        <v>43799</v>
      </c>
      <c r="D21" s="18">
        <v>0</v>
      </c>
      <c r="E21" s="18">
        <v>4.4299999999999999E-2</v>
      </c>
      <c r="F21" s="43">
        <f t="shared" si="0"/>
        <v>1.187654205565547E-4</v>
      </c>
      <c r="G21" s="22">
        <f t="shared" si="1"/>
        <v>216778388</v>
      </c>
      <c r="H21" s="97">
        <f t="shared" si="3"/>
        <v>30</v>
      </c>
      <c r="I21" s="22">
        <f t="shared" si="2"/>
        <v>772373.29255175975</v>
      </c>
    </row>
    <row r="22" spans="1:9">
      <c r="A22" s="2">
        <v>11</v>
      </c>
      <c r="B22" s="16">
        <v>43800</v>
      </c>
      <c r="C22" s="16">
        <v>43830</v>
      </c>
      <c r="D22" s="18">
        <v>0</v>
      </c>
      <c r="E22" s="18">
        <v>4.5199999999999997E-2</v>
      </c>
      <c r="F22" s="43">
        <f>(1+E22)^(1/365)-1</f>
        <v>1.2112584107204505E-4</v>
      </c>
      <c r="G22" s="22">
        <f t="shared" si="1"/>
        <v>216778388</v>
      </c>
      <c r="H22" s="97">
        <f t="shared" si="3"/>
        <v>31</v>
      </c>
      <c r="I22" s="22">
        <f t="shared" si="2"/>
        <v>813981.40175500559</v>
      </c>
    </row>
    <row r="23" spans="1:9">
      <c r="A23" s="2">
        <v>12</v>
      </c>
      <c r="B23" s="16">
        <v>43831</v>
      </c>
      <c r="C23" s="16">
        <v>43861</v>
      </c>
      <c r="D23" s="18">
        <v>0</v>
      </c>
      <c r="E23" s="18">
        <v>4.5400000000000003E-2</v>
      </c>
      <c r="F23" s="43">
        <f t="shared" si="0"/>
        <v>1.2165010369624696E-4</v>
      </c>
      <c r="G23" s="22">
        <f t="shared" si="1"/>
        <v>216778388</v>
      </c>
      <c r="H23" s="97">
        <f t="shared" si="3"/>
        <v>31</v>
      </c>
      <c r="I23" s="22">
        <f t="shared" si="2"/>
        <v>817504.51475846302</v>
      </c>
    </row>
    <row r="24" spans="1:9">
      <c r="A24" s="2">
        <v>13</v>
      </c>
      <c r="B24" s="16">
        <v>43862</v>
      </c>
      <c r="C24" s="16">
        <v>43890</v>
      </c>
      <c r="D24" s="18">
        <v>0</v>
      </c>
      <c r="E24" s="18">
        <v>4.4600000000000001E-2</v>
      </c>
      <c r="F24" s="43">
        <f t="shared" si="0"/>
        <v>1.1955245272932125E-4</v>
      </c>
      <c r="G24" s="22">
        <f t="shared" si="1"/>
        <v>216778388</v>
      </c>
      <c r="H24" s="97">
        <f t="shared" si="3"/>
        <v>29</v>
      </c>
      <c r="I24" s="22">
        <f t="shared" si="2"/>
        <v>751575.25153914536</v>
      </c>
    </row>
    <row r="25" spans="1:9">
      <c r="A25" s="2">
        <v>14</v>
      </c>
      <c r="B25" s="16">
        <v>43891</v>
      </c>
      <c r="C25" s="16">
        <v>43921</v>
      </c>
      <c r="D25" s="18">
        <v>0</v>
      </c>
      <c r="E25" s="18">
        <v>4.4999999999999998E-2</v>
      </c>
      <c r="F25" s="43">
        <f t="shared" si="0"/>
        <v>1.2060147839498825E-4</v>
      </c>
      <c r="G25" s="22">
        <f t="shared" si="1"/>
        <v>216778388</v>
      </c>
      <c r="H25" s="97">
        <f t="shared" si="3"/>
        <v>31</v>
      </c>
      <c r="I25" s="22">
        <f t="shared" si="2"/>
        <v>810457.61638335383</v>
      </c>
    </row>
    <row r="26" spans="1:9">
      <c r="A26" s="2">
        <v>15</v>
      </c>
      <c r="B26" s="16">
        <v>43922</v>
      </c>
      <c r="C26" s="59">
        <v>43951</v>
      </c>
      <c r="D26" s="18">
        <v>0</v>
      </c>
      <c r="E26" s="18">
        <v>4.5499999999999999E-2</v>
      </c>
      <c r="F26" s="43">
        <f t="shared" si="0"/>
        <v>1.2191219750046223E-4</v>
      </c>
      <c r="G26" s="22">
        <f t="shared" si="1"/>
        <v>216778388</v>
      </c>
      <c r="H26" s="97">
        <f t="shared" si="3"/>
        <v>30</v>
      </c>
      <c r="I26" s="22">
        <f t="shared" si="2"/>
        <v>792837.88955063489</v>
      </c>
    </row>
    <row r="27" spans="1:9" ht="13.5" thickBot="1">
      <c r="A27" s="2">
        <v>16</v>
      </c>
      <c r="B27" s="385">
        <v>43952</v>
      </c>
      <c r="C27" s="385">
        <v>43967</v>
      </c>
      <c r="D27" s="386">
        <v>0</v>
      </c>
      <c r="E27" s="386">
        <v>4.2900000000000001E-2</v>
      </c>
      <c r="F27" s="634">
        <f>(1+E27)^(1/365)-1</f>
        <v>1.1508961995976286E-4</v>
      </c>
      <c r="G27" s="387">
        <f t="shared" si="1"/>
        <v>216778388</v>
      </c>
      <c r="H27" s="425">
        <f>_xlfn.DAYS(C27,B27)+1</f>
        <v>16</v>
      </c>
      <c r="I27" s="387">
        <f t="shared" si="2"/>
        <v>399183.07664656028</v>
      </c>
    </row>
    <row r="28" spans="1:9">
      <c r="A28" s="2">
        <v>17</v>
      </c>
      <c r="B28" s="98">
        <v>43968</v>
      </c>
      <c r="C28" s="98">
        <v>43982</v>
      </c>
      <c r="D28" s="382">
        <v>0.18190000000000001</v>
      </c>
      <c r="E28" s="382">
        <f t="shared" ref="E28:E43" si="4">+D28*1.5</f>
        <v>0.27285000000000004</v>
      </c>
      <c r="F28" s="632">
        <f>(1+E28)^(1/365)-1</f>
        <v>6.6120063584418354E-4</v>
      </c>
      <c r="G28" s="384">
        <f t="shared" si="1"/>
        <v>216778388</v>
      </c>
      <c r="H28" s="429">
        <f>_xlfn.DAYS(C28,B28)+1</f>
        <v>15</v>
      </c>
      <c r="I28" s="384">
        <f>+G28*H28*F28</f>
        <v>2150010.1197431567</v>
      </c>
    </row>
    <row r="29" spans="1:9">
      <c r="A29" s="2">
        <v>18</v>
      </c>
      <c r="B29" s="16">
        <v>43983</v>
      </c>
      <c r="C29" s="59">
        <v>44012</v>
      </c>
      <c r="D29" s="18">
        <v>0.1812</v>
      </c>
      <c r="E29" s="18">
        <f t="shared" si="4"/>
        <v>0.27179999999999999</v>
      </c>
      <c r="F29" s="43">
        <f t="shared" ref="F29:F46" si="5">(1+E29)^(1/365)-1</f>
        <v>6.5893815469997286E-4</v>
      </c>
      <c r="G29" s="22">
        <f t="shared" si="1"/>
        <v>216778388</v>
      </c>
      <c r="H29" s="97">
        <f t="shared" si="3"/>
        <v>30</v>
      </c>
      <c r="I29" s="384">
        <f t="shared" si="2"/>
        <v>4285306.5290266424</v>
      </c>
    </row>
    <row r="30" spans="1:9">
      <c r="A30" s="2">
        <v>19</v>
      </c>
      <c r="B30" s="16">
        <v>44013</v>
      </c>
      <c r="C30" s="16">
        <v>44043</v>
      </c>
      <c r="D30" s="18">
        <v>0.1812</v>
      </c>
      <c r="E30" s="18">
        <f t="shared" si="4"/>
        <v>0.27179999999999999</v>
      </c>
      <c r="F30" s="43">
        <f t="shared" si="5"/>
        <v>6.5893815469997286E-4</v>
      </c>
      <c r="G30" s="22">
        <f t="shared" si="1"/>
        <v>216778388</v>
      </c>
      <c r="H30" s="97">
        <f t="shared" si="3"/>
        <v>31</v>
      </c>
      <c r="I30" s="22">
        <f t="shared" si="2"/>
        <v>4428150.079994197</v>
      </c>
    </row>
    <row r="31" spans="1:9">
      <c r="A31" s="2">
        <v>20</v>
      </c>
      <c r="B31" s="16">
        <v>44044</v>
      </c>
      <c r="C31" s="59">
        <v>44074</v>
      </c>
      <c r="D31" s="18">
        <v>0.18290000000000001</v>
      </c>
      <c r="E31" s="18">
        <f t="shared" si="4"/>
        <v>0.27434999999999998</v>
      </c>
      <c r="F31" s="43">
        <f t="shared" si="5"/>
        <v>6.6442952514544906E-4</v>
      </c>
      <c r="G31" s="22">
        <f t="shared" si="1"/>
        <v>216778388</v>
      </c>
      <c r="H31" s="97">
        <f t="shared" si="3"/>
        <v>31</v>
      </c>
      <c r="I31" s="22">
        <f t="shared" si="2"/>
        <v>4465052.8034197129</v>
      </c>
    </row>
    <row r="32" spans="1:9">
      <c r="A32" s="2">
        <v>21</v>
      </c>
      <c r="B32" s="16">
        <v>44075</v>
      </c>
      <c r="C32" s="16">
        <v>44104</v>
      </c>
      <c r="D32" s="18">
        <v>0.1835</v>
      </c>
      <c r="E32" s="18">
        <f t="shared" si="4"/>
        <v>0.27524999999999999</v>
      </c>
      <c r="F32" s="43">
        <f t="shared" si="5"/>
        <v>6.6636503991857055E-4</v>
      </c>
      <c r="G32" s="22">
        <f t="shared" si="1"/>
        <v>216778388</v>
      </c>
      <c r="H32" s="97">
        <f t="shared" si="3"/>
        <v>30</v>
      </c>
      <c r="I32" s="22">
        <f t="shared" si="2"/>
        <v>4333606.1751931012</v>
      </c>
    </row>
    <row r="33" spans="1:9">
      <c r="A33" s="2">
        <v>22</v>
      </c>
      <c r="B33" s="16">
        <v>44105</v>
      </c>
      <c r="C33" s="59">
        <v>44135</v>
      </c>
      <c r="D33" s="18">
        <v>0.18090000000000001</v>
      </c>
      <c r="E33" s="18">
        <f t="shared" si="4"/>
        <v>0.27134999999999998</v>
      </c>
      <c r="F33" s="43">
        <f t="shared" si="5"/>
        <v>6.5796794962613703E-4</v>
      </c>
      <c r="G33" s="22">
        <f t="shared" si="1"/>
        <v>216778388</v>
      </c>
      <c r="H33" s="97">
        <f t="shared" si="3"/>
        <v>31</v>
      </c>
      <c r="I33" s="22">
        <f t="shared" si="2"/>
        <v>4421630.1757441945</v>
      </c>
    </row>
    <row r="34" spans="1:9">
      <c r="A34" s="2">
        <v>23</v>
      </c>
      <c r="B34" s="16">
        <v>44136</v>
      </c>
      <c r="C34" s="59">
        <v>44165</v>
      </c>
      <c r="D34" s="18">
        <v>0.1784</v>
      </c>
      <c r="E34" s="18">
        <f t="shared" si="4"/>
        <v>0.2676</v>
      </c>
      <c r="F34" s="43">
        <f t="shared" si="5"/>
        <v>6.4986956374091243E-4</v>
      </c>
      <c r="G34" s="22">
        <f t="shared" si="1"/>
        <v>216778388</v>
      </c>
      <c r="H34" s="97">
        <f t="shared" si="3"/>
        <v>30</v>
      </c>
      <c r="I34" s="22">
        <f t="shared" si="2"/>
        <v>4226330.2931405474</v>
      </c>
    </row>
    <row r="35" spans="1:9">
      <c r="A35" s="2">
        <v>24</v>
      </c>
      <c r="B35" s="16">
        <v>44166</v>
      </c>
      <c r="C35" s="59">
        <v>44196</v>
      </c>
      <c r="D35" s="18">
        <v>0.17460000000000001</v>
      </c>
      <c r="E35" s="18">
        <f t="shared" si="4"/>
        <v>0.26190000000000002</v>
      </c>
      <c r="F35" s="43">
        <f t="shared" si="5"/>
        <v>6.3751414410861962E-4</v>
      </c>
      <c r="G35" s="22">
        <f t="shared" si="1"/>
        <v>216778388</v>
      </c>
      <c r="H35" s="97">
        <f t="shared" si="3"/>
        <v>31</v>
      </c>
      <c r="I35" s="22">
        <f t="shared" si="2"/>
        <v>4284177.9430990536</v>
      </c>
    </row>
    <row r="36" spans="1:9">
      <c r="A36" s="2">
        <v>25</v>
      </c>
      <c r="B36" s="16">
        <v>44197</v>
      </c>
      <c r="C36" s="59">
        <v>44227</v>
      </c>
      <c r="D36" s="18">
        <v>0.17319999999999999</v>
      </c>
      <c r="E36" s="18">
        <f t="shared" si="4"/>
        <v>0.25979999999999998</v>
      </c>
      <c r="F36" s="43">
        <f t="shared" si="5"/>
        <v>6.3294811266723094E-4</v>
      </c>
      <c r="G36" s="22">
        <f t="shared" si="1"/>
        <v>216778388</v>
      </c>
      <c r="H36" s="97">
        <f t="shared" si="3"/>
        <v>31</v>
      </c>
      <c r="I36" s="22">
        <f t="shared" si="2"/>
        <v>4253493.6181009859</v>
      </c>
    </row>
    <row r="37" spans="1:9">
      <c r="A37" s="2">
        <v>26</v>
      </c>
      <c r="B37" s="16">
        <v>44228</v>
      </c>
      <c r="C37" s="59">
        <v>44255</v>
      </c>
      <c r="D37" s="18">
        <v>0.1754</v>
      </c>
      <c r="E37" s="18">
        <f t="shared" si="4"/>
        <v>0.2631</v>
      </c>
      <c r="F37" s="43">
        <f t="shared" si="5"/>
        <v>6.4011990387169426E-4</v>
      </c>
      <c r="G37" s="22">
        <f t="shared" si="1"/>
        <v>216778388</v>
      </c>
      <c r="H37" s="97">
        <f t="shared" si="3"/>
        <v>28</v>
      </c>
      <c r="I37" s="22">
        <f t="shared" si="2"/>
        <v>3885396.5048645837</v>
      </c>
    </row>
    <row r="38" spans="1:9">
      <c r="A38" s="2">
        <v>27</v>
      </c>
      <c r="B38" s="16">
        <v>44256</v>
      </c>
      <c r="C38" s="59">
        <v>44286</v>
      </c>
      <c r="D38" s="18">
        <v>0.1741</v>
      </c>
      <c r="E38" s="18">
        <f t="shared" si="4"/>
        <v>0.26114999999999999</v>
      </c>
      <c r="F38" s="43">
        <f t="shared" si="5"/>
        <v>6.3588428907812578E-4</v>
      </c>
      <c r="G38" s="22">
        <f t="shared" si="1"/>
        <v>216778388</v>
      </c>
      <c r="H38" s="97">
        <f t="shared" si="3"/>
        <v>31</v>
      </c>
      <c r="I38" s="22">
        <f t="shared" si="2"/>
        <v>4273225.1053673457</v>
      </c>
    </row>
    <row r="39" spans="1:9">
      <c r="A39" s="2">
        <v>28</v>
      </c>
      <c r="B39" s="16">
        <v>44287</v>
      </c>
      <c r="C39" s="59">
        <v>44316</v>
      </c>
      <c r="D39" s="18">
        <v>0.1731</v>
      </c>
      <c r="E39" s="18">
        <f t="shared" si="4"/>
        <v>0.25964999999999999</v>
      </c>
      <c r="F39" s="43">
        <f t="shared" si="5"/>
        <v>6.326216771728177E-4</v>
      </c>
      <c r="G39" s="22">
        <f t="shared" si="1"/>
        <v>216778388</v>
      </c>
      <c r="H39" s="97">
        <f t="shared" si="3"/>
        <v>30</v>
      </c>
      <c r="I39" s="22">
        <f t="shared" si="2"/>
        <v>4114161.2217413946</v>
      </c>
    </row>
    <row r="40" spans="1:9">
      <c r="A40" s="2">
        <v>29</v>
      </c>
      <c r="B40" s="16">
        <v>44317</v>
      </c>
      <c r="C40" s="59">
        <v>44347</v>
      </c>
      <c r="D40" s="18">
        <v>0.17219999999999999</v>
      </c>
      <c r="E40" s="18">
        <f t="shared" si="4"/>
        <v>0.25829999999999997</v>
      </c>
      <c r="F40" s="43">
        <f t="shared" si="5"/>
        <v>6.2968201205726437E-4</v>
      </c>
      <c r="G40" s="22">
        <f t="shared" si="1"/>
        <v>216778388</v>
      </c>
      <c r="H40" s="97">
        <f t="shared" si="3"/>
        <v>31</v>
      </c>
      <c r="I40" s="22">
        <f t="shared" si="2"/>
        <v>4231544.9973174799</v>
      </c>
    </row>
    <row r="41" spans="1:9">
      <c r="A41" s="2">
        <v>30</v>
      </c>
      <c r="B41" s="16">
        <v>44348</v>
      </c>
      <c r="C41" s="59">
        <v>44377</v>
      </c>
      <c r="D41" s="451">
        <v>0.1721</v>
      </c>
      <c r="E41" s="18">
        <f t="shared" si="4"/>
        <v>0.25814999999999999</v>
      </c>
      <c r="F41" s="43">
        <f t="shared" si="5"/>
        <v>6.2935518846773952E-4</v>
      </c>
      <c r="G41" s="22">
        <f t="shared" si="1"/>
        <v>216778388</v>
      </c>
      <c r="H41" s="97">
        <f t="shared" si="3"/>
        <v>30</v>
      </c>
      <c r="I41" s="22">
        <f t="shared" si="2"/>
        <v>4092918.0970641831</v>
      </c>
    </row>
    <row r="42" spans="1:9">
      <c r="A42" s="2">
        <v>31</v>
      </c>
      <c r="B42" s="16">
        <v>44378</v>
      </c>
      <c r="C42" s="59">
        <v>44408</v>
      </c>
      <c r="D42" s="451">
        <v>0.17180000000000001</v>
      </c>
      <c r="E42" s="18">
        <f t="shared" si="4"/>
        <v>0.25770000000000004</v>
      </c>
      <c r="F42" s="43">
        <f t="shared" si="5"/>
        <v>6.2837448450037137E-4</v>
      </c>
      <c r="G42" s="22">
        <f t="shared" si="1"/>
        <v>216778388</v>
      </c>
      <c r="H42" s="97">
        <f t="shared" si="3"/>
        <v>31</v>
      </c>
      <c r="I42" s="22">
        <f t="shared" si="2"/>
        <v>4222758.2421199661</v>
      </c>
    </row>
    <row r="43" spans="1:9">
      <c r="A43" s="2">
        <v>32</v>
      </c>
      <c r="B43" s="16">
        <v>44409</v>
      </c>
      <c r="C43" s="59">
        <v>44439</v>
      </c>
      <c r="D43" s="451">
        <v>0.1724</v>
      </c>
      <c r="E43" s="18">
        <f t="shared" si="4"/>
        <v>0.2586</v>
      </c>
      <c r="F43" s="43">
        <f t="shared" si="5"/>
        <v>6.3033554269220637E-4</v>
      </c>
      <c r="G43" s="22">
        <f t="shared" si="1"/>
        <v>216778388</v>
      </c>
      <c r="H43" s="97">
        <f t="shared" si="3"/>
        <v>31</v>
      </c>
      <c r="I43" s="22">
        <f t="shared" si="2"/>
        <v>4235936.8081615716</v>
      </c>
    </row>
    <row r="44" spans="1:9">
      <c r="A44" s="2">
        <v>33</v>
      </c>
      <c r="B44" s="16">
        <v>44440</v>
      </c>
      <c r="C44" s="59">
        <v>44469</v>
      </c>
      <c r="D44" s="18">
        <v>0.1719</v>
      </c>
      <c r="E44" s="18">
        <f>+D44*1.5</f>
        <v>0.25785000000000002</v>
      </c>
      <c r="F44" s="43">
        <f t="shared" si="5"/>
        <v>6.2870142469861889E-4</v>
      </c>
      <c r="G44" s="22">
        <f t="shared" si="1"/>
        <v>216778388</v>
      </c>
      <c r="H44" s="97">
        <f>_xlfn.DAYS(C44,B44)+1</f>
        <v>30</v>
      </c>
      <c r="I44" s="22">
        <f>+G44*H44*F44</f>
        <v>4088666.4413840999</v>
      </c>
    </row>
    <row r="45" spans="1:9">
      <c r="A45" s="2">
        <v>34</v>
      </c>
      <c r="B45" s="59">
        <v>44470</v>
      </c>
      <c r="C45" s="59">
        <v>44500</v>
      </c>
      <c r="D45" s="451">
        <v>0.17080000000000001</v>
      </c>
      <c r="E45" s="18">
        <f>+D45*1.5</f>
        <v>0.25619999999999998</v>
      </c>
      <c r="F45" s="43">
        <f t="shared" si="5"/>
        <v>6.2510294214179751E-4</v>
      </c>
      <c r="G45" s="22">
        <f t="shared" si="1"/>
        <v>216778388</v>
      </c>
      <c r="H45" s="97">
        <f>_xlfn.DAYS(C45,B45)+1</f>
        <v>31</v>
      </c>
      <c r="I45" s="22">
        <f>+G45*H45*F45</f>
        <v>4200773.0520782406</v>
      </c>
    </row>
    <row r="46" spans="1:9">
      <c r="A46" s="2">
        <v>35</v>
      </c>
      <c r="B46" s="16">
        <v>44501</v>
      </c>
      <c r="C46" s="59">
        <v>44517</v>
      </c>
      <c r="D46" s="18">
        <v>0.17269999999999999</v>
      </c>
      <c r="E46" s="18">
        <f>+D46*1.5</f>
        <v>0.25905</v>
      </c>
      <c r="F46" s="43">
        <f t="shared" si="5"/>
        <v>6.3131554742335005E-4</v>
      </c>
      <c r="G46" s="22">
        <f t="shared" si="1"/>
        <v>216778388</v>
      </c>
      <c r="H46" s="97">
        <f>_xlfn.DAYS(C46,B46)+1</f>
        <v>17</v>
      </c>
      <c r="I46" s="22">
        <f>+G46*H46*F46</f>
        <v>2326544.6337261135</v>
      </c>
    </row>
    <row r="47" spans="1:9" ht="14.25">
      <c r="G47" s="73" t="s">
        <v>790</v>
      </c>
      <c r="H47" s="2"/>
      <c r="I47" s="408">
        <f>SUM(I12:I46)</f>
        <v>84466782.227062494</v>
      </c>
    </row>
    <row r="48" spans="1:9" ht="14.25">
      <c r="G48" s="3" t="s">
        <v>791</v>
      </c>
      <c r="H48" s="3"/>
      <c r="I48" s="408">
        <f>+C6+I47</f>
        <v>301245170.22706246</v>
      </c>
    </row>
    <row r="49" spans="2:11">
      <c r="B49" s="2574" t="s">
        <v>55</v>
      </c>
      <c r="C49" s="2574"/>
    </row>
    <row r="50" spans="2:11">
      <c r="B50" s="250" t="s">
        <v>56</v>
      </c>
      <c r="C50" s="250"/>
    </row>
    <row r="51" spans="2:11">
      <c r="B51" s="233" t="s">
        <v>164</v>
      </c>
      <c r="C51" s="22">
        <f>+C6</f>
        <v>216778388</v>
      </c>
    </row>
    <row r="52" spans="2:11">
      <c r="B52" s="533" t="s">
        <v>792</v>
      </c>
      <c r="C52" s="22">
        <f>+I47</f>
        <v>84466782.227062494</v>
      </c>
    </row>
    <row r="53" spans="2:11">
      <c r="B53" s="604" t="s">
        <v>61</v>
      </c>
      <c r="C53" s="22">
        <f>SUM(C51:C52)</f>
        <v>301245170.22706246</v>
      </c>
    </row>
    <row r="54" spans="2:11">
      <c r="J54" s="8"/>
      <c r="K54" s="8"/>
    </row>
    <row r="55" spans="2:11">
      <c r="J55" s="8"/>
      <c r="K55" s="8"/>
    </row>
    <row r="56" spans="2:11">
      <c r="J56" s="8"/>
      <c r="K56" s="8"/>
    </row>
  </sheetData>
  <mergeCells count="3">
    <mergeCell ref="B10:I10"/>
    <mergeCell ref="B49:C49"/>
    <mergeCell ref="D11:E11"/>
  </mergeCells>
  <conditionalFormatting sqref="B11:C11">
    <cfRule type="duplicateValues" dxfId="41" priority="6"/>
  </conditionalFormatting>
  <conditionalFormatting sqref="C14:C16 C18:C19 C21:C22 C24:C25 C27:C28 C30 C32 C7 B9 B13:B44 B46">
    <cfRule type="timePeriod" dxfId="40" priority="5" stopIfTrue="1" timePeriod="lastMonth">
      <formula>AND(MONTH(B7)=MONTH(EDATE(TODAY(),0-1)),YEAR(B7)=YEAR(EDATE(TODAY(),0-1)))</formula>
    </cfRule>
  </conditionalFormatting>
  <conditionalFormatting sqref="C12">
    <cfRule type="timePeriod" dxfId="39" priority="4" stopIfTrue="1" timePeriod="lastMonth">
      <formula>AND(MONTH(C12)=MONTH(EDATE(TODAY(),0-1)),YEAR(C12)=YEAR(EDATE(TODAY(),0-1)))</formula>
    </cfRule>
  </conditionalFormatting>
  <conditionalFormatting sqref="B12">
    <cfRule type="timePeriod" dxfId="38" priority="3" stopIfTrue="1" timePeriod="lastMonth">
      <formula>AND(MONTH(B12)=MONTH(EDATE(TODAY(),0-1)),YEAR(B12)=YEAR(EDATE(TODAY(),0-1)))</formula>
    </cfRule>
  </conditionalFormatting>
  <conditionalFormatting sqref="C2:C3">
    <cfRule type="timePeriod" dxfId="37" priority="2" stopIfTrue="1" timePeriod="lastMonth">
      <formula>AND(MONTH(C2)=MONTH(EDATE(TODAY(),0-1)),YEAR(C2)=YEAR(EDATE(TODAY(),0-1)))</formula>
    </cfRule>
  </conditionalFormatting>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5"/>
  <dimension ref="A3:K59"/>
  <sheetViews>
    <sheetView topLeftCell="A48" zoomScaleNormal="100" workbookViewId="0">
      <selection activeCell="F53" sqref="F53"/>
    </sheetView>
  </sheetViews>
  <sheetFormatPr defaultColWidth="9.140625" defaultRowHeight="12.75"/>
  <cols>
    <col min="1" max="1" width="3.140625" customWidth="1"/>
    <col min="2" max="2" width="18.5703125" customWidth="1"/>
    <col min="3" max="3" width="15.42578125" customWidth="1"/>
    <col min="4" max="4" width="9.7109375" customWidth="1"/>
    <col min="5" max="5" width="10.85546875" customWidth="1"/>
    <col min="6" max="6" width="9.140625" customWidth="1"/>
    <col min="7" max="7" width="13.5703125" customWidth="1"/>
    <col min="8" max="8" width="12.42578125" customWidth="1"/>
    <col min="9" max="9" width="15.7109375" customWidth="1"/>
    <col min="10" max="10" width="12.85546875" bestFit="1" customWidth="1"/>
    <col min="11" max="257" width="11.42578125" customWidth="1"/>
  </cols>
  <sheetData>
    <row r="3" spans="1:9" ht="13.5">
      <c r="B3" s="789" t="s">
        <v>0</v>
      </c>
      <c r="C3" s="845" t="s">
        <v>793</v>
      </c>
      <c r="D3" s="791"/>
      <c r="E3" s="791"/>
      <c r="F3" s="791"/>
      <c r="G3" s="791"/>
      <c r="H3" s="791"/>
      <c r="I3" s="791"/>
    </row>
    <row r="4" spans="1:9" ht="13.5">
      <c r="B4" s="728" t="s">
        <v>124</v>
      </c>
      <c r="C4" s="791" t="s">
        <v>794</v>
      </c>
      <c r="D4" s="791"/>
      <c r="E4" s="791"/>
      <c r="F4" s="791"/>
      <c r="G4" s="791"/>
      <c r="H4" s="791"/>
      <c r="I4" s="791"/>
    </row>
    <row r="5" spans="1:9" ht="13.5">
      <c r="B5" s="728" t="s">
        <v>795</v>
      </c>
      <c r="C5" s="850">
        <f>68796979</f>
        <v>68796979</v>
      </c>
      <c r="D5" s="791"/>
      <c r="E5" s="791"/>
      <c r="F5" s="791"/>
      <c r="G5" s="791"/>
      <c r="H5" s="791"/>
      <c r="I5" s="791"/>
    </row>
    <row r="6" spans="1:9" ht="13.5">
      <c r="B6" s="728" t="s">
        <v>4</v>
      </c>
      <c r="C6" s="724">
        <v>43537</v>
      </c>
      <c r="D6" s="791"/>
      <c r="E6" s="791"/>
      <c r="F6" s="791"/>
      <c r="G6" s="791"/>
      <c r="H6" s="791"/>
      <c r="I6" s="791"/>
    </row>
    <row r="7" spans="1:9" ht="13.5">
      <c r="B7" s="728" t="s">
        <v>796</v>
      </c>
      <c r="C7" s="724">
        <v>43538</v>
      </c>
      <c r="D7" s="791"/>
      <c r="E7" s="791"/>
      <c r="F7" s="791"/>
      <c r="G7" s="791"/>
      <c r="H7" s="791"/>
      <c r="I7" s="791"/>
    </row>
    <row r="8" spans="1:9" ht="13.5">
      <c r="B8" s="975" t="s">
        <v>331</v>
      </c>
      <c r="C8" s="737" t="s">
        <v>797</v>
      </c>
      <c r="D8" s="791"/>
      <c r="E8" s="791"/>
      <c r="F8" s="791"/>
      <c r="G8" s="791"/>
      <c r="H8" s="791"/>
      <c r="I8" s="791"/>
    </row>
    <row r="9" spans="1:9" ht="13.5">
      <c r="B9" s="791"/>
      <c r="C9" s="791"/>
      <c r="D9" s="791"/>
      <c r="E9" s="791"/>
      <c r="F9" s="791"/>
      <c r="G9" s="791"/>
      <c r="H9" s="791"/>
      <c r="I9" s="791"/>
    </row>
    <row r="10" spans="1:9" ht="13.5">
      <c r="B10" s="2559" t="s">
        <v>172</v>
      </c>
      <c r="C10" s="2559"/>
      <c r="D10" s="2559"/>
      <c r="E10" s="2559"/>
      <c r="F10" s="2559"/>
      <c r="G10" s="2559"/>
      <c r="H10" s="2559"/>
      <c r="I10" s="2559"/>
    </row>
    <row r="11" spans="1:9" ht="24.75" customHeight="1">
      <c r="B11" s="793" t="s">
        <v>337</v>
      </c>
      <c r="C11" s="793" t="s">
        <v>40</v>
      </c>
      <c r="D11" s="2712" t="s">
        <v>798</v>
      </c>
      <c r="E11" s="2713"/>
      <c r="F11" s="794" t="s">
        <v>88</v>
      </c>
      <c r="G11" s="794" t="s">
        <v>129</v>
      </c>
      <c r="H11" s="794" t="s">
        <v>47</v>
      </c>
      <c r="I11" s="794" t="s">
        <v>48</v>
      </c>
    </row>
    <row r="12" spans="1:9" ht="13.5">
      <c r="A12" s="2">
        <v>1</v>
      </c>
      <c r="B12" s="724">
        <v>43538</v>
      </c>
      <c r="C12" s="724">
        <v>43555</v>
      </c>
      <c r="D12" s="796">
        <v>0.19370000000000001</v>
      </c>
      <c r="E12" s="869">
        <f>+D12*1.5</f>
        <v>0.29055000000000003</v>
      </c>
      <c r="F12" s="796">
        <f>(1+E12)^(1/365)-1</f>
        <v>6.9906199467517638E-4</v>
      </c>
      <c r="G12" s="895">
        <f t="shared" ref="G12:G45" si="0">+$C$5</f>
        <v>68796979</v>
      </c>
      <c r="H12" s="931">
        <f>_xlfn.DAYS(C12,B12)+1</f>
        <v>18</v>
      </c>
      <c r="I12" s="941">
        <f>+G12*H12*F12</f>
        <v>865680.36061259196</v>
      </c>
    </row>
    <row r="13" spans="1:9" ht="13.5">
      <c r="A13" s="2">
        <v>2</v>
      </c>
      <c r="B13" s="724">
        <v>43556</v>
      </c>
      <c r="C13" s="724">
        <v>43585</v>
      </c>
      <c r="D13" s="796">
        <v>0.19320000000000001</v>
      </c>
      <c r="E13" s="869">
        <f t="shared" ref="E13:E20" si="1">+D13*1.5</f>
        <v>0.2898</v>
      </c>
      <c r="F13" s="796">
        <f t="shared" ref="F13:F41" si="2">(1+E13)^(1/365)-1</f>
        <v>6.9746823462724095E-4</v>
      </c>
      <c r="G13" s="895">
        <f t="shared" si="0"/>
        <v>68796979</v>
      </c>
      <c r="H13" s="931">
        <f t="shared" ref="H13:H41" si="3">_xlfn.DAYS(C13,B13)+1</f>
        <v>30</v>
      </c>
      <c r="I13" s="941">
        <f t="shared" ref="I13:I44" si="4">+G13*H13*F13</f>
        <v>1439511.2247245212</v>
      </c>
    </row>
    <row r="14" spans="1:9" ht="13.5">
      <c r="A14" s="2">
        <v>3</v>
      </c>
      <c r="B14" s="724">
        <v>43586</v>
      </c>
      <c r="C14" s="724">
        <v>43616</v>
      </c>
      <c r="D14" s="796">
        <v>0.19339999999999999</v>
      </c>
      <c r="E14" s="869">
        <f t="shared" si="1"/>
        <v>0.29009999999999997</v>
      </c>
      <c r="F14" s="796">
        <f t="shared" si="2"/>
        <v>6.9810584952367805E-4</v>
      </c>
      <c r="G14" s="895">
        <f t="shared" si="0"/>
        <v>68796979</v>
      </c>
      <c r="H14" s="931">
        <f t="shared" si="3"/>
        <v>31</v>
      </c>
      <c r="I14" s="941">
        <f t="shared" si="4"/>
        <v>1488854.7775531868</v>
      </c>
    </row>
    <row r="15" spans="1:9" ht="13.5">
      <c r="A15" s="2">
        <v>4</v>
      </c>
      <c r="B15" s="724">
        <v>43617</v>
      </c>
      <c r="C15" s="724">
        <v>43646</v>
      </c>
      <c r="D15" s="796">
        <v>0.193</v>
      </c>
      <c r="E15" s="869">
        <f t="shared" si="1"/>
        <v>0.28949999999999998</v>
      </c>
      <c r="F15" s="796">
        <f t="shared" si="2"/>
        <v>6.9683047181468005E-4</v>
      </c>
      <c r="G15" s="895">
        <f t="shared" si="0"/>
        <v>68796979</v>
      </c>
      <c r="H15" s="931">
        <f t="shared" si="3"/>
        <v>30</v>
      </c>
      <c r="I15" s="941">
        <f t="shared" si="4"/>
        <v>1438194.940079839</v>
      </c>
    </row>
    <row r="16" spans="1:9" ht="13.5">
      <c r="A16" s="2">
        <v>5</v>
      </c>
      <c r="B16" s="724">
        <v>43647</v>
      </c>
      <c r="C16" s="724">
        <v>43677</v>
      </c>
      <c r="D16" s="796">
        <v>0.1928</v>
      </c>
      <c r="E16" s="869">
        <f t="shared" si="1"/>
        <v>0.28920000000000001</v>
      </c>
      <c r="F16" s="796">
        <f t="shared" si="2"/>
        <v>6.9619256101671745E-4</v>
      </c>
      <c r="G16" s="895">
        <f t="shared" si="0"/>
        <v>68796979</v>
      </c>
      <c r="H16" s="931">
        <f t="shared" si="3"/>
        <v>31</v>
      </c>
      <c r="I16" s="941">
        <f t="shared" si="4"/>
        <v>1484774.2950069231</v>
      </c>
    </row>
    <row r="17" spans="1:9" ht="13.5">
      <c r="A17" s="2">
        <v>6</v>
      </c>
      <c r="B17" s="724">
        <v>43678</v>
      </c>
      <c r="C17" s="724">
        <v>43708</v>
      </c>
      <c r="D17" s="796">
        <v>0.19320000000000001</v>
      </c>
      <c r="E17" s="869">
        <f t="shared" si="1"/>
        <v>0.2898</v>
      </c>
      <c r="F17" s="796">
        <f t="shared" si="2"/>
        <v>6.9746823462724095E-4</v>
      </c>
      <c r="G17" s="895">
        <f t="shared" si="0"/>
        <v>68796979</v>
      </c>
      <c r="H17" s="931">
        <f t="shared" si="3"/>
        <v>31</v>
      </c>
      <c r="I17" s="941">
        <f t="shared" si="4"/>
        <v>1487494.9322153383</v>
      </c>
    </row>
    <row r="18" spans="1:9" ht="13.5">
      <c r="A18" s="2">
        <v>7</v>
      </c>
      <c r="B18" s="724">
        <v>43709</v>
      </c>
      <c r="C18" s="724">
        <v>43738</v>
      </c>
      <c r="D18" s="796">
        <v>0.19320000000000001</v>
      </c>
      <c r="E18" s="869">
        <f t="shared" si="1"/>
        <v>0.2898</v>
      </c>
      <c r="F18" s="796">
        <f t="shared" si="2"/>
        <v>6.9746823462724095E-4</v>
      </c>
      <c r="G18" s="895">
        <f t="shared" si="0"/>
        <v>68796979</v>
      </c>
      <c r="H18" s="931">
        <f t="shared" si="3"/>
        <v>30</v>
      </c>
      <c r="I18" s="941">
        <f t="shared" si="4"/>
        <v>1439511.2247245212</v>
      </c>
    </row>
    <row r="19" spans="1:9" ht="13.5">
      <c r="A19" s="2">
        <v>8</v>
      </c>
      <c r="B19" s="724">
        <v>43739</v>
      </c>
      <c r="C19" s="724">
        <v>43769</v>
      </c>
      <c r="D19" s="796">
        <v>0.191</v>
      </c>
      <c r="E19" s="869">
        <f t="shared" si="1"/>
        <v>0.28649999999999998</v>
      </c>
      <c r="F19" s="796">
        <f t="shared" si="2"/>
        <v>6.9044469314105683E-4</v>
      </c>
      <c r="G19" s="895">
        <f t="shared" si="0"/>
        <v>68796979</v>
      </c>
      <c r="H19" s="931">
        <f t="shared" si="3"/>
        <v>31</v>
      </c>
      <c r="I19" s="941">
        <f t="shared" si="4"/>
        <v>1472515.7806952887</v>
      </c>
    </row>
    <row r="20" spans="1:9" ht="13.5">
      <c r="A20" s="2">
        <v>9</v>
      </c>
      <c r="B20" s="724">
        <v>43770</v>
      </c>
      <c r="C20" s="724">
        <v>43799</v>
      </c>
      <c r="D20" s="796">
        <v>0.1903</v>
      </c>
      <c r="E20" s="869">
        <f t="shared" si="1"/>
        <v>0.28544999999999998</v>
      </c>
      <c r="F20" s="796">
        <f t="shared" si="2"/>
        <v>6.8820616169262827E-4</v>
      </c>
      <c r="G20" s="895">
        <f t="shared" si="0"/>
        <v>68796979</v>
      </c>
      <c r="H20" s="931">
        <f t="shared" si="3"/>
        <v>30</v>
      </c>
      <c r="I20" s="941">
        <f t="shared" si="4"/>
        <v>1420395.1456091506</v>
      </c>
    </row>
    <row r="21" spans="1:9" ht="13.5">
      <c r="A21" s="2">
        <v>10</v>
      </c>
      <c r="B21" s="727">
        <v>43800</v>
      </c>
      <c r="C21" s="727">
        <v>43830</v>
      </c>
      <c r="D21" s="869">
        <v>0.18909999999999999</v>
      </c>
      <c r="E21" s="869">
        <f>+D21*1.5</f>
        <v>0.28364999999999996</v>
      </c>
      <c r="F21" s="869">
        <f>(1+E21)^(1/365)-1</f>
        <v>6.8436443340047504E-4</v>
      </c>
      <c r="G21" s="963">
        <f t="shared" si="0"/>
        <v>68796979</v>
      </c>
      <c r="H21" s="967">
        <f>_xlfn.DAYS(C21,B21)+1</f>
        <v>31</v>
      </c>
      <c r="I21" s="941">
        <f t="shared" si="4"/>
        <v>1459548.3721429808</v>
      </c>
    </row>
    <row r="22" spans="1:9" ht="13.5">
      <c r="A22" s="2">
        <v>11</v>
      </c>
      <c r="B22" s="724">
        <v>43831</v>
      </c>
      <c r="C22" s="724">
        <v>43861</v>
      </c>
      <c r="D22" s="796">
        <v>0.18770000000000001</v>
      </c>
      <c r="E22" s="796">
        <f t="shared" ref="E22:E41" si="5">+D22*1.5</f>
        <v>0.28155000000000002</v>
      </c>
      <c r="F22" s="796">
        <f>(1+E22)^(1/365)-1</f>
        <v>6.7987562124560696E-4</v>
      </c>
      <c r="G22" s="895">
        <f t="shared" si="0"/>
        <v>68796979</v>
      </c>
      <c r="H22" s="931">
        <f t="shared" si="3"/>
        <v>31</v>
      </c>
      <c r="I22" s="941">
        <f t="shared" si="4"/>
        <v>1449975.0539608253</v>
      </c>
    </row>
    <row r="23" spans="1:9" ht="13.5">
      <c r="A23" s="2">
        <v>12</v>
      </c>
      <c r="B23" s="724">
        <v>43862</v>
      </c>
      <c r="C23" s="724">
        <v>43890</v>
      </c>
      <c r="D23" s="796">
        <v>0.19059999999999999</v>
      </c>
      <c r="E23" s="796">
        <f t="shared" si="5"/>
        <v>0.28589999999999999</v>
      </c>
      <c r="F23" s="796">
        <f t="shared" si="2"/>
        <v>6.8916575551658532E-4</v>
      </c>
      <c r="G23" s="895">
        <f t="shared" si="0"/>
        <v>68796979</v>
      </c>
      <c r="H23" s="931">
        <f t="shared" si="3"/>
        <v>29</v>
      </c>
      <c r="I23" s="941">
        <f t="shared" si="4"/>
        <v>1374963.1382840159</v>
      </c>
    </row>
    <row r="24" spans="1:9" ht="13.5">
      <c r="A24" s="2">
        <v>13</v>
      </c>
      <c r="B24" s="724">
        <v>43891</v>
      </c>
      <c r="C24" s="724">
        <v>43921</v>
      </c>
      <c r="D24" s="796">
        <v>0.1895</v>
      </c>
      <c r="E24" s="796">
        <f t="shared" si="5"/>
        <v>0.28425</v>
      </c>
      <c r="F24" s="796">
        <f t="shared" si="2"/>
        <v>6.8564560609574166E-4</v>
      </c>
      <c r="G24" s="895">
        <f t="shared" si="0"/>
        <v>68796979</v>
      </c>
      <c r="H24" s="931">
        <f t="shared" si="3"/>
        <v>31</v>
      </c>
      <c r="I24" s="941">
        <f t="shared" si="4"/>
        <v>1462280.7372843414</v>
      </c>
    </row>
    <row r="25" spans="1:9" ht="13.5">
      <c r="A25" s="2">
        <v>14</v>
      </c>
      <c r="B25" s="724">
        <v>43922</v>
      </c>
      <c r="C25" s="821">
        <v>43951</v>
      </c>
      <c r="D25" s="796">
        <v>0.18690000000000001</v>
      </c>
      <c r="E25" s="796">
        <f t="shared" si="5"/>
        <v>0.28034999999999999</v>
      </c>
      <c r="F25" s="796">
        <f t="shared" si="2"/>
        <v>6.7730729113191224E-4</v>
      </c>
      <c r="G25" s="895">
        <f t="shared" si="0"/>
        <v>68796979</v>
      </c>
      <c r="H25" s="931">
        <f t="shared" si="3"/>
        <v>30</v>
      </c>
      <c r="I25" s="941">
        <f t="shared" si="4"/>
        <v>1397900.8645364717</v>
      </c>
    </row>
    <row r="26" spans="1:9" ht="13.5">
      <c r="A26" s="2">
        <v>15</v>
      </c>
      <c r="B26" s="724">
        <v>43952</v>
      </c>
      <c r="C26" s="724">
        <v>43982</v>
      </c>
      <c r="D26" s="796">
        <v>0.18190000000000001</v>
      </c>
      <c r="E26" s="796">
        <f t="shared" si="5"/>
        <v>0.27285000000000004</v>
      </c>
      <c r="F26" s="796">
        <f t="shared" si="2"/>
        <v>6.6120063584418354E-4</v>
      </c>
      <c r="G26" s="895">
        <f t="shared" si="0"/>
        <v>68796979</v>
      </c>
      <c r="H26" s="931">
        <f t="shared" si="3"/>
        <v>31</v>
      </c>
      <c r="I26" s="941">
        <f t="shared" si="4"/>
        <v>1410146.7940277271</v>
      </c>
    </row>
    <row r="27" spans="1:9" ht="13.5">
      <c r="A27" s="2">
        <v>16</v>
      </c>
      <c r="B27" s="724">
        <v>43983</v>
      </c>
      <c r="C27" s="821">
        <v>44012</v>
      </c>
      <c r="D27" s="796">
        <v>0.1812</v>
      </c>
      <c r="E27" s="796">
        <f t="shared" si="5"/>
        <v>0.27179999999999999</v>
      </c>
      <c r="F27" s="796">
        <f t="shared" si="2"/>
        <v>6.5893815469997286E-4</v>
      </c>
      <c r="G27" s="895">
        <f t="shared" si="0"/>
        <v>68796979</v>
      </c>
      <c r="H27" s="931">
        <f t="shared" si="3"/>
        <v>30</v>
      </c>
      <c r="I27" s="941">
        <f t="shared" si="4"/>
        <v>1359988.6317357835</v>
      </c>
    </row>
    <row r="28" spans="1:9" ht="13.5">
      <c r="A28" s="2">
        <v>17</v>
      </c>
      <c r="B28" s="724">
        <v>44013</v>
      </c>
      <c r="C28" s="724">
        <v>44043</v>
      </c>
      <c r="D28" s="796">
        <v>0.1812</v>
      </c>
      <c r="E28" s="796">
        <f t="shared" si="5"/>
        <v>0.27179999999999999</v>
      </c>
      <c r="F28" s="796">
        <f t="shared" si="2"/>
        <v>6.5893815469997286E-4</v>
      </c>
      <c r="G28" s="895">
        <f t="shared" si="0"/>
        <v>68796979</v>
      </c>
      <c r="H28" s="931">
        <f t="shared" si="3"/>
        <v>31</v>
      </c>
      <c r="I28" s="941">
        <f t="shared" si="4"/>
        <v>1405321.5861269764</v>
      </c>
    </row>
    <row r="29" spans="1:9" ht="13.5">
      <c r="A29" s="2">
        <v>18</v>
      </c>
      <c r="B29" s="724">
        <v>44044</v>
      </c>
      <c r="C29" s="821">
        <v>44074</v>
      </c>
      <c r="D29" s="796">
        <v>0.18290000000000001</v>
      </c>
      <c r="E29" s="796">
        <f t="shared" si="5"/>
        <v>0.27434999999999998</v>
      </c>
      <c r="F29" s="796">
        <f t="shared" si="2"/>
        <v>6.6442952514544906E-4</v>
      </c>
      <c r="G29" s="895">
        <f t="shared" si="0"/>
        <v>68796979</v>
      </c>
      <c r="H29" s="931">
        <f t="shared" si="3"/>
        <v>31</v>
      </c>
      <c r="I29" s="941">
        <f t="shared" si="4"/>
        <v>1417033.0667407543</v>
      </c>
    </row>
    <row r="30" spans="1:9" ht="13.5">
      <c r="A30" s="2">
        <v>19</v>
      </c>
      <c r="B30" s="724">
        <v>44075</v>
      </c>
      <c r="C30" s="724">
        <v>44104</v>
      </c>
      <c r="D30" s="796">
        <v>0.1835</v>
      </c>
      <c r="E30" s="796">
        <f t="shared" si="5"/>
        <v>0.27524999999999999</v>
      </c>
      <c r="F30" s="796">
        <f t="shared" si="2"/>
        <v>6.6636503991857055E-4</v>
      </c>
      <c r="G30" s="895">
        <f t="shared" si="0"/>
        <v>68796979</v>
      </c>
      <c r="H30" s="931">
        <f t="shared" si="3"/>
        <v>30</v>
      </c>
      <c r="I30" s="941">
        <f t="shared" si="4"/>
        <v>1375317.0497283619</v>
      </c>
    </row>
    <row r="31" spans="1:9" ht="13.5">
      <c r="A31" s="2">
        <v>20</v>
      </c>
      <c r="B31" s="724">
        <v>44105</v>
      </c>
      <c r="C31" s="821">
        <v>44135</v>
      </c>
      <c r="D31" s="796">
        <v>0.18090000000000001</v>
      </c>
      <c r="E31" s="796">
        <f t="shared" si="5"/>
        <v>0.27134999999999998</v>
      </c>
      <c r="F31" s="796">
        <f t="shared" si="2"/>
        <v>6.5796794962613703E-4</v>
      </c>
      <c r="G31" s="895">
        <f t="shared" si="0"/>
        <v>68796979</v>
      </c>
      <c r="H31" s="931">
        <f t="shared" si="3"/>
        <v>31</v>
      </c>
      <c r="I31" s="941">
        <f t="shared" si="4"/>
        <v>1403252.4236061745</v>
      </c>
    </row>
    <row r="32" spans="1:9" ht="13.5">
      <c r="A32" s="2">
        <v>21</v>
      </c>
      <c r="B32" s="724">
        <v>44136</v>
      </c>
      <c r="C32" s="821">
        <v>44165</v>
      </c>
      <c r="D32" s="796">
        <v>0.1784</v>
      </c>
      <c r="E32" s="796">
        <f t="shared" si="5"/>
        <v>0.2676</v>
      </c>
      <c r="F32" s="796">
        <f t="shared" si="2"/>
        <v>6.4986956374091243E-4</v>
      </c>
      <c r="G32" s="895">
        <f t="shared" si="0"/>
        <v>68796979</v>
      </c>
      <c r="H32" s="931">
        <f t="shared" si="3"/>
        <v>30</v>
      </c>
      <c r="I32" s="941">
        <f t="shared" si="4"/>
        <v>1341271.8818826815</v>
      </c>
    </row>
    <row r="33" spans="1:11" ht="13.5">
      <c r="A33" s="2">
        <v>22</v>
      </c>
      <c r="B33" s="724">
        <v>44166</v>
      </c>
      <c r="C33" s="821">
        <v>44196</v>
      </c>
      <c r="D33" s="796">
        <v>0.17460000000000001</v>
      </c>
      <c r="E33" s="796">
        <f t="shared" si="5"/>
        <v>0.26190000000000002</v>
      </c>
      <c r="F33" s="796">
        <f t="shared" si="2"/>
        <v>6.3751414410861962E-4</v>
      </c>
      <c r="G33" s="895">
        <f t="shared" si="0"/>
        <v>68796979</v>
      </c>
      <c r="H33" s="931">
        <f t="shared" si="3"/>
        <v>31</v>
      </c>
      <c r="I33" s="941">
        <f t="shared" si="4"/>
        <v>1359630.4627177541</v>
      </c>
    </row>
    <row r="34" spans="1:11" ht="13.5">
      <c r="A34" s="2">
        <v>23</v>
      </c>
      <c r="B34" s="724">
        <v>44197</v>
      </c>
      <c r="C34" s="821">
        <v>44227</v>
      </c>
      <c r="D34" s="796">
        <v>0.17319999999999999</v>
      </c>
      <c r="E34" s="796">
        <f t="shared" si="5"/>
        <v>0.25979999999999998</v>
      </c>
      <c r="F34" s="796">
        <f t="shared" si="2"/>
        <v>6.3294811266723094E-4</v>
      </c>
      <c r="G34" s="895">
        <f t="shared" si="0"/>
        <v>68796979</v>
      </c>
      <c r="H34" s="931">
        <f t="shared" si="3"/>
        <v>31</v>
      </c>
      <c r="I34" s="941">
        <f t="shared" si="4"/>
        <v>1349892.4584729709</v>
      </c>
    </row>
    <row r="35" spans="1:11" ht="13.5">
      <c r="A35" s="2">
        <v>24</v>
      </c>
      <c r="B35" s="724">
        <v>44228</v>
      </c>
      <c r="C35" s="821">
        <v>44255</v>
      </c>
      <c r="D35" s="796">
        <v>0.1754</v>
      </c>
      <c r="E35" s="796">
        <f t="shared" si="5"/>
        <v>0.2631</v>
      </c>
      <c r="F35" s="796">
        <f t="shared" si="2"/>
        <v>6.4011990387169426E-4</v>
      </c>
      <c r="G35" s="895">
        <f t="shared" si="0"/>
        <v>68796979</v>
      </c>
      <c r="H35" s="931">
        <f t="shared" si="3"/>
        <v>28</v>
      </c>
      <c r="I35" s="941">
        <f t="shared" si="4"/>
        <v>1233072.8363560031</v>
      </c>
    </row>
    <row r="36" spans="1:11" ht="13.5">
      <c r="A36" s="2">
        <v>25</v>
      </c>
      <c r="B36" s="724">
        <v>44256</v>
      </c>
      <c r="C36" s="821">
        <v>44286</v>
      </c>
      <c r="D36" s="796">
        <v>0.1741</v>
      </c>
      <c r="E36" s="796">
        <f t="shared" si="5"/>
        <v>0.26114999999999999</v>
      </c>
      <c r="F36" s="796">
        <f t="shared" si="2"/>
        <v>6.3588428907812578E-4</v>
      </c>
      <c r="G36" s="895">
        <f t="shared" si="0"/>
        <v>68796979</v>
      </c>
      <c r="H36" s="931">
        <f t="shared" si="3"/>
        <v>31</v>
      </c>
      <c r="I36" s="941">
        <f t="shared" si="4"/>
        <v>1356154.4605462702</v>
      </c>
    </row>
    <row r="37" spans="1:11" ht="13.5">
      <c r="A37" s="2">
        <v>26</v>
      </c>
      <c r="B37" s="724">
        <v>44287</v>
      </c>
      <c r="C37" s="821">
        <v>44316</v>
      </c>
      <c r="D37" s="796">
        <v>0.1731</v>
      </c>
      <c r="E37" s="796">
        <f t="shared" si="5"/>
        <v>0.25964999999999999</v>
      </c>
      <c r="F37" s="796">
        <f t="shared" si="2"/>
        <v>6.326216771728177E-4</v>
      </c>
      <c r="G37" s="895">
        <f t="shared" si="0"/>
        <v>68796979</v>
      </c>
      <c r="H37" s="931">
        <f t="shared" si="3"/>
        <v>30</v>
      </c>
      <c r="I37" s="941">
        <f t="shared" si="4"/>
        <v>1305673.8071820936</v>
      </c>
    </row>
    <row r="38" spans="1:11" ht="13.5">
      <c r="A38" s="2">
        <v>27</v>
      </c>
      <c r="B38" s="724">
        <v>44317</v>
      </c>
      <c r="C38" s="821">
        <v>44347</v>
      </c>
      <c r="D38" s="796">
        <v>0.17219999999999999</v>
      </c>
      <c r="E38" s="796">
        <f t="shared" si="5"/>
        <v>0.25829999999999997</v>
      </c>
      <c r="F38" s="796">
        <f t="shared" si="2"/>
        <v>6.2968201205726437E-4</v>
      </c>
      <c r="G38" s="895">
        <f t="shared" si="0"/>
        <v>68796979</v>
      </c>
      <c r="H38" s="931">
        <f t="shared" si="3"/>
        <v>31</v>
      </c>
      <c r="I38" s="941">
        <f t="shared" si="4"/>
        <v>1342926.8249656223</v>
      </c>
    </row>
    <row r="39" spans="1:11" ht="13.5">
      <c r="A39" s="2">
        <v>28</v>
      </c>
      <c r="B39" s="724">
        <v>44348</v>
      </c>
      <c r="C39" s="821">
        <v>44377</v>
      </c>
      <c r="D39" s="796">
        <v>0.1721</v>
      </c>
      <c r="E39" s="796">
        <f t="shared" si="5"/>
        <v>0.25814999999999999</v>
      </c>
      <c r="F39" s="796">
        <f t="shared" si="2"/>
        <v>6.2935518846773952E-4</v>
      </c>
      <c r="G39" s="895">
        <f t="shared" si="0"/>
        <v>68796979</v>
      </c>
      <c r="H39" s="931">
        <f t="shared" si="3"/>
        <v>30</v>
      </c>
      <c r="I39" s="941">
        <f t="shared" si="4"/>
        <v>1298932.0705366835</v>
      </c>
    </row>
    <row r="40" spans="1:11" ht="13.5">
      <c r="A40" s="2">
        <v>29</v>
      </c>
      <c r="B40" s="724">
        <v>44378</v>
      </c>
      <c r="C40" s="821">
        <v>44408</v>
      </c>
      <c r="D40" s="796">
        <v>0.17180000000000001</v>
      </c>
      <c r="E40" s="796">
        <f t="shared" si="5"/>
        <v>0.25770000000000004</v>
      </c>
      <c r="F40" s="796">
        <f t="shared" si="2"/>
        <v>6.2837448450037137E-4</v>
      </c>
      <c r="G40" s="895">
        <f t="shared" si="0"/>
        <v>68796979</v>
      </c>
      <c r="H40" s="931">
        <f t="shared" si="3"/>
        <v>31</v>
      </c>
      <c r="I40" s="941">
        <f t="shared" si="4"/>
        <v>1340138.252643544</v>
      </c>
    </row>
    <row r="41" spans="1:11" s="188" customFormat="1" ht="13.5">
      <c r="A41" s="2">
        <v>30</v>
      </c>
      <c r="B41" s="724">
        <v>44409</v>
      </c>
      <c r="C41" s="821">
        <v>44439</v>
      </c>
      <c r="D41" s="796">
        <v>0.1724</v>
      </c>
      <c r="E41" s="796">
        <f t="shared" si="5"/>
        <v>0.2586</v>
      </c>
      <c r="F41" s="796">
        <f t="shared" si="2"/>
        <v>6.3033554269220637E-4</v>
      </c>
      <c r="G41" s="895">
        <f t="shared" si="0"/>
        <v>68796979</v>
      </c>
      <c r="H41" s="931">
        <f t="shared" si="3"/>
        <v>31</v>
      </c>
      <c r="I41" s="941">
        <f t="shared" si="4"/>
        <v>1344320.6139000291</v>
      </c>
    </row>
    <row r="42" spans="1:11" ht="13.5">
      <c r="A42" s="2">
        <v>31</v>
      </c>
      <c r="B42" s="724">
        <v>44440</v>
      </c>
      <c r="C42" s="821">
        <v>44469</v>
      </c>
      <c r="D42" s="796">
        <v>0.1719</v>
      </c>
      <c r="E42" s="796">
        <f>+D42*1.5</f>
        <v>0.25785000000000002</v>
      </c>
      <c r="F42" s="796">
        <f>(1+E42)^(1/365)-1</f>
        <v>6.2870142469861889E-4</v>
      </c>
      <c r="G42" s="895">
        <f t="shared" si="0"/>
        <v>68796979</v>
      </c>
      <c r="H42" s="931">
        <f>_xlfn.DAYS(C42,B42)+1</f>
        <v>30</v>
      </c>
      <c r="I42" s="941">
        <f t="shared" si="4"/>
        <v>1297582.7613678291</v>
      </c>
    </row>
    <row r="43" spans="1:11" ht="13.5">
      <c r="A43" s="2">
        <v>32</v>
      </c>
      <c r="B43" s="821">
        <v>44470</v>
      </c>
      <c r="C43" s="821">
        <v>44500</v>
      </c>
      <c r="D43" s="796">
        <v>0.17080000000000001</v>
      </c>
      <c r="E43" s="796">
        <f>+D43*1.5</f>
        <v>0.25619999999999998</v>
      </c>
      <c r="F43" s="796">
        <f>(1+E43)^(1/365)-1</f>
        <v>6.2510294214179751E-4</v>
      </c>
      <c r="G43" s="895">
        <f t="shared" si="0"/>
        <v>68796979</v>
      </c>
      <c r="H43" s="931">
        <f>_xlfn.DAYS(C43,B43)+1</f>
        <v>31</v>
      </c>
      <c r="I43" s="941">
        <f t="shared" si="4"/>
        <v>1333161.0134843912</v>
      </c>
    </row>
    <row r="44" spans="1:11" ht="13.5">
      <c r="A44" s="2">
        <v>33</v>
      </c>
      <c r="B44" s="821">
        <v>44501</v>
      </c>
      <c r="C44" s="821">
        <v>44530</v>
      </c>
      <c r="D44" s="796">
        <v>0.17269999999999999</v>
      </c>
      <c r="E44" s="796">
        <f>+D44*1.5</f>
        <v>0.25905</v>
      </c>
      <c r="F44" s="796">
        <f>(1+E44)^(1/365)-1</f>
        <v>6.3131554742335005E-4</v>
      </c>
      <c r="G44" s="895">
        <f t="shared" si="0"/>
        <v>68796979</v>
      </c>
      <c r="H44" s="931">
        <f>_xlfn.DAYS(C44,B44)+1</f>
        <v>30</v>
      </c>
      <c r="I44" s="941">
        <f t="shared" si="4"/>
        <v>1302978.0737537316</v>
      </c>
    </row>
    <row r="45" spans="1:11" ht="13.5">
      <c r="A45" s="2">
        <v>34</v>
      </c>
      <c r="B45" s="821">
        <v>44531</v>
      </c>
      <c r="C45" s="821">
        <v>44544</v>
      </c>
      <c r="D45" s="796">
        <v>0.17460000000000001</v>
      </c>
      <c r="E45" s="796">
        <f>+D45*1.5</f>
        <v>0.26190000000000002</v>
      </c>
      <c r="F45" s="796">
        <f>(1+E45)^(1/365)-1</f>
        <v>6.3751414410861962E-4</v>
      </c>
      <c r="G45" s="895">
        <f t="shared" si="0"/>
        <v>68796979</v>
      </c>
      <c r="H45" s="931">
        <f>_xlfn.DAYS(C45,B45)+1</f>
        <v>14</v>
      </c>
      <c r="I45" s="941">
        <f>+G45*H45*F45</f>
        <v>614026.66058221145</v>
      </c>
    </row>
    <row r="46" spans="1:11" ht="13.5">
      <c r="B46" s="791"/>
      <c r="C46" s="791"/>
      <c r="D46" s="791"/>
      <c r="E46" s="791"/>
      <c r="F46" s="2628" t="s">
        <v>338</v>
      </c>
      <c r="G46" s="2628"/>
      <c r="H46" s="2628"/>
      <c r="I46" s="1762">
        <f>SUM(I12:I45)</f>
        <v>45872422.577787578</v>
      </c>
    </row>
    <row r="47" spans="1:11" ht="13.5">
      <c r="B47" s="2591" t="s">
        <v>55</v>
      </c>
      <c r="C47" s="2591"/>
      <c r="D47" s="791"/>
      <c r="E47" s="791"/>
      <c r="F47" s="791"/>
      <c r="G47" s="791"/>
      <c r="H47" s="791"/>
      <c r="I47" s="791"/>
    </row>
    <row r="48" spans="1:11" ht="13.5">
      <c r="B48" s="726" t="s">
        <v>56</v>
      </c>
      <c r="C48" s="726"/>
      <c r="D48" s="791"/>
      <c r="E48" s="791"/>
      <c r="F48" s="791"/>
      <c r="G48" s="791"/>
      <c r="H48" s="791"/>
      <c r="I48" s="791"/>
      <c r="K48" s="925">
        <v>68796979</v>
      </c>
    </row>
    <row r="49" spans="2:11" ht="13.5">
      <c r="B49" s="741" t="s">
        <v>164</v>
      </c>
      <c r="C49" s="941">
        <f>+C5</f>
        <v>68796979</v>
      </c>
      <c r="D49" s="791"/>
      <c r="F49" s="791"/>
      <c r="G49" s="791"/>
      <c r="H49" s="791"/>
      <c r="I49" s="791"/>
      <c r="K49" s="925">
        <v>45872422.577787578</v>
      </c>
    </row>
    <row r="50" spans="2:11" ht="13.5">
      <c r="B50" s="742" t="s">
        <v>792</v>
      </c>
      <c r="C50" s="941">
        <f>+I46</f>
        <v>45872422.577787578</v>
      </c>
      <c r="D50" s="791"/>
      <c r="F50" s="791"/>
      <c r="G50" s="791"/>
      <c r="H50" s="791"/>
      <c r="I50" s="791"/>
      <c r="K50" s="925">
        <v>2006000</v>
      </c>
    </row>
    <row r="51" spans="2:11" ht="13.5">
      <c r="B51" s="742" t="s">
        <v>799</v>
      </c>
      <c r="C51" s="941">
        <v>2006000</v>
      </c>
      <c r="D51" s="791"/>
      <c r="F51" s="791"/>
      <c r="G51" s="791"/>
      <c r="H51" s="791"/>
      <c r="I51" s="791"/>
      <c r="K51" s="925">
        <f>SUM(K48:K50)</f>
        <v>116675401.57778758</v>
      </c>
    </row>
    <row r="52" spans="2:11" ht="13.5">
      <c r="B52" s="916" t="s">
        <v>61</v>
      </c>
      <c r="C52" s="941">
        <f>SUM(C49:C51)</f>
        <v>116675401.57778758</v>
      </c>
      <c r="D52" s="879"/>
      <c r="F52" s="791"/>
      <c r="G52" s="791"/>
      <c r="H52" s="791"/>
      <c r="I52" s="791"/>
      <c r="K52" s="791"/>
    </row>
    <row r="53" spans="2:11" ht="12" customHeight="1">
      <c r="B53" s="900" t="s">
        <v>62</v>
      </c>
      <c r="C53" s="791"/>
      <c r="D53" s="791"/>
      <c r="F53" s="791"/>
      <c r="G53" s="791"/>
      <c r="H53" s="791"/>
      <c r="I53" s="791"/>
    </row>
    <row r="54" spans="2:11" ht="13.5">
      <c r="B54" s="814"/>
      <c r="C54" s="791"/>
      <c r="D54" s="791"/>
      <c r="E54" s="791"/>
      <c r="F54" s="791"/>
      <c r="G54" s="791"/>
      <c r="H54" s="791"/>
      <c r="I54" s="791"/>
    </row>
    <row r="55" spans="2:11" ht="13.5">
      <c r="B55" s="814"/>
      <c r="C55" s="791"/>
      <c r="D55" s="791"/>
      <c r="E55" s="791"/>
      <c r="F55" s="791"/>
      <c r="G55" s="791"/>
      <c r="H55" s="791"/>
      <c r="I55" s="791"/>
    </row>
    <row r="56" spans="2:11" ht="13.5">
      <c r="B56" s="818" t="s">
        <v>63</v>
      </c>
      <c r="C56" s="791"/>
      <c r="D56" s="791"/>
      <c r="E56" s="791"/>
      <c r="F56" s="791"/>
      <c r="G56" s="791"/>
      <c r="H56" s="791"/>
      <c r="I56" s="791"/>
    </row>
    <row r="57" spans="2:11" ht="13.5">
      <c r="B57" s="818" t="s">
        <v>64</v>
      </c>
      <c r="C57" s="791"/>
      <c r="D57" s="791"/>
      <c r="E57" s="791"/>
      <c r="F57" s="791"/>
      <c r="G57" s="791"/>
      <c r="H57" s="791"/>
      <c r="I57" s="791"/>
    </row>
    <row r="58" spans="2:11" ht="13.5">
      <c r="B58" s="900" t="s">
        <v>65</v>
      </c>
      <c r="C58" s="791"/>
      <c r="D58" s="791"/>
      <c r="E58" s="791"/>
      <c r="F58" s="791"/>
      <c r="G58" s="791"/>
      <c r="H58" s="791"/>
      <c r="I58" s="791"/>
    </row>
    <row r="59" spans="2:11" ht="13.5">
      <c r="B59" s="791"/>
      <c r="C59" s="791"/>
      <c r="D59" s="791"/>
      <c r="E59" s="791"/>
      <c r="F59" s="791"/>
      <c r="G59" s="791"/>
      <c r="H59" s="791"/>
      <c r="I59" s="791"/>
    </row>
  </sheetData>
  <mergeCells count="4">
    <mergeCell ref="F46:H46"/>
    <mergeCell ref="B47:C47"/>
    <mergeCell ref="B10:I10"/>
    <mergeCell ref="D11:E11"/>
  </mergeCells>
  <conditionalFormatting sqref="B11:C11">
    <cfRule type="duplicateValues" dxfId="36" priority="4"/>
  </conditionalFormatting>
  <conditionalFormatting sqref="C14:C15 C17:C18 C23:C24 C26 C28 C30 C20:C21 B13:B42">
    <cfRule type="timePeriod" dxfId="35" priority="3" stopIfTrue="1" timePeriod="lastMonth">
      <formula>AND(MONTH(B13)=MONTH(EDATE(TODAY(),0-1)),YEAR(B13)=YEAR(EDATE(TODAY(),0-1)))</formula>
    </cfRule>
  </conditionalFormatting>
  <conditionalFormatting sqref="C12">
    <cfRule type="timePeriod" dxfId="34" priority="2" stopIfTrue="1" timePeriod="lastMonth">
      <formula>AND(MONTH(C12)=MONTH(EDATE(TODAY(),0-1)),YEAR(C12)=YEAR(EDATE(TODAY(),0-1)))</formula>
    </cfRule>
  </conditionalFormatting>
  <conditionalFormatting sqref="B12">
    <cfRule type="timePeriod" dxfId="33" priority="1" stopIfTrue="1" timePeriod="lastMonth">
      <formula>AND(MONTH(B12)=MONTH(EDATE(TODAY(),0-1)),YEAR(B12)=YEAR(EDATE(TODAY(),0-1)))</formula>
    </cfRule>
  </conditionalFormatting>
  <pageMargins left="0.7" right="0.7" top="0.75" bottom="0.75" header="0.3" footer="0.3"/>
  <pageSetup paperSize="9" scale="8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3A13E-8AEA-4BEA-B8E7-7F4C3F1334E4}">
  <sheetPr codeName="Hoja43"/>
  <dimension ref="A1:T49"/>
  <sheetViews>
    <sheetView zoomScaleNormal="100" workbookViewId="0">
      <selection activeCell="D49" sqref="D49"/>
    </sheetView>
  </sheetViews>
  <sheetFormatPr defaultColWidth="9.140625" defaultRowHeight="12.75"/>
  <cols>
    <col min="1" max="1" width="4.42578125" customWidth="1"/>
    <col min="2" max="2" width="18.5703125" customWidth="1"/>
    <col min="3" max="3" width="21.5703125" customWidth="1"/>
    <col min="4" max="4" width="11.7109375" bestFit="1" customWidth="1"/>
    <col min="5" max="5" width="8.7109375" customWidth="1"/>
    <col min="6" max="6" width="9" customWidth="1"/>
    <col min="7" max="7" width="15.7109375" customWidth="1"/>
    <col min="8" max="8" width="12.85546875" customWidth="1"/>
    <col min="9" max="9" width="16" customWidth="1"/>
    <col min="10" max="10" width="15.5703125" bestFit="1" customWidth="1"/>
    <col min="11" max="256" width="11.42578125" customWidth="1"/>
  </cols>
  <sheetData>
    <row r="1" spans="1:9" ht="22.5">
      <c r="B1" s="148" t="s">
        <v>0</v>
      </c>
      <c r="C1" s="370" t="s">
        <v>800</v>
      </c>
      <c r="D1" s="147"/>
      <c r="E1" s="147"/>
      <c r="F1" s="147"/>
      <c r="G1" s="147"/>
      <c r="H1" s="147"/>
      <c r="I1" s="147"/>
    </row>
    <row r="2" spans="1:9">
      <c r="B2" s="407" t="s">
        <v>67</v>
      </c>
      <c r="C2" s="484">
        <v>183655609.5</v>
      </c>
      <c r="D2" s="147"/>
      <c r="E2" s="147"/>
      <c r="F2" s="147"/>
      <c r="G2" s="147"/>
      <c r="H2" s="147"/>
      <c r="I2" s="147"/>
    </row>
    <row r="3" spans="1:9">
      <c r="B3" s="148" t="s">
        <v>801</v>
      </c>
      <c r="C3" s="370" t="s">
        <v>802</v>
      </c>
      <c r="D3" s="147"/>
      <c r="E3" s="147"/>
      <c r="F3" s="147"/>
      <c r="G3" s="147"/>
      <c r="H3" s="147"/>
      <c r="I3" s="147"/>
    </row>
    <row r="4" spans="1:9">
      <c r="B4" s="407" t="s">
        <v>4</v>
      </c>
      <c r="C4" s="1011">
        <v>43601</v>
      </c>
      <c r="D4" s="147"/>
      <c r="E4" s="147"/>
      <c r="F4" s="147"/>
      <c r="G4" s="147"/>
      <c r="H4" s="147"/>
      <c r="I4" s="147"/>
    </row>
    <row r="5" spans="1:9" ht="22.5">
      <c r="B5" s="148" t="s">
        <v>803</v>
      </c>
      <c r="C5" s="1011">
        <v>43637</v>
      </c>
      <c r="D5" s="147"/>
      <c r="E5" s="147"/>
      <c r="F5" s="147"/>
      <c r="G5" s="147"/>
      <c r="H5" s="147"/>
      <c r="I5" s="147"/>
    </row>
    <row r="6" spans="1:9">
      <c r="B6" s="407" t="s">
        <v>331</v>
      </c>
      <c r="C6" s="370" t="s">
        <v>804</v>
      </c>
      <c r="D6" s="147"/>
      <c r="E6" s="147"/>
      <c r="F6" s="147"/>
      <c r="G6" s="147"/>
      <c r="H6" s="147"/>
      <c r="I6" s="147"/>
    </row>
    <row r="7" spans="1:9" ht="22.5">
      <c r="B7" s="148" t="s">
        <v>805</v>
      </c>
      <c r="C7" s="1011">
        <v>43539</v>
      </c>
      <c r="D7" s="147"/>
      <c r="E7" s="147"/>
      <c r="F7" s="147"/>
      <c r="G7" s="147"/>
      <c r="H7" s="147"/>
      <c r="I7" s="147"/>
    </row>
    <row r="8" spans="1:9">
      <c r="B8" s="1012" t="s">
        <v>806</v>
      </c>
      <c r="C8" s="1011"/>
      <c r="D8" s="147"/>
      <c r="E8" s="147"/>
      <c r="F8" s="147"/>
      <c r="G8" s="147"/>
      <c r="H8" s="147"/>
      <c r="I8" s="147"/>
    </row>
    <row r="9" spans="1:9">
      <c r="B9" s="2714" t="s">
        <v>172</v>
      </c>
      <c r="C9" s="2714"/>
      <c r="D9" s="2714"/>
      <c r="E9" s="2714"/>
      <c r="F9" s="2714"/>
      <c r="G9" s="2714"/>
      <c r="H9" s="2714"/>
      <c r="I9" s="147"/>
    </row>
    <row r="10" spans="1:9">
      <c r="B10" s="68" t="s">
        <v>143</v>
      </c>
      <c r="C10" s="1868">
        <f>+C2</f>
        <v>183655609.5</v>
      </c>
      <c r="D10" s="1013"/>
      <c r="E10" s="1014"/>
      <c r="F10" s="1014"/>
      <c r="G10" s="1014"/>
      <c r="H10" s="1015"/>
      <c r="I10" s="147"/>
    </row>
    <row r="11" spans="1:9" ht="24.75" customHeight="1">
      <c r="B11" s="401" t="s">
        <v>337</v>
      </c>
      <c r="C11" s="401" t="s">
        <v>40</v>
      </c>
      <c r="D11" s="2715" t="s">
        <v>755</v>
      </c>
      <c r="E11" s="2716"/>
      <c r="F11" s="397" t="s">
        <v>43</v>
      </c>
      <c r="G11" s="397" t="s">
        <v>129</v>
      </c>
      <c r="H11" s="397" t="s">
        <v>47</v>
      </c>
      <c r="I11" s="397" t="s">
        <v>48</v>
      </c>
    </row>
    <row r="12" spans="1:9">
      <c r="A12" s="2">
        <v>1</v>
      </c>
      <c r="B12" s="16">
        <v>43637</v>
      </c>
      <c r="C12" s="1011">
        <v>43646</v>
      </c>
      <c r="D12" s="1016">
        <v>0</v>
      </c>
      <c r="E12" s="1016">
        <v>4.5199999999999997E-2</v>
      </c>
      <c r="F12" s="160">
        <f>((1+E12)^(1/365)-1)</f>
        <v>1.2112584107204505E-4</v>
      </c>
      <c r="G12" s="490">
        <v>0</v>
      </c>
      <c r="H12" s="1018"/>
      <c r="I12" s="1019">
        <f>(F12*G12)*H12</f>
        <v>0</v>
      </c>
    </row>
    <row r="13" spans="1:9">
      <c r="A13" s="2">
        <v>2</v>
      </c>
      <c r="B13" s="16">
        <v>43647</v>
      </c>
      <c r="C13" s="16">
        <v>43677</v>
      </c>
      <c r="D13" s="1016">
        <v>0</v>
      </c>
      <c r="E13" s="1016">
        <v>4.4699999999999997E-2</v>
      </c>
      <c r="F13" s="160">
        <f t="shared" ref="F13:F43" si="0">((1+E13)^(1/365)-1)</f>
        <v>1.198147466965338E-4</v>
      </c>
      <c r="G13" s="490">
        <v>0</v>
      </c>
      <c r="H13" s="1018"/>
      <c r="I13" s="1019">
        <f t="shared" ref="I13:I43" si="1">(F13*G13)*H13</f>
        <v>0</v>
      </c>
    </row>
    <row r="14" spans="1:9">
      <c r="A14" s="2">
        <v>3</v>
      </c>
      <c r="B14" s="16">
        <v>43678</v>
      </c>
      <c r="C14" s="1011">
        <v>43708</v>
      </c>
      <c r="D14" s="1016">
        <v>0</v>
      </c>
      <c r="E14" s="1016">
        <v>4.4299999999999999E-2</v>
      </c>
      <c r="F14" s="160">
        <f t="shared" si="0"/>
        <v>1.187654205565547E-4</v>
      </c>
      <c r="G14" s="490">
        <v>0</v>
      </c>
      <c r="H14" s="1018"/>
      <c r="I14" s="1019">
        <f t="shared" si="1"/>
        <v>0</v>
      </c>
    </row>
    <row r="15" spans="1:9">
      <c r="A15" s="2">
        <v>4</v>
      </c>
      <c r="B15" s="16">
        <v>43709</v>
      </c>
      <c r="C15" s="1011">
        <v>43738</v>
      </c>
      <c r="D15" s="1016">
        <v>0</v>
      </c>
      <c r="E15" s="1016">
        <v>4.48E-2</v>
      </c>
      <c r="F15" s="160">
        <f t="shared" si="0"/>
        <v>1.2007701562666284E-4</v>
      </c>
      <c r="G15" s="490">
        <v>0</v>
      </c>
      <c r="H15" s="1018"/>
      <c r="I15" s="1019">
        <f t="shared" si="1"/>
        <v>0</v>
      </c>
    </row>
    <row r="16" spans="1:9">
      <c r="A16" s="2">
        <v>5</v>
      </c>
      <c r="B16" s="16">
        <v>43739</v>
      </c>
      <c r="C16" s="16">
        <v>43759</v>
      </c>
      <c r="D16" s="1016">
        <v>0</v>
      </c>
      <c r="E16" s="1016">
        <v>4.41E-2</v>
      </c>
      <c r="F16" s="160">
        <f t="shared" si="0"/>
        <v>1.1824060716802975E-4</v>
      </c>
      <c r="G16" s="1869">
        <v>0</v>
      </c>
      <c r="H16" s="1018"/>
      <c r="I16" s="1019">
        <f t="shared" si="1"/>
        <v>0</v>
      </c>
    </row>
    <row r="17" spans="1:20">
      <c r="A17" s="2">
        <v>6</v>
      </c>
      <c r="B17" s="16">
        <v>43760</v>
      </c>
      <c r="C17" s="16">
        <v>43769</v>
      </c>
      <c r="D17" s="1016">
        <v>0</v>
      </c>
      <c r="E17" s="1016">
        <v>4.41E-2</v>
      </c>
      <c r="F17" s="160">
        <f t="shared" si="0"/>
        <v>1.1824060716802975E-4</v>
      </c>
      <c r="G17" s="1869">
        <f>+$C$10</f>
        <v>183655609.5</v>
      </c>
      <c r="H17" s="1018">
        <f t="shared" ref="H17:H43" si="2">_xlfn.DAYS(C17,B17)+1</f>
        <v>10</v>
      </c>
      <c r="I17" s="1872">
        <f t="shared" si="1"/>
        <v>217155.50777094573</v>
      </c>
    </row>
    <row r="18" spans="1:20">
      <c r="A18" s="2">
        <v>7</v>
      </c>
      <c r="B18" s="16">
        <v>43770</v>
      </c>
      <c r="C18" s="1011">
        <v>43799</v>
      </c>
      <c r="D18" s="1016">
        <v>0</v>
      </c>
      <c r="E18" s="1016">
        <v>4.4299999999999999E-2</v>
      </c>
      <c r="F18" s="160">
        <f t="shared" si="0"/>
        <v>1.187654205565547E-4</v>
      </c>
      <c r="G18" s="1869">
        <f t="shared" ref="G18:G43" si="3">+$C$10</f>
        <v>183655609.5</v>
      </c>
      <c r="H18" s="1018">
        <f t="shared" si="2"/>
        <v>30</v>
      </c>
      <c r="I18" s="1872">
        <f t="shared" si="1"/>
        <v>654358.07099513651</v>
      </c>
    </row>
    <row r="19" spans="1:20">
      <c r="A19" s="2">
        <v>8</v>
      </c>
      <c r="B19" s="16">
        <v>43800</v>
      </c>
      <c r="C19" s="1011">
        <v>43830</v>
      </c>
      <c r="D19" s="1016">
        <v>0</v>
      </c>
      <c r="E19" s="1016">
        <v>4.5199999999999997E-2</v>
      </c>
      <c r="F19" s="160">
        <f t="shared" si="0"/>
        <v>1.2112584107204505E-4</v>
      </c>
      <c r="G19" s="1869">
        <f t="shared" si="3"/>
        <v>183655609.5</v>
      </c>
      <c r="H19" s="1018">
        <f t="shared" si="2"/>
        <v>31</v>
      </c>
      <c r="I19" s="1872">
        <f t="shared" si="1"/>
        <v>689608.64521688363</v>
      </c>
    </row>
    <row r="20" spans="1:20">
      <c r="A20" s="2">
        <v>9</v>
      </c>
      <c r="B20" s="16">
        <v>43831</v>
      </c>
      <c r="C20" s="16">
        <v>43861</v>
      </c>
      <c r="D20" s="1016">
        <v>0</v>
      </c>
      <c r="E20" s="1016">
        <v>4.5400000000000003E-2</v>
      </c>
      <c r="F20" s="160">
        <f t="shared" si="0"/>
        <v>1.2165010369624696E-4</v>
      </c>
      <c r="G20" s="1869">
        <f t="shared" si="3"/>
        <v>183655609.5</v>
      </c>
      <c r="H20" s="1018">
        <f t="shared" si="2"/>
        <v>31</v>
      </c>
      <c r="I20" s="1872">
        <f t="shared" si="1"/>
        <v>692593.44214224559</v>
      </c>
    </row>
    <row r="21" spans="1:20">
      <c r="A21" s="2">
        <v>10</v>
      </c>
      <c r="B21" s="16">
        <v>43862</v>
      </c>
      <c r="C21" s="1011">
        <v>43890</v>
      </c>
      <c r="D21" s="1016">
        <v>0</v>
      </c>
      <c r="E21" s="1016">
        <v>4.4600000000000001E-2</v>
      </c>
      <c r="F21" s="160">
        <f t="shared" si="0"/>
        <v>1.1955245272932125E-4</v>
      </c>
      <c r="G21" s="1869">
        <f t="shared" si="3"/>
        <v>183655609.5</v>
      </c>
      <c r="H21" s="1018">
        <f t="shared" si="2"/>
        <v>29</v>
      </c>
      <c r="I21" s="1872">
        <f t="shared" si="1"/>
        <v>636737.87862347951</v>
      </c>
    </row>
    <row r="22" spans="1:20">
      <c r="A22" s="2">
        <v>11</v>
      </c>
      <c r="B22" s="16">
        <v>43891</v>
      </c>
      <c r="C22" s="1011">
        <v>43921</v>
      </c>
      <c r="D22" s="1016">
        <v>0</v>
      </c>
      <c r="E22" s="1016">
        <v>4.4999999999999998E-2</v>
      </c>
      <c r="F22" s="160">
        <f t="shared" si="0"/>
        <v>1.2060147839498825E-4</v>
      </c>
      <c r="G22" s="1869">
        <f t="shared" si="3"/>
        <v>183655609.5</v>
      </c>
      <c r="H22" s="1018">
        <f t="shared" si="2"/>
        <v>31</v>
      </c>
      <c r="I22" s="1872">
        <f t="shared" si="1"/>
        <v>686623.27865821205</v>
      </c>
    </row>
    <row r="23" spans="1:20">
      <c r="A23" s="2">
        <v>12</v>
      </c>
      <c r="B23" s="16">
        <v>43922</v>
      </c>
      <c r="C23" s="16">
        <v>43951</v>
      </c>
      <c r="D23" s="1016">
        <v>0</v>
      </c>
      <c r="E23" s="1016">
        <v>4.5499999999999999E-2</v>
      </c>
      <c r="F23" s="160">
        <f t="shared" si="0"/>
        <v>1.2191219750046223E-4</v>
      </c>
      <c r="G23" s="1869">
        <f t="shared" si="3"/>
        <v>183655609.5</v>
      </c>
      <c r="H23" s="1018">
        <f t="shared" si="2"/>
        <v>30</v>
      </c>
      <c r="I23" s="1872">
        <f t="shared" si="1"/>
        <v>671695.76812295301</v>
      </c>
    </row>
    <row r="24" spans="1:20">
      <c r="A24" s="2">
        <v>13</v>
      </c>
      <c r="B24" s="16">
        <v>43952</v>
      </c>
      <c r="C24" s="1011">
        <v>43982</v>
      </c>
      <c r="D24" s="1016">
        <v>0</v>
      </c>
      <c r="E24" s="1016">
        <v>4.2900000000000001E-2</v>
      </c>
      <c r="F24" s="160">
        <f t="shared" si="0"/>
        <v>1.1508961995976286E-4</v>
      </c>
      <c r="G24" s="1869">
        <f t="shared" si="3"/>
        <v>183655609.5</v>
      </c>
      <c r="H24" s="1018">
        <f t="shared" si="2"/>
        <v>31</v>
      </c>
      <c r="I24" s="1872">
        <f t="shared" si="1"/>
        <v>655242.48332584195</v>
      </c>
    </row>
    <row r="25" spans="1:20">
      <c r="A25" s="2">
        <v>14</v>
      </c>
      <c r="B25" s="16">
        <v>43983</v>
      </c>
      <c r="C25" s="1011">
        <v>44012</v>
      </c>
      <c r="D25" s="1016">
        <v>0</v>
      </c>
      <c r="E25" s="1016">
        <v>3.7600000000000001E-2</v>
      </c>
      <c r="F25" s="160">
        <f t="shared" si="0"/>
        <v>1.0112937081929729E-4</v>
      </c>
      <c r="G25" s="1869">
        <f t="shared" si="3"/>
        <v>183655609.5</v>
      </c>
      <c r="H25" s="1018">
        <f t="shared" si="2"/>
        <v>30</v>
      </c>
      <c r="I25" s="1872">
        <f t="shared" si="1"/>
        <v>557189.28708508669</v>
      </c>
    </row>
    <row r="26" spans="1:20" s="635" customFormat="1" ht="13.5" thickBot="1">
      <c r="A26" s="78">
        <v>15</v>
      </c>
      <c r="B26" s="16">
        <v>44013</v>
      </c>
      <c r="C26" s="16">
        <v>44043</v>
      </c>
      <c r="D26" s="1016">
        <v>0</v>
      </c>
      <c r="E26" s="1016">
        <v>3.3399999999999999E-2</v>
      </c>
      <c r="F26" s="160">
        <f t="shared" si="0"/>
        <v>9.0015933029263806E-5</v>
      </c>
      <c r="G26" s="1869">
        <f t="shared" si="3"/>
        <v>183655609.5</v>
      </c>
      <c r="H26" s="1018">
        <f t="shared" si="2"/>
        <v>31</v>
      </c>
      <c r="I26" s="1872">
        <f t="shared" si="1"/>
        <v>512489.86240121938</v>
      </c>
      <c r="J26"/>
      <c r="K26"/>
      <c r="L26"/>
      <c r="M26"/>
      <c r="N26"/>
      <c r="O26"/>
      <c r="P26"/>
      <c r="Q26"/>
      <c r="R26"/>
      <c r="S26"/>
      <c r="T26"/>
    </row>
    <row r="27" spans="1:20" ht="13.5" thickBot="1">
      <c r="A27" s="633">
        <v>16</v>
      </c>
      <c r="B27" s="385">
        <v>44044</v>
      </c>
      <c r="C27" s="385">
        <v>44065</v>
      </c>
      <c r="D27" s="1020">
        <v>0</v>
      </c>
      <c r="E27" s="1020">
        <v>2.7900000000000001E-2</v>
      </c>
      <c r="F27" s="1021">
        <f t="shared" si="0"/>
        <v>7.5394310601994974E-5</v>
      </c>
      <c r="G27" s="1870">
        <f t="shared" si="3"/>
        <v>183655609.5</v>
      </c>
      <c r="H27" s="1023">
        <f>_xlfn.DAYS(C27,B27)+1</f>
        <v>22</v>
      </c>
      <c r="I27" s="1873">
        <f t="shared" si="1"/>
        <v>304624.93746171735</v>
      </c>
    </row>
    <row r="28" spans="1:20">
      <c r="A28" s="34">
        <v>17</v>
      </c>
      <c r="B28" s="98">
        <v>44066</v>
      </c>
      <c r="C28" s="1025">
        <v>44074</v>
      </c>
      <c r="D28" s="1026">
        <v>0.18290000000000001</v>
      </c>
      <c r="E28" s="1026">
        <f t="shared" ref="E28:E43" si="4">+D28*1.5</f>
        <v>0.27434999999999998</v>
      </c>
      <c r="F28" s="1027">
        <f t="shared" si="0"/>
        <v>6.6442952514544906E-4</v>
      </c>
      <c r="G28" s="1871">
        <f t="shared" si="3"/>
        <v>183655609.5</v>
      </c>
      <c r="H28" s="1029">
        <f>_xlfn.DAYS(C28,B28)+1</f>
        <v>9</v>
      </c>
      <c r="I28" s="1874">
        <f t="shared" si="1"/>
        <v>1098235.884693447</v>
      </c>
    </row>
    <row r="29" spans="1:20">
      <c r="A29" s="2">
        <v>18</v>
      </c>
      <c r="B29" s="16">
        <v>44075</v>
      </c>
      <c r="C29" s="1011">
        <v>44104</v>
      </c>
      <c r="D29" s="1016">
        <v>0.1835</v>
      </c>
      <c r="E29" s="1016">
        <f t="shared" si="4"/>
        <v>0.27524999999999999</v>
      </c>
      <c r="F29" s="160">
        <f t="shared" si="0"/>
        <v>6.6636503991857055E-4</v>
      </c>
      <c r="G29" s="1869">
        <f t="shared" si="3"/>
        <v>183655609.5</v>
      </c>
      <c r="H29" s="1018">
        <f t="shared" si="2"/>
        <v>30</v>
      </c>
      <c r="I29" s="1872">
        <f t="shared" si="1"/>
        <v>3671450.3266721074</v>
      </c>
    </row>
    <row r="30" spans="1:20">
      <c r="A30" s="2">
        <v>18</v>
      </c>
      <c r="B30" s="16">
        <v>44105</v>
      </c>
      <c r="C30" s="16">
        <v>44135</v>
      </c>
      <c r="D30" s="1016">
        <v>0.18090000000000001</v>
      </c>
      <c r="E30" s="1016">
        <f t="shared" si="4"/>
        <v>0.27134999999999998</v>
      </c>
      <c r="F30" s="160">
        <f t="shared" si="0"/>
        <v>6.5796794962613703E-4</v>
      </c>
      <c r="G30" s="1869">
        <f t="shared" si="3"/>
        <v>183655609.5</v>
      </c>
      <c r="H30" s="1018">
        <f t="shared" si="2"/>
        <v>31</v>
      </c>
      <c r="I30" s="1872">
        <f t="shared" si="1"/>
        <v>3746024.6494216584</v>
      </c>
    </row>
    <row r="31" spans="1:20">
      <c r="A31" s="2">
        <v>19</v>
      </c>
      <c r="B31" s="16">
        <v>44136</v>
      </c>
      <c r="C31" s="1011">
        <v>44165</v>
      </c>
      <c r="D31" s="1016">
        <v>0.1784</v>
      </c>
      <c r="E31" s="1016">
        <f t="shared" si="4"/>
        <v>0.2676</v>
      </c>
      <c r="F31" s="160">
        <f t="shared" si="0"/>
        <v>6.4986956374091243E-4</v>
      </c>
      <c r="G31" s="1869">
        <f t="shared" si="3"/>
        <v>183655609.5</v>
      </c>
      <c r="H31" s="1018">
        <f t="shared" si="2"/>
        <v>30</v>
      </c>
      <c r="I31" s="1872">
        <f t="shared" si="1"/>
        <v>3580565.7247300912</v>
      </c>
    </row>
    <row r="32" spans="1:20">
      <c r="A32" s="2">
        <v>20</v>
      </c>
      <c r="B32" s="16">
        <v>44166</v>
      </c>
      <c r="C32" s="1011">
        <v>44196</v>
      </c>
      <c r="D32" s="1016">
        <v>0.17460000000000001</v>
      </c>
      <c r="E32" s="1016">
        <f t="shared" si="4"/>
        <v>0.26190000000000002</v>
      </c>
      <c r="F32" s="160">
        <f t="shared" si="0"/>
        <v>6.3751414410861962E-4</v>
      </c>
      <c r="G32" s="1869">
        <f t="shared" si="3"/>
        <v>183655609.5</v>
      </c>
      <c r="H32" s="1018">
        <f t="shared" si="2"/>
        <v>31</v>
      </c>
      <c r="I32" s="1872">
        <f t="shared" si="1"/>
        <v>3629574.5097353207</v>
      </c>
    </row>
    <row r="33" spans="1:9">
      <c r="A33" s="2">
        <v>21</v>
      </c>
      <c r="B33" s="16">
        <v>44197</v>
      </c>
      <c r="C33" s="1011">
        <v>44227</v>
      </c>
      <c r="D33" s="1016">
        <v>0.17319999999999999</v>
      </c>
      <c r="E33" s="1016">
        <f t="shared" si="4"/>
        <v>0.25979999999999998</v>
      </c>
      <c r="F33" s="160">
        <f t="shared" si="0"/>
        <v>6.3294811266723094E-4</v>
      </c>
      <c r="G33" s="1869">
        <f t="shared" si="3"/>
        <v>183655609.5</v>
      </c>
      <c r="H33" s="1018">
        <f t="shared" si="2"/>
        <v>31</v>
      </c>
      <c r="I33" s="1872">
        <f t="shared" si="1"/>
        <v>3603578.6138270241</v>
      </c>
    </row>
    <row r="34" spans="1:9">
      <c r="A34" s="2">
        <v>22</v>
      </c>
      <c r="B34" s="16">
        <v>44228</v>
      </c>
      <c r="C34" s="1011">
        <v>44255</v>
      </c>
      <c r="D34" s="1016">
        <v>0.1754</v>
      </c>
      <c r="E34" s="1016">
        <f t="shared" si="4"/>
        <v>0.2631</v>
      </c>
      <c r="F34" s="160">
        <f t="shared" si="0"/>
        <v>6.4011990387169426E-4</v>
      </c>
      <c r="G34" s="1869">
        <f t="shared" si="3"/>
        <v>183655609.5</v>
      </c>
      <c r="H34" s="1018">
        <f t="shared" si="2"/>
        <v>28</v>
      </c>
      <c r="I34" s="1872">
        <f t="shared" si="1"/>
        <v>3291725.1107618478</v>
      </c>
    </row>
    <row r="35" spans="1:9">
      <c r="A35" s="2">
        <v>23</v>
      </c>
      <c r="B35" s="16">
        <v>44256</v>
      </c>
      <c r="C35" s="1011">
        <v>44286</v>
      </c>
      <c r="D35" s="1016">
        <v>0.1741</v>
      </c>
      <c r="E35" s="1016">
        <f t="shared" si="4"/>
        <v>0.26114999999999999</v>
      </c>
      <c r="F35" s="160">
        <f t="shared" si="0"/>
        <v>6.3588428907812578E-4</v>
      </c>
      <c r="G35" s="1869">
        <f t="shared" si="3"/>
        <v>183655609.5</v>
      </c>
      <c r="H35" s="1018">
        <f t="shared" si="2"/>
        <v>31</v>
      </c>
      <c r="I35" s="1872">
        <f t="shared" si="1"/>
        <v>3620295.217145639</v>
      </c>
    </row>
    <row r="36" spans="1:9">
      <c r="A36" s="2">
        <v>24</v>
      </c>
      <c r="B36" s="16">
        <v>44287</v>
      </c>
      <c r="C36" s="1011">
        <v>44316</v>
      </c>
      <c r="D36" s="1016">
        <v>0.1731</v>
      </c>
      <c r="E36" s="1016">
        <f t="shared" si="4"/>
        <v>0.25964999999999999</v>
      </c>
      <c r="F36" s="160">
        <f t="shared" si="0"/>
        <v>6.326216771728177E-4</v>
      </c>
      <c r="G36" s="1869">
        <f t="shared" si="3"/>
        <v>183655609.5</v>
      </c>
      <c r="H36" s="1018">
        <f t="shared" si="2"/>
        <v>30</v>
      </c>
      <c r="I36" s="1872">
        <f t="shared" si="1"/>
        <v>3485535.5911225821</v>
      </c>
    </row>
    <row r="37" spans="1:9">
      <c r="A37" s="2">
        <v>25</v>
      </c>
      <c r="B37" s="16">
        <v>44317</v>
      </c>
      <c r="C37" s="1011">
        <v>44347</v>
      </c>
      <c r="D37" s="1016">
        <v>0.17219999999999999</v>
      </c>
      <c r="E37" s="1016">
        <f t="shared" si="4"/>
        <v>0.25829999999999997</v>
      </c>
      <c r="F37" s="160">
        <f t="shared" si="0"/>
        <v>6.2968201205726437E-4</v>
      </c>
      <c r="G37" s="1869">
        <f t="shared" si="3"/>
        <v>183655609.5</v>
      </c>
      <c r="H37" s="1018">
        <f t="shared" si="2"/>
        <v>31</v>
      </c>
      <c r="I37" s="1872">
        <f t="shared" si="1"/>
        <v>3584983.6451824601</v>
      </c>
    </row>
    <row r="38" spans="1:9">
      <c r="A38" s="2">
        <v>26</v>
      </c>
      <c r="B38" s="16">
        <v>44348</v>
      </c>
      <c r="C38" s="1011">
        <v>44377</v>
      </c>
      <c r="D38" s="1016">
        <v>0.1721</v>
      </c>
      <c r="E38" s="1016">
        <f t="shared" si="4"/>
        <v>0.25814999999999999</v>
      </c>
      <c r="F38" s="160">
        <f t="shared" si="0"/>
        <v>6.2935518846773952E-4</v>
      </c>
      <c r="G38" s="1869">
        <f t="shared" si="3"/>
        <v>183655609.5</v>
      </c>
      <c r="H38" s="1018">
        <f t="shared" si="2"/>
        <v>30</v>
      </c>
      <c r="I38" s="1872">
        <f t="shared" si="1"/>
        <v>3467538.3219009023</v>
      </c>
    </row>
    <row r="39" spans="1:9">
      <c r="A39" s="2">
        <v>27</v>
      </c>
      <c r="B39" s="16">
        <v>44378</v>
      </c>
      <c r="C39" s="1011">
        <v>44408</v>
      </c>
      <c r="D39" s="1016">
        <v>0.17180000000000001</v>
      </c>
      <c r="E39" s="1016">
        <f t="shared" si="4"/>
        <v>0.25770000000000004</v>
      </c>
      <c r="F39" s="160">
        <f t="shared" si="0"/>
        <v>6.2837448450037137E-4</v>
      </c>
      <c r="G39" s="1869">
        <f t="shared" si="3"/>
        <v>183655609.5</v>
      </c>
      <c r="H39" s="1018">
        <f t="shared" si="2"/>
        <v>31</v>
      </c>
      <c r="I39" s="1872">
        <f t="shared" si="1"/>
        <v>3577539.467300084</v>
      </c>
    </row>
    <row r="40" spans="1:9">
      <c r="A40" s="2">
        <v>28</v>
      </c>
      <c r="B40" s="16">
        <v>44409</v>
      </c>
      <c r="C40" s="1011">
        <v>44439</v>
      </c>
      <c r="D40" s="1031">
        <v>0.1724</v>
      </c>
      <c r="E40" s="1016">
        <f t="shared" si="4"/>
        <v>0.2586</v>
      </c>
      <c r="F40" s="160">
        <f t="shared" si="0"/>
        <v>6.3033554269220637E-4</v>
      </c>
      <c r="G40" s="1869">
        <f t="shared" si="3"/>
        <v>183655609.5</v>
      </c>
      <c r="H40" s="1018">
        <f t="shared" si="2"/>
        <v>31</v>
      </c>
      <c r="I40" s="1872">
        <f t="shared" si="1"/>
        <v>3588704.4067621632</v>
      </c>
    </row>
    <row r="41" spans="1:9">
      <c r="A41" s="2">
        <v>29</v>
      </c>
      <c r="B41" s="16">
        <v>44440</v>
      </c>
      <c r="C41" s="1011">
        <v>44469</v>
      </c>
      <c r="D41" s="1016">
        <v>0.1719</v>
      </c>
      <c r="E41" s="1016">
        <f t="shared" si="4"/>
        <v>0.25785000000000002</v>
      </c>
      <c r="F41" s="160">
        <f t="shared" si="0"/>
        <v>6.2870142469861889E-4</v>
      </c>
      <c r="G41" s="1869">
        <f t="shared" si="3"/>
        <v>183655609.5</v>
      </c>
      <c r="H41" s="1018">
        <f t="shared" si="2"/>
        <v>30</v>
      </c>
      <c r="I41" s="1872">
        <f t="shared" si="1"/>
        <v>3463936.3003962962</v>
      </c>
    </row>
    <row r="42" spans="1:9">
      <c r="A42" s="2">
        <v>30</v>
      </c>
      <c r="B42" s="16">
        <v>44470</v>
      </c>
      <c r="C42" s="1011">
        <v>44500</v>
      </c>
      <c r="D42" s="1031">
        <v>0.17080000000000001</v>
      </c>
      <c r="E42" s="1016">
        <f t="shared" si="4"/>
        <v>0.25619999999999998</v>
      </c>
      <c r="F42" s="160">
        <f t="shared" si="0"/>
        <v>6.2510294214179751E-4</v>
      </c>
      <c r="G42" s="1869">
        <f t="shared" si="3"/>
        <v>183655609.5</v>
      </c>
      <c r="H42" s="1018">
        <f t="shared" si="2"/>
        <v>31</v>
      </c>
      <c r="I42" s="1872">
        <f t="shared" si="1"/>
        <v>3558913.5170181468</v>
      </c>
    </row>
    <row r="43" spans="1:9">
      <c r="A43" s="2">
        <v>31</v>
      </c>
      <c r="B43" s="16">
        <v>44501</v>
      </c>
      <c r="C43" s="1011">
        <v>44517</v>
      </c>
      <c r="D43" s="1016">
        <v>0.17269999999999999</v>
      </c>
      <c r="E43" s="1016">
        <f t="shared" si="4"/>
        <v>0.25905</v>
      </c>
      <c r="F43" s="160">
        <f t="shared" si="0"/>
        <v>6.3131554742335005E-4</v>
      </c>
      <c r="G43" s="1869">
        <f t="shared" si="3"/>
        <v>183655609.5</v>
      </c>
      <c r="H43" s="1018">
        <f t="shared" si="2"/>
        <v>17</v>
      </c>
      <c r="I43" s="1872">
        <f t="shared" si="1"/>
        <v>1971058.9080306457</v>
      </c>
    </row>
    <row r="44" spans="1:9">
      <c r="B44" s="147"/>
      <c r="C44" s="147"/>
      <c r="D44" s="147"/>
      <c r="E44" s="147"/>
      <c r="F44" s="147"/>
      <c r="G44" s="1032" t="s">
        <v>338</v>
      </c>
      <c r="H44" s="1033"/>
      <c r="I44" s="1872">
        <f>SUM(I12:I43)</f>
        <v>59217979.356504135</v>
      </c>
    </row>
    <row r="45" spans="1:9">
      <c r="B45" s="2717" t="s">
        <v>55</v>
      </c>
      <c r="C45" s="2717"/>
      <c r="D45" s="147"/>
      <c r="E45" s="147"/>
      <c r="F45" s="147"/>
      <c r="G45" s="2718" t="s">
        <v>339</v>
      </c>
      <c r="H45" s="2718"/>
      <c r="I45" s="1872">
        <f>+C10+I44</f>
        <v>242873588.85650414</v>
      </c>
    </row>
    <row r="46" spans="1:9">
      <c r="B46" s="354" t="s">
        <v>56</v>
      </c>
      <c r="C46" s="354"/>
      <c r="D46" s="147"/>
      <c r="E46" s="147"/>
      <c r="F46" s="147"/>
      <c r="G46" s="147"/>
      <c r="H46" s="147"/>
      <c r="I46" s="147"/>
    </row>
    <row r="47" spans="1:9">
      <c r="B47" s="233" t="s">
        <v>164</v>
      </c>
      <c r="C47" s="1872">
        <f>+C2</f>
        <v>183655609.5</v>
      </c>
      <c r="D47" s="147"/>
      <c r="E47" s="147"/>
      <c r="F47" s="147"/>
      <c r="G47" s="147"/>
      <c r="H47" s="147"/>
      <c r="I47" s="147"/>
    </row>
    <row r="48" spans="1:9">
      <c r="B48" s="533" t="s">
        <v>792</v>
      </c>
      <c r="C48" s="1872">
        <f>+I44</f>
        <v>59217979.356504135</v>
      </c>
      <c r="D48" s="147"/>
      <c r="E48" s="147"/>
      <c r="F48" s="147"/>
      <c r="G48" s="147"/>
      <c r="H48" s="147"/>
      <c r="I48" s="147"/>
    </row>
    <row r="49" spans="2:9">
      <c r="B49" s="604" t="s">
        <v>61</v>
      </c>
      <c r="C49" s="1872">
        <f>SUM(C47:C48)</f>
        <v>242873588.85650414</v>
      </c>
      <c r="D49" s="147"/>
      <c r="E49" s="147"/>
      <c r="F49" s="147"/>
      <c r="G49" s="147"/>
      <c r="H49" s="147"/>
      <c r="I49" s="147"/>
    </row>
  </sheetData>
  <mergeCells count="4">
    <mergeCell ref="B9:H9"/>
    <mergeCell ref="D11:E11"/>
    <mergeCell ref="B45:C45"/>
    <mergeCell ref="G45:H45"/>
  </mergeCells>
  <conditionalFormatting sqref="B11:C11">
    <cfRule type="duplicateValues" dxfId="32" priority="1"/>
  </conditionalFormatting>
  <pageMargins left="0.7" right="0.7" top="0.75" bottom="0.75" header="0.3" footer="0.3"/>
  <pageSetup paperSize="9" scale="7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26"/>
  <dimension ref="A1:T49"/>
  <sheetViews>
    <sheetView topLeftCell="A33" zoomScaleNormal="100" workbookViewId="0">
      <selection activeCell="C2" sqref="C2"/>
    </sheetView>
  </sheetViews>
  <sheetFormatPr defaultColWidth="9.140625" defaultRowHeight="12.75"/>
  <cols>
    <col min="1" max="1" width="4.42578125" customWidth="1"/>
    <col min="2" max="2" width="18.5703125" customWidth="1"/>
    <col min="3" max="3" width="21.5703125" customWidth="1"/>
    <col min="4" max="4" width="11.7109375" bestFit="1" customWidth="1"/>
    <col min="5" max="5" width="8.7109375" customWidth="1"/>
    <col min="6" max="6" width="9" customWidth="1"/>
    <col min="7" max="7" width="14.28515625" customWidth="1"/>
    <col min="8" max="8" width="12.85546875" customWidth="1"/>
    <col min="9" max="9" width="16" customWidth="1"/>
    <col min="10" max="10" width="15.5703125" bestFit="1" customWidth="1"/>
    <col min="11" max="256" width="11.42578125" customWidth="1"/>
  </cols>
  <sheetData>
    <row r="1" spans="1:9" ht="22.5">
      <c r="B1" s="148" t="s">
        <v>0</v>
      </c>
      <c r="C1" s="370" t="s">
        <v>800</v>
      </c>
      <c r="D1" s="147"/>
      <c r="E1" s="147"/>
      <c r="F1" s="147"/>
      <c r="G1" s="147"/>
      <c r="H1" s="147"/>
      <c r="I1" s="147"/>
    </row>
    <row r="2" spans="1:9">
      <c r="B2" s="407" t="s">
        <v>67</v>
      </c>
      <c r="C2" s="159">
        <v>183655609</v>
      </c>
      <c r="D2" s="147"/>
      <c r="E2" s="147"/>
      <c r="F2" s="147"/>
      <c r="G2" s="147"/>
      <c r="H2" s="147"/>
      <c r="I2" s="147"/>
    </row>
    <row r="3" spans="1:9">
      <c r="B3" s="148" t="s">
        <v>801</v>
      </c>
      <c r="C3" s="370" t="s">
        <v>802</v>
      </c>
      <c r="D3" s="147"/>
      <c r="E3" s="147"/>
      <c r="F3" s="147"/>
      <c r="G3" s="147"/>
      <c r="H3" s="147"/>
      <c r="I3" s="147"/>
    </row>
    <row r="4" spans="1:9">
      <c r="B4" s="407" t="s">
        <v>4</v>
      </c>
      <c r="C4" s="1011">
        <v>43601</v>
      </c>
      <c r="D4" s="147"/>
      <c r="E4" s="147"/>
      <c r="F4" s="147"/>
      <c r="G4" s="147"/>
      <c r="H4" s="147"/>
      <c r="I4" s="147"/>
    </row>
    <row r="5" spans="1:9" ht="22.5">
      <c r="B5" s="148" t="s">
        <v>803</v>
      </c>
      <c r="C5" s="1011">
        <v>43637</v>
      </c>
      <c r="D5" s="147"/>
      <c r="E5" s="147"/>
      <c r="F5" s="147"/>
      <c r="G5" s="147"/>
      <c r="H5" s="147"/>
      <c r="I5" s="147"/>
    </row>
    <row r="6" spans="1:9">
      <c r="B6" s="407" t="s">
        <v>331</v>
      </c>
      <c r="C6" s="370" t="s">
        <v>804</v>
      </c>
      <c r="D6" s="147"/>
      <c r="E6" s="147"/>
      <c r="F6" s="147"/>
      <c r="G6" s="147"/>
      <c r="H6" s="147"/>
      <c r="I6" s="147"/>
    </row>
    <row r="7" spans="1:9" ht="22.5">
      <c r="B7" s="148" t="s">
        <v>805</v>
      </c>
      <c r="C7" s="1011">
        <v>43539</v>
      </c>
      <c r="D7" s="147"/>
      <c r="E7" s="147"/>
      <c r="F7" s="147"/>
      <c r="G7" s="147"/>
      <c r="H7" s="147"/>
      <c r="I7" s="147"/>
    </row>
    <row r="8" spans="1:9">
      <c r="B8" s="1012" t="s">
        <v>806</v>
      </c>
      <c r="C8" s="1011"/>
      <c r="D8" s="147"/>
      <c r="E8" s="147"/>
      <c r="F8" s="147"/>
      <c r="G8" s="147"/>
      <c r="H8" s="147"/>
      <c r="I8" s="147"/>
    </row>
    <row r="9" spans="1:9">
      <c r="B9" s="2714" t="s">
        <v>172</v>
      </c>
      <c r="C9" s="2714"/>
      <c r="D9" s="2714"/>
      <c r="E9" s="2714"/>
      <c r="F9" s="2714"/>
      <c r="G9" s="2714"/>
      <c r="H9" s="2714"/>
      <c r="I9" s="147"/>
    </row>
    <row r="10" spans="1:9">
      <c r="B10" s="68" t="s">
        <v>143</v>
      </c>
      <c r="C10" s="603">
        <f>+C2</f>
        <v>183655609</v>
      </c>
      <c r="D10" s="1013"/>
      <c r="E10" s="1014"/>
      <c r="F10" s="1014"/>
      <c r="G10" s="1014"/>
      <c r="H10" s="1015"/>
      <c r="I10" s="147"/>
    </row>
    <row r="11" spans="1:9" ht="24.75" customHeight="1">
      <c r="B11" s="401" t="s">
        <v>337</v>
      </c>
      <c r="C11" s="401" t="s">
        <v>40</v>
      </c>
      <c r="D11" s="2715" t="s">
        <v>755</v>
      </c>
      <c r="E11" s="2716"/>
      <c r="F11" s="397" t="s">
        <v>43</v>
      </c>
      <c r="G11" s="397" t="s">
        <v>129</v>
      </c>
      <c r="H11" s="397" t="s">
        <v>47</v>
      </c>
      <c r="I11" s="397" t="s">
        <v>48</v>
      </c>
    </row>
    <row r="12" spans="1:9">
      <c r="A12" s="2">
        <v>1</v>
      </c>
      <c r="B12" s="16">
        <v>43637</v>
      </c>
      <c r="C12" s="1011">
        <v>43646</v>
      </c>
      <c r="D12" s="1016">
        <v>0</v>
      </c>
      <c r="E12" s="1016">
        <v>4.5199999999999997E-2</v>
      </c>
      <c r="F12" s="160">
        <f>((1+E12)^(1/365)-1)</f>
        <v>1.2112584107204505E-4</v>
      </c>
      <c r="G12" s="1017">
        <v>0</v>
      </c>
      <c r="H12" s="1018"/>
      <c r="I12" s="1019">
        <f>(F12*G12)*H12</f>
        <v>0</v>
      </c>
    </row>
    <row r="13" spans="1:9">
      <c r="A13" s="2">
        <v>2</v>
      </c>
      <c r="B13" s="16">
        <v>43647</v>
      </c>
      <c r="C13" s="16">
        <v>43677</v>
      </c>
      <c r="D13" s="1016">
        <v>0</v>
      </c>
      <c r="E13" s="1016">
        <v>4.4699999999999997E-2</v>
      </c>
      <c r="F13" s="160">
        <f t="shared" ref="F13:F42" si="0">((1+E13)^(1/365)-1)</f>
        <v>1.198147466965338E-4</v>
      </c>
      <c r="G13" s="1017">
        <v>0</v>
      </c>
      <c r="H13" s="1018"/>
      <c r="I13" s="1019">
        <f>(F13*G13)*H13</f>
        <v>0</v>
      </c>
    </row>
    <row r="14" spans="1:9">
      <c r="A14" s="2">
        <v>3</v>
      </c>
      <c r="B14" s="16">
        <v>43678</v>
      </c>
      <c r="C14" s="1011">
        <v>43708</v>
      </c>
      <c r="D14" s="1016">
        <v>0</v>
      </c>
      <c r="E14" s="1016">
        <v>4.4299999999999999E-2</v>
      </c>
      <c r="F14" s="160">
        <f t="shared" si="0"/>
        <v>1.187654205565547E-4</v>
      </c>
      <c r="G14" s="1017">
        <v>0</v>
      </c>
      <c r="H14" s="1018"/>
      <c r="I14" s="1019">
        <f>(F14*G14)*H14</f>
        <v>0</v>
      </c>
    </row>
    <row r="15" spans="1:9">
      <c r="A15" s="2">
        <v>4</v>
      </c>
      <c r="B15" s="16">
        <v>43709</v>
      </c>
      <c r="C15" s="1011">
        <v>43738</v>
      </c>
      <c r="D15" s="1016">
        <v>0</v>
      </c>
      <c r="E15" s="1016">
        <v>4.48E-2</v>
      </c>
      <c r="F15" s="160">
        <f t="shared" si="0"/>
        <v>1.2007701562666284E-4</v>
      </c>
      <c r="G15" s="1017">
        <v>0</v>
      </c>
      <c r="H15" s="1018"/>
      <c r="I15" s="1019">
        <f>(F15*G15)*H15</f>
        <v>0</v>
      </c>
    </row>
    <row r="16" spans="1:9">
      <c r="A16" s="2">
        <v>5</v>
      </c>
      <c r="B16" s="16">
        <v>43739</v>
      </c>
      <c r="C16" s="16">
        <v>43759</v>
      </c>
      <c r="D16" s="1016">
        <v>0</v>
      </c>
      <c r="E16" s="1016">
        <v>4.41E-2</v>
      </c>
      <c r="F16" s="160">
        <f t="shared" si="0"/>
        <v>1.1824060716802975E-4</v>
      </c>
      <c r="G16" s="159">
        <v>0</v>
      </c>
      <c r="H16" s="1018"/>
      <c r="I16" s="1019">
        <f t="shared" ref="I16:I28" si="1">(F16*G16)*H16</f>
        <v>0</v>
      </c>
    </row>
    <row r="17" spans="1:20">
      <c r="A17" s="2">
        <v>6</v>
      </c>
      <c r="B17" s="16">
        <v>43760</v>
      </c>
      <c r="C17" s="16">
        <v>43769</v>
      </c>
      <c r="D17" s="1016">
        <v>0</v>
      </c>
      <c r="E17" s="1016">
        <v>4.41E-2</v>
      </c>
      <c r="F17" s="160">
        <f t="shared" si="0"/>
        <v>1.1824060716802975E-4</v>
      </c>
      <c r="G17" s="159">
        <f>+$C$10</f>
        <v>183655609</v>
      </c>
      <c r="H17" s="1018">
        <f t="shared" ref="H17:H42" si="2">_xlfn.DAYS(C17,B17)+1</f>
        <v>10</v>
      </c>
      <c r="I17" s="1019">
        <f t="shared" si="1"/>
        <v>217155.50717974271</v>
      </c>
    </row>
    <row r="18" spans="1:20">
      <c r="A18" s="2">
        <v>7</v>
      </c>
      <c r="B18" s="16">
        <v>43770</v>
      </c>
      <c r="C18" s="1011">
        <v>43799</v>
      </c>
      <c r="D18" s="1016">
        <v>0</v>
      </c>
      <c r="E18" s="1016">
        <v>4.4299999999999999E-2</v>
      </c>
      <c r="F18" s="160">
        <f t="shared" si="0"/>
        <v>1.187654205565547E-4</v>
      </c>
      <c r="G18" s="159">
        <f t="shared" ref="G18:G43" si="3">+$C$10</f>
        <v>183655609</v>
      </c>
      <c r="H18" s="1018">
        <f t="shared" si="2"/>
        <v>30</v>
      </c>
      <c r="I18" s="1019">
        <f t="shared" si="1"/>
        <v>654358.0692136552</v>
      </c>
    </row>
    <row r="19" spans="1:20">
      <c r="A19" s="2">
        <v>8</v>
      </c>
      <c r="B19" s="16">
        <v>43800</v>
      </c>
      <c r="C19" s="1011">
        <v>43830</v>
      </c>
      <c r="D19" s="1016">
        <v>0</v>
      </c>
      <c r="E19" s="1016">
        <v>4.5199999999999997E-2</v>
      </c>
      <c r="F19" s="160">
        <f t="shared" si="0"/>
        <v>1.2112584107204505E-4</v>
      </c>
      <c r="G19" s="159">
        <f t="shared" si="3"/>
        <v>183655609</v>
      </c>
      <c r="H19" s="1018">
        <f t="shared" si="2"/>
        <v>31</v>
      </c>
      <c r="I19" s="1019">
        <f t="shared" si="1"/>
        <v>689608.64333943301</v>
      </c>
    </row>
    <row r="20" spans="1:20">
      <c r="A20" s="2">
        <v>9</v>
      </c>
      <c r="B20" s="16">
        <v>43831</v>
      </c>
      <c r="C20" s="16">
        <v>43861</v>
      </c>
      <c r="D20" s="1016">
        <v>0</v>
      </c>
      <c r="E20" s="1016">
        <v>4.5400000000000003E-2</v>
      </c>
      <c r="F20" s="160">
        <f t="shared" si="0"/>
        <v>1.2165010369624696E-4</v>
      </c>
      <c r="G20" s="159">
        <f t="shared" si="3"/>
        <v>183655609</v>
      </c>
      <c r="H20" s="1018">
        <f t="shared" si="2"/>
        <v>31</v>
      </c>
      <c r="I20" s="1019">
        <f t="shared" si="1"/>
        <v>692593.44025666895</v>
      </c>
    </row>
    <row r="21" spans="1:20">
      <c r="A21" s="2">
        <v>10</v>
      </c>
      <c r="B21" s="16">
        <v>43862</v>
      </c>
      <c r="C21" s="1011">
        <v>43890</v>
      </c>
      <c r="D21" s="1016">
        <v>0</v>
      </c>
      <c r="E21" s="1016">
        <v>4.4600000000000001E-2</v>
      </c>
      <c r="F21" s="160">
        <f t="shared" si="0"/>
        <v>1.1955245272932125E-4</v>
      </c>
      <c r="G21" s="159">
        <f t="shared" si="3"/>
        <v>183655609</v>
      </c>
      <c r="H21" s="1018">
        <f t="shared" si="2"/>
        <v>29</v>
      </c>
      <c r="I21" s="1019">
        <f t="shared" si="1"/>
        <v>636737.87688996887</v>
      </c>
    </row>
    <row r="22" spans="1:20">
      <c r="A22" s="2">
        <v>11</v>
      </c>
      <c r="B22" s="16">
        <v>43891</v>
      </c>
      <c r="C22" s="1011">
        <v>43921</v>
      </c>
      <c r="D22" s="1016">
        <v>0</v>
      </c>
      <c r="E22" s="1016">
        <v>4.4999999999999998E-2</v>
      </c>
      <c r="F22" s="160">
        <f t="shared" si="0"/>
        <v>1.2060147839498825E-4</v>
      </c>
      <c r="G22" s="159">
        <f t="shared" si="3"/>
        <v>183655609</v>
      </c>
      <c r="H22" s="1018">
        <f t="shared" si="2"/>
        <v>31</v>
      </c>
      <c r="I22" s="1019">
        <f t="shared" si="1"/>
        <v>686623.2767888892</v>
      </c>
    </row>
    <row r="23" spans="1:20">
      <c r="A23" s="2">
        <v>12</v>
      </c>
      <c r="B23" s="16">
        <v>43922</v>
      </c>
      <c r="C23" s="16">
        <v>43951</v>
      </c>
      <c r="D23" s="1016">
        <v>0</v>
      </c>
      <c r="E23" s="1016">
        <v>4.5499999999999999E-2</v>
      </c>
      <c r="F23" s="160">
        <f t="shared" si="0"/>
        <v>1.2191219750046223E-4</v>
      </c>
      <c r="G23" s="159">
        <f t="shared" si="3"/>
        <v>183655609</v>
      </c>
      <c r="H23" s="1018">
        <f t="shared" si="2"/>
        <v>30</v>
      </c>
      <c r="I23" s="1019">
        <f t="shared" si="1"/>
        <v>671695.76629427006</v>
      </c>
    </row>
    <row r="24" spans="1:20">
      <c r="A24" s="2">
        <v>13</v>
      </c>
      <c r="B24" s="16">
        <v>43952</v>
      </c>
      <c r="C24" s="1011">
        <v>43982</v>
      </c>
      <c r="D24" s="1016">
        <v>0</v>
      </c>
      <c r="E24" s="1016">
        <v>4.2900000000000001E-2</v>
      </c>
      <c r="F24" s="160">
        <f t="shared" si="0"/>
        <v>1.1508961995976286E-4</v>
      </c>
      <c r="G24" s="159">
        <f t="shared" si="3"/>
        <v>183655609</v>
      </c>
      <c r="H24" s="1018">
        <f t="shared" si="2"/>
        <v>31</v>
      </c>
      <c r="I24" s="1019">
        <f t="shared" si="1"/>
        <v>655242.48154195293</v>
      </c>
    </row>
    <row r="25" spans="1:20">
      <c r="A25" s="2">
        <v>14</v>
      </c>
      <c r="B25" s="16">
        <v>43983</v>
      </c>
      <c r="C25" s="1011">
        <v>44012</v>
      </c>
      <c r="D25" s="1016">
        <v>0</v>
      </c>
      <c r="E25" s="1016">
        <v>3.7600000000000001E-2</v>
      </c>
      <c r="F25" s="160">
        <f t="shared" si="0"/>
        <v>1.0112937081929729E-4</v>
      </c>
      <c r="G25" s="159">
        <f t="shared" si="3"/>
        <v>183655609</v>
      </c>
      <c r="H25" s="1018">
        <f t="shared" si="2"/>
        <v>30</v>
      </c>
      <c r="I25" s="1019">
        <f t="shared" si="1"/>
        <v>557189.28556814615</v>
      </c>
    </row>
    <row r="26" spans="1:20" s="635" customFormat="1" ht="13.5" thickBot="1">
      <c r="A26" s="78">
        <v>15</v>
      </c>
      <c r="B26" s="16">
        <v>44013</v>
      </c>
      <c r="C26" s="16">
        <v>44043</v>
      </c>
      <c r="D26" s="1016">
        <v>0</v>
      </c>
      <c r="E26" s="1016">
        <v>3.3399999999999999E-2</v>
      </c>
      <c r="F26" s="160">
        <f t="shared" si="0"/>
        <v>9.0015933029263806E-5</v>
      </c>
      <c r="G26" s="159">
        <f t="shared" si="3"/>
        <v>183655609</v>
      </c>
      <c r="H26" s="1018">
        <f t="shared" si="2"/>
        <v>31</v>
      </c>
      <c r="I26" s="1019">
        <f t="shared" si="1"/>
        <v>512489.86100597249</v>
      </c>
      <c r="J26"/>
      <c r="K26"/>
      <c r="L26"/>
      <c r="M26"/>
      <c r="N26"/>
      <c r="O26"/>
      <c r="P26"/>
      <c r="Q26"/>
      <c r="R26"/>
      <c r="S26"/>
      <c r="T26"/>
    </row>
    <row r="27" spans="1:20" ht="13.5" thickBot="1">
      <c r="A27" s="633">
        <v>16</v>
      </c>
      <c r="B27" s="385">
        <v>44044</v>
      </c>
      <c r="C27" s="385">
        <v>44065</v>
      </c>
      <c r="D27" s="1020">
        <v>0</v>
      </c>
      <c r="E27" s="1020">
        <v>2.7900000000000001E-2</v>
      </c>
      <c r="F27" s="1021">
        <f t="shared" si="0"/>
        <v>7.5394310601994974E-5</v>
      </c>
      <c r="G27" s="1022">
        <f t="shared" si="3"/>
        <v>183655609</v>
      </c>
      <c r="H27" s="1023">
        <f>_xlfn.DAYS(C27,B27)+1</f>
        <v>22</v>
      </c>
      <c r="I27" s="1024">
        <f t="shared" si="1"/>
        <v>304624.93663237995</v>
      </c>
    </row>
    <row r="28" spans="1:20">
      <c r="A28" s="34">
        <v>17</v>
      </c>
      <c r="B28" s="98">
        <v>44066</v>
      </c>
      <c r="C28" s="1025">
        <v>44074</v>
      </c>
      <c r="D28" s="1026">
        <v>0.18290000000000001</v>
      </c>
      <c r="E28" s="1026">
        <f t="shared" ref="E28:E40" si="4">+D28*1.5</f>
        <v>0.27434999999999998</v>
      </c>
      <c r="F28" s="1027">
        <f t="shared" si="0"/>
        <v>6.6442952514544906E-4</v>
      </c>
      <c r="G28" s="1028">
        <f t="shared" si="3"/>
        <v>183655609</v>
      </c>
      <c r="H28" s="1029">
        <f>_xlfn.DAYS(C28,B28)+1</f>
        <v>9</v>
      </c>
      <c r="I28" s="1030">
        <f t="shared" si="1"/>
        <v>1098235.8817035144</v>
      </c>
    </row>
    <row r="29" spans="1:20">
      <c r="A29" s="2">
        <v>18</v>
      </c>
      <c r="B29" s="16">
        <v>44075</v>
      </c>
      <c r="C29" s="1011">
        <v>44104</v>
      </c>
      <c r="D29" s="1016">
        <v>0.1835</v>
      </c>
      <c r="E29" s="1016">
        <f t="shared" si="4"/>
        <v>0.27524999999999999</v>
      </c>
      <c r="F29" s="160">
        <f t="shared" si="0"/>
        <v>6.6636503991857055E-4</v>
      </c>
      <c r="G29" s="159">
        <f t="shared" si="3"/>
        <v>183655609</v>
      </c>
      <c r="H29" s="1018">
        <f t="shared" si="2"/>
        <v>30</v>
      </c>
      <c r="I29" s="1019">
        <f t="shared" ref="I29:I42" si="5">(F29*G29)*H29</f>
        <v>3671450.3166766316</v>
      </c>
    </row>
    <row r="30" spans="1:20">
      <c r="A30" s="2">
        <v>18</v>
      </c>
      <c r="B30" s="16">
        <v>44105</v>
      </c>
      <c r="C30" s="16">
        <v>44135</v>
      </c>
      <c r="D30" s="1016">
        <v>0.18090000000000001</v>
      </c>
      <c r="E30" s="1016">
        <f t="shared" si="4"/>
        <v>0.27134999999999998</v>
      </c>
      <c r="F30" s="160">
        <f t="shared" si="0"/>
        <v>6.5796794962613703E-4</v>
      </c>
      <c r="G30" s="159">
        <f t="shared" si="3"/>
        <v>183655609</v>
      </c>
      <c r="H30" s="1018">
        <f t="shared" si="2"/>
        <v>31</v>
      </c>
      <c r="I30" s="1019">
        <f t="shared" si="5"/>
        <v>3746024.6392231551</v>
      </c>
    </row>
    <row r="31" spans="1:20">
      <c r="A31" s="2">
        <v>19</v>
      </c>
      <c r="B31" s="16">
        <v>44136</v>
      </c>
      <c r="C31" s="1011">
        <v>44165</v>
      </c>
      <c r="D31" s="1016">
        <v>0.1784</v>
      </c>
      <c r="E31" s="1016">
        <f t="shared" si="4"/>
        <v>0.2676</v>
      </c>
      <c r="F31" s="160">
        <f t="shared" si="0"/>
        <v>6.4986956374091243E-4</v>
      </c>
      <c r="G31" s="159">
        <f t="shared" si="3"/>
        <v>183655609</v>
      </c>
      <c r="H31" s="1018">
        <f t="shared" si="2"/>
        <v>30</v>
      </c>
      <c r="I31" s="1019">
        <f t="shared" si="5"/>
        <v>3580565.7149820477</v>
      </c>
    </row>
    <row r="32" spans="1:20">
      <c r="A32" s="2">
        <v>20</v>
      </c>
      <c r="B32" s="16">
        <v>44166</v>
      </c>
      <c r="C32" s="1011">
        <v>44196</v>
      </c>
      <c r="D32" s="1016">
        <v>0.17460000000000001</v>
      </c>
      <c r="E32" s="1016">
        <f t="shared" si="4"/>
        <v>0.26190000000000002</v>
      </c>
      <c r="F32" s="160">
        <f t="shared" si="0"/>
        <v>6.3751414410861962E-4</v>
      </c>
      <c r="G32" s="159">
        <f t="shared" si="3"/>
        <v>183655609</v>
      </c>
      <c r="H32" s="1018">
        <f t="shared" si="2"/>
        <v>31</v>
      </c>
      <c r="I32" s="1019">
        <f t="shared" si="5"/>
        <v>3629574.4998538513</v>
      </c>
    </row>
    <row r="33" spans="1:9">
      <c r="A33" s="2">
        <v>21</v>
      </c>
      <c r="B33" s="16">
        <v>44197</v>
      </c>
      <c r="C33" s="1011">
        <v>44227</v>
      </c>
      <c r="D33" s="1016">
        <v>0.17319999999999999</v>
      </c>
      <c r="E33" s="1016">
        <f t="shared" si="4"/>
        <v>0.25979999999999998</v>
      </c>
      <c r="F33" s="160">
        <f t="shared" si="0"/>
        <v>6.3294811266723094E-4</v>
      </c>
      <c r="G33" s="159">
        <f t="shared" si="3"/>
        <v>183655609</v>
      </c>
      <c r="H33" s="1018">
        <f t="shared" si="2"/>
        <v>31</v>
      </c>
      <c r="I33" s="1019">
        <f t="shared" si="5"/>
        <v>3603578.6040163287</v>
      </c>
    </row>
    <row r="34" spans="1:9">
      <c r="A34" s="2">
        <v>22</v>
      </c>
      <c r="B34" s="16">
        <v>44228</v>
      </c>
      <c r="C34" s="1011">
        <v>44255</v>
      </c>
      <c r="D34" s="1016">
        <v>0.1754</v>
      </c>
      <c r="E34" s="1016">
        <f t="shared" si="4"/>
        <v>0.2631</v>
      </c>
      <c r="F34" s="160">
        <f t="shared" si="0"/>
        <v>6.4011990387169426E-4</v>
      </c>
      <c r="G34" s="159">
        <f t="shared" si="3"/>
        <v>183655609</v>
      </c>
      <c r="H34" s="1018">
        <f t="shared" si="2"/>
        <v>28</v>
      </c>
      <c r="I34" s="1019">
        <f t="shared" si="5"/>
        <v>3291725.1018001689</v>
      </c>
    </row>
    <row r="35" spans="1:9">
      <c r="A35" s="2">
        <v>23</v>
      </c>
      <c r="B35" s="16">
        <v>44256</v>
      </c>
      <c r="C35" s="1011">
        <v>44286</v>
      </c>
      <c r="D35" s="1016">
        <v>0.1741</v>
      </c>
      <c r="E35" s="1016">
        <f t="shared" si="4"/>
        <v>0.26114999999999999</v>
      </c>
      <c r="F35" s="160">
        <f t="shared" si="0"/>
        <v>6.3588428907812578E-4</v>
      </c>
      <c r="G35" s="159">
        <f t="shared" si="3"/>
        <v>183655609</v>
      </c>
      <c r="H35" s="1018">
        <f t="shared" si="2"/>
        <v>31</v>
      </c>
      <c r="I35" s="1019">
        <f t="shared" si="5"/>
        <v>3620295.2072894326</v>
      </c>
    </row>
    <row r="36" spans="1:9">
      <c r="A36" s="2">
        <v>24</v>
      </c>
      <c r="B36" s="16">
        <v>44287</v>
      </c>
      <c r="C36" s="1011">
        <v>44316</v>
      </c>
      <c r="D36" s="1016">
        <v>0.1731</v>
      </c>
      <c r="E36" s="1016">
        <f t="shared" si="4"/>
        <v>0.25964999999999999</v>
      </c>
      <c r="F36" s="160">
        <f t="shared" si="0"/>
        <v>6.326216771728177E-4</v>
      </c>
      <c r="G36" s="159">
        <f t="shared" si="3"/>
        <v>183655609</v>
      </c>
      <c r="H36" s="1018">
        <f t="shared" si="2"/>
        <v>30</v>
      </c>
      <c r="I36" s="1019">
        <f t="shared" si="5"/>
        <v>3485535.5816332567</v>
      </c>
    </row>
    <row r="37" spans="1:9">
      <c r="A37" s="2">
        <v>25</v>
      </c>
      <c r="B37" s="16">
        <v>44317</v>
      </c>
      <c r="C37" s="1011">
        <v>44347</v>
      </c>
      <c r="D37" s="1016">
        <v>0.17219999999999999</v>
      </c>
      <c r="E37" s="1016">
        <f t="shared" si="4"/>
        <v>0.25829999999999997</v>
      </c>
      <c r="F37" s="160">
        <f t="shared" si="0"/>
        <v>6.2968201205726437E-4</v>
      </c>
      <c r="G37" s="159">
        <f t="shared" si="3"/>
        <v>183655609</v>
      </c>
      <c r="H37" s="1018">
        <f t="shared" si="2"/>
        <v>31</v>
      </c>
      <c r="I37" s="1019">
        <f t="shared" si="5"/>
        <v>3584983.635422389</v>
      </c>
    </row>
    <row r="38" spans="1:9">
      <c r="A38" s="2">
        <v>26</v>
      </c>
      <c r="B38" s="16">
        <v>44348</v>
      </c>
      <c r="C38" s="1011">
        <v>44377</v>
      </c>
      <c r="D38" s="1016">
        <v>0.1721</v>
      </c>
      <c r="E38" s="1016">
        <f t="shared" si="4"/>
        <v>0.25814999999999999</v>
      </c>
      <c r="F38" s="160">
        <f t="shared" si="0"/>
        <v>6.2935518846773952E-4</v>
      </c>
      <c r="G38" s="159">
        <f t="shared" si="3"/>
        <v>183655609</v>
      </c>
      <c r="H38" s="1018">
        <f t="shared" si="2"/>
        <v>30</v>
      </c>
      <c r="I38" s="1019">
        <f t="shared" si="5"/>
        <v>3467538.3124605743</v>
      </c>
    </row>
    <row r="39" spans="1:9">
      <c r="A39" s="2">
        <v>27</v>
      </c>
      <c r="B39" s="16">
        <v>44378</v>
      </c>
      <c r="C39" s="1011">
        <v>44408</v>
      </c>
      <c r="D39" s="1016">
        <v>0.17180000000000001</v>
      </c>
      <c r="E39" s="1016">
        <f t="shared" si="4"/>
        <v>0.25770000000000004</v>
      </c>
      <c r="F39" s="160">
        <f t="shared" si="0"/>
        <v>6.2837448450037137E-4</v>
      </c>
      <c r="G39" s="159">
        <f t="shared" si="3"/>
        <v>183655609</v>
      </c>
      <c r="H39" s="1018">
        <f t="shared" si="2"/>
        <v>31</v>
      </c>
      <c r="I39" s="1019">
        <f t="shared" si="5"/>
        <v>3577539.4575602799</v>
      </c>
    </row>
    <row r="40" spans="1:9">
      <c r="A40" s="2">
        <v>28</v>
      </c>
      <c r="B40" s="16">
        <v>44409</v>
      </c>
      <c r="C40" s="1011">
        <v>44439</v>
      </c>
      <c r="D40" s="1031">
        <v>0.1724</v>
      </c>
      <c r="E40" s="1016">
        <f t="shared" si="4"/>
        <v>0.2586</v>
      </c>
      <c r="F40" s="160">
        <f t="shared" si="0"/>
        <v>6.3033554269220637E-4</v>
      </c>
      <c r="G40" s="159">
        <f t="shared" si="3"/>
        <v>183655609</v>
      </c>
      <c r="H40" s="1018">
        <f t="shared" si="2"/>
        <v>31</v>
      </c>
      <c r="I40" s="1019">
        <f t="shared" si="5"/>
        <v>3588704.3969919626</v>
      </c>
    </row>
    <row r="41" spans="1:9">
      <c r="A41" s="2">
        <v>29</v>
      </c>
      <c r="B41" s="16">
        <v>44440</v>
      </c>
      <c r="C41" s="1011">
        <v>44469</v>
      </c>
      <c r="D41" s="1016">
        <v>0.1719</v>
      </c>
      <c r="E41" s="1016">
        <f>+D41*1.5</f>
        <v>0.25785000000000002</v>
      </c>
      <c r="F41" s="160">
        <f t="shared" si="0"/>
        <v>6.2870142469861889E-4</v>
      </c>
      <c r="G41" s="159">
        <f t="shared" si="3"/>
        <v>183655609</v>
      </c>
      <c r="H41" s="1018">
        <f t="shared" si="2"/>
        <v>30</v>
      </c>
      <c r="I41" s="1019">
        <f t="shared" si="5"/>
        <v>3463936.290965775</v>
      </c>
    </row>
    <row r="42" spans="1:9">
      <c r="A42" s="2">
        <v>30</v>
      </c>
      <c r="B42" s="16">
        <v>44470</v>
      </c>
      <c r="C42" s="1011">
        <v>44500</v>
      </c>
      <c r="D42" s="1031">
        <v>0.17080000000000001</v>
      </c>
      <c r="E42" s="1016">
        <f>+D42*1.5</f>
        <v>0.25619999999999998</v>
      </c>
      <c r="F42" s="160">
        <f t="shared" si="0"/>
        <v>6.2510294214179751E-4</v>
      </c>
      <c r="G42" s="159">
        <f t="shared" si="3"/>
        <v>183655609</v>
      </c>
      <c r="H42" s="1018">
        <f t="shared" si="2"/>
        <v>31</v>
      </c>
      <c r="I42" s="1019">
        <f t="shared" si="5"/>
        <v>3558913.5073290509</v>
      </c>
    </row>
    <row r="43" spans="1:9">
      <c r="A43" s="2">
        <v>31</v>
      </c>
      <c r="B43" s="16">
        <v>44501</v>
      </c>
      <c r="C43" s="1011">
        <v>44517</v>
      </c>
      <c r="D43" s="1016">
        <v>0.17269999999999999</v>
      </c>
      <c r="E43" s="1016">
        <f>+D43*1.5</f>
        <v>0.25905</v>
      </c>
      <c r="F43" s="160">
        <f>((1+E43)^(1/365)-1)</f>
        <v>6.3131554742335005E-4</v>
      </c>
      <c r="G43" s="159">
        <f t="shared" si="3"/>
        <v>183655609</v>
      </c>
      <c r="H43" s="1018">
        <f>_xlfn.DAYS(C43,B43)+1</f>
        <v>17</v>
      </c>
      <c r="I43" s="1019">
        <f>(F43*G43)*H43</f>
        <v>1971058.9026644635</v>
      </c>
    </row>
    <row r="44" spans="1:9">
      <c r="B44" s="147"/>
      <c r="C44" s="147"/>
      <c r="D44" s="147"/>
      <c r="E44" s="147"/>
      <c r="F44" s="147"/>
      <c r="G44" s="1032" t="s">
        <v>338</v>
      </c>
      <c r="H44" s="1033"/>
      <c r="I44" s="1019">
        <f>SUM(I12:I43)</f>
        <v>59217979.195283949</v>
      </c>
    </row>
    <row r="45" spans="1:9">
      <c r="B45" s="2717" t="s">
        <v>55</v>
      </c>
      <c r="C45" s="2717"/>
      <c r="D45" s="147"/>
      <c r="E45" s="147"/>
      <c r="F45" s="147"/>
      <c r="G45" s="2718" t="s">
        <v>339</v>
      </c>
      <c r="H45" s="2718"/>
      <c r="I45" s="1019">
        <f>+C10+I44</f>
        <v>242873588.19528395</v>
      </c>
    </row>
    <row r="46" spans="1:9">
      <c r="B46" s="354" t="s">
        <v>56</v>
      </c>
      <c r="C46" s="354"/>
      <c r="D46" s="147"/>
      <c r="E46" s="147"/>
      <c r="F46" s="147"/>
      <c r="G46" s="147"/>
      <c r="H46" s="147"/>
      <c r="I46" s="147"/>
    </row>
    <row r="47" spans="1:9">
      <c r="B47" s="233" t="s">
        <v>164</v>
      </c>
      <c r="C47" s="1019">
        <f>+C2</f>
        <v>183655609</v>
      </c>
      <c r="D47" s="147"/>
      <c r="E47" s="147"/>
      <c r="F47" s="147"/>
      <c r="G47" s="147"/>
      <c r="H47" s="147"/>
      <c r="I47" s="147"/>
    </row>
    <row r="48" spans="1:9">
      <c r="B48" s="533" t="s">
        <v>792</v>
      </c>
      <c r="C48" s="1019">
        <f>+I44</f>
        <v>59217979.195283949</v>
      </c>
      <c r="D48" s="147"/>
      <c r="E48" s="147"/>
      <c r="F48" s="147"/>
      <c r="G48" s="147"/>
      <c r="H48" s="147"/>
      <c r="I48" s="147"/>
    </row>
    <row r="49" spans="2:9">
      <c r="B49" s="604" t="s">
        <v>61</v>
      </c>
      <c r="C49" s="1019">
        <f>SUM(C47:C48)</f>
        <v>242873588.19528395</v>
      </c>
      <c r="D49" s="147"/>
      <c r="E49" s="147"/>
      <c r="F49" s="147"/>
      <c r="G49" s="147"/>
      <c r="H49" s="147"/>
      <c r="I49" s="147"/>
    </row>
  </sheetData>
  <mergeCells count="4">
    <mergeCell ref="B9:H9"/>
    <mergeCell ref="B45:C45"/>
    <mergeCell ref="G45:H45"/>
    <mergeCell ref="D11:E11"/>
  </mergeCells>
  <conditionalFormatting sqref="B11:C11">
    <cfRule type="duplicateValues" dxfId="31" priority="1"/>
  </conditionalFormatting>
  <pageMargins left="0.7" right="0.7" top="0.75" bottom="0.75" header="0.3" footer="0.3"/>
  <pageSetup paperSize="9" scale="7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27"/>
  <dimension ref="B2:M31"/>
  <sheetViews>
    <sheetView topLeftCell="A12" zoomScale="91" zoomScaleNormal="91" workbookViewId="0">
      <selection activeCell="F10" sqref="F10"/>
    </sheetView>
  </sheetViews>
  <sheetFormatPr defaultColWidth="9.140625" defaultRowHeight="12.75"/>
  <cols>
    <col min="1" max="1" width="4.42578125" customWidth="1"/>
    <col min="2" max="2" width="16.140625" customWidth="1"/>
    <col min="3" max="3" width="24.42578125" customWidth="1"/>
    <col min="4" max="4" width="15" bestFit="1" customWidth="1"/>
    <col min="5" max="5" width="12.5703125" customWidth="1"/>
    <col min="6" max="6" width="12.28515625" customWidth="1"/>
    <col min="7" max="7" width="14.28515625" customWidth="1"/>
    <col min="8" max="8" width="14" customWidth="1"/>
    <col min="9" max="9" width="14.140625" customWidth="1"/>
    <col min="10" max="10" width="16" bestFit="1" customWidth="1"/>
    <col min="11" max="257" width="11.42578125" customWidth="1"/>
  </cols>
  <sheetData>
    <row r="2" spans="2:11">
      <c r="D2" s="32"/>
    </row>
    <row r="4" spans="2:11" ht="25.5">
      <c r="B4" s="648" t="s">
        <v>0</v>
      </c>
      <c r="C4" s="2497" t="s">
        <v>807</v>
      </c>
      <c r="F4" s="1"/>
      <c r="G4" s="116"/>
      <c r="H4" s="116"/>
      <c r="I4" s="116"/>
      <c r="J4" s="116"/>
      <c r="K4" s="116"/>
    </row>
    <row r="5" spans="2:11" ht="30.75" customHeight="1">
      <c r="B5" s="649" t="s">
        <v>808</v>
      </c>
      <c r="C5" s="196" t="s">
        <v>809</v>
      </c>
      <c r="F5" s="116"/>
      <c r="G5" s="116"/>
      <c r="H5" s="116"/>
      <c r="I5" s="116"/>
      <c r="J5" s="116"/>
      <c r="K5" s="116"/>
    </row>
    <row r="6" spans="2:11" ht="24.75" customHeight="1">
      <c r="B6" s="607" t="s">
        <v>124</v>
      </c>
      <c r="C6" s="608" t="s">
        <v>810</v>
      </c>
      <c r="F6" s="1"/>
      <c r="G6" s="116"/>
      <c r="H6" s="116"/>
      <c r="I6" s="116"/>
      <c r="J6" s="116"/>
      <c r="K6" s="116"/>
    </row>
    <row r="7" spans="2:11">
      <c r="B7" s="3" t="s">
        <v>143</v>
      </c>
      <c r="C7" s="404">
        <v>24250050</v>
      </c>
      <c r="G7" s="116"/>
      <c r="H7" s="116"/>
      <c r="I7" s="116"/>
      <c r="J7" s="116"/>
      <c r="K7" s="116"/>
    </row>
    <row r="8" spans="2:11">
      <c r="B8" s="611" t="s">
        <v>4</v>
      </c>
      <c r="C8" s="100">
        <v>43623</v>
      </c>
      <c r="G8" s="1"/>
      <c r="H8" s="53"/>
      <c r="I8" s="188"/>
    </row>
    <row r="9" spans="2:11" ht="15">
      <c r="B9" s="20" t="s">
        <v>226</v>
      </c>
    </row>
    <row r="10" spans="2:11" ht="15">
      <c r="B10" s="20" t="s">
        <v>811</v>
      </c>
    </row>
    <row r="11" spans="2:11" ht="49.5" customHeight="1">
      <c r="B11" s="57" t="s">
        <v>337</v>
      </c>
      <c r="C11" s="57" t="s">
        <v>40</v>
      </c>
      <c r="D11" s="57" t="s">
        <v>227</v>
      </c>
      <c r="E11" s="49" t="s">
        <v>228</v>
      </c>
      <c r="F11" s="57" t="s">
        <v>229</v>
      </c>
      <c r="G11" s="57" t="s">
        <v>230</v>
      </c>
      <c r="H11" s="49" t="s">
        <v>231</v>
      </c>
      <c r="I11" s="57" t="s">
        <v>232</v>
      </c>
      <c r="J11" s="49" t="s">
        <v>233</v>
      </c>
    </row>
    <row r="12" spans="2:11">
      <c r="B12" s="409">
        <v>42280</v>
      </c>
      <c r="C12" s="409">
        <v>42369</v>
      </c>
      <c r="D12" s="517">
        <f>+C7</f>
        <v>24250050</v>
      </c>
      <c r="E12" s="654">
        <v>3.6600000000000001E-2</v>
      </c>
      <c r="F12" s="653">
        <f>1+1+0.9032</f>
        <v>2.9032</v>
      </c>
      <c r="G12" s="654">
        <v>3.6600000000000001E-2</v>
      </c>
      <c r="H12" s="2504">
        <f t="shared" ref="H12:H18" si="0">(((D12*E12)/12*F12))+D12</f>
        <v>24464778.372738</v>
      </c>
      <c r="I12" s="30">
        <f>F12/100</f>
        <v>2.9031999999999999E-2</v>
      </c>
      <c r="J12" s="2505">
        <f t="shared" ref="J12:J18" si="1">+H12*I12</f>
        <v>710261.44571732963</v>
      </c>
    </row>
    <row r="13" spans="2:11">
      <c r="B13" s="409">
        <v>42370</v>
      </c>
      <c r="C13" s="409">
        <v>42735</v>
      </c>
      <c r="D13" s="517">
        <f t="shared" ref="D13:D18" si="2">+H12</f>
        <v>24464778.372738</v>
      </c>
      <c r="E13" s="654">
        <v>6.7699999999999996E-2</v>
      </c>
      <c r="F13" s="153">
        <v>12</v>
      </c>
      <c r="G13" s="654">
        <v>6.7699999999999996E-2</v>
      </c>
      <c r="H13" s="62">
        <f t="shared" si="0"/>
        <v>26121043.868572362</v>
      </c>
      <c r="I13" s="30">
        <v>0.12</v>
      </c>
      <c r="J13" s="2505">
        <f t="shared" si="1"/>
        <v>3134525.2642286834</v>
      </c>
    </row>
    <row r="14" spans="2:11">
      <c r="B14" s="409">
        <v>42736</v>
      </c>
      <c r="C14" s="409">
        <v>43100</v>
      </c>
      <c r="D14" s="517">
        <f t="shared" si="2"/>
        <v>26121043.868572362</v>
      </c>
      <c r="E14" s="654">
        <v>5.7500000000000002E-2</v>
      </c>
      <c r="F14" s="153">
        <v>12</v>
      </c>
      <c r="G14" s="654">
        <v>5.7500000000000002E-2</v>
      </c>
      <c r="H14" s="62">
        <f t="shared" si="0"/>
        <v>27623003.891015273</v>
      </c>
      <c r="I14" s="30">
        <v>0.12</v>
      </c>
      <c r="J14" s="2505">
        <f t="shared" si="1"/>
        <v>3314760.4669218324</v>
      </c>
    </row>
    <row r="15" spans="2:11">
      <c r="B15" s="409">
        <v>43101</v>
      </c>
      <c r="C15" s="409">
        <v>43465</v>
      </c>
      <c r="D15" s="517">
        <f t="shared" si="2"/>
        <v>27623003.891015273</v>
      </c>
      <c r="E15" s="654">
        <v>4.0899999999999999E-2</v>
      </c>
      <c r="F15" s="153">
        <v>12</v>
      </c>
      <c r="G15" s="654">
        <v>4.0899999999999999E-2</v>
      </c>
      <c r="H15" s="62">
        <f t="shared" si="0"/>
        <v>28752784.750157796</v>
      </c>
      <c r="I15" s="30">
        <v>0.12</v>
      </c>
      <c r="J15" s="2505">
        <f t="shared" si="1"/>
        <v>3450334.1700189356</v>
      </c>
    </row>
    <row r="16" spans="2:11">
      <c r="B16" s="409">
        <v>43466</v>
      </c>
      <c r="C16" s="409">
        <v>43830</v>
      </c>
      <c r="D16" s="517">
        <f t="shared" si="2"/>
        <v>28752784.750157796</v>
      </c>
      <c r="E16" s="654">
        <v>3.1800000000000002E-2</v>
      </c>
      <c r="F16" s="153">
        <v>12</v>
      </c>
      <c r="G16" s="654">
        <v>3.1800000000000002E-2</v>
      </c>
      <c r="H16" s="62">
        <f t="shared" si="0"/>
        <v>29667123.305212814</v>
      </c>
      <c r="I16" s="30">
        <v>0.12</v>
      </c>
      <c r="J16" s="2505">
        <f t="shared" si="1"/>
        <v>3560054.7966255378</v>
      </c>
    </row>
    <row r="17" spans="2:13">
      <c r="B17" s="409">
        <v>43831</v>
      </c>
      <c r="C17" s="409">
        <v>44196</v>
      </c>
      <c r="D17" s="517">
        <f t="shared" si="2"/>
        <v>29667123.305212814</v>
      </c>
      <c r="E17" s="654">
        <v>3.7999999999999999E-2</v>
      </c>
      <c r="F17" s="153">
        <v>12</v>
      </c>
      <c r="G17" s="654">
        <v>3.7999999999999999E-2</v>
      </c>
      <c r="H17" s="62">
        <f t="shared" si="0"/>
        <v>30794473.990810901</v>
      </c>
      <c r="I17" s="30">
        <v>0.12</v>
      </c>
      <c r="J17" s="2505">
        <f t="shared" si="1"/>
        <v>3695336.8788973079</v>
      </c>
    </row>
    <row r="18" spans="2:13">
      <c r="B18" s="409">
        <v>44197</v>
      </c>
      <c r="C18" s="409">
        <v>44522</v>
      </c>
      <c r="D18" s="517">
        <f t="shared" si="2"/>
        <v>30794473.990810901</v>
      </c>
      <c r="E18" s="656">
        <v>1.61E-2</v>
      </c>
      <c r="F18" s="655">
        <f>+M20</f>
        <v>10.866666666666667</v>
      </c>
      <c r="G18" s="654">
        <v>1.61E-2</v>
      </c>
      <c r="H18" s="609">
        <f t="shared" si="0"/>
        <v>31243440.313555818</v>
      </c>
      <c r="I18" s="395">
        <v>0.1087</v>
      </c>
      <c r="J18" s="2505">
        <f t="shared" si="1"/>
        <v>3396161.9620835176</v>
      </c>
    </row>
    <row r="19" spans="2:13" ht="16.5" customHeight="1" thickBot="1">
      <c r="B19" s="610"/>
      <c r="C19" s="610"/>
      <c r="D19" s="610"/>
      <c r="E19" s="610"/>
      <c r="F19" s="610"/>
      <c r="G19" s="610"/>
      <c r="H19" s="650" t="s">
        <v>812</v>
      </c>
      <c r="I19" s="651"/>
      <c r="J19" s="644">
        <f>SUM(J12:J18)</f>
        <v>21261434.984493144</v>
      </c>
      <c r="K19">
        <v>30</v>
      </c>
      <c r="L19">
        <v>1</v>
      </c>
    </row>
    <row r="20" spans="2:13" ht="13.5" thickTop="1">
      <c r="B20" s="610"/>
      <c r="C20" s="610"/>
      <c r="D20" s="610"/>
      <c r="E20" s="610"/>
      <c r="F20" s="610"/>
      <c r="G20" s="610"/>
      <c r="H20" s="610"/>
      <c r="I20" s="610"/>
      <c r="K20">
        <f>+L22</f>
        <v>326</v>
      </c>
      <c r="L20" t="s">
        <v>234</v>
      </c>
      <c r="M20" s="27">
        <f>+K20*L19/K19</f>
        <v>10.866666666666667</v>
      </c>
    </row>
    <row r="21" spans="2:13" ht="15">
      <c r="B21" s="657" t="s">
        <v>55</v>
      </c>
      <c r="C21" s="646"/>
      <c r="D21" s="610"/>
      <c r="E21" s="610"/>
      <c r="F21" s="610"/>
      <c r="G21" s="610"/>
      <c r="H21" s="610"/>
      <c r="I21" s="610"/>
      <c r="K21" s="7">
        <v>44197</v>
      </c>
    </row>
    <row r="22" spans="2:13" ht="14.25">
      <c r="B22" s="518" t="s">
        <v>67</v>
      </c>
      <c r="C22" s="652">
        <f>+C7</f>
        <v>24250050</v>
      </c>
      <c r="G22" s="610"/>
      <c r="H22" s="610"/>
      <c r="K22" s="7">
        <v>44522</v>
      </c>
      <c r="L22">
        <f>+_xlfn.DAYS(K22,K21)+1</f>
        <v>326</v>
      </c>
    </row>
    <row r="23" spans="2:13" ht="28.5">
      <c r="B23" s="518" t="s">
        <v>241</v>
      </c>
      <c r="C23" s="652">
        <f>+J19</f>
        <v>21261434.984493144</v>
      </c>
    </row>
    <row r="24" spans="2:13" ht="14.25">
      <c r="B24" s="518" t="s">
        <v>168</v>
      </c>
      <c r="C24" s="652">
        <v>2425005</v>
      </c>
    </row>
    <row r="25" spans="2:13" ht="15">
      <c r="B25" s="31" t="s">
        <v>97</v>
      </c>
      <c r="C25" s="535">
        <f>SUM(C22:C24)</f>
        <v>47936489.984493144</v>
      </c>
    </row>
    <row r="26" spans="2:13">
      <c r="B26" s="221" t="s">
        <v>62</v>
      </c>
    </row>
    <row r="27" spans="2:13">
      <c r="B27" s="217"/>
    </row>
    <row r="28" spans="2:13">
      <c r="B28" s="217"/>
    </row>
    <row r="29" spans="2:13">
      <c r="B29" s="476" t="s">
        <v>63</v>
      </c>
    </row>
    <row r="30" spans="2:13">
      <c r="B30" s="476" t="s">
        <v>64</v>
      </c>
    </row>
    <row r="31" spans="2:13">
      <c r="B31" s="221" t="s">
        <v>65</v>
      </c>
    </row>
  </sheetData>
  <pageMargins left="0.7" right="0.7" top="0.75" bottom="0.75" header="0.3" footer="0.3"/>
  <pageSetup paperSize="9" scale="62" orientation="portrait" r:id="rId1"/>
  <colBreaks count="1" manualBreakCount="1">
    <brk id="10"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C4553-01BA-4D22-BB2C-EEA5C3D95576}">
  <sheetPr codeName="Hoja28"/>
  <dimension ref="A2:I54"/>
  <sheetViews>
    <sheetView topLeftCell="A29" zoomScaleNormal="100" workbookViewId="0">
      <selection activeCell="G38" sqref="G38"/>
    </sheetView>
  </sheetViews>
  <sheetFormatPr defaultColWidth="11.42578125" defaultRowHeight="12.75"/>
  <cols>
    <col min="1" max="1" width="3.28515625" customWidth="1"/>
    <col min="2" max="2" width="18.42578125" customWidth="1"/>
    <col min="3" max="3" width="14.5703125" customWidth="1"/>
    <col min="5" max="5" width="9.7109375" customWidth="1"/>
    <col min="7" max="7" width="13.42578125" customWidth="1"/>
    <col min="8" max="8" width="12.140625" customWidth="1"/>
    <col min="9" max="9" width="11.7109375" customWidth="1"/>
  </cols>
  <sheetData>
    <row r="2" spans="1:9" ht="13.5">
      <c r="B2" s="947" t="s">
        <v>0</v>
      </c>
      <c r="C2" s="948" t="s">
        <v>813</v>
      </c>
      <c r="D2" s="948"/>
      <c r="E2" s="791"/>
      <c r="F2" s="791"/>
      <c r="G2" s="791"/>
      <c r="H2" s="791"/>
      <c r="I2" s="791"/>
    </row>
    <row r="3" spans="1:9" ht="25.5">
      <c r="B3" s="949" t="s">
        <v>814</v>
      </c>
      <c r="C3" s="950" t="s">
        <v>815</v>
      </c>
      <c r="D3" s="791"/>
      <c r="E3" s="791"/>
      <c r="F3" s="791"/>
      <c r="G3" s="791"/>
      <c r="H3" s="791"/>
      <c r="I3" s="791"/>
    </row>
    <row r="4" spans="1:9" ht="13.5">
      <c r="B4" s="951" t="s">
        <v>220</v>
      </c>
      <c r="C4" s="948" t="s">
        <v>816</v>
      </c>
      <c r="D4" s="948"/>
      <c r="E4" s="791"/>
      <c r="F4" s="791"/>
      <c r="G4" s="791"/>
      <c r="H4" s="791"/>
      <c r="I4" s="791"/>
    </row>
    <row r="5" spans="1:9" ht="38.25">
      <c r="B5" s="893" t="s">
        <v>817</v>
      </c>
      <c r="C5" s="952">
        <v>34393673</v>
      </c>
      <c r="D5" s="791"/>
      <c r="E5" s="791"/>
      <c r="F5" s="791"/>
      <c r="G5" s="791"/>
      <c r="H5" s="791"/>
      <c r="I5" s="791"/>
    </row>
    <row r="6" spans="1:9" ht="25.5">
      <c r="B6" s="893" t="s">
        <v>818</v>
      </c>
      <c r="C6" s="953">
        <v>43658</v>
      </c>
      <c r="D6" s="791"/>
      <c r="E6" s="791"/>
      <c r="F6" s="791"/>
      <c r="G6" s="791"/>
      <c r="H6" s="791"/>
      <c r="I6" s="791"/>
    </row>
    <row r="7" spans="1:9" ht="25.5">
      <c r="B7" s="893" t="s">
        <v>819</v>
      </c>
      <c r="C7" s="953">
        <v>43628</v>
      </c>
      <c r="D7" s="791"/>
      <c r="E7" s="791"/>
      <c r="F7" s="791"/>
      <c r="G7" s="791"/>
      <c r="H7" s="791"/>
      <c r="I7" s="791"/>
    </row>
    <row r="8" spans="1:9" ht="13.5">
      <c r="B8" s="946" t="s">
        <v>820</v>
      </c>
      <c r="C8" s="854"/>
      <c r="D8" s="791"/>
      <c r="E8" s="791"/>
      <c r="F8" s="791"/>
      <c r="G8" s="791"/>
      <c r="H8" s="791"/>
      <c r="I8" s="791"/>
    </row>
    <row r="9" spans="1:9" ht="13.5">
      <c r="B9" s="954" t="s">
        <v>821</v>
      </c>
      <c r="C9" s="854"/>
      <c r="D9" s="791"/>
      <c r="E9" s="791"/>
      <c r="F9" s="791"/>
      <c r="G9" s="791"/>
      <c r="H9" s="791"/>
      <c r="I9" s="791"/>
    </row>
    <row r="10" spans="1:9" ht="13.5">
      <c r="B10" s="951" t="s">
        <v>143</v>
      </c>
      <c r="C10" s="822">
        <f>+C5</f>
        <v>34393673</v>
      </c>
      <c r="D10" s="2644" t="s">
        <v>172</v>
      </c>
      <c r="E10" s="2645"/>
      <c r="F10" s="2645"/>
      <c r="G10" s="2645"/>
      <c r="H10" s="2645"/>
      <c r="I10" s="2646"/>
    </row>
    <row r="11" spans="1:9" ht="27" customHeight="1">
      <c r="B11" s="793" t="s">
        <v>337</v>
      </c>
      <c r="C11" s="793" t="s">
        <v>40</v>
      </c>
      <c r="D11" s="2712" t="s">
        <v>822</v>
      </c>
      <c r="E11" s="2713"/>
      <c r="F11" s="794" t="s">
        <v>43</v>
      </c>
      <c r="G11" s="794" t="s">
        <v>129</v>
      </c>
      <c r="H11" s="794" t="s">
        <v>47</v>
      </c>
      <c r="I11" s="794" t="s">
        <v>823</v>
      </c>
    </row>
    <row r="12" spans="1:9" ht="13.5">
      <c r="A12" s="2">
        <v>1</v>
      </c>
      <c r="B12" s="724">
        <v>43629</v>
      </c>
      <c r="C12" s="953">
        <v>43646</v>
      </c>
      <c r="D12" s="796">
        <v>0</v>
      </c>
      <c r="E12" s="796">
        <v>4.5199999999999997E-2</v>
      </c>
      <c r="F12" s="897">
        <f>((1+E12)^(1/365)-1)</f>
        <v>1.2112584107204505E-4</v>
      </c>
      <c r="G12" s="882">
        <f>+$C$10</f>
        <v>34393673</v>
      </c>
      <c r="H12" s="931">
        <f>+_xlfn.DAYS(C12,B12)+1</f>
        <v>18</v>
      </c>
      <c r="I12" s="895">
        <f>(F12*G12)*H12</f>
        <v>74987.326254273954</v>
      </c>
    </row>
    <row r="13" spans="1:9" ht="13.5">
      <c r="A13" s="2">
        <v>2</v>
      </c>
      <c r="B13" s="724">
        <v>43647</v>
      </c>
      <c r="C13" s="724">
        <v>43677</v>
      </c>
      <c r="D13" s="796">
        <v>0</v>
      </c>
      <c r="E13" s="796">
        <v>4.4699999999999997E-2</v>
      </c>
      <c r="F13" s="897">
        <f t="shared" ref="F13:F41" si="0">((1+E13)^(1/365)-1)</f>
        <v>1.198147466965338E-4</v>
      </c>
      <c r="G13" s="882">
        <f t="shared" ref="G13:G42" si="1">+$C$10</f>
        <v>34393673</v>
      </c>
      <c r="H13" s="931">
        <f t="shared" ref="H13:H41" si="2">+_xlfn.DAYS(C13,B13)+1</f>
        <v>31</v>
      </c>
      <c r="I13" s="895">
        <f t="shared" ref="I13:I26" si="3">(F13*G13)*H13</f>
        <v>127746.94577221083</v>
      </c>
    </row>
    <row r="14" spans="1:9" ht="13.5">
      <c r="A14" s="2">
        <v>3</v>
      </c>
      <c r="B14" s="724">
        <v>43678</v>
      </c>
      <c r="C14" s="953">
        <v>43708</v>
      </c>
      <c r="D14" s="796">
        <v>0</v>
      </c>
      <c r="E14" s="796">
        <v>4.4299999999999999E-2</v>
      </c>
      <c r="F14" s="897">
        <f t="shared" si="0"/>
        <v>1.187654205565547E-4</v>
      </c>
      <c r="G14" s="882">
        <f t="shared" si="1"/>
        <v>34393673</v>
      </c>
      <c r="H14" s="931">
        <f t="shared" si="2"/>
        <v>31</v>
      </c>
      <c r="I14" s="895">
        <f t="shared" si="3"/>
        <v>126628.15018821823</v>
      </c>
    </row>
    <row r="15" spans="1:9" ht="13.5">
      <c r="A15" s="2">
        <v>4</v>
      </c>
      <c r="B15" s="724">
        <v>43709</v>
      </c>
      <c r="C15" s="724">
        <v>43738</v>
      </c>
      <c r="D15" s="796">
        <v>0</v>
      </c>
      <c r="E15" s="796">
        <v>4.6699999999999998E-2</v>
      </c>
      <c r="F15" s="897">
        <f t="shared" si="0"/>
        <v>1.2505537460349991E-4</v>
      </c>
      <c r="G15" s="882">
        <f t="shared" si="1"/>
        <v>34393673</v>
      </c>
      <c r="H15" s="931">
        <f t="shared" si="2"/>
        <v>30</v>
      </c>
      <c r="I15" s="895">
        <f t="shared" si="3"/>
        <v>129033.40983015843</v>
      </c>
    </row>
    <row r="16" spans="1:9" ht="13.5">
      <c r="A16" s="2">
        <v>5</v>
      </c>
      <c r="B16" s="724">
        <v>43739</v>
      </c>
      <c r="C16" s="953">
        <v>43769</v>
      </c>
      <c r="D16" s="796">
        <v>0</v>
      </c>
      <c r="E16" s="796">
        <v>4.41E-2</v>
      </c>
      <c r="F16" s="897">
        <f t="shared" si="0"/>
        <v>1.1824060716802975E-4</v>
      </c>
      <c r="G16" s="882">
        <f t="shared" si="1"/>
        <v>34393673</v>
      </c>
      <c r="H16" s="931">
        <f t="shared" si="2"/>
        <v>31</v>
      </c>
      <c r="I16" s="895">
        <f t="shared" si="3"/>
        <v>126068.59212601882</v>
      </c>
    </row>
    <row r="17" spans="1:9" ht="13.5">
      <c r="A17" s="2">
        <v>6</v>
      </c>
      <c r="B17" s="724">
        <v>43770</v>
      </c>
      <c r="C17" s="724">
        <v>43799</v>
      </c>
      <c r="D17" s="796">
        <v>0</v>
      </c>
      <c r="E17" s="796">
        <v>4.4299999999999999E-2</v>
      </c>
      <c r="F17" s="897">
        <f t="shared" si="0"/>
        <v>1.187654205565547E-4</v>
      </c>
      <c r="G17" s="882">
        <f t="shared" si="1"/>
        <v>34393673</v>
      </c>
      <c r="H17" s="931">
        <f t="shared" si="2"/>
        <v>30</v>
      </c>
      <c r="I17" s="895">
        <f t="shared" si="3"/>
        <v>122543.37114988861</v>
      </c>
    </row>
    <row r="18" spans="1:9" ht="13.5">
      <c r="A18" s="2">
        <v>7</v>
      </c>
      <c r="B18" s="724">
        <v>43800</v>
      </c>
      <c r="C18" s="953">
        <v>43830</v>
      </c>
      <c r="D18" s="796">
        <v>0</v>
      </c>
      <c r="E18" s="796">
        <v>4.5199999999999997E-2</v>
      </c>
      <c r="F18" s="897">
        <f t="shared" si="0"/>
        <v>1.2112584107204505E-4</v>
      </c>
      <c r="G18" s="882">
        <f t="shared" si="1"/>
        <v>34393673</v>
      </c>
      <c r="H18" s="931">
        <f t="shared" si="2"/>
        <v>31</v>
      </c>
      <c r="I18" s="895">
        <f t="shared" si="3"/>
        <v>129144.83966013849</v>
      </c>
    </row>
    <row r="19" spans="1:9" ht="13.5">
      <c r="A19" s="2">
        <v>8</v>
      </c>
      <c r="B19" s="724">
        <v>43831</v>
      </c>
      <c r="C19" s="724">
        <v>43861</v>
      </c>
      <c r="D19" s="796">
        <v>0</v>
      </c>
      <c r="E19" s="796">
        <v>4.5400000000000003E-2</v>
      </c>
      <c r="F19" s="897">
        <f t="shared" si="0"/>
        <v>1.2165010369624696E-4</v>
      </c>
      <c r="G19" s="882">
        <f t="shared" si="1"/>
        <v>34393673</v>
      </c>
      <c r="H19" s="931">
        <f t="shared" si="2"/>
        <v>31</v>
      </c>
      <c r="I19" s="895">
        <f t="shared" si="3"/>
        <v>129703.81049528907</v>
      </c>
    </row>
    <row r="20" spans="1:9" ht="13.5">
      <c r="A20" s="2">
        <v>9</v>
      </c>
      <c r="B20" s="724">
        <v>43862</v>
      </c>
      <c r="C20" s="953">
        <v>43890</v>
      </c>
      <c r="D20" s="796">
        <v>0</v>
      </c>
      <c r="E20" s="796">
        <v>4.4600000000000001E-2</v>
      </c>
      <c r="F20" s="897">
        <f t="shared" si="0"/>
        <v>1.1955245272932125E-4</v>
      </c>
      <c r="G20" s="882">
        <f t="shared" si="1"/>
        <v>34393673</v>
      </c>
      <c r="H20" s="931">
        <f t="shared" si="2"/>
        <v>29</v>
      </c>
      <c r="I20" s="895">
        <f t="shared" si="3"/>
        <v>119243.59100008674</v>
      </c>
    </row>
    <row r="21" spans="1:9" ht="13.5">
      <c r="A21" s="2">
        <v>10</v>
      </c>
      <c r="B21" s="724">
        <v>43891</v>
      </c>
      <c r="C21" s="724">
        <v>43921</v>
      </c>
      <c r="D21" s="796">
        <v>0</v>
      </c>
      <c r="E21" s="796">
        <v>4.4999999999999998E-2</v>
      </c>
      <c r="F21" s="897">
        <f t="shared" si="0"/>
        <v>1.2060147839498825E-4</v>
      </c>
      <c r="G21" s="882">
        <f t="shared" si="1"/>
        <v>34393673</v>
      </c>
      <c r="H21" s="931">
        <f t="shared" si="2"/>
        <v>31</v>
      </c>
      <c r="I21" s="895">
        <f t="shared" si="3"/>
        <v>128585.76214824751</v>
      </c>
    </row>
    <row r="22" spans="1:9" ht="13.5">
      <c r="A22" s="2">
        <v>11</v>
      </c>
      <c r="B22" s="724">
        <v>43922</v>
      </c>
      <c r="C22" s="953">
        <v>43934</v>
      </c>
      <c r="D22" s="796">
        <v>0</v>
      </c>
      <c r="E22" s="796">
        <v>4.5499999999999999E-2</v>
      </c>
      <c r="F22" s="897">
        <f t="shared" si="0"/>
        <v>1.2191219750046223E-4</v>
      </c>
      <c r="G22" s="882">
        <f t="shared" si="1"/>
        <v>34393673</v>
      </c>
      <c r="H22" s="931">
        <f t="shared" si="2"/>
        <v>13</v>
      </c>
      <c r="I22" s="895">
        <f>(F22*G22)*H22</f>
        <v>54509.107322050098</v>
      </c>
    </row>
    <row r="23" spans="1:9" ht="13.5">
      <c r="A23" s="2">
        <v>12</v>
      </c>
      <c r="B23" s="724">
        <v>43935</v>
      </c>
      <c r="C23" s="953">
        <v>43951</v>
      </c>
      <c r="D23" s="796">
        <v>0.18690000000000001</v>
      </c>
      <c r="E23" s="796">
        <f>+D23*1.5</f>
        <v>0.28034999999999999</v>
      </c>
      <c r="F23" s="897">
        <f>((1+E23)^(1/365)-1)</f>
        <v>6.7730729113191224E-4</v>
      </c>
      <c r="G23" s="882">
        <f t="shared" si="1"/>
        <v>34393673</v>
      </c>
      <c r="H23" s="931">
        <f>+_xlfn.DAYS(C23,B23)+1</f>
        <v>17</v>
      </c>
      <c r="I23" s="895">
        <f>(F23*G23)*H23</f>
        <v>396016.4533590154</v>
      </c>
    </row>
    <row r="24" spans="1:9" ht="13.5">
      <c r="A24" s="2">
        <v>13</v>
      </c>
      <c r="B24" s="724">
        <v>43952</v>
      </c>
      <c r="C24" s="724">
        <v>43982</v>
      </c>
      <c r="D24" s="796">
        <v>0.18190000000000001</v>
      </c>
      <c r="E24" s="796">
        <f t="shared" ref="E24:E39" si="4">+D24*1.5</f>
        <v>0.27285000000000004</v>
      </c>
      <c r="F24" s="897">
        <f>((1+E24)^(1/365)-1)</f>
        <v>6.6120063584418354E-4</v>
      </c>
      <c r="G24" s="882">
        <f t="shared" si="1"/>
        <v>34393673</v>
      </c>
      <c r="H24" s="931">
        <f t="shared" si="2"/>
        <v>31</v>
      </c>
      <c r="I24" s="895">
        <f t="shared" si="3"/>
        <v>704974.67215512483</v>
      </c>
    </row>
    <row r="25" spans="1:9" ht="13.5">
      <c r="A25" s="2">
        <v>14</v>
      </c>
      <c r="B25" s="724">
        <v>43983</v>
      </c>
      <c r="C25" s="953">
        <v>44012</v>
      </c>
      <c r="D25" s="796">
        <v>0.1812</v>
      </c>
      <c r="E25" s="796">
        <f t="shared" si="4"/>
        <v>0.27179999999999999</v>
      </c>
      <c r="F25" s="897">
        <f t="shared" si="0"/>
        <v>6.5893815469997286E-4</v>
      </c>
      <c r="G25" s="882">
        <f t="shared" si="1"/>
        <v>34393673</v>
      </c>
      <c r="H25" s="931">
        <f t="shared" si="2"/>
        <v>30</v>
      </c>
      <c r="I25" s="895">
        <f t="shared" si="3"/>
        <v>679899.10259922838</v>
      </c>
    </row>
    <row r="26" spans="1:9" ht="13.5">
      <c r="A26" s="2">
        <v>15</v>
      </c>
      <c r="B26" s="724">
        <v>44013</v>
      </c>
      <c r="C26" s="724">
        <v>44043</v>
      </c>
      <c r="D26" s="796">
        <v>0.1812</v>
      </c>
      <c r="E26" s="796">
        <f t="shared" si="4"/>
        <v>0.27179999999999999</v>
      </c>
      <c r="F26" s="897">
        <f t="shared" si="0"/>
        <v>6.5893815469997286E-4</v>
      </c>
      <c r="G26" s="882">
        <f t="shared" si="1"/>
        <v>34393673</v>
      </c>
      <c r="H26" s="931">
        <f t="shared" si="2"/>
        <v>31</v>
      </c>
      <c r="I26" s="895">
        <f t="shared" si="3"/>
        <v>702562.40601920267</v>
      </c>
    </row>
    <row r="27" spans="1:9" ht="13.5">
      <c r="A27" s="2">
        <v>16</v>
      </c>
      <c r="B27" s="724">
        <v>44044</v>
      </c>
      <c r="C27" s="953">
        <v>44074</v>
      </c>
      <c r="D27" s="796">
        <v>0.18290000000000001</v>
      </c>
      <c r="E27" s="796">
        <f t="shared" si="4"/>
        <v>0.27434999999999998</v>
      </c>
      <c r="F27" s="897">
        <f t="shared" si="0"/>
        <v>6.6442952514544906E-4</v>
      </c>
      <c r="G27" s="882">
        <f t="shared" si="1"/>
        <v>34393673</v>
      </c>
      <c r="H27" s="931">
        <f t="shared" si="2"/>
        <v>31</v>
      </c>
      <c r="I27" s="895">
        <f t="shared" ref="I27:I41" si="5">(F27*G27)*H27</f>
        <v>708417.32640133344</v>
      </c>
    </row>
    <row r="28" spans="1:9" ht="13.5">
      <c r="A28" s="2">
        <v>17</v>
      </c>
      <c r="B28" s="724">
        <v>44075</v>
      </c>
      <c r="C28" s="724">
        <v>44104</v>
      </c>
      <c r="D28" s="796">
        <v>0.1835</v>
      </c>
      <c r="E28" s="796">
        <f t="shared" si="4"/>
        <v>0.27524999999999999</v>
      </c>
      <c r="F28" s="897">
        <f t="shared" si="0"/>
        <v>6.6636503991857055E-4</v>
      </c>
      <c r="G28" s="882">
        <f t="shared" si="1"/>
        <v>34393673</v>
      </c>
      <c r="H28" s="931">
        <f t="shared" si="2"/>
        <v>30</v>
      </c>
      <c r="I28" s="895">
        <f t="shared" si="5"/>
        <v>687562.23844773788</v>
      </c>
    </row>
    <row r="29" spans="1:9" ht="13.5">
      <c r="A29" s="2">
        <v>18</v>
      </c>
      <c r="B29" s="724">
        <v>44105</v>
      </c>
      <c r="C29" s="953">
        <v>44135</v>
      </c>
      <c r="D29" s="796">
        <v>0.18090000000000001</v>
      </c>
      <c r="E29" s="796">
        <f t="shared" si="4"/>
        <v>0.27134999999999998</v>
      </c>
      <c r="F29" s="897">
        <f t="shared" si="0"/>
        <v>6.5796794962613703E-4</v>
      </c>
      <c r="G29" s="882">
        <f t="shared" si="1"/>
        <v>34393673</v>
      </c>
      <c r="H29" s="931">
        <f t="shared" si="2"/>
        <v>31</v>
      </c>
      <c r="I29" s="895">
        <f t="shared" si="5"/>
        <v>701527.96962157672</v>
      </c>
    </row>
    <row r="30" spans="1:9" ht="13.5">
      <c r="A30" s="2">
        <v>19</v>
      </c>
      <c r="B30" s="724">
        <v>44136</v>
      </c>
      <c r="C30" s="724">
        <v>44165</v>
      </c>
      <c r="D30" s="796">
        <v>0.1784</v>
      </c>
      <c r="E30" s="796">
        <f t="shared" si="4"/>
        <v>0.2676</v>
      </c>
      <c r="F30" s="897">
        <f t="shared" si="0"/>
        <v>6.4986956374091243E-4</v>
      </c>
      <c r="G30" s="882">
        <f t="shared" si="1"/>
        <v>34393673</v>
      </c>
      <c r="H30" s="931">
        <f t="shared" si="2"/>
        <v>30</v>
      </c>
      <c r="I30" s="895">
        <f t="shared" si="5"/>
        <v>670542.03803872794</v>
      </c>
    </row>
    <row r="31" spans="1:9" ht="13.5">
      <c r="A31" s="2">
        <v>20</v>
      </c>
      <c r="B31" s="724">
        <v>44166</v>
      </c>
      <c r="C31" s="724">
        <v>44196</v>
      </c>
      <c r="D31" s="796">
        <v>0.17460000000000001</v>
      </c>
      <c r="E31" s="796">
        <f t="shared" si="4"/>
        <v>0.26190000000000002</v>
      </c>
      <c r="F31" s="897">
        <f t="shared" si="0"/>
        <v>6.3751414410861962E-4</v>
      </c>
      <c r="G31" s="882">
        <f t="shared" si="1"/>
        <v>34393673</v>
      </c>
      <c r="H31" s="931">
        <f t="shared" si="2"/>
        <v>31</v>
      </c>
      <c r="I31" s="895">
        <f t="shared" si="5"/>
        <v>679720.04316574894</v>
      </c>
    </row>
    <row r="32" spans="1:9" ht="13.5">
      <c r="A32" s="2">
        <v>21</v>
      </c>
      <c r="B32" s="724">
        <v>44197</v>
      </c>
      <c r="C32" s="953">
        <v>44227</v>
      </c>
      <c r="D32" s="796">
        <v>0.17319999999999999</v>
      </c>
      <c r="E32" s="796">
        <f t="shared" si="4"/>
        <v>0.25979999999999998</v>
      </c>
      <c r="F32" s="897">
        <f t="shared" si="0"/>
        <v>6.3294811266723094E-4</v>
      </c>
      <c r="G32" s="882">
        <f t="shared" si="1"/>
        <v>34393673</v>
      </c>
      <c r="H32" s="931">
        <f t="shared" si="2"/>
        <v>31</v>
      </c>
      <c r="I32" s="895">
        <f t="shared" si="5"/>
        <v>674851.72280436079</v>
      </c>
    </row>
    <row r="33" spans="1:9" ht="13.5">
      <c r="A33" s="2">
        <v>22</v>
      </c>
      <c r="B33" s="724">
        <v>44228</v>
      </c>
      <c r="C33" s="724">
        <v>44255</v>
      </c>
      <c r="D33" s="796">
        <v>0.1754</v>
      </c>
      <c r="E33" s="796">
        <f t="shared" si="4"/>
        <v>0.2631</v>
      </c>
      <c r="F33" s="897">
        <f t="shared" si="0"/>
        <v>6.4011990387169426E-4</v>
      </c>
      <c r="G33" s="882">
        <f t="shared" si="1"/>
        <v>34393673</v>
      </c>
      <c r="H33" s="931">
        <f t="shared" si="2"/>
        <v>28</v>
      </c>
      <c r="I33" s="895">
        <f t="shared" si="5"/>
        <v>616450.09032752563</v>
      </c>
    </row>
    <row r="34" spans="1:9" ht="13.5">
      <c r="A34" s="2">
        <v>23</v>
      </c>
      <c r="B34" s="724">
        <v>44256</v>
      </c>
      <c r="C34" s="724">
        <v>44286</v>
      </c>
      <c r="D34" s="796">
        <v>0.1741</v>
      </c>
      <c r="E34" s="796">
        <f t="shared" si="4"/>
        <v>0.26114999999999999</v>
      </c>
      <c r="F34" s="897">
        <f t="shared" si="0"/>
        <v>6.3588428907812578E-4</v>
      </c>
      <c r="G34" s="882">
        <f t="shared" si="1"/>
        <v>34393673</v>
      </c>
      <c r="H34" s="931">
        <f t="shared" si="2"/>
        <v>31</v>
      </c>
      <c r="I34" s="895">
        <f t="shared" si="5"/>
        <v>677982.28543610638</v>
      </c>
    </row>
    <row r="35" spans="1:9" ht="13.5">
      <c r="A35" s="2">
        <v>24</v>
      </c>
      <c r="B35" s="724">
        <v>44287</v>
      </c>
      <c r="C35" s="953">
        <v>44316</v>
      </c>
      <c r="D35" s="796">
        <v>0.1731</v>
      </c>
      <c r="E35" s="796">
        <f t="shared" si="4"/>
        <v>0.25964999999999999</v>
      </c>
      <c r="F35" s="897">
        <f t="shared" si="0"/>
        <v>6.326216771728177E-4</v>
      </c>
      <c r="G35" s="882">
        <f t="shared" si="1"/>
        <v>34393673</v>
      </c>
      <c r="H35" s="931">
        <f t="shared" si="2"/>
        <v>30</v>
      </c>
      <c r="I35" s="895">
        <f t="shared" si="5"/>
        <v>652745.49292180361</v>
      </c>
    </row>
    <row r="36" spans="1:9" ht="13.5">
      <c r="A36" s="2">
        <v>25</v>
      </c>
      <c r="B36" s="724">
        <v>44317</v>
      </c>
      <c r="C36" s="724">
        <v>44347</v>
      </c>
      <c r="D36" s="796">
        <v>0.17219999999999999</v>
      </c>
      <c r="E36" s="796">
        <f t="shared" si="4"/>
        <v>0.25829999999999997</v>
      </c>
      <c r="F36" s="897">
        <f t="shared" si="0"/>
        <v>6.2968201205726437E-4</v>
      </c>
      <c r="G36" s="882">
        <f t="shared" si="1"/>
        <v>34393673</v>
      </c>
      <c r="H36" s="931">
        <f t="shared" si="2"/>
        <v>31</v>
      </c>
      <c r="I36" s="895">
        <f t="shared" si="5"/>
        <v>671369.3937170679</v>
      </c>
    </row>
    <row r="37" spans="1:9" ht="13.5">
      <c r="A37" s="2">
        <v>26</v>
      </c>
      <c r="B37" s="724">
        <v>44348</v>
      </c>
      <c r="C37" s="724">
        <v>44377</v>
      </c>
      <c r="D37" s="796">
        <v>0.1721</v>
      </c>
      <c r="E37" s="796">
        <f t="shared" si="4"/>
        <v>0.25814999999999999</v>
      </c>
      <c r="F37" s="897">
        <f t="shared" si="0"/>
        <v>6.2935518846773952E-4</v>
      </c>
      <c r="G37" s="882">
        <f t="shared" si="1"/>
        <v>34393673</v>
      </c>
      <c r="H37" s="931">
        <f t="shared" si="2"/>
        <v>30</v>
      </c>
      <c r="I37" s="895">
        <f t="shared" si="5"/>
        <v>649375.09659038414</v>
      </c>
    </row>
    <row r="38" spans="1:9" ht="13.5">
      <c r="A38" s="2">
        <v>27</v>
      </c>
      <c r="B38" s="724">
        <v>44378</v>
      </c>
      <c r="C38" s="953">
        <v>44408</v>
      </c>
      <c r="D38" s="796">
        <v>0.17180000000000001</v>
      </c>
      <c r="E38" s="796">
        <f t="shared" si="4"/>
        <v>0.25770000000000004</v>
      </c>
      <c r="F38" s="897">
        <f t="shared" si="0"/>
        <v>6.2837448450037137E-4</v>
      </c>
      <c r="G38" s="882">
        <f t="shared" si="1"/>
        <v>34393673</v>
      </c>
      <c r="H38" s="931">
        <f t="shared" si="2"/>
        <v>31</v>
      </c>
      <c r="I38" s="895">
        <f t="shared" si="5"/>
        <v>669975.30278492963</v>
      </c>
    </row>
    <row r="39" spans="1:9" s="188" customFormat="1" ht="13.5">
      <c r="A39" s="2">
        <v>28</v>
      </c>
      <c r="B39" s="724">
        <v>44409</v>
      </c>
      <c r="C39" s="724">
        <v>44439</v>
      </c>
      <c r="D39" s="796">
        <v>0.1724</v>
      </c>
      <c r="E39" s="796">
        <f t="shared" si="4"/>
        <v>0.2586</v>
      </c>
      <c r="F39" s="897">
        <f t="shared" si="0"/>
        <v>6.3033554269220637E-4</v>
      </c>
      <c r="G39" s="882">
        <f t="shared" si="1"/>
        <v>34393673</v>
      </c>
      <c r="H39" s="931">
        <f t="shared" si="2"/>
        <v>31</v>
      </c>
      <c r="I39" s="895">
        <f t="shared" si="5"/>
        <v>672066.19060463179</v>
      </c>
    </row>
    <row r="40" spans="1:9" ht="13.5">
      <c r="A40" s="2">
        <v>29</v>
      </c>
      <c r="B40" s="724">
        <v>44440</v>
      </c>
      <c r="C40" s="724">
        <v>44469</v>
      </c>
      <c r="D40" s="796">
        <v>0.1719</v>
      </c>
      <c r="E40" s="796">
        <f>+D40*1.5</f>
        <v>0.25785000000000002</v>
      </c>
      <c r="F40" s="897">
        <f t="shared" si="0"/>
        <v>6.2870142469861889E-4</v>
      </c>
      <c r="G40" s="882">
        <f t="shared" si="1"/>
        <v>34393673</v>
      </c>
      <c r="H40" s="931">
        <f t="shared" si="2"/>
        <v>30</v>
      </c>
      <c r="I40" s="895">
        <f t="shared" si="5"/>
        <v>648700.53647155268</v>
      </c>
    </row>
    <row r="41" spans="1:9" ht="13.5">
      <c r="A41" s="2">
        <v>30</v>
      </c>
      <c r="B41" s="724">
        <v>44470</v>
      </c>
      <c r="C41" s="724">
        <v>44500</v>
      </c>
      <c r="D41" s="796">
        <v>0.17080000000000001</v>
      </c>
      <c r="E41" s="796">
        <f>+D41*1.5</f>
        <v>0.25619999999999998</v>
      </c>
      <c r="F41" s="897">
        <f t="shared" si="0"/>
        <v>6.2510294214179751E-4</v>
      </c>
      <c r="G41" s="882">
        <f t="shared" si="1"/>
        <v>34393673</v>
      </c>
      <c r="H41" s="931">
        <f t="shared" si="2"/>
        <v>31</v>
      </c>
      <c r="I41" s="895">
        <f t="shared" si="5"/>
        <v>666487.17168425</v>
      </c>
    </row>
    <row r="42" spans="1:9" ht="13.5">
      <c r="A42" s="2">
        <v>31</v>
      </c>
      <c r="B42" s="724">
        <v>44501</v>
      </c>
      <c r="C42" s="724">
        <v>44529</v>
      </c>
      <c r="D42" s="796">
        <v>0.17269999999999999</v>
      </c>
      <c r="E42" s="796">
        <f>+D42*1.5</f>
        <v>0.25905</v>
      </c>
      <c r="F42" s="897">
        <f>((1+E42)^(1/365)-1)</f>
        <v>6.3131554742335005E-4</v>
      </c>
      <c r="G42" s="882">
        <f t="shared" si="1"/>
        <v>34393673</v>
      </c>
      <c r="H42" s="931">
        <f>+_xlfn.DAYS(C42,B42)+1</f>
        <v>29</v>
      </c>
      <c r="I42" s="895">
        <f>(F42*G42)*H42</f>
        <v>629684.55443894619</v>
      </c>
    </row>
    <row r="43" spans="1:9" ht="13.5">
      <c r="B43" s="791"/>
      <c r="C43" s="791"/>
      <c r="D43" s="791"/>
      <c r="E43" s="791"/>
      <c r="F43" s="791"/>
      <c r="G43" s="791"/>
      <c r="H43" s="728" t="s">
        <v>824</v>
      </c>
      <c r="I43" s="895">
        <f>SUM(I12:I42)</f>
        <v>14429104.993535837</v>
      </c>
    </row>
    <row r="44" spans="1:9" ht="13.5">
      <c r="B44" s="791"/>
      <c r="C44" s="791"/>
      <c r="D44" s="791"/>
      <c r="E44" s="791"/>
      <c r="F44" s="791"/>
      <c r="G44" s="791"/>
      <c r="H44" s="955"/>
      <c r="I44" s="956"/>
    </row>
    <row r="45" spans="1:9" ht="13.5">
      <c r="B45" s="2559" t="s">
        <v>55</v>
      </c>
      <c r="C45" s="2559"/>
      <c r="D45" s="791"/>
      <c r="E45" s="791"/>
      <c r="F45" s="791"/>
      <c r="G45" s="791"/>
      <c r="H45" s="791"/>
      <c r="I45" s="791"/>
    </row>
    <row r="46" spans="1:9" ht="13.5">
      <c r="B46" s="845" t="s">
        <v>67</v>
      </c>
      <c r="C46" s="904">
        <f>+C10</f>
        <v>34393673</v>
      </c>
      <c r="D46" s="791"/>
      <c r="E46" s="791"/>
      <c r="F46" s="791"/>
      <c r="G46" s="791"/>
      <c r="H46" s="791"/>
      <c r="I46" s="791"/>
    </row>
    <row r="47" spans="1:9" ht="13.5">
      <c r="B47" s="845" t="s">
        <v>241</v>
      </c>
      <c r="C47" s="904">
        <f>+I43</f>
        <v>14429104.993535837</v>
      </c>
      <c r="D47" s="791"/>
      <c r="E47" s="791"/>
      <c r="F47" s="791"/>
      <c r="G47" s="791"/>
      <c r="H47" s="791"/>
      <c r="I47" s="791"/>
    </row>
    <row r="48" spans="1:9" ht="13.5">
      <c r="B48" s="728" t="s">
        <v>97</v>
      </c>
      <c r="C48" s="822">
        <f>SUM(C46:C47)</f>
        <v>48822777.993535839</v>
      </c>
      <c r="D48" s="791"/>
      <c r="E48" s="791"/>
      <c r="F48" s="791"/>
      <c r="G48" s="791"/>
      <c r="H48" s="791"/>
      <c r="I48" s="791"/>
    </row>
    <row r="49" spans="2:9" ht="13.5">
      <c r="B49" s="900" t="s">
        <v>62</v>
      </c>
      <c r="C49" s="791"/>
      <c r="D49" s="791"/>
      <c r="E49" s="791"/>
      <c r="F49" s="791"/>
      <c r="G49" s="791"/>
      <c r="H49" s="791"/>
      <c r="I49" s="791"/>
    </row>
    <row r="50" spans="2:9" ht="13.5">
      <c r="B50" s="814"/>
      <c r="C50" s="791"/>
      <c r="D50" s="791"/>
      <c r="E50" s="791"/>
      <c r="F50" s="791"/>
      <c r="G50" s="791"/>
      <c r="H50" s="791"/>
      <c r="I50" s="791"/>
    </row>
    <row r="51" spans="2:9" ht="13.5">
      <c r="B51" s="814"/>
      <c r="C51" s="791"/>
      <c r="D51" s="791"/>
      <c r="E51" s="791"/>
      <c r="F51" s="791"/>
      <c r="G51" s="791"/>
      <c r="H51" s="791"/>
      <c r="I51" s="791"/>
    </row>
    <row r="52" spans="2:9" ht="13.5">
      <c r="B52" s="818" t="s">
        <v>63</v>
      </c>
      <c r="C52" s="791"/>
      <c r="D52" s="791"/>
      <c r="E52" s="791"/>
      <c r="F52" s="791"/>
      <c r="G52" s="791"/>
      <c r="H52" s="791"/>
      <c r="I52" s="791"/>
    </row>
    <row r="53" spans="2:9" ht="13.5">
      <c r="B53" s="818" t="s">
        <v>64</v>
      </c>
      <c r="C53" s="791"/>
      <c r="D53" s="791"/>
      <c r="E53" s="791"/>
      <c r="F53" s="791"/>
      <c r="G53" s="791"/>
      <c r="H53" s="791"/>
      <c r="I53" s="791"/>
    </row>
    <row r="54" spans="2:9" ht="13.5">
      <c r="B54" s="900" t="s">
        <v>65</v>
      </c>
      <c r="C54" s="791"/>
      <c r="D54" s="791"/>
      <c r="E54" s="791"/>
      <c r="F54" s="791"/>
      <c r="G54" s="791"/>
      <c r="H54" s="791"/>
      <c r="I54" s="791"/>
    </row>
  </sheetData>
  <mergeCells count="3">
    <mergeCell ref="D10:I10"/>
    <mergeCell ref="B45:C45"/>
    <mergeCell ref="D11:E11"/>
  </mergeCells>
  <conditionalFormatting sqref="B11:C11">
    <cfRule type="duplicateValues" dxfId="30" priority="1"/>
  </conditionalFormatting>
  <pageMargins left="0.7" right="0.7" top="0.75" bottom="0.75" header="0.3" footer="0.3"/>
  <pageSetup paperSize="135" scale="84"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45973-4ECC-4E14-84C6-A7D1342D2EBE}">
  <sheetPr codeName="Hoja44"/>
  <dimension ref="A2:I54"/>
  <sheetViews>
    <sheetView topLeftCell="A32" zoomScaleNormal="100" workbookViewId="0">
      <selection activeCell="D11" sqref="D11:E11"/>
    </sheetView>
  </sheetViews>
  <sheetFormatPr defaultColWidth="11.42578125" defaultRowHeight="12.75"/>
  <cols>
    <col min="1" max="1" width="3.28515625" customWidth="1"/>
    <col min="2" max="2" width="18.42578125" customWidth="1"/>
    <col min="3" max="3" width="14.5703125" customWidth="1"/>
    <col min="5" max="5" width="9.7109375" customWidth="1"/>
    <col min="7" max="7" width="13.42578125" customWidth="1"/>
    <col min="8" max="8" width="12.140625" customWidth="1"/>
    <col min="9" max="9" width="11.7109375" customWidth="1"/>
  </cols>
  <sheetData>
    <row r="2" spans="1:9" ht="13.5">
      <c r="B2" s="947" t="s">
        <v>0</v>
      </c>
      <c r="C2" s="948" t="s">
        <v>813</v>
      </c>
      <c r="D2" s="948"/>
      <c r="E2" s="791"/>
      <c r="F2" s="791"/>
      <c r="G2" s="791"/>
      <c r="H2" s="791"/>
      <c r="I2" s="791"/>
    </row>
    <row r="3" spans="1:9" ht="25.5">
      <c r="B3" s="949" t="s">
        <v>814</v>
      </c>
      <c r="C3" s="950" t="s">
        <v>815</v>
      </c>
      <c r="D3" s="791"/>
      <c r="E3" s="791"/>
      <c r="F3" s="791"/>
      <c r="G3" s="791"/>
      <c r="H3" s="791"/>
      <c r="I3" s="791"/>
    </row>
    <row r="4" spans="1:9" ht="13.5">
      <c r="B4" s="951" t="s">
        <v>220</v>
      </c>
      <c r="C4" s="948" t="s">
        <v>816</v>
      </c>
      <c r="D4" s="948"/>
      <c r="E4" s="791"/>
      <c r="F4" s="791"/>
      <c r="G4" s="791"/>
      <c r="H4" s="791"/>
      <c r="I4" s="791"/>
    </row>
    <row r="5" spans="1:9" ht="38.25">
      <c r="B5" s="893" t="s">
        <v>817</v>
      </c>
      <c r="C5" s="1886">
        <v>34393673.420000002</v>
      </c>
      <c r="D5" s="791"/>
      <c r="E5" s="791"/>
      <c r="F5" s="791"/>
      <c r="G5" s="791"/>
      <c r="H5" s="791"/>
      <c r="I5" s="791"/>
    </row>
    <row r="6" spans="1:9" ht="25.5">
      <c r="B6" s="893" t="s">
        <v>818</v>
      </c>
      <c r="C6" s="953">
        <v>43658</v>
      </c>
      <c r="D6" s="791"/>
      <c r="E6" s="791"/>
      <c r="F6" s="791"/>
      <c r="G6" s="791"/>
      <c r="H6" s="791"/>
      <c r="I6" s="791"/>
    </row>
    <row r="7" spans="1:9" ht="25.5">
      <c r="B7" s="893" t="s">
        <v>819</v>
      </c>
      <c r="C7" s="953">
        <v>43628</v>
      </c>
      <c r="D7" s="791"/>
      <c r="E7" s="791"/>
      <c r="F7" s="791"/>
      <c r="G7" s="791"/>
      <c r="H7" s="791"/>
      <c r="I7" s="791"/>
    </row>
    <row r="8" spans="1:9" ht="13.5">
      <c r="B8" s="946" t="s">
        <v>820</v>
      </c>
      <c r="C8" s="854"/>
      <c r="D8" s="791"/>
      <c r="E8" s="791"/>
      <c r="F8" s="791"/>
      <c r="G8" s="791"/>
      <c r="H8" s="791"/>
      <c r="I8" s="791"/>
    </row>
    <row r="9" spans="1:9" ht="13.5">
      <c r="B9" s="954" t="s">
        <v>821</v>
      </c>
      <c r="C9" s="854"/>
      <c r="D9" s="791"/>
      <c r="E9" s="791"/>
      <c r="F9" s="791"/>
      <c r="G9" s="791"/>
      <c r="H9" s="791"/>
      <c r="I9" s="791"/>
    </row>
    <row r="10" spans="1:9" ht="13.5">
      <c r="B10" s="951" t="s">
        <v>143</v>
      </c>
      <c r="C10" s="822">
        <f>+C5</f>
        <v>34393673.420000002</v>
      </c>
      <c r="D10" s="2644" t="s">
        <v>172</v>
      </c>
      <c r="E10" s="2645"/>
      <c r="F10" s="2645"/>
      <c r="G10" s="2645"/>
      <c r="H10" s="2645"/>
      <c r="I10" s="2646"/>
    </row>
    <row r="11" spans="1:9" ht="27" customHeight="1">
      <c r="B11" s="793" t="s">
        <v>337</v>
      </c>
      <c r="C11" s="793" t="s">
        <v>40</v>
      </c>
      <c r="D11" s="2712" t="s">
        <v>822</v>
      </c>
      <c r="E11" s="2713"/>
      <c r="F11" s="794" t="s">
        <v>43</v>
      </c>
      <c r="G11" s="794" t="s">
        <v>129</v>
      </c>
      <c r="H11" s="794" t="s">
        <v>47</v>
      </c>
      <c r="I11" s="794" t="s">
        <v>823</v>
      </c>
    </row>
    <row r="12" spans="1:9" ht="13.5">
      <c r="A12" s="2">
        <v>1</v>
      </c>
      <c r="B12" s="724">
        <v>43629</v>
      </c>
      <c r="C12" s="953">
        <v>43646</v>
      </c>
      <c r="D12" s="796">
        <v>0</v>
      </c>
      <c r="E12" s="796">
        <v>4.5199999999999997E-2</v>
      </c>
      <c r="F12" s="897">
        <f>((1+E12)^(1/365)-1)</f>
        <v>1.2112584107204505E-4</v>
      </c>
      <c r="G12" s="1080">
        <f>+$C$10</f>
        <v>34393673.420000002</v>
      </c>
      <c r="H12" s="931">
        <f>+_xlfn.DAYS(C12,B12)+1</f>
        <v>18</v>
      </c>
      <c r="I12" s="1080">
        <f>(F12*G12)*H12</f>
        <v>74987.327169985321</v>
      </c>
    </row>
    <row r="13" spans="1:9" ht="13.5">
      <c r="A13" s="2">
        <v>2</v>
      </c>
      <c r="B13" s="724">
        <v>43647</v>
      </c>
      <c r="C13" s="724">
        <v>43677</v>
      </c>
      <c r="D13" s="796">
        <v>0</v>
      </c>
      <c r="E13" s="796">
        <v>4.4699999999999997E-2</v>
      </c>
      <c r="F13" s="897">
        <f t="shared" ref="F13:F42" si="0">((1+E13)^(1/365)-1)</f>
        <v>1.198147466965338E-4</v>
      </c>
      <c r="G13" s="1080">
        <f t="shared" ref="G13:G42" si="1">+$C$10</f>
        <v>34393673.420000002</v>
      </c>
      <c r="H13" s="931">
        <f t="shared" ref="H13:H42" si="2">+_xlfn.DAYS(C13,B13)+1</f>
        <v>31</v>
      </c>
      <c r="I13" s="1080">
        <f t="shared" ref="I13:I42" si="3">(F13*G13)*H13</f>
        <v>127746.94733219885</v>
      </c>
    </row>
    <row r="14" spans="1:9" ht="13.5">
      <c r="A14" s="2">
        <v>3</v>
      </c>
      <c r="B14" s="724">
        <v>43678</v>
      </c>
      <c r="C14" s="953">
        <v>43708</v>
      </c>
      <c r="D14" s="796">
        <v>0</v>
      </c>
      <c r="E14" s="796">
        <v>4.4299999999999999E-2</v>
      </c>
      <c r="F14" s="897">
        <f t="shared" si="0"/>
        <v>1.187654205565547E-4</v>
      </c>
      <c r="G14" s="1080">
        <f t="shared" si="1"/>
        <v>34393673.420000002</v>
      </c>
      <c r="H14" s="931">
        <f t="shared" si="2"/>
        <v>31</v>
      </c>
      <c r="I14" s="1080">
        <f t="shared" si="3"/>
        <v>126628.15173454401</v>
      </c>
    </row>
    <row r="15" spans="1:9" ht="13.5">
      <c r="A15" s="2">
        <v>4</v>
      </c>
      <c r="B15" s="724">
        <v>43709</v>
      </c>
      <c r="C15" s="724">
        <v>43738</v>
      </c>
      <c r="D15" s="796">
        <v>0</v>
      </c>
      <c r="E15" s="796">
        <v>4.6699999999999998E-2</v>
      </c>
      <c r="F15" s="897">
        <f t="shared" si="0"/>
        <v>1.2505537460349991E-4</v>
      </c>
      <c r="G15" s="1080">
        <f t="shared" si="1"/>
        <v>34393673.420000002</v>
      </c>
      <c r="H15" s="931">
        <f t="shared" si="2"/>
        <v>30</v>
      </c>
      <c r="I15" s="1080">
        <f t="shared" si="3"/>
        <v>129033.41140585614</v>
      </c>
    </row>
    <row r="16" spans="1:9" ht="13.5">
      <c r="A16" s="2">
        <v>5</v>
      </c>
      <c r="B16" s="724">
        <v>43739</v>
      </c>
      <c r="C16" s="953">
        <v>43769</v>
      </c>
      <c r="D16" s="796">
        <v>0</v>
      </c>
      <c r="E16" s="796">
        <v>4.41E-2</v>
      </c>
      <c r="F16" s="897">
        <f t="shared" si="0"/>
        <v>1.1824060716802975E-4</v>
      </c>
      <c r="G16" s="1080">
        <f t="shared" si="1"/>
        <v>34393673.420000002</v>
      </c>
      <c r="H16" s="931">
        <f t="shared" si="2"/>
        <v>31</v>
      </c>
      <c r="I16" s="1080">
        <f t="shared" si="3"/>
        <v>126068.59366551152</v>
      </c>
    </row>
    <row r="17" spans="1:9" ht="13.5">
      <c r="A17" s="2">
        <v>6</v>
      </c>
      <c r="B17" s="724">
        <v>43770</v>
      </c>
      <c r="C17" s="724">
        <v>43799</v>
      </c>
      <c r="D17" s="796">
        <v>0</v>
      </c>
      <c r="E17" s="796">
        <v>4.4299999999999999E-2</v>
      </c>
      <c r="F17" s="897">
        <f t="shared" si="0"/>
        <v>1.187654205565547E-4</v>
      </c>
      <c r="G17" s="1080">
        <f t="shared" si="1"/>
        <v>34393673.420000002</v>
      </c>
      <c r="H17" s="931">
        <f t="shared" si="2"/>
        <v>30</v>
      </c>
      <c r="I17" s="1080">
        <f t="shared" si="3"/>
        <v>122543.37264633291</v>
      </c>
    </row>
    <row r="18" spans="1:9" ht="13.5">
      <c r="A18" s="2">
        <v>7</v>
      </c>
      <c r="B18" s="724">
        <v>43800</v>
      </c>
      <c r="C18" s="953">
        <v>43830</v>
      </c>
      <c r="D18" s="796">
        <v>0</v>
      </c>
      <c r="E18" s="796">
        <v>4.5199999999999997E-2</v>
      </c>
      <c r="F18" s="897">
        <f t="shared" si="0"/>
        <v>1.2112584107204505E-4</v>
      </c>
      <c r="G18" s="1080">
        <f t="shared" si="1"/>
        <v>34393673.420000002</v>
      </c>
      <c r="H18" s="931">
        <f t="shared" si="2"/>
        <v>31</v>
      </c>
      <c r="I18" s="1080">
        <f t="shared" si="3"/>
        <v>129144.84123719695</v>
      </c>
    </row>
    <row r="19" spans="1:9" ht="13.5">
      <c r="A19" s="2">
        <v>8</v>
      </c>
      <c r="B19" s="724">
        <v>43831</v>
      </c>
      <c r="C19" s="724">
        <v>43861</v>
      </c>
      <c r="D19" s="796">
        <v>0</v>
      </c>
      <c r="E19" s="796">
        <v>4.5400000000000003E-2</v>
      </c>
      <c r="F19" s="897">
        <f t="shared" si="0"/>
        <v>1.2165010369624696E-4</v>
      </c>
      <c r="G19" s="1080">
        <f t="shared" si="1"/>
        <v>34393673.420000002</v>
      </c>
      <c r="H19" s="931">
        <f t="shared" si="2"/>
        <v>31</v>
      </c>
      <c r="I19" s="1080">
        <f t="shared" si="3"/>
        <v>129703.81207917344</v>
      </c>
    </row>
    <row r="20" spans="1:9" ht="13.5">
      <c r="A20" s="2">
        <v>9</v>
      </c>
      <c r="B20" s="724">
        <v>43862</v>
      </c>
      <c r="C20" s="953">
        <v>43890</v>
      </c>
      <c r="D20" s="796">
        <v>0</v>
      </c>
      <c r="E20" s="796">
        <v>4.4600000000000001E-2</v>
      </c>
      <c r="F20" s="897">
        <f t="shared" si="0"/>
        <v>1.1955245272932125E-4</v>
      </c>
      <c r="G20" s="1080">
        <f t="shared" si="1"/>
        <v>34393673.420000002</v>
      </c>
      <c r="H20" s="931">
        <f t="shared" si="2"/>
        <v>29</v>
      </c>
      <c r="I20" s="1080">
        <f t="shared" si="3"/>
        <v>119243.59245623562</v>
      </c>
    </row>
    <row r="21" spans="1:9" ht="13.5">
      <c r="A21" s="2">
        <v>10</v>
      </c>
      <c r="B21" s="724">
        <v>43891</v>
      </c>
      <c r="C21" s="724">
        <v>43921</v>
      </c>
      <c r="D21" s="796">
        <v>0</v>
      </c>
      <c r="E21" s="796">
        <v>4.4999999999999998E-2</v>
      </c>
      <c r="F21" s="897">
        <f t="shared" si="0"/>
        <v>1.2060147839498825E-4</v>
      </c>
      <c r="G21" s="1080">
        <f t="shared" si="1"/>
        <v>34393673.420000002</v>
      </c>
      <c r="H21" s="931">
        <f t="shared" si="2"/>
        <v>31</v>
      </c>
      <c r="I21" s="1080">
        <f t="shared" si="3"/>
        <v>128585.76371847876</v>
      </c>
    </row>
    <row r="22" spans="1:9" ht="13.5">
      <c r="A22" s="2">
        <v>11</v>
      </c>
      <c r="B22" s="724">
        <v>43922</v>
      </c>
      <c r="C22" s="953">
        <v>43934</v>
      </c>
      <c r="D22" s="796">
        <v>0</v>
      </c>
      <c r="E22" s="796">
        <v>4.5499999999999999E-2</v>
      </c>
      <c r="F22" s="897">
        <f t="shared" si="0"/>
        <v>1.2191219750046223E-4</v>
      </c>
      <c r="G22" s="1080">
        <f t="shared" si="1"/>
        <v>34393673.420000002</v>
      </c>
      <c r="H22" s="931">
        <f t="shared" si="2"/>
        <v>13</v>
      </c>
      <c r="I22" s="1080">
        <f>(F22*G22)*H22</f>
        <v>54509.107987690695</v>
      </c>
    </row>
    <row r="23" spans="1:9" ht="13.5">
      <c r="A23" s="2">
        <v>12</v>
      </c>
      <c r="B23" s="724">
        <v>43935</v>
      </c>
      <c r="C23" s="953">
        <v>43951</v>
      </c>
      <c r="D23" s="796">
        <v>0.18690000000000001</v>
      </c>
      <c r="E23" s="796">
        <f>+D23*1.5</f>
        <v>0.28034999999999999</v>
      </c>
      <c r="F23" s="897">
        <f>((1+E23)^(1/365)-1)</f>
        <v>6.7730729113191224E-4</v>
      </c>
      <c r="G23" s="1080">
        <f t="shared" si="1"/>
        <v>34393673.420000002</v>
      </c>
      <c r="H23" s="931">
        <f t="shared" si="2"/>
        <v>17</v>
      </c>
      <c r="I23" s="1080">
        <f>(F23*G23)*H23</f>
        <v>396016.45819498948</v>
      </c>
    </row>
    <row r="24" spans="1:9" ht="13.5">
      <c r="A24" s="2">
        <v>13</v>
      </c>
      <c r="B24" s="724">
        <v>43952</v>
      </c>
      <c r="C24" s="724">
        <v>43982</v>
      </c>
      <c r="D24" s="796">
        <v>0.18190000000000001</v>
      </c>
      <c r="E24" s="796">
        <f t="shared" ref="E24:E42" si="4">+D24*1.5</f>
        <v>0.27285000000000004</v>
      </c>
      <c r="F24" s="897">
        <f>((1+E24)^(1/365)-1)</f>
        <v>6.6120063584418354E-4</v>
      </c>
      <c r="G24" s="1080">
        <f t="shared" si="1"/>
        <v>34393673.420000002</v>
      </c>
      <c r="H24" s="931">
        <f t="shared" si="2"/>
        <v>31</v>
      </c>
      <c r="I24" s="1080">
        <f t="shared" si="3"/>
        <v>704974.68076395709</v>
      </c>
    </row>
    <row r="25" spans="1:9" ht="13.5">
      <c r="A25" s="2">
        <v>14</v>
      </c>
      <c r="B25" s="724">
        <v>43983</v>
      </c>
      <c r="C25" s="953">
        <v>44012</v>
      </c>
      <c r="D25" s="796">
        <v>0.1812</v>
      </c>
      <c r="E25" s="796">
        <f t="shared" si="4"/>
        <v>0.27179999999999999</v>
      </c>
      <c r="F25" s="897">
        <f t="shared" si="0"/>
        <v>6.5893815469997286E-4</v>
      </c>
      <c r="G25" s="1080">
        <f t="shared" si="1"/>
        <v>34393673.420000002</v>
      </c>
      <c r="H25" s="931">
        <f t="shared" si="2"/>
        <v>30</v>
      </c>
      <c r="I25" s="1080">
        <f t="shared" si="3"/>
        <v>679899.11090184911</v>
      </c>
    </row>
    <row r="26" spans="1:9" ht="13.5">
      <c r="A26" s="2">
        <v>15</v>
      </c>
      <c r="B26" s="724">
        <v>44013</v>
      </c>
      <c r="C26" s="724">
        <v>44043</v>
      </c>
      <c r="D26" s="796">
        <v>0.1812</v>
      </c>
      <c r="E26" s="796">
        <f t="shared" si="4"/>
        <v>0.27179999999999999</v>
      </c>
      <c r="F26" s="897">
        <f t="shared" si="0"/>
        <v>6.5893815469997286E-4</v>
      </c>
      <c r="G26" s="1080">
        <f t="shared" si="1"/>
        <v>34393673.420000002</v>
      </c>
      <c r="H26" s="931">
        <f t="shared" si="2"/>
        <v>31</v>
      </c>
      <c r="I26" s="1080">
        <f t="shared" si="3"/>
        <v>702562.41459857742</v>
      </c>
    </row>
    <row r="27" spans="1:9" ht="13.5">
      <c r="A27" s="2">
        <v>16</v>
      </c>
      <c r="B27" s="724">
        <v>44044</v>
      </c>
      <c r="C27" s="953">
        <v>44074</v>
      </c>
      <c r="D27" s="796">
        <v>0.18290000000000001</v>
      </c>
      <c r="E27" s="796">
        <f t="shared" si="4"/>
        <v>0.27434999999999998</v>
      </c>
      <c r="F27" s="897">
        <f t="shared" si="0"/>
        <v>6.6442952514544906E-4</v>
      </c>
      <c r="G27" s="1080">
        <f t="shared" si="1"/>
        <v>34393673.420000002</v>
      </c>
      <c r="H27" s="931">
        <f t="shared" si="2"/>
        <v>31</v>
      </c>
      <c r="I27" s="1080">
        <f t="shared" si="3"/>
        <v>708417.33505220583</v>
      </c>
    </row>
    <row r="28" spans="1:9" ht="13.5">
      <c r="A28" s="2">
        <v>17</v>
      </c>
      <c r="B28" s="724">
        <v>44075</v>
      </c>
      <c r="C28" s="724">
        <v>44104</v>
      </c>
      <c r="D28" s="796">
        <v>0.1835</v>
      </c>
      <c r="E28" s="796">
        <f t="shared" si="4"/>
        <v>0.27524999999999999</v>
      </c>
      <c r="F28" s="897">
        <f t="shared" si="0"/>
        <v>6.6636503991857055E-4</v>
      </c>
      <c r="G28" s="1080">
        <f t="shared" si="1"/>
        <v>34393673.420000002</v>
      </c>
      <c r="H28" s="931">
        <f t="shared" si="2"/>
        <v>30</v>
      </c>
      <c r="I28" s="1080">
        <f t="shared" si="3"/>
        <v>687562.24684393744</v>
      </c>
    </row>
    <row r="29" spans="1:9" ht="13.5">
      <c r="A29" s="2">
        <v>18</v>
      </c>
      <c r="B29" s="724">
        <v>44105</v>
      </c>
      <c r="C29" s="953">
        <v>44135</v>
      </c>
      <c r="D29" s="796">
        <v>0.18090000000000001</v>
      </c>
      <c r="E29" s="796">
        <f t="shared" si="4"/>
        <v>0.27134999999999998</v>
      </c>
      <c r="F29" s="897">
        <f t="shared" si="0"/>
        <v>6.5796794962613703E-4</v>
      </c>
      <c r="G29" s="1080">
        <f t="shared" si="1"/>
        <v>34393673.420000002</v>
      </c>
      <c r="H29" s="931">
        <f t="shared" si="2"/>
        <v>31</v>
      </c>
      <c r="I29" s="1080">
        <f t="shared" si="3"/>
        <v>701527.97818831948</v>
      </c>
    </row>
    <row r="30" spans="1:9" ht="13.5">
      <c r="A30" s="2">
        <v>19</v>
      </c>
      <c r="B30" s="724">
        <v>44136</v>
      </c>
      <c r="C30" s="724">
        <v>44165</v>
      </c>
      <c r="D30" s="796">
        <v>0.1784</v>
      </c>
      <c r="E30" s="796">
        <f t="shared" si="4"/>
        <v>0.2676</v>
      </c>
      <c r="F30" s="897">
        <f t="shared" si="0"/>
        <v>6.4986956374091243E-4</v>
      </c>
      <c r="G30" s="1080">
        <f t="shared" si="1"/>
        <v>34393673.420000002</v>
      </c>
      <c r="H30" s="931">
        <f t="shared" si="2"/>
        <v>30</v>
      </c>
      <c r="I30" s="1080">
        <f t="shared" si="3"/>
        <v>670542.04622708459</v>
      </c>
    </row>
    <row r="31" spans="1:9" ht="13.5">
      <c r="A31" s="2">
        <v>20</v>
      </c>
      <c r="B31" s="724">
        <v>44166</v>
      </c>
      <c r="C31" s="724">
        <v>44196</v>
      </c>
      <c r="D31" s="796">
        <v>0.17460000000000001</v>
      </c>
      <c r="E31" s="796">
        <f t="shared" si="4"/>
        <v>0.26190000000000002</v>
      </c>
      <c r="F31" s="897">
        <f t="shared" si="0"/>
        <v>6.3751414410861962E-4</v>
      </c>
      <c r="G31" s="1080">
        <f t="shared" si="1"/>
        <v>34393673.420000002</v>
      </c>
      <c r="H31" s="931">
        <f t="shared" si="2"/>
        <v>31</v>
      </c>
      <c r="I31" s="1080">
        <f t="shared" si="3"/>
        <v>679720.05146618315</v>
      </c>
    </row>
    <row r="32" spans="1:9" ht="13.5">
      <c r="A32" s="2">
        <v>21</v>
      </c>
      <c r="B32" s="724">
        <v>44197</v>
      </c>
      <c r="C32" s="953">
        <v>44227</v>
      </c>
      <c r="D32" s="796">
        <v>0.17319999999999999</v>
      </c>
      <c r="E32" s="796">
        <f t="shared" si="4"/>
        <v>0.25979999999999998</v>
      </c>
      <c r="F32" s="897">
        <f t="shared" si="0"/>
        <v>6.3294811266723094E-4</v>
      </c>
      <c r="G32" s="1080">
        <f t="shared" si="1"/>
        <v>34393673.420000002</v>
      </c>
      <c r="H32" s="931">
        <f t="shared" si="2"/>
        <v>31</v>
      </c>
      <c r="I32" s="1080">
        <f t="shared" si="3"/>
        <v>674851.73104534531</v>
      </c>
    </row>
    <row r="33" spans="1:9" ht="13.5">
      <c r="A33" s="2">
        <v>22</v>
      </c>
      <c r="B33" s="724">
        <v>44228</v>
      </c>
      <c r="C33" s="724">
        <v>44255</v>
      </c>
      <c r="D33" s="796">
        <v>0.1754</v>
      </c>
      <c r="E33" s="796">
        <f t="shared" si="4"/>
        <v>0.2631</v>
      </c>
      <c r="F33" s="897">
        <f t="shared" si="0"/>
        <v>6.4011990387169426E-4</v>
      </c>
      <c r="G33" s="1080">
        <f t="shared" si="1"/>
        <v>34393673.420000002</v>
      </c>
      <c r="H33" s="931">
        <f t="shared" si="2"/>
        <v>28</v>
      </c>
      <c r="I33" s="1080">
        <f t="shared" si="3"/>
        <v>616450.0978553358</v>
      </c>
    </row>
    <row r="34" spans="1:9" ht="13.5">
      <c r="A34" s="2">
        <v>23</v>
      </c>
      <c r="B34" s="724">
        <v>44256</v>
      </c>
      <c r="C34" s="724">
        <v>44286</v>
      </c>
      <c r="D34" s="796">
        <v>0.1741</v>
      </c>
      <c r="E34" s="796">
        <f t="shared" si="4"/>
        <v>0.26114999999999999</v>
      </c>
      <c r="F34" s="897">
        <f t="shared" si="0"/>
        <v>6.3588428907812578E-4</v>
      </c>
      <c r="G34" s="1080">
        <f t="shared" si="1"/>
        <v>34393673.420000002</v>
      </c>
      <c r="H34" s="931">
        <f t="shared" si="2"/>
        <v>31</v>
      </c>
      <c r="I34" s="1080">
        <f t="shared" si="3"/>
        <v>677982.29371531995</v>
      </c>
    </row>
    <row r="35" spans="1:9" ht="13.5">
      <c r="A35" s="2">
        <v>24</v>
      </c>
      <c r="B35" s="724">
        <v>44287</v>
      </c>
      <c r="C35" s="953">
        <v>44316</v>
      </c>
      <c r="D35" s="796">
        <v>0.1731</v>
      </c>
      <c r="E35" s="796">
        <f t="shared" si="4"/>
        <v>0.25964999999999999</v>
      </c>
      <c r="F35" s="897">
        <f t="shared" si="0"/>
        <v>6.326216771728177E-4</v>
      </c>
      <c r="G35" s="1080">
        <f t="shared" si="1"/>
        <v>34393673.420000002</v>
      </c>
      <c r="H35" s="931">
        <f t="shared" si="2"/>
        <v>30</v>
      </c>
      <c r="I35" s="1080">
        <f t="shared" si="3"/>
        <v>652745.50089283683</v>
      </c>
    </row>
    <row r="36" spans="1:9" ht="13.5">
      <c r="A36" s="2">
        <v>25</v>
      </c>
      <c r="B36" s="724">
        <v>44317</v>
      </c>
      <c r="C36" s="724">
        <v>44347</v>
      </c>
      <c r="D36" s="796">
        <v>0.17219999999999999</v>
      </c>
      <c r="E36" s="796">
        <f t="shared" si="4"/>
        <v>0.25829999999999997</v>
      </c>
      <c r="F36" s="897">
        <f t="shared" si="0"/>
        <v>6.2968201205726437E-4</v>
      </c>
      <c r="G36" s="1080">
        <f t="shared" si="1"/>
        <v>34393673.420000002</v>
      </c>
      <c r="H36" s="931">
        <f t="shared" si="2"/>
        <v>31</v>
      </c>
      <c r="I36" s="1080">
        <f t="shared" si="3"/>
        <v>671369.40191552765</v>
      </c>
    </row>
    <row r="37" spans="1:9" ht="13.5">
      <c r="A37" s="2">
        <v>26</v>
      </c>
      <c r="B37" s="724">
        <v>44348</v>
      </c>
      <c r="C37" s="724">
        <v>44377</v>
      </c>
      <c r="D37" s="796">
        <v>0.1721</v>
      </c>
      <c r="E37" s="796">
        <f t="shared" si="4"/>
        <v>0.25814999999999999</v>
      </c>
      <c r="F37" s="897">
        <f t="shared" si="0"/>
        <v>6.2935518846773952E-4</v>
      </c>
      <c r="G37" s="1080">
        <f t="shared" si="1"/>
        <v>34393673.420000002</v>
      </c>
      <c r="H37" s="931">
        <f t="shared" si="2"/>
        <v>30</v>
      </c>
      <c r="I37" s="1080">
        <f t="shared" si="3"/>
        <v>649375.10452025954</v>
      </c>
    </row>
    <row r="38" spans="1:9" ht="13.5">
      <c r="A38" s="2">
        <v>27</v>
      </c>
      <c r="B38" s="724">
        <v>44378</v>
      </c>
      <c r="C38" s="953">
        <v>44408</v>
      </c>
      <c r="D38" s="796">
        <v>0.17180000000000001</v>
      </c>
      <c r="E38" s="796">
        <f t="shared" si="4"/>
        <v>0.25770000000000004</v>
      </c>
      <c r="F38" s="897">
        <f t="shared" si="0"/>
        <v>6.2837448450037137E-4</v>
      </c>
      <c r="G38" s="1080">
        <f t="shared" si="1"/>
        <v>34393673.420000002</v>
      </c>
      <c r="H38" s="931">
        <f t="shared" si="2"/>
        <v>31</v>
      </c>
      <c r="I38" s="1080">
        <f t="shared" si="3"/>
        <v>669975.31096636539</v>
      </c>
    </row>
    <row r="39" spans="1:9" s="188" customFormat="1" ht="13.5">
      <c r="A39" s="2">
        <v>28</v>
      </c>
      <c r="B39" s="724">
        <v>44409</v>
      </c>
      <c r="C39" s="724">
        <v>44439</v>
      </c>
      <c r="D39" s="796">
        <v>0.1724</v>
      </c>
      <c r="E39" s="796">
        <f t="shared" si="4"/>
        <v>0.2586</v>
      </c>
      <c r="F39" s="897">
        <f t="shared" si="0"/>
        <v>6.3033554269220637E-4</v>
      </c>
      <c r="G39" s="1080">
        <f t="shared" si="1"/>
        <v>34393673.420000002</v>
      </c>
      <c r="H39" s="931">
        <f t="shared" si="2"/>
        <v>31</v>
      </c>
      <c r="I39" s="1080">
        <f t="shared" si="3"/>
        <v>672066.19881160068</v>
      </c>
    </row>
    <row r="40" spans="1:9" ht="13.5">
      <c r="A40" s="2">
        <v>29</v>
      </c>
      <c r="B40" s="724">
        <v>44440</v>
      </c>
      <c r="C40" s="724">
        <v>44469</v>
      </c>
      <c r="D40" s="796">
        <v>0.1719</v>
      </c>
      <c r="E40" s="796">
        <f t="shared" si="4"/>
        <v>0.25785000000000002</v>
      </c>
      <c r="F40" s="897">
        <f t="shared" si="0"/>
        <v>6.2870142469861889E-4</v>
      </c>
      <c r="G40" s="1080">
        <f t="shared" si="1"/>
        <v>34393673.420000002</v>
      </c>
      <c r="H40" s="931">
        <f t="shared" si="2"/>
        <v>30</v>
      </c>
      <c r="I40" s="1080">
        <f t="shared" si="3"/>
        <v>648700.54439319065</v>
      </c>
    </row>
    <row r="41" spans="1:9" ht="13.5">
      <c r="A41" s="2">
        <v>30</v>
      </c>
      <c r="B41" s="724">
        <v>44470</v>
      </c>
      <c r="C41" s="724">
        <v>44500</v>
      </c>
      <c r="D41" s="796">
        <v>0.17080000000000001</v>
      </c>
      <c r="E41" s="796">
        <f t="shared" si="4"/>
        <v>0.25619999999999998</v>
      </c>
      <c r="F41" s="897">
        <f t="shared" si="0"/>
        <v>6.2510294214179751E-4</v>
      </c>
      <c r="G41" s="1080">
        <f t="shared" si="1"/>
        <v>34393673.420000002</v>
      </c>
      <c r="H41" s="931">
        <f t="shared" si="2"/>
        <v>31</v>
      </c>
      <c r="I41" s="1080">
        <f t="shared" si="3"/>
        <v>666487.17982309032</v>
      </c>
    </row>
    <row r="42" spans="1:9" ht="13.5">
      <c r="A42" s="2">
        <v>31</v>
      </c>
      <c r="B42" s="724">
        <v>44501</v>
      </c>
      <c r="C42" s="724">
        <v>44529</v>
      </c>
      <c r="D42" s="796">
        <v>0.17269999999999999</v>
      </c>
      <c r="E42" s="796">
        <f t="shared" si="4"/>
        <v>0.25905</v>
      </c>
      <c r="F42" s="897">
        <f t="shared" si="0"/>
        <v>6.3131554742335005E-4</v>
      </c>
      <c r="G42" s="1080">
        <f t="shared" si="1"/>
        <v>34393673.420000002</v>
      </c>
      <c r="H42" s="931">
        <f t="shared" si="2"/>
        <v>29</v>
      </c>
      <c r="I42" s="1080">
        <f t="shared" si="3"/>
        <v>629684.56212836958</v>
      </c>
    </row>
    <row r="43" spans="1:9" ht="13.5">
      <c r="B43" s="791"/>
      <c r="C43" s="791"/>
      <c r="D43" s="791"/>
      <c r="E43" s="791"/>
      <c r="F43" s="791"/>
      <c r="G43" s="791"/>
      <c r="H43" s="728" t="s">
        <v>824</v>
      </c>
      <c r="I43" s="1080">
        <f>SUM(I12:I42)</f>
        <v>14429105.169737548</v>
      </c>
    </row>
    <row r="44" spans="1:9" ht="13.5">
      <c r="B44" s="791"/>
      <c r="C44" s="791"/>
      <c r="D44" s="791"/>
      <c r="E44" s="791"/>
      <c r="F44" s="791"/>
      <c r="G44" s="791"/>
      <c r="H44" s="955"/>
      <c r="I44" s="956"/>
    </row>
    <row r="45" spans="1:9" ht="13.5">
      <c r="B45" s="2559" t="s">
        <v>55</v>
      </c>
      <c r="C45" s="2559"/>
      <c r="D45" s="791"/>
      <c r="E45" s="791"/>
      <c r="F45" s="791"/>
      <c r="G45" s="791"/>
      <c r="H45" s="791"/>
      <c r="I45" s="791"/>
    </row>
    <row r="46" spans="1:9" ht="13.5">
      <c r="B46" s="845" t="s">
        <v>67</v>
      </c>
      <c r="C46" s="1080">
        <f>+C10</f>
        <v>34393673.420000002</v>
      </c>
      <c r="D46" s="791"/>
      <c r="E46" s="791"/>
      <c r="F46" s="791"/>
      <c r="G46" s="791"/>
      <c r="H46" s="791"/>
      <c r="I46" s="791"/>
    </row>
    <row r="47" spans="1:9" ht="13.5">
      <c r="B47" s="845" t="s">
        <v>241</v>
      </c>
      <c r="C47" s="1080">
        <f>+I43</f>
        <v>14429105.169737548</v>
      </c>
      <c r="D47" s="791"/>
      <c r="E47" s="791"/>
      <c r="F47" s="791"/>
      <c r="G47" s="791"/>
      <c r="H47" s="791"/>
      <c r="I47" s="791"/>
    </row>
    <row r="48" spans="1:9" ht="13.5">
      <c r="B48" s="728" t="s">
        <v>97</v>
      </c>
      <c r="C48" s="1887">
        <f>SUM(C46:C47)</f>
        <v>48822778.589737549</v>
      </c>
      <c r="D48" s="1888">
        <f>+C48-'Ricardo Leon Gomez'!C48</f>
        <v>0.59620171040296555</v>
      </c>
      <c r="E48" s="791"/>
      <c r="F48" s="791"/>
      <c r="G48" s="791"/>
      <c r="H48" s="791"/>
      <c r="I48" s="791"/>
    </row>
    <row r="49" spans="2:9" ht="13.5">
      <c r="B49" s="900" t="s">
        <v>62</v>
      </c>
      <c r="C49" s="791"/>
      <c r="D49" s="791"/>
      <c r="E49" s="791"/>
      <c r="F49" s="791"/>
      <c r="G49" s="791"/>
      <c r="H49" s="791"/>
      <c r="I49" s="791"/>
    </row>
    <row r="50" spans="2:9" ht="13.5">
      <c r="B50" s="814"/>
      <c r="C50" s="791"/>
      <c r="D50" s="791"/>
      <c r="E50" s="791"/>
      <c r="F50" s="791"/>
      <c r="G50" s="791"/>
      <c r="H50" s="791"/>
      <c r="I50" s="791"/>
    </row>
    <row r="51" spans="2:9" ht="13.5">
      <c r="B51" s="814"/>
      <c r="C51" s="791"/>
      <c r="D51" s="791"/>
      <c r="E51" s="791"/>
      <c r="F51" s="791"/>
      <c r="G51" s="791"/>
      <c r="H51" s="791"/>
      <c r="I51" s="791"/>
    </row>
    <row r="52" spans="2:9" ht="13.5">
      <c r="B52" s="818" t="s">
        <v>63</v>
      </c>
      <c r="C52" s="791"/>
      <c r="D52" s="791"/>
      <c r="E52" s="791"/>
      <c r="F52" s="791"/>
      <c r="G52" s="791"/>
      <c r="H52" s="791"/>
      <c r="I52" s="791"/>
    </row>
    <row r="53" spans="2:9" ht="13.5">
      <c r="B53" s="818" t="s">
        <v>64</v>
      </c>
      <c r="C53" s="791"/>
      <c r="D53" s="791"/>
      <c r="E53" s="791"/>
      <c r="F53" s="791"/>
      <c r="G53" s="791"/>
      <c r="H53" s="791"/>
      <c r="I53" s="791"/>
    </row>
    <row r="54" spans="2:9" ht="13.5">
      <c r="B54" s="900" t="s">
        <v>65</v>
      </c>
      <c r="C54" s="791"/>
      <c r="D54" s="791"/>
      <c r="E54" s="791"/>
      <c r="F54" s="791"/>
      <c r="G54" s="791"/>
      <c r="H54" s="791"/>
      <c r="I54" s="791"/>
    </row>
  </sheetData>
  <mergeCells count="3">
    <mergeCell ref="D10:I10"/>
    <mergeCell ref="D11:E11"/>
    <mergeCell ref="B45:C45"/>
  </mergeCells>
  <conditionalFormatting sqref="B11:C11">
    <cfRule type="duplicateValues" dxfId="29" priority="1"/>
  </conditionalFormatting>
  <pageMargins left="0.7" right="0.7" top="0.75" bottom="0.75" header="0.3" footer="0.3"/>
  <pageSetup paperSize="135" scale="84"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7DBFC-CF30-49DE-A716-301E69F7EE27}">
  <sheetPr codeName="Hoja29"/>
  <dimension ref="A1:K58"/>
  <sheetViews>
    <sheetView topLeftCell="A42" zoomScale="110" zoomScaleNormal="110" workbookViewId="0">
      <selection activeCell="C5" sqref="C5"/>
    </sheetView>
  </sheetViews>
  <sheetFormatPr defaultColWidth="11.42578125" defaultRowHeight="12.75"/>
  <cols>
    <col min="1" max="1" width="2.7109375" customWidth="1"/>
    <col min="2" max="2" width="21.28515625" customWidth="1"/>
    <col min="3" max="3" width="18.42578125" style="32" customWidth="1"/>
    <col min="4" max="4" width="13" customWidth="1"/>
    <col min="5" max="5" width="9.28515625" customWidth="1"/>
    <col min="6" max="6" width="10.7109375" customWidth="1"/>
    <col min="8" max="8" width="15.140625" customWidth="1"/>
    <col min="9" max="9" width="14.28515625" customWidth="1"/>
  </cols>
  <sheetData>
    <row r="1" spans="1:10" ht="13.5">
      <c r="B1" s="791"/>
      <c r="C1" s="982"/>
      <c r="D1" s="791"/>
      <c r="E1" s="791"/>
      <c r="F1" s="791"/>
      <c r="G1" s="791"/>
      <c r="H1" s="791"/>
      <c r="I1" s="791"/>
    </row>
    <row r="2" spans="1:10" ht="13.5">
      <c r="B2" s="791"/>
      <c r="C2" s="982"/>
      <c r="D2" s="791"/>
      <c r="E2" s="791"/>
      <c r="F2" s="791"/>
      <c r="G2" s="791"/>
      <c r="H2" s="791"/>
      <c r="I2" s="791"/>
    </row>
    <row r="3" spans="1:10" ht="13.5">
      <c r="B3" s="951" t="s">
        <v>825</v>
      </c>
      <c r="C3" s="929" t="s">
        <v>826</v>
      </c>
      <c r="D3" s="791"/>
      <c r="E3" s="791"/>
      <c r="F3" s="791"/>
      <c r="G3" s="791"/>
      <c r="H3" s="791"/>
      <c r="I3" s="791"/>
    </row>
    <row r="4" spans="1:10" ht="13.5">
      <c r="B4" s="947" t="s">
        <v>814</v>
      </c>
      <c r="C4" s="1005" t="s">
        <v>827</v>
      </c>
      <c r="D4" s="791"/>
      <c r="E4" s="791"/>
      <c r="F4" s="791"/>
      <c r="G4" s="791"/>
      <c r="H4" s="791"/>
      <c r="I4" s="791"/>
    </row>
    <row r="5" spans="1:10" ht="13.5">
      <c r="B5" s="951" t="s">
        <v>220</v>
      </c>
      <c r="C5" s="929" t="s">
        <v>828</v>
      </c>
      <c r="D5" s="791"/>
      <c r="E5" s="791"/>
      <c r="F5" s="791"/>
      <c r="G5" s="791"/>
      <c r="H5" s="791"/>
      <c r="I5" s="791"/>
    </row>
    <row r="6" spans="1:10" ht="13.5">
      <c r="B6" s="728" t="s">
        <v>143</v>
      </c>
      <c r="C6" s="929">
        <v>8700000</v>
      </c>
      <c r="D6" s="791"/>
      <c r="E6" s="791"/>
      <c r="F6" s="791"/>
      <c r="G6" s="791"/>
      <c r="H6" s="791"/>
      <c r="I6" s="791"/>
    </row>
    <row r="7" spans="1:10" ht="13.5">
      <c r="B7" s="728" t="s">
        <v>819</v>
      </c>
      <c r="C7" s="953">
        <v>43642</v>
      </c>
      <c r="D7" s="791"/>
      <c r="E7" s="791"/>
      <c r="F7" s="791"/>
      <c r="G7" s="791"/>
      <c r="H7" s="791"/>
      <c r="I7" s="791"/>
    </row>
    <row r="8" spans="1:10" ht="13.5">
      <c r="B8" s="728" t="s">
        <v>820</v>
      </c>
      <c r="C8" s="982"/>
      <c r="D8" s="791"/>
      <c r="E8" s="791"/>
      <c r="F8" s="791"/>
      <c r="G8" s="791"/>
      <c r="H8" s="791"/>
      <c r="I8" s="791"/>
    </row>
    <row r="9" spans="1:10" ht="13.5">
      <c r="B9" s="791"/>
      <c r="C9" s="982"/>
      <c r="D9" s="791"/>
      <c r="E9" s="791"/>
      <c r="F9" s="791"/>
      <c r="G9" s="791"/>
      <c r="H9" s="791"/>
      <c r="I9" s="791"/>
    </row>
    <row r="10" spans="1:10" ht="13.5">
      <c r="B10" s="728" t="s">
        <v>143</v>
      </c>
      <c r="C10" s="790">
        <v>8700000</v>
      </c>
      <c r="D10" s="2644" t="s">
        <v>172</v>
      </c>
      <c r="E10" s="2645"/>
      <c r="F10" s="2645"/>
      <c r="G10" s="2645"/>
      <c r="H10" s="2645"/>
      <c r="I10" s="2646"/>
    </row>
    <row r="11" spans="1:10" ht="25.5">
      <c r="B11" s="793" t="s">
        <v>337</v>
      </c>
      <c r="C11" s="793" t="s">
        <v>40</v>
      </c>
      <c r="D11" s="2719" t="s">
        <v>822</v>
      </c>
      <c r="E11" s="2720"/>
      <c r="F11" s="893" t="s">
        <v>43</v>
      </c>
      <c r="G11" s="893" t="s">
        <v>129</v>
      </c>
      <c r="H11" s="794" t="s">
        <v>706</v>
      </c>
      <c r="I11" s="893" t="s">
        <v>48</v>
      </c>
    </row>
    <row r="12" spans="1:10" ht="13.5">
      <c r="A12">
        <v>1</v>
      </c>
      <c r="B12" s="724">
        <v>43643</v>
      </c>
      <c r="C12" s="953">
        <v>43646</v>
      </c>
      <c r="D12" s="796">
        <v>0</v>
      </c>
      <c r="E12" s="796">
        <v>4.5199999999999997E-2</v>
      </c>
      <c r="F12" s="897">
        <f>((1+E12)^(1/365)-1)</f>
        <v>1.2112584107204505E-4</v>
      </c>
      <c r="G12" s="882">
        <f>+$C$10</f>
        <v>8700000</v>
      </c>
      <c r="H12" s="931">
        <f>+_xlfn.DAYS(C12,B12)+1</f>
        <v>4</v>
      </c>
      <c r="I12" s="895">
        <f>(F12*G12)*H12</f>
        <v>4215.1792693071675</v>
      </c>
      <c r="J12" s="621"/>
    </row>
    <row r="13" spans="1:10" ht="13.5">
      <c r="A13">
        <v>2</v>
      </c>
      <c r="B13" s="724">
        <v>43647</v>
      </c>
      <c r="C13" s="724">
        <v>43677</v>
      </c>
      <c r="D13" s="796">
        <v>0</v>
      </c>
      <c r="E13" s="796">
        <v>4.4699999999999997E-2</v>
      </c>
      <c r="F13" s="897">
        <f t="shared" ref="F13:F42" si="0">((1+E13)^(1/365)-1)</f>
        <v>1.198147466965338E-4</v>
      </c>
      <c r="G13" s="882">
        <f t="shared" ref="G13:G45" si="1">+$C$10</f>
        <v>8700000</v>
      </c>
      <c r="H13" s="931">
        <f>+_xlfn.DAYS(C13,B13)+1</f>
        <v>31</v>
      </c>
      <c r="I13" s="895">
        <f t="shared" ref="I13:I44" si="2">(F13*G13)*H13</f>
        <v>32314.037184055167</v>
      </c>
      <c r="J13" s="621"/>
    </row>
    <row r="14" spans="1:10" ht="13.5">
      <c r="A14">
        <v>3</v>
      </c>
      <c r="B14" s="724">
        <v>43678</v>
      </c>
      <c r="C14" s="724">
        <v>43708</v>
      </c>
      <c r="D14" s="796">
        <v>0</v>
      </c>
      <c r="E14" s="796">
        <v>4.4299999999999999E-2</v>
      </c>
      <c r="F14" s="897">
        <f t="shared" si="0"/>
        <v>1.187654205565547E-4</v>
      </c>
      <c r="G14" s="882">
        <f t="shared" si="1"/>
        <v>8700000</v>
      </c>
      <c r="H14" s="931">
        <f>+_xlfn.DAYS(C14,B14)+1</f>
        <v>31</v>
      </c>
      <c r="I14" s="895">
        <f t="shared" si="2"/>
        <v>32031.033924102805</v>
      </c>
      <c r="J14" s="621"/>
    </row>
    <row r="15" spans="1:10" ht="13.5">
      <c r="A15">
        <v>4</v>
      </c>
      <c r="B15" s="724">
        <v>43709</v>
      </c>
      <c r="C15" s="724">
        <v>43735</v>
      </c>
      <c r="D15" s="796">
        <v>0</v>
      </c>
      <c r="E15" s="796">
        <v>4.48E-2</v>
      </c>
      <c r="F15" s="897">
        <f t="shared" si="0"/>
        <v>1.2007701562666284E-4</v>
      </c>
      <c r="G15" s="882">
        <f t="shared" si="1"/>
        <v>8700000</v>
      </c>
      <c r="H15" s="931">
        <f>+_xlfn.DAYS(C15,B15)+1</f>
        <v>27</v>
      </c>
      <c r="I15" s="895">
        <f t="shared" si="2"/>
        <v>28206.090970703106</v>
      </c>
      <c r="J15" s="621"/>
    </row>
    <row r="16" spans="1:10" ht="13.5">
      <c r="B16" s="885" t="s">
        <v>829</v>
      </c>
      <c r="C16" s="724"/>
      <c r="D16" s="796"/>
      <c r="E16" s="796"/>
      <c r="F16" s="897"/>
      <c r="G16" s="882"/>
      <c r="H16" s="931"/>
      <c r="I16" s="895"/>
      <c r="J16" s="621"/>
    </row>
    <row r="17" spans="1:11" ht="13.5">
      <c r="A17">
        <v>5</v>
      </c>
      <c r="B17" s="724">
        <v>43736</v>
      </c>
      <c r="C17" s="724">
        <v>43738</v>
      </c>
      <c r="D17" s="796">
        <v>0</v>
      </c>
      <c r="E17" s="796">
        <v>0</v>
      </c>
      <c r="F17" s="897">
        <f>((1+E17)^(1/365)-1)</f>
        <v>0</v>
      </c>
      <c r="G17" s="882">
        <f t="shared" si="1"/>
        <v>8700000</v>
      </c>
      <c r="H17" s="931">
        <v>0</v>
      </c>
      <c r="I17" s="895">
        <f t="shared" si="2"/>
        <v>0</v>
      </c>
      <c r="J17" s="621"/>
    </row>
    <row r="18" spans="1:11" ht="13.5">
      <c r="A18">
        <v>6</v>
      </c>
      <c r="B18" s="724">
        <v>43739</v>
      </c>
      <c r="C18" s="724">
        <v>43769</v>
      </c>
      <c r="D18" s="796">
        <v>0</v>
      </c>
      <c r="E18" s="796">
        <v>0</v>
      </c>
      <c r="F18" s="897">
        <f t="shared" si="0"/>
        <v>0</v>
      </c>
      <c r="G18" s="882">
        <f t="shared" si="1"/>
        <v>8700000</v>
      </c>
      <c r="H18" s="931">
        <v>0</v>
      </c>
      <c r="I18" s="895">
        <f t="shared" si="2"/>
        <v>0</v>
      </c>
      <c r="J18" s="621"/>
      <c r="K18" s="471"/>
    </row>
    <row r="19" spans="1:11" ht="13.5">
      <c r="A19">
        <v>7</v>
      </c>
      <c r="B19" s="724">
        <v>43770</v>
      </c>
      <c r="C19" s="724">
        <v>43799</v>
      </c>
      <c r="D19" s="796">
        <v>0</v>
      </c>
      <c r="E19" s="796">
        <v>0</v>
      </c>
      <c r="F19" s="897">
        <f t="shared" si="0"/>
        <v>0</v>
      </c>
      <c r="G19" s="882">
        <f t="shared" si="1"/>
        <v>8700000</v>
      </c>
      <c r="H19" s="931">
        <v>0</v>
      </c>
      <c r="I19" s="895">
        <f t="shared" si="2"/>
        <v>0</v>
      </c>
      <c r="J19" s="621"/>
    </row>
    <row r="20" spans="1:11" ht="13.5">
      <c r="A20">
        <v>8</v>
      </c>
      <c r="B20" s="724">
        <v>43800</v>
      </c>
      <c r="C20" s="724">
        <v>43830</v>
      </c>
      <c r="D20" s="796">
        <v>0</v>
      </c>
      <c r="E20" s="796">
        <v>0</v>
      </c>
      <c r="F20" s="897">
        <f t="shared" si="0"/>
        <v>0</v>
      </c>
      <c r="G20" s="882">
        <f t="shared" si="1"/>
        <v>8700000</v>
      </c>
      <c r="H20" s="931">
        <v>0</v>
      </c>
      <c r="I20" s="895">
        <f t="shared" si="2"/>
        <v>0</v>
      </c>
      <c r="J20" s="621"/>
    </row>
    <row r="21" spans="1:11" ht="13.5">
      <c r="A21">
        <v>9</v>
      </c>
      <c r="B21" s="724">
        <v>43831</v>
      </c>
      <c r="C21" s="724">
        <v>43861</v>
      </c>
      <c r="D21" s="796">
        <v>0</v>
      </c>
      <c r="E21" s="796">
        <v>0</v>
      </c>
      <c r="F21" s="897">
        <f t="shared" si="0"/>
        <v>0</v>
      </c>
      <c r="G21" s="882">
        <f t="shared" si="1"/>
        <v>8700000</v>
      </c>
      <c r="H21" s="931">
        <v>0</v>
      </c>
      <c r="I21" s="895">
        <f t="shared" si="2"/>
        <v>0</v>
      </c>
      <c r="J21" s="621"/>
    </row>
    <row r="22" spans="1:11" ht="13.5">
      <c r="A22">
        <v>10</v>
      </c>
      <c r="B22" s="724">
        <v>43862</v>
      </c>
      <c r="C22" s="724">
        <v>43890</v>
      </c>
      <c r="D22" s="796">
        <v>0</v>
      </c>
      <c r="E22" s="796">
        <v>0</v>
      </c>
      <c r="F22" s="897">
        <f t="shared" si="0"/>
        <v>0</v>
      </c>
      <c r="G22" s="882">
        <f t="shared" si="1"/>
        <v>8700000</v>
      </c>
      <c r="H22" s="931">
        <v>0</v>
      </c>
      <c r="I22" s="895">
        <f t="shared" si="2"/>
        <v>0</v>
      </c>
      <c r="J22" s="621"/>
    </row>
    <row r="23" spans="1:11" ht="13.5">
      <c r="A23">
        <v>11</v>
      </c>
      <c r="B23" s="724">
        <v>43891</v>
      </c>
      <c r="C23" s="724">
        <v>43921</v>
      </c>
      <c r="D23" s="796">
        <v>0</v>
      </c>
      <c r="E23" s="796">
        <v>0</v>
      </c>
      <c r="F23" s="897">
        <f t="shared" si="0"/>
        <v>0</v>
      </c>
      <c r="G23" s="882">
        <f t="shared" si="1"/>
        <v>8700000</v>
      </c>
      <c r="H23" s="931">
        <v>0</v>
      </c>
      <c r="I23" s="895">
        <f t="shared" si="2"/>
        <v>0</v>
      </c>
      <c r="J23" s="621"/>
    </row>
    <row r="24" spans="1:11" ht="13.5">
      <c r="A24">
        <v>12</v>
      </c>
      <c r="B24" s="724">
        <v>43922</v>
      </c>
      <c r="C24" s="724">
        <v>43951</v>
      </c>
      <c r="D24" s="796">
        <v>0.1895</v>
      </c>
      <c r="E24" s="796">
        <f t="shared" ref="E24:E42" si="3">+D24*1.5</f>
        <v>0.28425</v>
      </c>
      <c r="F24" s="897">
        <f t="shared" si="0"/>
        <v>6.8564560609574166E-4</v>
      </c>
      <c r="G24" s="882">
        <f t="shared" si="1"/>
        <v>8700000</v>
      </c>
      <c r="H24" s="931">
        <v>0</v>
      </c>
      <c r="I24" s="895">
        <f t="shared" si="2"/>
        <v>0</v>
      </c>
    </row>
    <row r="25" spans="1:11" ht="13.5">
      <c r="A25">
        <v>13</v>
      </c>
      <c r="B25" s="724">
        <v>43952</v>
      </c>
      <c r="C25" s="724">
        <v>43982</v>
      </c>
      <c r="D25" s="796">
        <v>0.18690000000000001</v>
      </c>
      <c r="E25" s="796">
        <f t="shared" si="3"/>
        <v>0.28034999999999999</v>
      </c>
      <c r="F25" s="897">
        <f t="shared" si="0"/>
        <v>6.7730729113191224E-4</v>
      </c>
      <c r="G25" s="882">
        <f t="shared" si="1"/>
        <v>8700000</v>
      </c>
      <c r="H25" s="931">
        <v>0</v>
      </c>
      <c r="I25" s="895">
        <f t="shared" si="2"/>
        <v>0</v>
      </c>
    </row>
    <row r="26" spans="1:11" ht="13.5">
      <c r="A26">
        <v>14</v>
      </c>
      <c r="B26" s="724">
        <v>43983</v>
      </c>
      <c r="C26" s="724">
        <v>44012</v>
      </c>
      <c r="D26" s="796">
        <v>0.18190000000000001</v>
      </c>
      <c r="E26" s="796">
        <f t="shared" si="3"/>
        <v>0.27285000000000004</v>
      </c>
      <c r="F26" s="897">
        <f t="shared" si="0"/>
        <v>6.6120063584418354E-4</v>
      </c>
      <c r="G26" s="882">
        <f t="shared" si="1"/>
        <v>8700000</v>
      </c>
      <c r="H26" s="931">
        <v>0</v>
      </c>
      <c r="I26" s="895">
        <f t="shared" si="2"/>
        <v>0</v>
      </c>
    </row>
    <row r="27" spans="1:11" ht="13.5">
      <c r="A27">
        <v>15</v>
      </c>
      <c r="B27" s="724">
        <v>44013</v>
      </c>
      <c r="C27" s="724">
        <v>44043</v>
      </c>
      <c r="D27" s="796">
        <v>0.1812</v>
      </c>
      <c r="E27" s="796">
        <f t="shared" si="3"/>
        <v>0.27179999999999999</v>
      </c>
      <c r="F27" s="897">
        <f t="shared" si="0"/>
        <v>6.5893815469997286E-4</v>
      </c>
      <c r="G27" s="882">
        <f t="shared" si="1"/>
        <v>8700000</v>
      </c>
      <c r="H27" s="931">
        <v>0</v>
      </c>
      <c r="I27" s="895">
        <f t="shared" si="2"/>
        <v>0</v>
      </c>
    </row>
    <row r="28" spans="1:11" ht="13.5">
      <c r="A28">
        <v>16</v>
      </c>
      <c r="B28" s="724">
        <v>44044</v>
      </c>
      <c r="C28" s="724">
        <v>44074</v>
      </c>
      <c r="D28" s="796">
        <v>0.1812</v>
      </c>
      <c r="E28" s="796">
        <f t="shared" si="3"/>
        <v>0.27179999999999999</v>
      </c>
      <c r="F28" s="897">
        <f t="shared" si="0"/>
        <v>6.5893815469997286E-4</v>
      </c>
      <c r="G28" s="882">
        <f t="shared" si="1"/>
        <v>8700000</v>
      </c>
      <c r="H28" s="931">
        <v>0</v>
      </c>
      <c r="I28" s="895">
        <f t="shared" si="2"/>
        <v>0</v>
      </c>
    </row>
    <row r="29" spans="1:11" ht="13.5">
      <c r="A29">
        <v>17</v>
      </c>
      <c r="B29" s="724">
        <v>44075</v>
      </c>
      <c r="C29" s="724">
        <v>44104</v>
      </c>
      <c r="D29" s="796">
        <v>0.18290000000000001</v>
      </c>
      <c r="E29" s="796">
        <f t="shared" si="3"/>
        <v>0.27434999999999998</v>
      </c>
      <c r="F29" s="897">
        <f t="shared" si="0"/>
        <v>6.6442952514544906E-4</v>
      </c>
      <c r="G29" s="882">
        <f t="shared" si="1"/>
        <v>8700000</v>
      </c>
      <c r="H29" s="931">
        <v>0</v>
      </c>
      <c r="I29" s="895">
        <f t="shared" si="2"/>
        <v>0</v>
      </c>
    </row>
    <row r="30" spans="1:11" ht="13.5">
      <c r="A30">
        <v>18</v>
      </c>
      <c r="B30" s="724">
        <v>44105</v>
      </c>
      <c r="C30" s="724">
        <v>44135</v>
      </c>
      <c r="D30" s="796">
        <v>0.1835</v>
      </c>
      <c r="E30" s="796">
        <f t="shared" si="3"/>
        <v>0.27524999999999999</v>
      </c>
      <c r="F30" s="897">
        <f t="shared" si="0"/>
        <v>6.6636503991857055E-4</v>
      </c>
      <c r="G30" s="882">
        <f t="shared" si="1"/>
        <v>8700000</v>
      </c>
      <c r="H30" s="931">
        <v>0</v>
      </c>
      <c r="I30" s="895">
        <f t="shared" si="2"/>
        <v>0</v>
      </c>
    </row>
    <row r="31" spans="1:11" ht="13.5">
      <c r="A31">
        <v>19</v>
      </c>
      <c r="B31" s="724">
        <v>44136</v>
      </c>
      <c r="C31" s="724">
        <v>44165</v>
      </c>
      <c r="D31" s="796">
        <v>0.18090000000000001</v>
      </c>
      <c r="E31" s="796">
        <f t="shared" si="3"/>
        <v>0.27134999999999998</v>
      </c>
      <c r="F31" s="897">
        <f t="shared" si="0"/>
        <v>6.5796794962613703E-4</v>
      </c>
      <c r="G31" s="882">
        <f t="shared" si="1"/>
        <v>8700000</v>
      </c>
      <c r="H31" s="931">
        <v>0</v>
      </c>
      <c r="I31" s="895">
        <f t="shared" si="2"/>
        <v>0</v>
      </c>
    </row>
    <row r="32" spans="1:11" ht="13.5">
      <c r="A32">
        <v>20</v>
      </c>
      <c r="B32" s="724">
        <v>44166</v>
      </c>
      <c r="C32" s="724">
        <v>44196</v>
      </c>
      <c r="D32" s="796">
        <v>0.1784</v>
      </c>
      <c r="E32" s="796">
        <f t="shared" si="3"/>
        <v>0.2676</v>
      </c>
      <c r="F32" s="897">
        <f t="shared" si="0"/>
        <v>6.4986956374091243E-4</v>
      </c>
      <c r="G32" s="882">
        <f t="shared" si="1"/>
        <v>8700000</v>
      </c>
      <c r="H32" s="931">
        <v>0</v>
      </c>
      <c r="I32" s="895">
        <f t="shared" si="2"/>
        <v>0</v>
      </c>
    </row>
    <row r="33" spans="1:9" ht="13.5">
      <c r="A33">
        <v>21</v>
      </c>
      <c r="B33" s="724">
        <v>44197</v>
      </c>
      <c r="C33" s="724">
        <v>44227</v>
      </c>
      <c r="D33" s="796">
        <v>0.17460000000000001</v>
      </c>
      <c r="E33" s="796">
        <f t="shared" si="3"/>
        <v>0.26190000000000002</v>
      </c>
      <c r="F33" s="897">
        <f t="shared" si="0"/>
        <v>6.3751414410861962E-4</v>
      </c>
      <c r="G33" s="882">
        <f t="shared" si="1"/>
        <v>8700000</v>
      </c>
      <c r="H33" s="931">
        <v>0</v>
      </c>
      <c r="I33" s="895">
        <f t="shared" si="2"/>
        <v>0</v>
      </c>
    </row>
    <row r="34" spans="1:9" ht="13.5">
      <c r="A34">
        <v>22</v>
      </c>
      <c r="B34" s="724">
        <v>44228</v>
      </c>
      <c r="C34" s="724">
        <v>44255</v>
      </c>
      <c r="D34" s="796">
        <v>0.17319999999999999</v>
      </c>
      <c r="E34" s="796">
        <f t="shared" si="3"/>
        <v>0.25979999999999998</v>
      </c>
      <c r="F34" s="897">
        <f t="shared" si="0"/>
        <v>6.3294811266723094E-4</v>
      </c>
      <c r="G34" s="882">
        <f t="shared" si="1"/>
        <v>8700000</v>
      </c>
      <c r="H34" s="931">
        <v>0</v>
      </c>
      <c r="I34" s="895">
        <f t="shared" si="2"/>
        <v>0</v>
      </c>
    </row>
    <row r="35" spans="1:9" ht="13.5">
      <c r="A35">
        <v>23</v>
      </c>
      <c r="B35" s="724">
        <v>44256</v>
      </c>
      <c r="C35" s="724">
        <v>44286</v>
      </c>
      <c r="D35" s="796">
        <v>0.1754</v>
      </c>
      <c r="E35" s="796">
        <f t="shared" si="3"/>
        <v>0.2631</v>
      </c>
      <c r="F35" s="897">
        <f t="shared" si="0"/>
        <v>6.4011990387169426E-4</v>
      </c>
      <c r="G35" s="882">
        <f t="shared" si="1"/>
        <v>8700000</v>
      </c>
      <c r="H35" s="931">
        <v>0</v>
      </c>
      <c r="I35" s="895">
        <f t="shared" si="2"/>
        <v>0</v>
      </c>
    </row>
    <row r="36" spans="1:9" ht="13.5">
      <c r="A36">
        <v>24</v>
      </c>
      <c r="B36" s="724">
        <v>44287</v>
      </c>
      <c r="C36" s="724">
        <v>44316</v>
      </c>
      <c r="D36" s="796">
        <v>0.1741</v>
      </c>
      <c r="E36" s="796">
        <f t="shared" si="3"/>
        <v>0.26114999999999999</v>
      </c>
      <c r="F36" s="897">
        <f t="shared" si="0"/>
        <v>6.3588428907812578E-4</v>
      </c>
      <c r="G36" s="882">
        <f t="shared" si="1"/>
        <v>8700000</v>
      </c>
      <c r="H36" s="931">
        <v>0</v>
      </c>
      <c r="I36" s="895">
        <f t="shared" si="2"/>
        <v>0</v>
      </c>
    </row>
    <row r="37" spans="1:9" ht="13.5">
      <c r="A37">
        <v>25</v>
      </c>
      <c r="B37" s="724">
        <v>44317</v>
      </c>
      <c r="C37" s="724">
        <v>44347</v>
      </c>
      <c r="D37" s="796">
        <v>0.1731</v>
      </c>
      <c r="E37" s="796">
        <f t="shared" si="3"/>
        <v>0.25964999999999999</v>
      </c>
      <c r="F37" s="897">
        <f t="shared" si="0"/>
        <v>6.326216771728177E-4</v>
      </c>
      <c r="G37" s="882">
        <f t="shared" si="1"/>
        <v>8700000</v>
      </c>
      <c r="H37" s="931">
        <v>0</v>
      </c>
      <c r="I37" s="895">
        <f t="shared" si="2"/>
        <v>0</v>
      </c>
    </row>
    <row r="38" spans="1:9" ht="13.5">
      <c r="A38">
        <v>26</v>
      </c>
      <c r="B38" s="724">
        <v>44348</v>
      </c>
      <c r="C38" s="724">
        <v>44377</v>
      </c>
      <c r="D38" s="796">
        <v>0.17219999999999999</v>
      </c>
      <c r="E38" s="796">
        <f t="shared" si="3"/>
        <v>0.25829999999999997</v>
      </c>
      <c r="F38" s="897">
        <f t="shared" si="0"/>
        <v>6.2968201205726437E-4</v>
      </c>
      <c r="G38" s="882">
        <f t="shared" si="1"/>
        <v>8700000</v>
      </c>
      <c r="H38" s="931">
        <v>0</v>
      </c>
      <c r="I38" s="895">
        <f t="shared" si="2"/>
        <v>0</v>
      </c>
    </row>
    <row r="39" spans="1:9" ht="13.5">
      <c r="A39">
        <v>27</v>
      </c>
      <c r="B39" s="724">
        <v>44378</v>
      </c>
      <c r="C39" s="724">
        <v>44408</v>
      </c>
      <c r="D39" s="796">
        <v>0.1721</v>
      </c>
      <c r="E39" s="796">
        <f t="shared" si="3"/>
        <v>0.25814999999999999</v>
      </c>
      <c r="F39" s="897">
        <f t="shared" si="0"/>
        <v>6.2935518846773952E-4</v>
      </c>
      <c r="G39" s="882">
        <f t="shared" si="1"/>
        <v>8700000</v>
      </c>
      <c r="H39" s="931">
        <v>0</v>
      </c>
      <c r="I39" s="895">
        <f t="shared" si="2"/>
        <v>0</v>
      </c>
    </row>
    <row r="40" spans="1:9" ht="13.5">
      <c r="A40">
        <v>28</v>
      </c>
      <c r="B40" s="724">
        <v>44409</v>
      </c>
      <c r="C40" s="724">
        <v>44439</v>
      </c>
      <c r="D40" s="796">
        <v>0.1724</v>
      </c>
      <c r="E40" s="796">
        <f t="shared" si="3"/>
        <v>0.2586</v>
      </c>
      <c r="F40" s="897">
        <f t="shared" si="0"/>
        <v>6.3033554269220637E-4</v>
      </c>
      <c r="G40" s="882">
        <f t="shared" si="1"/>
        <v>8700000</v>
      </c>
      <c r="H40" s="931">
        <v>0</v>
      </c>
      <c r="I40" s="895">
        <f t="shared" si="2"/>
        <v>0</v>
      </c>
    </row>
    <row r="41" spans="1:9" ht="13.5">
      <c r="A41">
        <v>29</v>
      </c>
      <c r="B41" s="724">
        <v>44440</v>
      </c>
      <c r="C41" s="724">
        <v>44469</v>
      </c>
      <c r="D41" s="796">
        <v>0.1719</v>
      </c>
      <c r="E41" s="796">
        <f t="shared" si="3"/>
        <v>0.25785000000000002</v>
      </c>
      <c r="F41" s="897">
        <f t="shared" si="0"/>
        <v>6.2870142469861889E-4</v>
      </c>
      <c r="G41" s="882">
        <f t="shared" si="1"/>
        <v>8700000</v>
      </c>
      <c r="H41" s="931">
        <v>0</v>
      </c>
      <c r="I41" s="895">
        <f t="shared" si="2"/>
        <v>0</v>
      </c>
    </row>
    <row r="42" spans="1:9" ht="13.5">
      <c r="A42">
        <v>30</v>
      </c>
      <c r="B42" s="724">
        <v>44470</v>
      </c>
      <c r="C42" s="724">
        <v>44496</v>
      </c>
      <c r="D42" s="796">
        <v>0.17080000000000001</v>
      </c>
      <c r="E42" s="796">
        <f t="shared" si="3"/>
        <v>0.25619999999999998</v>
      </c>
      <c r="F42" s="897">
        <f t="shared" si="0"/>
        <v>6.2510294214179751E-4</v>
      </c>
      <c r="G42" s="882">
        <f t="shared" si="1"/>
        <v>8700000</v>
      </c>
      <c r="H42" s="931">
        <v>0</v>
      </c>
      <c r="I42" s="895"/>
    </row>
    <row r="43" spans="1:9" ht="13.5">
      <c r="B43" s="885" t="s">
        <v>830</v>
      </c>
      <c r="C43" s="724"/>
      <c r="D43" s="796"/>
      <c r="E43" s="796"/>
      <c r="F43" s="897"/>
      <c r="G43" s="882"/>
      <c r="H43" s="931"/>
      <c r="I43" s="895"/>
    </row>
    <row r="44" spans="1:9" ht="13.5">
      <c r="A44">
        <v>31</v>
      </c>
      <c r="B44" s="724">
        <v>44497</v>
      </c>
      <c r="C44" s="724">
        <v>44500</v>
      </c>
      <c r="D44" s="796">
        <v>0.17080000000000001</v>
      </c>
      <c r="E44" s="796">
        <f>+D44*1.5</f>
        <v>0.25619999999999998</v>
      </c>
      <c r="F44" s="897">
        <f>((1+E44)^(1/365)-1)</f>
        <v>6.2510294214179751E-4</v>
      </c>
      <c r="G44" s="882">
        <f t="shared" si="1"/>
        <v>8700000</v>
      </c>
      <c r="H44" s="931">
        <f>+_xlfn.DAYS(C44,B44)+1</f>
        <v>4</v>
      </c>
      <c r="I44" s="895">
        <f t="shared" si="2"/>
        <v>21753.582386534552</v>
      </c>
    </row>
    <row r="45" spans="1:9" ht="13.5">
      <c r="A45">
        <v>32</v>
      </c>
      <c r="B45" s="724">
        <v>44501</v>
      </c>
      <c r="C45" s="724">
        <v>44517</v>
      </c>
      <c r="D45" s="796">
        <v>0.17269999999999999</v>
      </c>
      <c r="E45" s="796">
        <f>+D45*1.5</f>
        <v>0.25905</v>
      </c>
      <c r="F45" s="897">
        <f>((1+E45)^(1/365)-1)</f>
        <v>6.3131554742335005E-4</v>
      </c>
      <c r="G45" s="882">
        <f t="shared" si="1"/>
        <v>8700000</v>
      </c>
      <c r="H45" s="931">
        <f>+_xlfn.DAYS(C45,B45)+1</f>
        <v>17</v>
      </c>
      <c r="I45" s="895">
        <f>(F45*G45)*H45</f>
        <v>93371.569463913474</v>
      </c>
    </row>
    <row r="46" spans="1:9" ht="13.5">
      <c r="B46" s="791"/>
      <c r="C46" s="791"/>
      <c r="D46" s="791"/>
      <c r="E46" s="791"/>
      <c r="F46" s="791"/>
      <c r="G46" s="791"/>
      <c r="H46" s="728" t="s">
        <v>824</v>
      </c>
      <c r="I46" s="895">
        <f>SUM(I12:I45)</f>
        <v>211891.49319861628</v>
      </c>
    </row>
    <row r="47" spans="1:9" ht="14.25" thickBot="1">
      <c r="B47" s="2604" t="s">
        <v>55</v>
      </c>
      <c r="C47" s="2681"/>
      <c r="D47" s="2605"/>
      <c r="E47" s="791"/>
      <c r="F47" s="791"/>
      <c r="G47" s="791"/>
      <c r="H47" s="978" t="s">
        <v>831</v>
      </c>
      <c r="I47" s="1006">
        <f>+C10+I46</f>
        <v>8911891.4931986164</v>
      </c>
    </row>
    <row r="48" spans="1:9" ht="14.25" thickTop="1">
      <c r="B48" s="726" t="s">
        <v>56</v>
      </c>
      <c r="C48" s="726"/>
      <c r="D48" s="726"/>
      <c r="E48" s="791"/>
      <c r="F48" s="791"/>
      <c r="G48" s="791"/>
      <c r="H48" s="791"/>
      <c r="I48" s="791"/>
    </row>
    <row r="49" spans="2:9" ht="13.5">
      <c r="B49" s="741" t="s">
        <v>133</v>
      </c>
      <c r="C49" s="737"/>
      <c r="D49" s="895">
        <f>+C6</f>
        <v>8700000</v>
      </c>
      <c r="E49" s="791"/>
      <c r="F49" s="791"/>
      <c r="G49" s="791"/>
      <c r="H49" s="791"/>
      <c r="I49" s="791"/>
    </row>
    <row r="50" spans="2:9" ht="13.5">
      <c r="B50" s="742" t="s">
        <v>832</v>
      </c>
      <c r="C50" s="830"/>
      <c r="D50" s="895">
        <f>+I46</f>
        <v>211891.49319861628</v>
      </c>
      <c r="E50" s="791"/>
      <c r="F50" s="791"/>
      <c r="G50" s="791"/>
      <c r="H50" s="791"/>
      <c r="I50" s="791"/>
    </row>
    <row r="51" spans="2:9" ht="14.25" thickBot="1">
      <c r="B51" s="743" t="s">
        <v>61</v>
      </c>
      <c r="C51" s="942"/>
      <c r="D51" s="1007">
        <f>SUM(D49:D50)</f>
        <v>8911891.4931986164</v>
      </c>
      <c r="E51" s="791"/>
      <c r="F51" s="791"/>
      <c r="G51" s="791"/>
      <c r="H51" s="791"/>
      <c r="I51" s="791"/>
    </row>
    <row r="52" spans="2:9" ht="14.25" thickTop="1">
      <c r="B52" s="900" t="s">
        <v>62</v>
      </c>
      <c r="C52" s="791"/>
      <c r="D52" s="791"/>
      <c r="E52" s="791"/>
      <c r="F52" s="791"/>
      <c r="G52" s="791"/>
      <c r="H52" s="791"/>
      <c r="I52" s="791"/>
    </row>
    <row r="53" spans="2:9" ht="13.5">
      <c r="B53" s="814"/>
      <c r="C53" s="791"/>
      <c r="D53" s="791"/>
      <c r="E53" s="791"/>
      <c r="F53" s="791"/>
      <c r="G53" s="791"/>
      <c r="H53" s="791"/>
      <c r="I53" s="791"/>
    </row>
    <row r="54" spans="2:9" ht="13.5">
      <c r="B54" s="814"/>
      <c r="C54" s="791"/>
      <c r="D54" s="791"/>
      <c r="E54" s="791"/>
      <c r="F54" s="791"/>
      <c r="G54" s="791"/>
      <c r="H54" s="791"/>
      <c r="I54" s="791"/>
    </row>
    <row r="55" spans="2:9" ht="13.5">
      <c r="B55" s="818" t="s">
        <v>63</v>
      </c>
      <c r="C55" s="791"/>
      <c r="D55" s="791"/>
      <c r="E55" s="791"/>
      <c r="F55" s="791"/>
      <c r="G55" s="791"/>
      <c r="H55" s="791"/>
      <c r="I55" s="791"/>
    </row>
    <row r="56" spans="2:9" ht="13.5">
      <c r="B56" s="818" t="s">
        <v>64</v>
      </c>
      <c r="C56" s="791"/>
      <c r="D56" s="791"/>
      <c r="E56" s="791"/>
      <c r="F56" s="791"/>
      <c r="G56" s="791"/>
      <c r="H56" s="791"/>
      <c r="I56" s="791"/>
    </row>
    <row r="57" spans="2:9" ht="13.5">
      <c r="B57" s="900" t="s">
        <v>65</v>
      </c>
      <c r="C57" s="791"/>
      <c r="D57" s="791"/>
      <c r="E57" s="791"/>
      <c r="F57" s="791"/>
      <c r="G57" s="791"/>
      <c r="H57" s="791"/>
      <c r="I57" s="791"/>
    </row>
    <row r="58" spans="2:9" ht="13.5">
      <c r="B58" s="791"/>
      <c r="C58" s="982"/>
      <c r="D58" s="791"/>
      <c r="E58" s="791"/>
      <c r="F58" s="791"/>
      <c r="G58" s="791"/>
      <c r="H58" s="791"/>
      <c r="I58" s="791"/>
    </row>
  </sheetData>
  <mergeCells count="3">
    <mergeCell ref="D10:I10"/>
    <mergeCell ref="B47:D47"/>
    <mergeCell ref="D11:E11"/>
  </mergeCells>
  <conditionalFormatting sqref="B11:C11">
    <cfRule type="duplicateValues" dxfId="28" priority="1"/>
  </conditionalFormatting>
  <pageMargins left="0.7" right="0.7" top="0.75" bottom="0.75" header="0.3" footer="0.3"/>
  <pageSetup paperSize="9" scale="76"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30"/>
  <dimension ref="A1:N105"/>
  <sheetViews>
    <sheetView topLeftCell="B1" zoomScaleNormal="100" workbookViewId="0">
      <selection activeCell="D17" sqref="D17"/>
    </sheetView>
  </sheetViews>
  <sheetFormatPr defaultColWidth="9.140625" defaultRowHeight="12.75"/>
  <cols>
    <col min="1" max="1" width="3.140625" customWidth="1"/>
    <col min="2" max="2" width="15.42578125" style="32" customWidth="1"/>
    <col min="3" max="3" width="13.5703125" style="32" customWidth="1"/>
    <col min="4" max="4" width="12.85546875" style="32" customWidth="1"/>
    <col min="5" max="5" width="14.28515625" style="32" customWidth="1"/>
    <col min="6" max="6" width="14" customWidth="1"/>
    <col min="7" max="7" width="11.140625" customWidth="1"/>
    <col min="8" max="8" width="12.28515625" customWidth="1"/>
    <col min="9" max="9" width="16" customWidth="1"/>
    <col min="10" max="10" width="9.7109375" customWidth="1"/>
    <col min="11" max="11" width="8.85546875" customWidth="1"/>
    <col min="12" max="12" width="12.85546875" customWidth="1"/>
    <col min="13" max="258" width="11.42578125" customWidth="1"/>
  </cols>
  <sheetData>
    <row r="1" spans="2:14" ht="13.5">
      <c r="B1" s="728" t="s">
        <v>121</v>
      </c>
      <c r="C1" s="944" t="s">
        <v>833</v>
      </c>
      <c r="D1" s="791"/>
      <c r="E1" s="791"/>
      <c r="F1" s="147"/>
      <c r="G1" s="147"/>
      <c r="H1" s="147"/>
      <c r="I1" s="697"/>
      <c r="J1" s="697" t="s">
        <v>834</v>
      </c>
      <c r="K1" s="697" t="s">
        <v>649</v>
      </c>
      <c r="L1" s="188" t="s">
        <v>835</v>
      </c>
      <c r="M1" s="188" t="s">
        <v>638</v>
      </c>
      <c r="N1" s="188" t="s">
        <v>836</v>
      </c>
    </row>
    <row r="2" spans="2:14" ht="13.5">
      <c r="B2" s="728" t="s">
        <v>238</v>
      </c>
      <c r="C2" s="944">
        <v>45503009</v>
      </c>
      <c r="D2" s="791"/>
      <c r="E2" s="791"/>
      <c r="F2" s="147"/>
      <c r="G2" s="147"/>
      <c r="H2" s="147"/>
      <c r="I2" s="697"/>
      <c r="J2" s="697"/>
      <c r="K2" s="697"/>
      <c r="L2" s="188"/>
      <c r="M2" s="188"/>
      <c r="N2" s="188"/>
    </row>
    <row r="3" spans="2:14" ht="13.5">
      <c r="B3" s="728" t="s">
        <v>4</v>
      </c>
      <c r="C3" s="945">
        <v>43669</v>
      </c>
      <c r="D3" s="886"/>
      <c r="E3" s="886"/>
      <c r="F3" s="147"/>
      <c r="G3" s="147"/>
      <c r="H3" s="147"/>
      <c r="I3" s="730">
        <v>35034</v>
      </c>
      <c r="J3" s="697">
        <v>111.35</v>
      </c>
      <c r="K3" s="697">
        <v>31.24</v>
      </c>
      <c r="L3" s="32">
        <v>447100</v>
      </c>
      <c r="M3">
        <f>+K3/J3</f>
        <v>0.28055680287382129</v>
      </c>
      <c r="N3" s="15">
        <f>+M3*L3</f>
        <v>125436.9465648855</v>
      </c>
    </row>
    <row r="4" spans="2:14" ht="13.5">
      <c r="B4" s="1166" t="s">
        <v>124</v>
      </c>
      <c r="C4" s="945" t="s">
        <v>837</v>
      </c>
      <c r="D4" s="886"/>
      <c r="E4" s="886"/>
      <c r="F4" s="147"/>
      <c r="G4" s="147"/>
      <c r="H4" s="147"/>
      <c r="I4" s="730"/>
      <c r="J4" s="697"/>
      <c r="K4" s="697"/>
      <c r="L4" s="32"/>
      <c r="N4" s="15"/>
    </row>
    <row r="5" spans="2:14" ht="13.5">
      <c r="B5" s="1166" t="s">
        <v>838</v>
      </c>
      <c r="C5" s="945">
        <v>43714</v>
      </c>
      <c r="D5" s="886"/>
      <c r="E5" s="886"/>
      <c r="F5" s="791"/>
      <c r="G5" s="791"/>
      <c r="H5" s="791"/>
      <c r="J5" s="32"/>
    </row>
    <row r="6" spans="2:14" ht="13.5">
      <c r="B6" s="728" t="s">
        <v>124</v>
      </c>
      <c r="C6" s="1539" t="s">
        <v>837</v>
      </c>
      <c r="D6" s="886"/>
      <c r="E6" s="886"/>
      <c r="F6" s="791"/>
      <c r="G6" s="791"/>
      <c r="H6" s="791"/>
      <c r="J6" s="32"/>
    </row>
    <row r="7" spans="2:14" ht="13.5">
      <c r="B7" s="791"/>
      <c r="C7" s="1167" t="s">
        <v>458</v>
      </c>
      <c r="D7" s="1167" t="s">
        <v>459</v>
      </c>
      <c r="E7" s="1167"/>
      <c r="F7" s="791"/>
      <c r="G7" s="791"/>
      <c r="H7" s="791"/>
      <c r="J7" s="32"/>
    </row>
    <row r="8" spans="2:14" ht="25.5">
      <c r="B8" s="1141" t="s">
        <v>461</v>
      </c>
      <c r="C8" s="851">
        <v>1554650</v>
      </c>
      <c r="D8" s="851">
        <v>1243720</v>
      </c>
      <c r="E8" s="851"/>
      <c r="F8" s="791"/>
      <c r="G8" s="791"/>
      <c r="H8" s="791"/>
    </row>
    <row r="9" spans="2:14" ht="26.25" thickBot="1">
      <c r="B9" s="1168" t="s">
        <v>464</v>
      </c>
      <c r="C9" s="1169">
        <v>895178</v>
      </c>
      <c r="D9" s="1169">
        <v>716142</v>
      </c>
      <c r="E9" s="1170"/>
      <c r="F9" s="791"/>
      <c r="G9" s="791"/>
      <c r="H9" s="791"/>
    </row>
    <row r="10" spans="2:14" ht="13.5">
      <c r="B10" s="1141" t="s">
        <v>465</v>
      </c>
      <c r="C10" s="851">
        <f>+C8-C9</f>
        <v>659472</v>
      </c>
      <c r="D10" s="851">
        <f>+D8-D9</f>
        <v>527578</v>
      </c>
      <c r="E10" s="851"/>
      <c r="F10" s="791"/>
      <c r="G10" s="791"/>
      <c r="H10" s="791"/>
    </row>
    <row r="11" spans="2:14" ht="13.5">
      <c r="B11" s="791"/>
      <c r="C11" s="851"/>
      <c r="D11" s="851"/>
      <c r="E11" s="851"/>
      <c r="F11" s="791"/>
      <c r="G11" s="791"/>
      <c r="H11" s="791"/>
    </row>
    <row r="12" spans="2:14" ht="13.5">
      <c r="B12" s="848" t="s">
        <v>489</v>
      </c>
      <c r="C12" s="851"/>
      <c r="D12" s="851"/>
      <c r="E12" s="790">
        <f>+D10*50%</f>
        <v>263789</v>
      </c>
      <c r="F12" s="929">
        <f>+E12/12</f>
        <v>21982.416666666668</v>
      </c>
      <c r="G12" s="737" t="s">
        <v>467</v>
      </c>
      <c r="H12" s="791"/>
      <c r="L12" s="32"/>
    </row>
    <row r="13" spans="2:14" ht="13.5">
      <c r="B13" s="791" t="s">
        <v>472</v>
      </c>
      <c r="C13" s="851">
        <f>+(D10*374)/360</f>
        <v>548094.9222222222</v>
      </c>
      <c r="D13" s="851"/>
      <c r="E13" s="790">
        <f>+INT(D10+F12)/30*20</f>
        <v>366373.33333333337</v>
      </c>
      <c r="F13" s="929">
        <f>+E13/12</f>
        <v>30531.111111111113</v>
      </c>
      <c r="G13" s="737" t="s">
        <v>470</v>
      </c>
      <c r="H13" s="791"/>
      <c r="L13" s="32"/>
    </row>
    <row r="14" spans="2:14" ht="13.5">
      <c r="B14" s="791" t="s">
        <v>475</v>
      </c>
      <c r="C14" s="851">
        <f>(C13*0.12*374)/360</f>
        <v>68329.166970370352</v>
      </c>
      <c r="D14" s="851"/>
      <c r="E14" s="790">
        <f>D10/30*2</f>
        <v>35171.866666666669</v>
      </c>
      <c r="F14" s="929">
        <v>0</v>
      </c>
      <c r="G14" s="737" t="s">
        <v>473</v>
      </c>
      <c r="H14" s="791"/>
      <c r="L14" s="32"/>
    </row>
    <row r="15" spans="2:14" ht="13.5">
      <c r="B15" s="791" t="s">
        <v>477</v>
      </c>
      <c r="C15" s="851">
        <f>+(D10*374)/360</f>
        <v>548094.9222222222</v>
      </c>
      <c r="D15" s="851"/>
      <c r="E15" s="790">
        <f>+INT(D10+F12)/30*21</f>
        <v>384692</v>
      </c>
      <c r="F15" s="929">
        <v>0</v>
      </c>
      <c r="G15" s="737" t="s">
        <v>22</v>
      </c>
      <c r="H15" s="791"/>
      <c r="L15" s="32"/>
    </row>
    <row r="16" spans="2:14" ht="13.5">
      <c r="B16" s="791" t="s">
        <v>480</v>
      </c>
      <c r="C16" s="851">
        <f>+E16</f>
        <v>602650.6427469136</v>
      </c>
      <c r="D16" s="851"/>
      <c r="E16" s="790">
        <f>+(D10+F12+F13)/360*374</f>
        <v>602650.6427469136</v>
      </c>
      <c r="F16" s="929">
        <f>+E16/12</f>
        <v>50220.886895576135</v>
      </c>
      <c r="G16" s="737" t="s">
        <v>478</v>
      </c>
      <c r="H16" s="791"/>
      <c r="L16" s="32"/>
    </row>
    <row r="17" spans="2:12" ht="13.5">
      <c r="B17" s="791" t="s">
        <v>482</v>
      </c>
      <c r="C17" s="851">
        <f>+(D10*374)/720</f>
        <v>274047.4611111111</v>
      </c>
      <c r="D17" s="851"/>
      <c r="E17" s="790">
        <f>+INT(D10+F12+F13+F16)/360*360</f>
        <v>630312</v>
      </c>
      <c r="F17" s="929"/>
      <c r="G17" s="737" t="s">
        <v>490</v>
      </c>
      <c r="H17" s="791"/>
      <c r="L17" s="32"/>
    </row>
    <row r="18" spans="2:12" ht="14.25" thickBot="1">
      <c r="B18" s="1171" t="s">
        <v>485</v>
      </c>
      <c r="C18" s="1169">
        <f>+E13</f>
        <v>366373.33333333337</v>
      </c>
      <c r="D18" s="1170"/>
      <c r="E18" s="790">
        <f>(E17*0.12/360)*360</f>
        <v>75637.440000000002</v>
      </c>
      <c r="F18" s="929"/>
      <c r="G18" s="737" t="s">
        <v>483</v>
      </c>
      <c r="H18" s="791"/>
      <c r="L18" s="32"/>
    </row>
    <row r="19" spans="2:12" ht="25.5">
      <c r="B19" s="946" t="s">
        <v>488</v>
      </c>
      <c r="C19" s="1728">
        <f>SUM(C13:C18)</f>
        <v>2407590.448606173</v>
      </c>
      <c r="D19" s="1728"/>
      <c r="E19" s="791"/>
      <c r="F19" s="791"/>
      <c r="G19" s="791"/>
      <c r="H19" s="791"/>
      <c r="L19" s="32"/>
    </row>
    <row r="20" spans="2:12" ht="13.5">
      <c r="B20" s="791"/>
      <c r="C20" s="791"/>
      <c r="D20" s="791"/>
      <c r="E20" s="791"/>
      <c r="F20" s="791"/>
      <c r="G20" s="791"/>
      <c r="H20" s="791"/>
    </row>
    <row r="21" spans="2:12" ht="13.5">
      <c r="B21" s="848" t="s">
        <v>491</v>
      </c>
      <c r="C21" s="791"/>
      <c r="D21" s="791"/>
      <c r="E21" s="791"/>
      <c r="F21" s="791"/>
      <c r="G21" s="791"/>
      <c r="H21" s="791"/>
    </row>
    <row r="22" spans="2:12" ht="13.5">
      <c r="B22" s="791" t="s">
        <v>472</v>
      </c>
      <c r="C22" s="851">
        <f>+(C10*25)/360</f>
        <v>45796.666666666664</v>
      </c>
      <c r="D22" s="851"/>
      <c r="E22" s="790">
        <f>+C10*50%</f>
        <v>329736</v>
      </c>
      <c r="F22" s="737">
        <v>27478</v>
      </c>
      <c r="G22" s="737" t="s">
        <v>467</v>
      </c>
      <c r="H22" s="791"/>
    </row>
    <row r="23" spans="2:12" ht="13.5">
      <c r="B23" s="791" t="s">
        <v>475</v>
      </c>
      <c r="C23" s="851">
        <f>(C22*0.12*25)/360</f>
        <v>381.63888888888891</v>
      </c>
      <c r="D23" s="851"/>
      <c r="E23" s="790">
        <f>+INT(C10+F22)/30*20</f>
        <v>457966.66666666663</v>
      </c>
      <c r="F23" s="737">
        <f>+E23/12</f>
        <v>38163.888888888883</v>
      </c>
      <c r="G23" s="737" t="s">
        <v>470</v>
      </c>
      <c r="H23" s="791"/>
    </row>
    <row r="24" spans="2:12" ht="13.5">
      <c r="B24" s="791" t="s">
        <v>477</v>
      </c>
      <c r="C24" s="851">
        <f>+(C10*25)/360</f>
        <v>45796.666666666664</v>
      </c>
      <c r="D24" s="851"/>
      <c r="E24" s="790">
        <f>C10/30*2</f>
        <v>43964.800000000003</v>
      </c>
      <c r="F24" s="737">
        <v>0</v>
      </c>
      <c r="G24" s="737" t="s">
        <v>473</v>
      </c>
      <c r="H24" s="791"/>
    </row>
    <row r="25" spans="2:12" ht="13.5">
      <c r="B25" s="791" t="s">
        <v>480</v>
      </c>
      <c r="C25" s="879">
        <f>+E26</f>
        <v>50355.131172839501</v>
      </c>
      <c r="D25" s="879"/>
      <c r="E25" s="790">
        <f>+INT(C10+F22)/30*21</f>
        <v>480865</v>
      </c>
      <c r="F25" s="737">
        <v>0</v>
      </c>
      <c r="G25" s="737" t="s">
        <v>22</v>
      </c>
      <c r="H25" s="791"/>
    </row>
    <row r="26" spans="2:12" ht="13.5">
      <c r="B26" s="791" t="s">
        <v>482</v>
      </c>
      <c r="C26" s="1170">
        <f>+(D10*25)/720</f>
        <v>18318.680555555555</v>
      </c>
      <c r="D26" s="1170"/>
      <c r="E26" s="790">
        <f>+(C10+F22+F23)/360*25</f>
        <v>50355.131172839501</v>
      </c>
      <c r="F26" s="737">
        <f>+E26/12</f>
        <v>4196.2609310699581</v>
      </c>
      <c r="G26" s="737" t="s">
        <v>478</v>
      </c>
      <c r="H26" s="791"/>
    </row>
    <row r="27" spans="2:12" ht="14.25" thickBot="1">
      <c r="B27" s="1171" t="s">
        <v>485</v>
      </c>
      <c r="C27" s="1172">
        <f>+E23</f>
        <v>457966.66666666663</v>
      </c>
      <c r="D27" s="879"/>
      <c r="E27" s="790">
        <f>+INT(C10+F22+F23+F26)/360*25</f>
        <v>50646.527777777774</v>
      </c>
      <c r="F27" s="737"/>
      <c r="G27" s="737" t="s">
        <v>490</v>
      </c>
      <c r="H27" s="791"/>
    </row>
    <row r="28" spans="2:12" ht="25.5">
      <c r="B28" s="946" t="s">
        <v>492</v>
      </c>
      <c r="C28" s="1728">
        <f>SUM(C22:C27)</f>
        <v>618615.45061728393</v>
      </c>
      <c r="D28" s="879"/>
      <c r="E28" s="790">
        <f>(E27*0.12/360)*39</f>
        <v>658.40486111111102</v>
      </c>
      <c r="F28" s="737"/>
      <c r="G28" s="737" t="s">
        <v>483</v>
      </c>
      <c r="H28" s="791"/>
    </row>
    <row r="29" spans="2:12" ht="13.5">
      <c r="B29" s="791"/>
      <c r="C29" s="791"/>
      <c r="D29" s="791"/>
      <c r="E29" s="791"/>
      <c r="F29" s="791"/>
      <c r="G29" s="791"/>
      <c r="H29" s="791"/>
    </row>
    <row r="30" spans="2:12" ht="13.5">
      <c r="B30" s="848" t="s">
        <v>493</v>
      </c>
      <c r="C30" s="791"/>
      <c r="D30" s="791"/>
      <c r="E30" s="791"/>
      <c r="F30" s="791"/>
      <c r="G30" s="791"/>
      <c r="H30" s="791"/>
    </row>
    <row r="31" spans="2:12" ht="13.5">
      <c r="B31" s="737" t="s">
        <v>494</v>
      </c>
      <c r="C31" s="724">
        <v>35047</v>
      </c>
      <c r="D31" s="886"/>
      <c r="E31" s="886"/>
      <c r="F31" s="791"/>
      <c r="G31" s="791"/>
      <c r="H31" s="791"/>
    </row>
    <row r="32" spans="2:12" ht="13.5">
      <c r="B32" s="737" t="s">
        <v>495</v>
      </c>
      <c r="C32" s="724">
        <v>35446</v>
      </c>
      <c r="D32" s="886"/>
      <c r="E32" s="886"/>
      <c r="F32" s="791"/>
      <c r="G32" s="791"/>
      <c r="H32" s="791"/>
    </row>
    <row r="33" spans="2:8" ht="13.5">
      <c r="B33" s="737" t="s">
        <v>496</v>
      </c>
      <c r="C33" s="737">
        <f>_xlfn.DAYS(C32,C31)</f>
        <v>399</v>
      </c>
      <c r="D33" s="791"/>
      <c r="E33" s="791"/>
      <c r="F33" s="791"/>
      <c r="G33" s="791"/>
      <c r="H33" s="791"/>
    </row>
    <row r="34" spans="2:8" ht="13.5">
      <c r="B34" s="791"/>
      <c r="C34" s="791"/>
      <c r="D34" s="791"/>
      <c r="E34" s="791"/>
      <c r="F34" s="791"/>
      <c r="G34" s="791"/>
      <c r="H34" s="791"/>
    </row>
    <row r="35" spans="2:8" ht="25.5">
      <c r="B35" s="845" t="s">
        <v>839</v>
      </c>
      <c r="C35" s="732">
        <v>102.94</v>
      </c>
      <c r="D35" s="1173"/>
      <c r="E35" s="1173"/>
      <c r="F35" s="791"/>
      <c r="G35" s="791"/>
      <c r="H35" s="791"/>
    </row>
    <row r="36" spans="2:8" ht="13.5">
      <c r="B36" s="1174" t="s">
        <v>840</v>
      </c>
      <c r="C36" s="734" t="s">
        <v>499</v>
      </c>
      <c r="D36" s="735" t="s">
        <v>76</v>
      </c>
      <c r="E36" s="735" t="s">
        <v>77</v>
      </c>
      <c r="F36" s="734" t="s">
        <v>57</v>
      </c>
      <c r="G36" s="791"/>
      <c r="H36" s="791"/>
    </row>
    <row r="37" spans="2:8" ht="13.5">
      <c r="B37" s="737" t="s">
        <v>841</v>
      </c>
      <c r="C37" s="736">
        <f>(D10/30)*16</f>
        <v>281374.93333333335</v>
      </c>
      <c r="D37" s="741">
        <v>59.857550000000003</v>
      </c>
      <c r="E37" s="737">
        <f>+C35/D37</f>
        <v>1.7197496389344367</v>
      </c>
      <c r="F37" s="850">
        <f>+C37*E37</f>
        <v>483894.44000520121</v>
      </c>
      <c r="G37" s="791"/>
      <c r="H37" s="791"/>
    </row>
    <row r="38" spans="2:8" ht="13.5">
      <c r="B38" s="791"/>
      <c r="C38" s="791"/>
      <c r="D38" s="791"/>
      <c r="E38" s="737" t="s">
        <v>61</v>
      </c>
      <c r="F38" s="790">
        <f>+F37</f>
        <v>483894.44000520121</v>
      </c>
      <c r="G38" s="791">
        <v>483894</v>
      </c>
      <c r="H38" s="791"/>
    </row>
    <row r="39" spans="2:8" ht="13.5">
      <c r="B39" s="791"/>
      <c r="C39" s="791"/>
      <c r="D39" s="791"/>
      <c r="E39" s="791"/>
      <c r="F39" s="791"/>
      <c r="G39" s="791"/>
      <c r="H39" s="791"/>
    </row>
    <row r="40" spans="2:8" ht="13.5">
      <c r="B40" s="733" t="s">
        <v>501</v>
      </c>
      <c r="C40" s="734" t="s">
        <v>502</v>
      </c>
      <c r="D40" s="735" t="s">
        <v>76</v>
      </c>
      <c r="E40" s="735" t="s">
        <v>77</v>
      </c>
      <c r="F40" s="734" t="s">
        <v>57</v>
      </c>
      <c r="G40" s="791"/>
      <c r="H40" s="791"/>
    </row>
    <row r="41" spans="2:8" ht="13.5">
      <c r="B41" s="738" t="s">
        <v>16</v>
      </c>
      <c r="C41" s="736">
        <f t="shared" ref="C41:C52" si="0">+$D$10</f>
        <v>527578</v>
      </c>
      <c r="D41" s="741">
        <v>61.363549999999996</v>
      </c>
      <c r="E41" s="737">
        <f>+$C$35/D41</f>
        <v>1.6775431017273283</v>
      </c>
      <c r="F41" s="850">
        <f t="shared" ref="F41:F52" si="1">+C41*E41</f>
        <v>885034.83452310041</v>
      </c>
      <c r="G41" s="791"/>
      <c r="H41" s="791"/>
    </row>
    <row r="42" spans="2:8" ht="13.5">
      <c r="B42" s="738" t="s">
        <v>17</v>
      </c>
      <c r="C42" s="736">
        <f t="shared" si="0"/>
        <v>527578</v>
      </c>
      <c r="D42" s="741">
        <v>63.824489999999997</v>
      </c>
      <c r="E42" s="737">
        <f t="shared" ref="E42:E52" si="2">+$C$35/D42</f>
        <v>1.6128605179610522</v>
      </c>
      <c r="F42" s="850">
        <f t="shared" si="1"/>
        <v>850909.72634485597</v>
      </c>
      <c r="G42" s="791"/>
      <c r="H42" s="791"/>
    </row>
    <row r="43" spans="2:8" ht="13.5">
      <c r="B43" s="738" t="s">
        <v>19</v>
      </c>
      <c r="C43" s="736">
        <f t="shared" si="0"/>
        <v>527578</v>
      </c>
      <c r="D43" s="741">
        <v>65.170699999999997</v>
      </c>
      <c r="E43" s="737">
        <f t="shared" si="2"/>
        <v>1.5795441816644598</v>
      </c>
      <c r="F43" s="850">
        <f t="shared" si="1"/>
        <v>833332.76027417229</v>
      </c>
      <c r="G43" s="791"/>
      <c r="H43" s="791"/>
    </row>
    <row r="44" spans="2:8" ht="13.5">
      <c r="B44" s="738" t="s">
        <v>21</v>
      </c>
      <c r="C44" s="736">
        <f t="shared" si="0"/>
        <v>527578</v>
      </c>
      <c r="D44" s="741">
        <v>66.459050000000005</v>
      </c>
      <c r="E44" s="737">
        <f t="shared" si="2"/>
        <v>1.5489237357440406</v>
      </c>
      <c r="F44" s="850">
        <f t="shared" si="1"/>
        <v>817178.0866563695</v>
      </c>
      <c r="G44" s="791"/>
      <c r="H44" s="791"/>
    </row>
    <row r="45" spans="2:8" ht="13.5">
      <c r="B45" s="738" t="s">
        <v>23</v>
      </c>
      <c r="C45" s="736">
        <f t="shared" si="0"/>
        <v>527578</v>
      </c>
      <c r="D45" s="741">
        <v>67.490729999999999</v>
      </c>
      <c r="E45" s="737">
        <f t="shared" si="2"/>
        <v>1.525246504223617</v>
      </c>
      <c r="F45" s="850">
        <f t="shared" si="1"/>
        <v>804686.50020528736</v>
      </c>
      <c r="G45" s="791"/>
      <c r="H45" s="791"/>
    </row>
    <row r="46" spans="2:8" ht="13.5">
      <c r="B46" s="738" t="s">
        <v>25</v>
      </c>
      <c r="C46" s="736">
        <f t="shared" si="0"/>
        <v>527578</v>
      </c>
      <c r="D46" s="741">
        <v>68.264489999999995</v>
      </c>
      <c r="E46" s="737">
        <f t="shared" si="2"/>
        <v>1.5079582371449638</v>
      </c>
      <c r="F46" s="850">
        <f t="shared" si="1"/>
        <v>795565.59083646571</v>
      </c>
      <c r="G46" s="791"/>
      <c r="H46" s="791"/>
    </row>
    <row r="47" spans="2:8" ht="13.5">
      <c r="B47" s="738" t="s">
        <v>27</v>
      </c>
      <c r="C47" s="736">
        <f t="shared" si="0"/>
        <v>527578</v>
      </c>
      <c r="D47" s="741">
        <v>69.296170000000004</v>
      </c>
      <c r="E47" s="737">
        <f t="shared" si="2"/>
        <v>1.4855077849179832</v>
      </c>
      <c r="F47" s="850">
        <f t="shared" si="1"/>
        <v>783721.22615145973</v>
      </c>
      <c r="G47" s="791"/>
      <c r="H47" s="791"/>
    </row>
    <row r="48" spans="2:8" ht="13.5">
      <c r="B48" s="738" t="s">
        <v>29</v>
      </c>
      <c r="C48" s="736">
        <f t="shared" si="0"/>
        <v>527578</v>
      </c>
      <c r="D48" s="741">
        <v>70.061120000000003</v>
      </c>
      <c r="E48" s="737">
        <f t="shared" si="2"/>
        <v>1.4692885297865634</v>
      </c>
      <c r="F48" s="850">
        <f t="shared" si="1"/>
        <v>775164.30396773561</v>
      </c>
      <c r="G48" s="791"/>
      <c r="H48" s="791"/>
    </row>
    <row r="49" spans="1:10" ht="13.5">
      <c r="B49" s="738" t="s">
        <v>31</v>
      </c>
      <c r="C49" s="736">
        <f t="shared" si="0"/>
        <v>527578</v>
      </c>
      <c r="D49" s="741">
        <v>70.895269999999996</v>
      </c>
      <c r="E49" s="737">
        <f t="shared" si="2"/>
        <v>1.4520009585970968</v>
      </c>
      <c r="F49" s="850">
        <f t="shared" si="1"/>
        <v>766043.76173473906</v>
      </c>
      <c r="G49" s="791"/>
      <c r="H49" s="791"/>
    </row>
    <row r="50" spans="1:10" ht="13.5">
      <c r="B50" s="738" t="s">
        <v>33</v>
      </c>
      <c r="C50" s="736">
        <f t="shared" si="0"/>
        <v>527578</v>
      </c>
      <c r="D50" s="741">
        <v>71.713059999999999</v>
      </c>
      <c r="E50" s="737">
        <f t="shared" si="2"/>
        <v>1.4354428607564647</v>
      </c>
      <c r="F50" s="850">
        <f t="shared" si="1"/>
        <v>757308.0735921741</v>
      </c>
      <c r="G50" s="791"/>
      <c r="H50" s="791"/>
    </row>
    <row r="51" spans="1:10" ht="13.5">
      <c r="B51" s="738" t="s">
        <v>34</v>
      </c>
      <c r="C51" s="736">
        <f t="shared" si="0"/>
        <v>527578</v>
      </c>
      <c r="D51" s="741">
        <v>72.288039999999995</v>
      </c>
      <c r="E51" s="737">
        <f t="shared" si="2"/>
        <v>1.4240253297779273</v>
      </c>
      <c r="F51" s="850">
        <f t="shared" si="1"/>
        <v>751284.43543357938</v>
      </c>
      <c r="G51" s="791"/>
      <c r="H51" s="791"/>
    </row>
    <row r="52" spans="1:10" ht="13.5">
      <c r="B52" s="738" t="s">
        <v>35</v>
      </c>
      <c r="C52" s="736">
        <f t="shared" si="0"/>
        <v>527578</v>
      </c>
      <c r="D52" s="741">
        <v>72.811430000000001</v>
      </c>
      <c r="E52" s="737">
        <f t="shared" si="2"/>
        <v>1.4137890163673477</v>
      </c>
      <c r="F52" s="850">
        <f t="shared" si="1"/>
        <v>745883.98167705256</v>
      </c>
      <c r="G52" s="791"/>
      <c r="H52" s="791"/>
    </row>
    <row r="53" spans="1:10" ht="14.25" thickBot="1">
      <c r="B53" s="791"/>
      <c r="C53" s="791"/>
      <c r="D53" s="791"/>
      <c r="E53" s="739" t="s">
        <v>61</v>
      </c>
      <c r="F53" s="1731">
        <f>SUM(F41:F52)</f>
        <v>9566113.2813969925</v>
      </c>
      <c r="G53" s="982"/>
      <c r="H53" s="791"/>
    </row>
    <row r="54" spans="1:10" ht="14.25" thickTop="1">
      <c r="B54" s="791"/>
      <c r="C54" s="791"/>
      <c r="D54" s="791"/>
      <c r="E54" s="791"/>
      <c r="F54" s="791"/>
      <c r="G54" s="982"/>
      <c r="H54" s="791"/>
      <c r="I54" s="156"/>
    </row>
    <row r="55" spans="1:10" ht="13.5">
      <c r="B55" s="733" t="s">
        <v>503</v>
      </c>
      <c r="C55" s="734" t="s">
        <v>502</v>
      </c>
      <c r="D55" s="735" t="s">
        <v>76</v>
      </c>
      <c r="E55" s="735" t="s">
        <v>77</v>
      </c>
      <c r="F55" s="734" t="s">
        <v>57</v>
      </c>
      <c r="G55" s="982"/>
      <c r="H55" s="791"/>
      <c r="I55" s="156"/>
    </row>
    <row r="56" spans="1:10" ht="13.5">
      <c r="B56" s="738" t="s">
        <v>842</v>
      </c>
      <c r="C56" s="736">
        <f>(C10/30)*15</f>
        <v>329736</v>
      </c>
      <c r="D56" s="741">
        <v>74.017989999999998</v>
      </c>
      <c r="E56" s="1732">
        <f>+$C$35/D56</f>
        <v>1.3907429801863034</v>
      </c>
      <c r="F56" s="1733">
        <f>+C56*E56</f>
        <v>458578.02731471095</v>
      </c>
      <c r="G56" s="982"/>
      <c r="H56" s="791"/>
      <c r="I56" s="156"/>
    </row>
    <row r="57" spans="1:10" ht="14.25" thickBot="1">
      <c r="B57" s="791"/>
      <c r="C57" s="791"/>
      <c r="D57" s="791"/>
      <c r="E57" s="1734" t="s">
        <v>61</v>
      </c>
      <c r="F57" s="1743">
        <f>SUM(F46:F56)</f>
        <v>15399662.68210491</v>
      </c>
      <c r="G57" s="982"/>
      <c r="H57" s="791"/>
    </row>
    <row r="58" spans="1:10" ht="14.25" thickTop="1">
      <c r="B58" s="900" t="s">
        <v>317</v>
      </c>
      <c r="C58" s="791"/>
      <c r="D58" s="791"/>
      <c r="E58" s="791"/>
      <c r="F58" s="791"/>
      <c r="G58" s="791"/>
      <c r="H58" s="791"/>
    </row>
    <row r="59" spans="1:10" ht="13.5">
      <c r="B59" s="916" t="s">
        <v>180</v>
      </c>
      <c r="C59" s="724">
        <f>+C3</f>
        <v>43669</v>
      </c>
      <c r="D59" s="886"/>
      <c r="E59" s="886"/>
      <c r="F59" s="791"/>
    </row>
    <row r="60" spans="1:10" ht="13.5">
      <c r="B60" s="726" t="s">
        <v>129</v>
      </c>
      <c r="C60" s="790">
        <f>+C19+C28+F38+F53+F57</f>
        <v>28475876.30273056</v>
      </c>
      <c r="D60" s="1728"/>
      <c r="E60" s="1728"/>
      <c r="F60" s="1728"/>
      <c r="G60" s="791"/>
      <c r="H60" s="1728"/>
    </row>
    <row r="61" spans="1:10" ht="13.5">
      <c r="B61" s="2721" t="s">
        <v>172</v>
      </c>
      <c r="C61" s="2559"/>
      <c r="D61" s="2559"/>
      <c r="E61" s="2559"/>
      <c r="F61" s="2559"/>
      <c r="G61" s="2559"/>
      <c r="H61" s="922"/>
    </row>
    <row r="62" spans="1:10" ht="25.5">
      <c r="A62" s="2"/>
      <c r="B62" s="1001" t="s">
        <v>206</v>
      </c>
      <c r="C62" s="1001" t="s">
        <v>10</v>
      </c>
      <c r="D62" s="970" t="s">
        <v>59</v>
      </c>
      <c r="E62" s="794" t="s">
        <v>43</v>
      </c>
      <c r="F62" s="923" t="s">
        <v>129</v>
      </c>
      <c r="G62" s="1725" t="s">
        <v>279</v>
      </c>
      <c r="H62" s="923" t="s">
        <v>253</v>
      </c>
    </row>
    <row r="63" spans="1:10" ht="13.5">
      <c r="A63" s="2">
        <v>1</v>
      </c>
      <c r="B63" s="724">
        <v>43670</v>
      </c>
      <c r="C63" s="724">
        <v>43677</v>
      </c>
      <c r="D63" s="796">
        <v>0.28920000000000001</v>
      </c>
      <c r="E63" s="897">
        <f>((1+D63)^(1/365)-1)</f>
        <v>6.9619256101671745E-4</v>
      </c>
      <c r="F63" s="895">
        <f>+$C$60</f>
        <v>28475876.30273056</v>
      </c>
      <c r="G63" s="1176">
        <f t="shared" ref="G63:G90" si="3">_xlfn.DAYS(C63,B63)+1</f>
        <v>8</v>
      </c>
      <c r="H63" s="895">
        <f>ROUND(F63*G63*E63,0)</f>
        <v>158598</v>
      </c>
      <c r="I63" s="2015"/>
      <c r="J63" s="54"/>
    </row>
    <row r="64" spans="1:10" ht="13.5">
      <c r="A64" s="2">
        <v>2</v>
      </c>
      <c r="B64" s="724">
        <v>43678</v>
      </c>
      <c r="C64" s="724">
        <v>43708</v>
      </c>
      <c r="D64" s="796">
        <v>0.2898</v>
      </c>
      <c r="E64" s="897">
        <f>((1+D64)^(1/365)-1)</f>
        <v>6.9746823462724095E-4</v>
      </c>
      <c r="F64" s="895">
        <f t="shared" ref="F64:F92" si="4">+$C$60</f>
        <v>28475876.30273056</v>
      </c>
      <c r="G64" s="1176">
        <f t="shared" si="3"/>
        <v>31</v>
      </c>
      <c r="H64" s="895">
        <f t="shared" ref="H64:H92" si="5">ROUND(F64*G64*E64,0)</f>
        <v>615692</v>
      </c>
      <c r="I64" s="2015"/>
      <c r="J64" s="54"/>
    </row>
    <row r="65" spans="1:10" ht="13.5">
      <c r="A65" s="2">
        <v>3</v>
      </c>
      <c r="B65" s="724">
        <v>43709</v>
      </c>
      <c r="C65" s="724">
        <v>43738</v>
      </c>
      <c r="D65" s="796">
        <v>0.2898</v>
      </c>
      <c r="E65" s="897">
        <f>((1+D65)^(1/365)-1)</f>
        <v>6.9746823462724095E-4</v>
      </c>
      <c r="F65" s="895">
        <f t="shared" si="4"/>
        <v>28475876.30273056</v>
      </c>
      <c r="G65" s="1176">
        <f t="shared" si="3"/>
        <v>30</v>
      </c>
      <c r="H65" s="895">
        <f t="shared" si="5"/>
        <v>595831</v>
      </c>
      <c r="I65" s="2015"/>
      <c r="J65" s="54"/>
    </row>
    <row r="66" spans="1:10" ht="13.5">
      <c r="A66" s="2">
        <v>4</v>
      </c>
      <c r="B66" s="724">
        <v>43739</v>
      </c>
      <c r="C66" s="724">
        <v>43769</v>
      </c>
      <c r="D66" s="796">
        <v>0.28649999999999998</v>
      </c>
      <c r="E66" s="897">
        <f t="shared" ref="E66:E88" si="6">((1+D66)^(1/365)-1)</f>
        <v>6.9044469314105683E-4</v>
      </c>
      <c r="F66" s="895">
        <f t="shared" si="4"/>
        <v>28475876.30273056</v>
      </c>
      <c r="G66" s="1176">
        <f t="shared" si="3"/>
        <v>31</v>
      </c>
      <c r="H66" s="895">
        <f t="shared" si="5"/>
        <v>609492</v>
      </c>
      <c r="I66" s="2015"/>
      <c r="J66" s="54"/>
    </row>
    <row r="67" spans="1:10" ht="13.5">
      <c r="A67" s="2">
        <v>5</v>
      </c>
      <c r="B67" s="724">
        <v>43770</v>
      </c>
      <c r="C67" s="724">
        <v>43799</v>
      </c>
      <c r="D67" s="796">
        <v>0.28544999999999998</v>
      </c>
      <c r="E67" s="897">
        <f t="shared" si="6"/>
        <v>6.8820616169262827E-4</v>
      </c>
      <c r="F67" s="895">
        <f t="shared" si="4"/>
        <v>28475876.30273056</v>
      </c>
      <c r="G67" s="1176">
        <f t="shared" si="3"/>
        <v>30</v>
      </c>
      <c r="H67" s="895">
        <f t="shared" si="5"/>
        <v>587918</v>
      </c>
      <c r="I67" s="2015"/>
      <c r="J67" s="54"/>
    </row>
    <row r="68" spans="1:10" ht="13.5">
      <c r="A68" s="2">
        <v>6</v>
      </c>
      <c r="B68" s="724">
        <v>43800</v>
      </c>
      <c r="C68" s="724">
        <v>43830</v>
      </c>
      <c r="D68" s="796">
        <v>0.28364999999999996</v>
      </c>
      <c r="E68" s="897">
        <f t="shared" si="6"/>
        <v>6.8436443340047504E-4</v>
      </c>
      <c r="F68" s="895">
        <f t="shared" si="4"/>
        <v>28475876.30273056</v>
      </c>
      <c r="G68" s="1176">
        <f t="shared" si="3"/>
        <v>31</v>
      </c>
      <c r="H68" s="895">
        <f t="shared" si="5"/>
        <v>604124</v>
      </c>
      <c r="I68" s="2015"/>
      <c r="J68" s="54"/>
    </row>
    <row r="69" spans="1:10" ht="13.5">
      <c r="A69" s="2">
        <v>7</v>
      </c>
      <c r="B69" s="724">
        <v>43831</v>
      </c>
      <c r="C69" s="724">
        <v>43861</v>
      </c>
      <c r="D69" s="796">
        <v>0.28155000000000002</v>
      </c>
      <c r="E69" s="897">
        <f t="shared" si="6"/>
        <v>6.7987562124560696E-4</v>
      </c>
      <c r="F69" s="895">
        <f t="shared" si="4"/>
        <v>28475876.30273056</v>
      </c>
      <c r="G69" s="1176">
        <f t="shared" si="3"/>
        <v>31</v>
      </c>
      <c r="H69" s="895">
        <f t="shared" si="5"/>
        <v>600162</v>
      </c>
      <c r="I69" s="2015"/>
      <c r="J69" s="54"/>
    </row>
    <row r="70" spans="1:10" ht="13.5">
      <c r="A70" s="2">
        <v>8</v>
      </c>
      <c r="B70" s="724">
        <v>43862</v>
      </c>
      <c r="C70" s="724">
        <v>43890</v>
      </c>
      <c r="D70" s="796">
        <v>0.28589999999999999</v>
      </c>
      <c r="E70" s="897">
        <f t="shared" si="6"/>
        <v>6.8916575551658532E-4</v>
      </c>
      <c r="F70" s="895">
        <f t="shared" si="4"/>
        <v>28475876.30273056</v>
      </c>
      <c r="G70" s="1176">
        <f t="shared" si="3"/>
        <v>29</v>
      </c>
      <c r="H70" s="895">
        <f t="shared" si="5"/>
        <v>569113</v>
      </c>
      <c r="I70" s="2015"/>
      <c r="J70" s="54"/>
    </row>
    <row r="71" spans="1:10" ht="13.5">
      <c r="A71" s="2">
        <v>9</v>
      </c>
      <c r="B71" s="724">
        <v>43891</v>
      </c>
      <c r="C71" s="724">
        <v>43921</v>
      </c>
      <c r="D71" s="796">
        <v>0.28425</v>
      </c>
      <c r="E71" s="897">
        <f t="shared" si="6"/>
        <v>6.8564560609574166E-4</v>
      </c>
      <c r="F71" s="895">
        <f t="shared" si="4"/>
        <v>28475876.30273056</v>
      </c>
      <c r="G71" s="1176">
        <f t="shared" si="3"/>
        <v>31</v>
      </c>
      <c r="H71" s="895">
        <f t="shared" si="5"/>
        <v>605255</v>
      </c>
      <c r="I71" s="2015"/>
      <c r="J71" s="54"/>
    </row>
    <row r="72" spans="1:10" ht="13.5">
      <c r="A72" s="2">
        <v>10</v>
      </c>
      <c r="B72" s="724">
        <v>43922</v>
      </c>
      <c r="C72" s="724">
        <v>43951</v>
      </c>
      <c r="D72" s="796">
        <v>0.28034999999999999</v>
      </c>
      <c r="E72" s="897">
        <f t="shared" si="6"/>
        <v>6.7730729113191224E-4</v>
      </c>
      <c r="F72" s="895">
        <f t="shared" si="4"/>
        <v>28475876.30273056</v>
      </c>
      <c r="G72" s="1176">
        <f t="shared" si="3"/>
        <v>30</v>
      </c>
      <c r="H72" s="895">
        <f t="shared" si="5"/>
        <v>578608</v>
      </c>
      <c r="I72" s="2015"/>
      <c r="J72" s="54"/>
    </row>
    <row r="73" spans="1:10" ht="13.5">
      <c r="A73" s="2">
        <v>11</v>
      </c>
      <c r="B73" s="724">
        <v>43952</v>
      </c>
      <c r="C73" s="724">
        <v>43982</v>
      </c>
      <c r="D73" s="796">
        <v>0.27285000000000004</v>
      </c>
      <c r="E73" s="897">
        <f t="shared" si="6"/>
        <v>6.6120063584418354E-4</v>
      </c>
      <c r="F73" s="895">
        <f t="shared" si="4"/>
        <v>28475876.30273056</v>
      </c>
      <c r="G73" s="1176">
        <f t="shared" si="3"/>
        <v>31</v>
      </c>
      <c r="H73" s="895">
        <f t="shared" si="5"/>
        <v>583676</v>
      </c>
      <c r="I73" s="2015"/>
      <c r="J73" s="54"/>
    </row>
    <row r="74" spans="1:10" ht="13.5">
      <c r="A74" s="2">
        <v>12</v>
      </c>
      <c r="B74" s="724">
        <v>43983</v>
      </c>
      <c r="C74" s="724">
        <v>44012</v>
      </c>
      <c r="D74" s="796">
        <v>0.27179999999999999</v>
      </c>
      <c r="E74" s="897">
        <f t="shared" si="6"/>
        <v>6.5893815469997286E-4</v>
      </c>
      <c r="F74" s="895">
        <f t="shared" si="4"/>
        <v>28475876.30273056</v>
      </c>
      <c r="G74" s="1176">
        <f t="shared" si="3"/>
        <v>30</v>
      </c>
      <c r="H74" s="895">
        <f t="shared" si="5"/>
        <v>562915</v>
      </c>
      <c r="I74" s="2015"/>
      <c r="J74" s="54"/>
    </row>
    <row r="75" spans="1:10" ht="13.5">
      <c r="A75" s="2">
        <v>13</v>
      </c>
      <c r="B75" s="724">
        <v>44013</v>
      </c>
      <c r="C75" s="724">
        <v>44043</v>
      </c>
      <c r="D75" s="796">
        <v>0.27179999999999999</v>
      </c>
      <c r="E75" s="897">
        <f t="shared" si="6"/>
        <v>6.5893815469997286E-4</v>
      </c>
      <c r="F75" s="895">
        <f t="shared" si="4"/>
        <v>28475876.30273056</v>
      </c>
      <c r="G75" s="1176">
        <f t="shared" si="3"/>
        <v>31</v>
      </c>
      <c r="H75" s="895">
        <f t="shared" si="5"/>
        <v>581679</v>
      </c>
      <c r="I75" s="2015"/>
      <c r="J75" s="54"/>
    </row>
    <row r="76" spans="1:10" ht="13.5">
      <c r="A76" s="2">
        <v>14</v>
      </c>
      <c r="B76" s="724">
        <v>44044</v>
      </c>
      <c r="C76" s="724">
        <v>44074</v>
      </c>
      <c r="D76" s="796">
        <v>0.27434999999999998</v>
      </c>
      <c r="E76" s="897">
        <f t="shared" si="6"/>
        <v>6.6442952514544906E-4</v>
      </c>
      <c r="F76" s="895">
        <f t="shared" si="4"/>
        <v>28475876.30273056</v>
      </c>
      <c r="G76" s="1176">
        <f t="shared" si="3"/>
        <v>31</v>
      </c>
      <c r="H76" s="895">
        <f t="shared" si="5"/>
        <v>586527</v>
      </c>
      <c r="I76" s="2015"/>
      <c r="J76" s="54"/>
    </row>
    <row r="77" spans="1:10" ht="13.5">
      <c r="A77" s="2">
        <v>15</v>
      </c>
      <c r="B77" s="724">
        <v>44075</v>
      </c>
      <c r="C77" s="724">
        <v>44104</v>
      </c>
      <c r="D77" s="796">
        <v>0.27524999999999999</v>
      </c>
      <c r="E77" s="897">
        <f t="shared" si="6"/>
        <v>6.6636503991857055E-4</v>
      </c>
      <c r="F77" s="895">
        <f t="shared" si="4"/>
        <v>28475876.30273056</v>
      </c>
      <c r="G77" s="1176">
        <f t="shared" si="3"/>
        <v>30</v>
      </c>
      <c r="H77" s="895">
        <f t="shared" si="5"/>
        <v>569260</v>
      </c>
      <c r="I77" s="2015"/>
      <c r="J77" s="54"/>
    </row>
    <row r="78" spans="1:10" ht="13.5">
      <c r="A78" s="2">
        <v>16</v>
      </c>
      <c r="B78" s="724">
        <v>44105</v>
      </c>
      <c r="C78" s="724">
        <v>44135</v>
      </c>
      <c r="D78" s="796">
        <v>0.27134999999999998</v>
      </c>
      <c r="E78" s="897">
        <f t="shared" si="6"/>
        <v>6.5796794962613703E-4</v>
      </c>
      <c r="F78" s="895">
        <f t="shared" si="4"/>
        <v>28475876.30273056</v>
      </c>
      <c r="G78" s="1176">
        <f t="shared" si="3"/>
        <v>31</v>
      </c>
      <c r="H78" s="895">
        <f t="shared" si="5"/>
        <v>580823</v>
      </c>
      <c r="I78" s="2015"/>
      <c r="J78" s="54"/>
    </row>
    <row r="79" spans="1:10" ht="13.5">
      <c r="A79" s="2">
        <v>17</v>
      </c>
      <c r="B79" s="724">
        <v>44136</v>
      </c>
      <c r="C79" s="724">
        <v>44165</v>
      </c>
      <c r="D79" s="796">
        <v>0.2676</v>
      </c>
      <c r="E79" s="897">
        <f t="shared" si="6"/>
        <v>6.4986956374091243E-4</v>
      </c>
      <c r="F79" s="895">
        <f t="shared" si="4"/>
        <v>28475876.30273056</v>
      </c>
      <c r="G79" s="1176">
        <f t="shared" si="3"/>
        <v>30</v>
      </c>
      <c r="H79" s="895">
        <f t="shared" si="5"/>
        <v>555168</v>
      </c>
      <c r="I79" s="2015"/>
      <c r="J79" s="54"/>
    </row>
    <row r="80" spans="1:10" ht="13.5">
      <c r="A80" s="2">
        <v>18</v>
      </c>
      <c r="B80" s="724">
        <v>44166</v>
      </c>
      <c r="C80" s="724">
        <v>44196</v>
      </c>
      <c r="D80" s="796">
        <v>0.26190000000000002</v>
      </c>
      <c r="E80" s="897">
        <f t="shared" si="6"/>
        <v>6.3751414410861962E-4</v>
      </c>
      <c r="F80" s="895">
        <f t="shared" si="4"/>
        <v>28475876.30273056</v>
      </c>
      <c r="G80" s="1176">
        <f t="shared" si="3"/>
        <v>31</v>
      </c>
      <c r="H80" s="895">
        <f t="shared" si="5"/>
        <v>562767</v>
      </c>
      <c r="I80" s="2015"/>
      <c r="J80" s="54"/>
    </row>
    <row r="81" spans="1:10" ht="13.5">
      <c r="A81" s="2">
        <v>19</v>
      </c>
      <c r="B81" s="724">
        <v>44197</v>
      </c>
      <c r="C81" s="724">
        <v>44227</v>
      </c>
      <c r="D81" s="796">
        <v>0.25979999999999998</v>
      </c>
      <c r="E81" s="897">
        <f t="shared" si="6"/>
        <v>6.3294811266723094E-4</v>
      </c>
      <c r="F81" s="895">
        <f t="shared" si="4"/>
        <v>28475876.30273056</v>
      </c>
      <c r="G81" s="1176">
        <f t="shared" si="3"/>
        <v>31</v>
      </c>
      <c r="H81" s="895">
        <f t="shared" si="5"/>
        <v>558736</v>
      </c>
      <c r="I81" s="2015"/>
      <c r="J81" s="54"/>
    </row>
    <row r="82" spans="1:10" ht="13.5">
      <c r="A82" s="2">
        <v>20</v>
      </c>
      <c r="B82" s="724">
        <v>44228</v>
      </c>
      <c r="C82" s="724">
        <v>44255</v>
      </c>
      <c r="D82" s="796">
        <v>0.2631</v>
      </c>
      <c r="E82" s="897">
        <f t="shared" si="6"/>
        <v>6.4011990387169426E-4</v>
      </c>
      <c r="F82" s="895">
        <f t="shared" si="4"/>
        <v>28475876.30273056</v>
      </c>
      <c r="G82" s="1176">
        <f t="shared" si="3"/>
        <v>28</v>
      </c>
      <c r="H82" s="895">
        <f t="shared" si="5"/>
        <v>510383</v>
      </c>
      <c r="I82" s="2015"/>
      <c r="J82" s="54"/>
    </row>
    <row r="83" spans="1:10" ht="13.5">
      <c r="A83" s="2">
        <v>21</v>
      </c>
      <c r="B83" s="724">
        <v>44256</v>
      </c>
      <c r="C83" s="724">
        <v>44286</v>
      </c>
      <c r="D83" s="796">
        <v>0.26114999999999999</v>
      </c>
      <c r="E83" s="897">
        <f t="shared" si="6"/>
        <v>6.3588428907812578E-4</v>
      </c>
      <c r="F83" s="895">
        <f t="shared" si="4"/>
        <v>28475876.30273056</v>
      </c>
      <c r="G83" s="1176">
        <f t="shared" si="3"/>
        <v>31</v>
      </c>
      <c r="H83" s="895">
        <f t="shared" si="5"/>
        <v>561328</v>
      </c>
      <c r="I83" s="2015"/>
      <c r="J83" s="54"/>
    </row>
    <row r="84" spans="1:10" ht="13.5">
      <c r="A84" s="2">
        <v>22</v>
      </c>
      <c r="B84" s="724">
        <v>44287</v>
      </c>
      <c r="C84" s="724">
        <v>44316</v>
      </c>
      <c r="D84" s="796">
        <v>0.25964999999999999</v>
      </c>
      <c r="E84" s="897">
        <f t="shared" si="6"/>
        <v>6.326216771728177E-4</v>
      </c>
      <c r="F84" s="895">
        <f t="shared" si="4"/>
        <v>28475876.30273056</v>
      </c>
      <c r="G84" s="1176">
        <f t="shared" si="3"/>
        <v>30</v>
      </c>
      <c r="H84" s="895">
        <f t="shared" si="5"/>
        <v>540434</v>
      </c>
      <c r="I84" s="2015"/>
      <c r="J84" s="54"/>
    </row>
    <row r="85" spans="1:10" ht="13.5">
      <c r="A85" s="2">
        <v>23</v>
      </c>
      <c r="B85" s="724">
        <v>44317</v>
      </c>
      <c r="C85" s="724">
        <v>44347</v>
      </c>
      <c r="D85" s="796">
        <v>0.25829999999999997</v>
      </c>
      <c r="E85" s="897">
        <f t="shared" si="6"/>
        <v>6.2968201205726437E-4</v>
      </c>
      <c r="F85" s="895">
        <f t="shared" si="4"/>
        <v>28475876.30273056</v>
      </c>
      <c r="G85" s="1176">
        <f t="shared" si="3"/>
        <v>31</v>
      </c>
      <c r="H85" s="895">
        <f t="shared" si="5"/>
        <v>555853</v>
      </c>
      <c r="I85" s="2015"/>
      <c r="J85" s="54"/>
    </row>
    <row r="86" spans="1:10" ht="13.5">
      <c r="A86" s="2">
        <v>24</v>
      </c>
      <c r="B86" s="724">
        <v>44348</v>
      </c>
      <c r="C86" s="724">
        <v>44377</v>
      </c>
      <c r="D86" s="796">
        <v>0.25814999999999999</v>
      </c>
      <c r="E86" s="897">
        <f t="shared" si="6"/>
        <v>6.2935518846773952E-4</v>
      </c>
      <c r="F86" s="895">
        <f t="shared" si="4"/>
        <v>28475876.30273056</v>
      </c>
      <c r="G86" s="1176">
        <f t="shared" si="3"/>
        <v>30</v>
      </c>
      <c r="H86" s="895">
        <f t="shared" si="5"/>
        <v>537643</v>
      </c>
      <c r="I86" s="2015"/>
      <c r="J86" s="54"/>
    </row>
    <row r="87" spans="1:10" ht="13.5">
      <c r="A87" s="2">
        <v>25</v>
      </c>
      <c r="B87" s="724">
        <v>44378</v>
      </c>
      <c r="C87" s="724">
        <v>44408</v>
      </c>
      <c r="D87" s="796">
        <f>17.18%*1.5</f>
        <v>0.25770000000000004</v>
      </c>
      <c r="E87" s="897">
        <f>((1+D87)^(1/365)-1)</f>
        <v>6.2837448450037137E-4</v>
      </c>
      <c r="F87" s="895">
        <f t="shared" si="4"/>
        <v>28475876.30273056</v>
      </c>
      <c r="G87" s="1176">
        <f t="shared" si="3"/>
        <v>31</v>
      </c>
      <c r="H87" s="895">
        <f t="shared" si="5"/>
        <v>554699</v>
      </c>
      <c r="I87" s="2015"/>
      <c r="J87" s="54"/>
    </row>
    <row r="88" spans="1:10" s="188" customFormat="1" ht="13.5">
      <c r="A88" s="2">
        <v>26</v>
      </c>
      <c r="B88" s="724">
        <v>44409</v>
      </c>
      <c r="C88" s="724">
        <v>44439</v>
      </c>
      <c r="D88" s="796">
        <f>17.24%*1.5</f>
        <v>0.2586</v>
      </c>
      <c r="E88" s="897">
        <f t="shared" si="6"/>
        <v>6.3033554269220637E-4</v>
      </c>
      <c r="F88" s="895">
        <f t="shared" si="4"/>
        <v>28475876.30273056</v>
      </c>
      <c r="G88" s="1176">
        <f t="shared" si="3"/>
        <v>31</v>
      </c>
      <c r="H88" s="895">
        <f t="shared" si="5"/>
        <v>556430</v>
      </c>
      <c r="I88" s="2015"/>
      <c r="J88" s="54"/>
    </row>
    <row r="89" spans="1:10" ht="13.5">
      <c r="A89" s="2">
        <v>27</v>
      </c>
      <c r="B89" s="724">
        <v>44440</v>
      </c>
      <c r="C89" s="724">
        <v>44469</v>
      </c>
      <c r="D89" s="796">
        <f>17.19%*1.5</f>
        <v>0.25785000000000002</v>
      </c>
      <c r="E89" s="897">
        <f>((1+D89)^(1/365)-1)</f>
        <v>6.2870142469861889E-4</v>
      </c>
      <c r="F89" s="895">
        <f t="shared" si="4"/>
        <v>28475876.30273056</v>
      </c>
      <c r="G89" s="1176">
        <f t="shared" si="3"/>
        <v>30</v>
      </c>
      <c r="H89" s="895">
        <f t="shared" si="5"/>
        <v>537085</v>
      </c>
      <c r="I89" s="2015"/>
      <c r="J89" s="54"/>
    </row>
    <row r="90" spans="1:10" ht="13.5">
      <c r="A90" s="2">
        <v>28</v>
      </c>
      <c r="B90" s="724">
        <v>44470</v>
      </c>
      <c r="C90" s="724">
        <v>44500</v>
      </c>
      <c r="D90" s="796">
        <f>17.08%*1.5</f>
        <v>0.25619999999999998</v>
      </c>
      <c r="E90" s="897">
        <f>((1+D90)^(1/365)-1)</f>
        <v>6.2510294214179751E-4</v>
      </c>
      <c r="F90" s="895">
        <f t="shared" si="4"/>
        <v>28475876.30273056</v>
      </c>
      <c r="G90" s="1176">
        <f t="shared" si="3"/>
        <v>31</v>
      </c>
      <c r="H90" s="895">
        <f t="shared" si="5"/>
        <v>551811</v>
      </c>
      <c r="I90" s="2015"/>
    </row>
    <row r="91" spans="1:10" ht="13.5">
      <c r="A91" s="2">
        <v>29</v>
      </c>
      <c r="B91" s="724">
        <v>44501</v>
      </c>
      <c r="C91" s="724">
        <v>44530</v>
      </c>
      <c r="D91" s="796">
        <f>17.27%*1.5</f>
        <v>0.25905</v>
      </c>
      <c r="E91" s="897">
        <f>((1+D91)^(1/365)-1)</f>
        <v>6.3131554742335005E-4</v>
      </c>
      <c r="F91" s="895">
        <f t="shared" si="4"/>
        <v>28475876.30273056</v>
      </c>
      <c r="G91" s="1176">
        <f>_xlfn.DAYS(C91,B91)+1</f>
        <v>30</v>
      </c>
      <c r="H91" s="895">
        <f t="shared" si="5"/>
        <v>539318</v>
      </c>
      <c r="I91" s="2015"/>
    </row>
    <row r="92" spans="1:10" ht="13.5">
      <c r="A92" s="2">
        <v>30</v>
      </c>
      <c r="B92" s="724">
        <v>44531</v>
      </c>
      <c r="C92" s="724">
        <v>44546</v>
      </c>
      <c r="D92" s="796">
        <f>17.46%*1.5</f>
        <v>0.26190000000000002</v>
      </c>
      <c r="E92" s="897">
        <f>((1+D92)^(1/365)-1)</f>
        <v>6.3751414410861962E-4</v>
      </c>
      <c r="F92" s="895">
        <f t="shared" si="4"/>
        <v>28475876.30273056</v>
      </c>
      <c r="G92" s="1176">
        <f>_xlfn.DAYS(C92,B92)+1</f>
        <v>16</v>
      </c>
      <c r="H92" s="895">
        <f t="shared" si="5"/>
        <v>290460</v>
      </c>
      <c r="I92" s="2015"/>
    </row>
    <row r="93" spans="1:10" ht="14.25" thickBot="1">
      <c r="A93" s="32"/>
      <c r="B93" s="982"/>
      <c r="C93" s="982"/>
      <c r="D93" s="982"/>
      <c r="E93" s="982"/>
      <c r="F93" s="1729" t="s">
        <v>338</v>
      </c>
      <c r="G93" s="1177"/>
      <c r="H93" s="2016">
        <f>SUM(H63:H92)</f>
        <v>16401788</v>
      </c>
      <c r="I93" s="1941"/>
    </row>
    <row r="94" spans="1:10" ht="13.5">
      <c r="A94" s="32"/>
      <c r="B94" s="2604" t="s">
        <v>55</v>
      </c>
      <c r="C94" s="2681"/>
      <c r="D94" s="2605"/>
      <c r="E94" s="982"/>
      <c r="F94" s="848"/>
      <c r="G94" s="791"/>
      <c r="H94" s="791"/>
    </row>
    <row r="95" spans="1:10" ht="13.5">
      <c r="B95" s="726" t="s">
        <v>56</v>
      </c>
      <c r="C95" s="726"/>
      <c r="D95" s="726"/>
      <c r="E95" s="982"/>
      <c r="F95" s="791"/>
      <c r="G95" s="791"/>
      <c r="H95" s="791"/>
    </row>
    <row r="96" spans="1:10" ht="13.5">
      <c r="B96" s="741" t="s">
        <v>133</v>
      </c>
      <c r="C96" s="737"/>
      <c r="D96" s="895">
        <f>+C60</f>
        <v>28475876.30273056</v>
      </c>
      <c r="E96" s="982"/>
      <c r="F96" s="791"/>
      <c r="G96" s="791"/>
      <c r="H96" s="791"/>
    </row>
    <row r="97" spans="2:8" ht="13.5">
      <c r="B97" s="742" t="s">
        <v>832</v>
      </c>
      <c r="C97" s="830"/>
      <c r="D97" s="895">
        <f>+H93</f>
        <v>16401788</v>
      </c>
      <c r="E97" s="982"/>
      <c r="F97" s="791"/>
      <c r="G97" s="791"/>
      <c r="H97" s="791"/>
    </row>
    <row r="98" spans="2:8" ht="14.25" customHeight="1" thickBot="1">
      <c r="B98" s="743" t="s">
        <v>61</v>
      </c>
      <c r="C98" s="942"/>
      <c r="D98" s="1007">
        <f>SUM(D96:D97)</f>
        <v>44877664.30273056</v>
      </c>
      <c r="E98" s="982"/>
      <c r="F98" s="791"/>
      <c r="G98" s="791"/>
      <c r="H98" s="791"/>
    </row>
    <row r="99" spans="2:8" ht="14.25" thickTop="1">
      <c r="B99" s="900" t="s">
        <v>62</v>
      </c>
      <c r="C99" s="982"/>
      <c r="D99" s="982"/>
      <c r="E99" s="982"/>
      <c r="F99" s="791"/>
      <c r="G99" s="791"/>
      <c r="H99" s="791"/>
    </row>
    <row r="100" spans="2:8" ht="13.5">
      <c r="B100" s="814"/>
      <c r="C100" s="982"/>
      <c r="D100" s="982"/>
      <c r="E100" s="982"/>
      <c r="F100" s="791"/>
      <c r="G100" s="791"/>
      <c r="H100" s="791"/>
    </row>
    <row r="101" spans="2:8" ht="13.5">
      <c r="B101" s="814"/>
      <c r="C101" s="982"/>
      <c r="D101" s="982"/>
      <c r="E101" s="982"/>
      <c r="F101" s="791"/>
      <c r="G101" s="791"/>
      <c r="H101" s="791"/>
    </row>
    <row r="102" spans="2:8" ht="13.5">
      <c r="B102" s="818" t="s">
        <v>63</v>
      </c>
      <c r="C102" s="982"/>
      <c r="D102" s="982"/>
      <c r="E102" s="982"/>
      <c r="F102" s="791"/>
      <c r="G102" s="791"/>
      <c r="H102" s="791"/>
    </row>
    <row r="103" spans="2:8" ht="13.5">
      <c r="B103" s="818" t="s">
        <v>64</v>
      </c>
      <c r="C103" s="982"/>
      <c r="D103" s="982"/>
      <c r="E103" s="982"/>
      <c r="F103" s="791"/>
      <c r="G103" s="791"/>
      <c r="H103" s="791"/>
    </row>
    <row r="104" spans="2:8" ht="13.5">
      <c r="B104" s="900" t="s">
        <v>65</v>
      </c>
      <c r="C104" s="982"/>
      <c r="D104" s="982"/>
      <c r="E104" s="982"/>
      <c r="F104" s="791"/>
      <c r="G104" s="791"/>
      <c r="H104" s="791"/>
    </row>
    <row r="105" spans="2:8">
      <c r="B105" s="758"/>
      <c r="C105" s="758"/>
      <c r="D105" s="758"/>
      <c r="E105" s="758"/>
      <c r="F105" s="156"/>
      <c r="G105" s="156"/>
      <c r="H105" s="156"/>
    </row>
  </sheetData>
  <mergeCells count="2">
    <mergeCell ref="B61:G61"/>
    <mergeCell ref="B94:D94"/>
  </mergeCells>
  <phoneticPr fontId="31" type="noConversion"/>
  <pageMargins left="0.7" right="0.7" top="0.75" bottom="0.75" header="0.3" footer="0.3"/>
  <pageSetup paperSize="9" scale="77" orientation="portrait" r:id="rId1"/>
  <colBreaks count="1" manualBreakCount="1">
    <brk id="8"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37A40-F729-4F68-8329-AA77EA2ED220}">
  <sheetPr codeName="Hoja46"/>
  <dimension ref="A1:N117"/>
  <sheetViews>
    <sheetView topLeftCell="B1" zoomScaleNormal="100" workbookViewId="0">
      <selection activeCell="N3" sqref="N3"/>
    </sheetView>
  </sheetViews>
  <sheetFormatPr defaultColWidth="9.140625" defaultRowHeight="12.75"/>
  <cols>
    <col min="1" max="1" width="3.140625" customWidth="1"/>
    <col min="2" max="2" width="15.42578125" style="32" customWidth="1"/>
    <col min="3" max="3" width="13.5703125" style="32" customWidth="1"/>
    <col min="4" max="4" width="12.85546875" style="32" customWidth="1"/>
    <col min="5" max="5" width="14.28515625" style="32" customWidth="1"/>
    <col min="6" max="6" width="14" customWidth="1"/>
    <col min="7" max="7" width="11.140625" customWidth="1"/>
    <col min="8" max="8" width="12.28515625" customWidth="1"/>
    <col min="9" max="9" width="16" customWidth="1"/>
    <col min="10" max="10" width="9.7109375" customWidth="1"/>
    <col min="11" max="11" width="8.85546875" customWidth="1"/>
    <col min="12" max="12" width="12.85546875" customWidth="1"/>
    <col min="13" max="258" width="11.42578125" customWidth="1"/>
  </cols>
  <sheetData>
    <row r="1" spans="2:14" ht="13.5">
      <c r="B1" s="728" t="s">
        <v>121</v>
      </c>
      <c r="C1" s="944" t="s">
        <v>833</v>
      </c>
      <c r="D1" s="791"/>
      <c r="E1" s="791"/>
      <c r="F1" s="147"/>
      <c r="G1" s="147"/>
      <c r="H1" s="147"/>
      <c r="I1" s="697"/>
      <c r="J1" s="697" t="s">
        <v>834</v>
      </c>
      <c r="K1" s="697" t="s">
        <v>649</v>
      </c>
      <c r="L1" s="188" t="s">
        <v>835</v>
      </c>
      <c r="M1" s="188" t="s">
        <v>638</v>
      </c>
      <c r="N1" s="188" t="s">
        <v>836</v>
      </c>
    </row>
    <row r="2" spans="2:14" ht="13.5">
      <c r="B2" s="728" t="s">
        <v>238</v>
      </c>
      <c r="C2" s="944">
        <v>45503009</v>
      </c>
      <c r="D2" s="791"/>
      <c r="E2" s="791"/>
      <c r="F2" s="147"/>
      <c r="G2" s="147"/>
      <c r="H2" s="147"/>
      <c r="I2" s="697"/>
      <c r="J2" s="697"/>
      <c r="K2" s="697"/>
      <c r="L2" s="188"/>
      <c r="M2" s="188"/>
      <c r="N2" s="188"/>
    </row>
    <row r="3" spans="2:14" ht="13.5">
      <c r="B3" s="728" t="s">
        <v>4</v>
      </c>
      <c r="C3" s="945">
        <v>43669</v>
      </c>
      <c r="D3" s="886"/>
      <c r="E3" s="886"/>
      <c r="F3" s="147"/>
      <c r="G3" s="147"/>
      <c r="H3" s="147"/>
      <c r="I3" s="730">
        <v>35034</v>
      </c>
      <c r="J3" s="697">
        <v>111.35</v>
      </c>
      <c r="K3" s="697">
        <v>31.24</v>
      </c>
      <c r="L3" s="32">
        <v>447100</v>
      </c>
      <c r="M3">
        <f>+K3/J3</f>
        <v>0.28055680287382129</v>
      </c>
      <c r="N3" s="15">
        <f>+M3*L3</f>
        <v>125436.9465648855</v>
      </c>
    </row>
    <row r="4" spans="2:14" ht="13.5">
      <c r="B4" s="1166" t="s">
        <v>124</v>
      </c>
      <c r="C4" s="945" t="s">
        <v>837</v>
      </c>
      <c r="D4" s="886"/>
      <c r="E4" s="886"/>
      <c r="F4" s="147"/>
      <c r="G4" s="147"/>
      <c r="H4" s="147"/>
      <c r="I4" s="730"/>
      <c r="J4" s="697"/>
      <c r="K4" s="697"/>
      <c r="L4" s="32"/>
      <c r="N4" s="15"/>
    </row>
    <row r="5" spans="2:14" ht="13.5">
      <c r="B5" s="1166" t="s">
        <v>838</v>
      </c>
      <c r="C5" s="945">
        <v>43714</v>
      </c>
      <c r="D5" s="886"/>
      <c r="E5" s="886"/>
      <c r="F5" s="791"/>
      <c r="G5" s="791"/>
      <c r="H5" s="791"/>
      <c r="J5" s="32"/>
    </row>
    <row r="6" spans="2:14" ht="13.5">
      <c r="B6" s="728" t="s">
        <v>124</v>
      </c>
      <c r="C6" s="1539" t="s">
        <v>837</v>
      </c>
      <c r="D6" s="886"/>
      <c r="E6" s="886"/>
      <c r="F6" s="791"/>
      <c r="G6" s="791"/>
      <c r="H6" s="791"/>
      <c r="J6" s="32"/>
    </row>
    <row r="7" spans="2:14" ht="13.5">
      <c r="B7" s="791"/>
      <c r="C7" s="1167" t="s">
        <v>458</v>
      </c>
      <c r="D7" s="1167" t="s">
        <v>459</v>
      </c>
      <c r="E7" s="1167"/>
      <c r="F7" s="791"/>
      <c r="G7" s="791"/>
      <c r="H7" s="791"/>
      <c r="J7" s="32"/>
    </row>
    <row r="8" spans="2:14" ht="25.5">
      <c r="B8" s="1141" t="s">
        <v>461</v>
      </c>
      <c r="C8" s="851">
        <v>1554650</v>
      </c>
      <c r="D8" s="851">
        <v>1243720</v>
      </c>
      <c r="E8" s="851"/>
      <c r="F8" s="791"/>
      <c r="G8" s="791"/>
      <c r="H8" s="791"/>
    </row>
    <row r="9" spans="2:14" ht="26.25" thickBot="1">
      <c r="B9" s="1168" t="s">
        <v>464</v>
      </c>
      <c r="C9" s="1169">
        <v>895178</v>
      </c>
      <c r="D9" s="1169">
        <v>716142</v>
      </c>
      <c r="E9" s="1170"/>
      <c r="F9" s="791"/>
      <c r="G9" s="791"/>
      <c r="H9" s="791"/>
    </row>
    <row r="10" spans="2:14" ht="13.5">
      <c r="B10" s="1141" t="s">
        <v>465</v>
      </c>
      <c r="C10" s="851">
        <f>+C8-C9</f>
        <v>659472</v>
      </c>
      <c r="D10" s="851">
        <f>+D8-D9</f>
        <v>527578</v>
      </c>
      <c r="E10" s="851"/>
      <c r="F10" s="791"/>
      <c r="G10" s="791"/>
      <c r="H10" s="791"/>
    </row>
    <row r="11" spans="2:14" ht="13.5">
      <c r="B11" s="791"/>
      <c r="C11" s="851"/>
      <c r="D11" s="851"/>
      <c r="E11" s="851"/>
      <c r="F11" s="791"/>
      <c r="G11" s="791"/>
      <c r="H11" s="791"/>
    </row>
    <row r="12" spans="2:14" ht="13.5">
      <c r="B12" s="848" t="s">
        <v>489</v>
      </c>
      <c r="C12" s="851"/>
      <c r="D12" s="851"/>
      <c r="E12" s="790">
        <f>+D10*50%</f>
        <v>263789</v>
      </c>
      <c r="F12" s="929">
        <f>+E12/12</f>
        <v>21982.416666666668</v>
      </c>
      <c r="G12" s="737" t="s">
        <v>467</v>
      </c>
      <c r="H12" s="791"/>
      <c r="L12" s="32"/>
    </row>
    <row r="13" spans="2:14" ht="13.5">
      <c r="B13" s="791" t="s">
        <v>472</v>
      </c>
      <c r="C13" s="851">
        <f>+(D10*374)/360</f>
        <v>548094.9222222222</v>
      </c>
      <c r="D13" s="851"/>
      <c r="E13" s="790">
        <f>+INT(D10+F12)/30*20</f>
        <v>366373.33333333337</v>
      </c>
      <c r="F13" s="929">
        <f>+E13/12</f>
        <v>30531.111111111113</v>
      </c>
      <c r="G13" s="737" t="s">
        <v>470</v>
      </c>
      <c r="H13" s="791"/>
      <c r="L13" s="32"/>
    </row>
    <row r="14" spans="2:14" ht="13.5">
      <c r="B14" s="791" t="s">
        <v>475</v>
      </c>
      <c r="C14" s="851">
        <f>(C13*0.12*374)/360</f>
        <v>68329.166970370352</v>
      </c>
      <c r="D14" s="851"/>
      <c r="E14" s="790">
        <f>D10/30*2</f>
        <v>35171.866666666669</v>
      </c>
      <c r="F14" s="929">
        <v>0</v>
      </c>
      <c r="G14" s="737" t="s">
        <v>473</v>
      </c>
      <c r="H14" s="791"/>
      <c r="L14" s="32"/>
    </row>
    <row r="15" spans="2:14" ht="13.5">
      <c r="B15" s="791" t="s">
        <v>477</v>
      </c>
      <c r="C15" s="851">
        <f>+(D10*374)/360</f>
        <v>548094.9222222222</v>
      </c>
      <c r="D15" s="851"/>
      <c r="E15" s="790">
        <f>+INT(D10+F12)/30*21</f>
        <v>384692</v>
      </c>
      <c r="F15" s="929">
        <v>0</v>
      </c>
      <c r="G15" s="737" t="s">
        <v>22</v>
      </c>
      <c r="H15" s="791"/>
      <c r="L15" s="32"/>
    </row>
    <row r="16" spans="2:14" ht="13.5">
      <c r="B16" s="791" t="s">
        <v>480</v>
      </c>
      <c r="C16" s="851">
        <f>+E16</f>
        <v>602650.6427469136</v>
      </c>
      <c r="D16" s="851"/>
      <c r="E16" s="790">
        <f>+(D10+F12+F13)/360*374</f>
        <v>602650.6427469136</v>
      </c>
      <c r="F16" s="929">
        <f>+E16/12</f>
        <v>50220.886895576135</v>
      </c>
      <c r="G16" s="737" t="s">
        <v>478</v>
      </c>
      <c r="H16" s="791"/>
      <c r="L16" s="32"/>
    </row>
    <row r="17" spans="2:12" ht="13.5">
      <c r="B17" s="791" t="s">
        <v>482</v>
      </c>
      <c r="C17" s="851">
        <f>+(D10*374)/720</f>
        <v>274047.4611111111</v>
      </c>
      <c r="D17" s="851"/>
      <c r="E17" s="790">
        <f>+INT(D10+F12+F13+F16)/360*360</f>
        <v>630312</v>
      </c>
      <c r="F17" s="929"/>
      <c r="G17" s="737" t="s">
        <v>490</v>
      </c>
      <c r="H17" s="791"/>
      <c r="L17" s="32"/>
    </row>
    <row r="18" spans="2:12" ht="14.25" thickBot="1">
      <c r="B18" s="1171" t="s">
        <v>485</v>
      </c>
      <c r="C18" s="1169">
        <f>+E13</f>
        <v>366373.33333333337</v>
      </c>
      <c r="D18" s="1170"/>
      <c r="E18" s="790">
        <f>(E17*0.12/360)*360</f>
        <v>75637.440000000002</v>
      </c>
      <c r="F18" s="929"/>
      <c r="G18" s="737" t="s">
        <v>483</v>
      </c>
      <c r="H18" s="791"/>
      <c r="L18" s="32"/>
    </row>
    <row r="19" spans="2:12" ht="25.5">
      <c r="B19" s="946" t="s">
        <v>488</v>
      </c>
      <c r="C19" s="1728">
        <f>SUM(C13:C18)</f>
        <v>2407590.448606173</v>
      </c>
      <c r="D19" s="1728"/>
      <c r="E19" s="791"/>
      <c r="F19" s="791"/>
      <c r="G19" s="791"/>
      <c r="H19" s="791"/>
      <c r="L19" s="32"/>
    </row>
    <row r="20" spans="2:12" ht="13.5">
      <c r="B20" s="791"/>
      <c r="C20" s="791"/>
      <c r="D20" s="791"/>
      <c r="E20" s="791"/>
      <c r="F20" s="791"/>
      <c r="G20" s="791"/>
      <c r="H20" s="791"/>
    </row>
    <row r="21" spans="2:12" ht="13.5">
      <c r="B21" s="848" t="s">
        <v>491</v>
      </c>
      <c r="C21" s="791"/>
      <c r="D21" s="791"/>
      <c r="E21" s="791"/>
      <c r="F21" s="791"/>
      <c r="G21" s="791"/>
      <c r="H21" s="791"/>
    </row>
    <row r="22" spans="2:12" ht="13.5">
      <c r="B22" s="791" t="s">
        <v>472</v>
      </c>
      <c r="C22" s="851">
        <f>+(C10*25)/360</f>
        <v>45796.666666666664</v>
      </c>
      <c r="D22" s="851"/>
      <c r="E22" s="790">
        <f>+C10*50%</f>
        <v>329736</v>
      </c>
      <c r="F22" s="737">
        <v>27478</v>
      </c>
      <c r="G22" s="737" t="s">
        <v>467</v>
      </c>
      <c r="H22" s="791"/>
    </row>
    <row r="23" spans="2:12" ht="13.5">
      <c r="B23" s="791" t="s">
        <v>475</v>
      </c>
      <c r="C23" s="851">
        <f>(C22*0.12*25)/360</f>
        <v>381.63888888888891</v>
      </c>
      <c r="D23" s="851"/>
      <c r="E23" s="790">
        <f>+INT(C10+F22)/30*20</f>
        <v>457966.66666666663</v>
      </c>
      <c r="F23" s="737">
        <f>+E23/12</f>
        <v>38163.888888888883</v>
      </c>
      <c r="G23" s="737" t="s">
        <v>470</v>
      </c>
      <c r="H23" s="791"/>
    </row>
    <row r="24" spans="2:12" ht="13.5">
      <c r="B24" s="791" t="s">
        <v>477</v>
      </c>
      <c r="C24" s="851">
        <f>+(C10*25)/360</f>
        <v>45796.666666666664</v>
      </c>
      <c r="D24" s="851"/>
      <c r="E24" s="790">
        <f>C10/30*2</f>
        <v>43964.800000000003</v>
      </c>
      <c r="F24" s="737">
        <v>0</v>
      </c>
      <c r="G24" s="737" t="s">
        <v>473</v>
      </c>
      <c r="H24" s="791"/>
    </row>
    <row r="25" spans="2:12" ht="13.5">
      <c r="B25" s="791" t="s">
        <v>480</v>
      </c>
      <c r="C25" s="879">
        <f>+E26</f>
        <v>50355.131172839501</v>
      </c>
      <c r="D25" s="879"/>
      <c r="E25" s="790">
        <f>+INT(C10+F22)/30*21</f>
        <v>480865</v>
      </c>
      <c r="F25" s="737">
        <v>0</v>
      </c>
      <c r="G25" s="737" t="s">
        <v>22</v>
      </c>
      <c r="H25" s="791"/>
    </row>
    <row r="26" spans="2:12" ht="13.5">
      <c r="B26" s="791" t="s">
        <v>482</v>
      </c>
      <c r="C26" s="1170">
        <f>+(D10*25)/720</f>
        <v>18318.680555555555</v>
      </c>
      <c r="D26" s="1170"/>
      <c r="E26" s="790">
        <f>+(C10+F22+F23)/360*25</f>
        <v>50355.131172839501</v>
      </c>
      <c r="F26" s="737">
        <f>+E26/12</f>
        <v>4196.2609310699581</v>
      </c>
      <c r="G26" s="737" t="s">
        <v>478</v>
      </c>
      <c r="H26" s="791"/>
    </row>
    <row r="27" spans="2:12" ht="14.25" thickBot="1">
      <c r="B27" s="1171" t="s">
        <v>485</v>
      </c>
      <c r="C27" s="1172">
        <f>+E23</f>
        <v>457966.66666666663</v>
      </c>
      <c r="D27" s="879"/>
      <c r="E27" s="790">
        <f>+INT(C10+F22+F23+F26)/360*25</f>
        <v>50646.527777777774</v>
      </c>
      <c r="F27" s="737"/>
      <c r="G27" s="737" t="s">
        <v>490</v>
      </c>
      <c r="H27" s="791"/>
    </row>
    <row r="28" spans="2:12" ht="25.5">
      <c r="B28" s="946" t="s">
        <v>492</v>
      </c>
      <c r="C28" s="1728">
        <f>SUM(C22:C27)</f>
        <v>618615.45061728393</v>
      </c>
      <c r="D28" s="879"/>
      <c r="E28" s="790">
        <f>(E27*0.12/360)*39</f>
        <v>658.40486111111102</v>
      </c>
      <c r="F28" s="737"/>
      <c r="G28" s="737" t="s">
        <v>483</v>
      </c>
      <c r="H28" s="791"/>
    </row>
    <row r="29" spans="2:12" ht="13.5">
      <c r="B29" s="791"/>
      <c r="C29" s="791"/>
      <c r="D29" s="791"/>
      <c r="E29" s="791"/>
      <c r="F29" s="791"/>
      <c r="G29" s="791"/>
      <c r="H29" s="791"/>
    </row>
    <row r="30" spans="2:12" ht="13.5">
      <c r="B30" s="848" t="s">
        <v>493</v>
      </c>
      <c r="C30" s="791"/>
      <c r="D30" s="791"/>
      <c r="E30" s="791"/>
      <c r="F30" s="791"/>
      <c r="G30" s="791"/>
      <c r="H30" s="791"/>
    </row>
    <row r="31" spans="2:12" ht="13.5">
      <c r="B31" s="737" t="s">
        <v>494</v>
      </c>
      <c r="C31" s="724">
        <v>35047</v>
      </c>
      <c r="D31" s="886"/>
      <c r="E31" s="886"/>
      <c r="F31" s="791"/>
      <c r="G31" s="791"/>
      <c r="H31" s="791"/>
    </row>
    <row r="32" spans="2:12" ht="13.5">
      <c r="B32" s="737" t="s">
        <v>495</v>
      </c>
      <c r="C32" s="724">
        <v>35446</v>
      </c>
      <c r="D32" s="886"/>
      <c r="E32" s="886"/>
      <c r="F32" s="791"/>
      <c r="G32" s="791"/>
      <c r="H32" s="791"/>
    </row>
    <row r="33" spans="2:8" ht="13.5">
      <c r="B33" s="737" t="s">
        <v>496</v>
      </c>
      <c r="C33" s="737">
        <f>_xlfn.DAYS(C32,C31)</f>
        <v>399</v>
      </c>
      <c r="D33" s="791"/>
      <c r="E33" s="791"/>
      <c r="F33" s="791"/>
      <c r="G33" s="791"/>
      <c r="H33" s="791"/>
    </row>
    <row r="34" spans="2:8" ht="13.5">
      <c r="B34" s="791"/>
      <c r="C34" s="791"/>
      <c r="D34" s="791"/>
      <c r="E34" s="791"/>
      <c r="F34" s="791"/>
      <c r="G34" s="791"/>
      <c r="H34" s="791"/>
    </row>
    <row r="35" spans="2:8" ht="25.5">
      <c r="B35" s="845" t="s">
        <v>839</v>
      </c>
      <c r="C35" s="732">
        <v>102.94</v>
      </c>
      <c r="D35" s="1173"/>
      <c r="E35" s="1173"/>
      <c r="F35" s="791"/>
      <c r="G35" s="791"/>
      <c r="H35" s="791"/>
    </row>
    <row r="36" spans="2:8" ht="13.5">
      <c r="B36" s="1174" t="s">
        <v>840</v>
      </c>
      <c r="C36" s="734" t="s">
        <v>499</v>
      </c>
      <c r="D36" s="735" t="s">
        <v>76</v>
      </c>
      <c r="E36" s="735" t="s">
        <v>77</v>
      </c>
      <c r="F36" s="734" t="s">
        <v>57</v>
      </c>
      <c r="G36" s="791"/>
      <c r="H36" s="791"/>
    </row>
    <row r="37" spans="2:8" ht="13.5">
      <c r="B37" s="737" t="s">
        <v>841</v>
      </c>
      <c r="C37" s="736">
        <f>(D10/30)*16</f>
        <v>281374.93333333335</v>
      </c>
      <c r="D37" s="1736">
        <v>21.8</v>
      </c>
      <c r="E37" s="737">
        <f>+C35/D37</f>
        <v>4.7220183486238527</v>
      </c>
      <c r="F37" s="850">
        <f>+C37*E37</f>
        <v>1328657.5980428134</v>
      </c>
      <c r="G37" s="791"/>
      <c r="H37" s="791"/>
    </row>
    <row r="38" spans="2:8" ht="13.5">
      <c r="B38" s="791"/>
      <c r="C38" s="791"/>
      <c r="D38" s="791"/>
      <c r="E38" s="737" t="s">
        <v>61</v>
      </c>
      <c r="F38" s="850">
        <f>+F37</f>
        <v>1328657.5980428134</v>
      </c>
      <c r="G38" s="791"/>
      <c r="H38" s="791"/>
    </row>
    <row r="39" spans="2:8" ht="13.5">
      <c r="B39" s="791"/>
      <c r="C39" s="791"/>
      <c r="D39" s="791"/>
      <c r="E39" s="791"/>
      <c r="F39" s="791"/>
      <c r="G39" s="791"/>
      <c r="H39" s="791"/>
    </row>
    <row r="40" spans="2:8" ht="13.5">
      <c r="B40" s="733" t="s">
        <v>501</v>
      </c>
      <c r="C40" s="734" t="s">
        <v>502</v>
      </c>
      <c r="D40" s="735" t="s">
        <v>76</v>
      </c>
      <c r="E40" s="735" t="s">
        <v>77</v>
      </c>
      <c r="F40" s="734" t="s">
        <v>57</v>
      </c>
      <c r="G40" s="791"/>
      <c r="H40" s="791"/>
    </row>
    <row r="41" spans="2:8" ht="13.5">
      <c r="B41" s="738" t="s">
        <v>16</v>
      </c>
      <c r="C41" s="736">
        <f t="shared" ref="C41:C52" si="0">+$D$10</f>
        <v>527578</v>
      </c>
      <c r="D41" s="1736">
        <v>22.35</v>
      </c>
      <c r="E41" s="737">
        <f>+$C$35/D41</f>
        <v>4.6058165548098433</v>
      </c>
      <c r="F41" s="850">
        <f>+C41*E41</f>
        <v>2429927.4863534677</v>
      </c>
      <c r="G41" s="791"/>
      <c r="H41" s="791"/>
    </row>
    <row r="42" spans="2:8" ht="13.5">
      <c r="B42" s="738" t="s">
        <v>17</v>
      </c>
      <c r="C42" s="736">
        <f t="shared" si="0"/>
        <v>527578</v>
      </c>
      <c r="D42" s="1736">
        <v>23.25</v>
      </c>
      <c r="E42" s="737">
        <f t="shared" ref="E42:E52" si="1">+$C$35/D42</f>
        <v>4.4275268817204303</v>
      </c>
      <c r="F42" s="850">
        <f t="shared" ref="F42:F52" si="2">+C42*E42</f>
        <v>2335865.7772043012</v>
      </c>
      <c r="G42" s="791"/>
      <c r="H42" s="791"/>
    </row>
    <row r="43" spans="2:8" ht="13.5">
      <c r="B43" s="738" t="s">
        <v>19</v>
      </c>
      <c r="C43" s="736">
        <f t="shared" si="0"/>
        <v>527578</v>
      </c>
      <c r="D43" s="1736">
        <v>23.74</v>
      </c>
      <c r="E43" s="737">
        <f t="shared" si="1"/>
        <v>4.3361415332771696</v>
      </c>
      <c r="F43" s="850">
        <f t="shared" si="2"/>
        <v>2287652.8778433027</v>
      </c>
      <c r="G43" s="791"/>
      <c r="H43" s="791"/>
    </row>
    <row r="44" spans="2:8" ht="13.5">
      <c r="B44" s="738" t="s">
        <v>21</v>
      </c>
      <c r="C44" s="736">
        <f t="shared" si="0"/>
        <v>527578</v>
      </c>
      <c r="D44" s="1736">
        <v>24.21</v>
      </c>
      <c r="E44" s="737">
        <f t="shared" si="1"/>
        <v>4.2519619991738953</v>
      </c>
      <c r="F44" s="850">
        <f t="shared" si="2"/>
        <v>2243241.6076001655</v>
      </c>
      <c r="G44" s="791"/>
      <c r="H44" s="791"/>
    </row>
    <row r="45" spans="2:8" ht="13.5">
      <c r="B45" s="738" t="s">
        <v>23</v>
      </c>
      <c r="C45" s="736">
        <f t="shared" si="0"/>
        <v>527578</v>
      </c>
      <c r="D45" s="1736">
        <v>24.58</v>
      </c>
      <c r="E45" s="737">
        <f t="shared" si="1"/>
        <v>4.1879576891781936</v>
      </c>
      <c r="F45" s="850">
        <f t="shared" si="2"/>
        <v>2209474.3417412532</v>
      </c>
      <c r="G45" s="791"/>
      <c r="H45" s="791"/>
    </row>
    <row r="46" spans="2:8" ht="13.5">
      <c r="B46" s="738" t="s">
        <v>25</v>
      </c>
      <c r="C46" s="736">
        <f t="shared" si="0"/>
        <v>527578</v>
      </c>
      <c r="D46" s="1736">
        <v>24.87</v>
      </c>
      <c r="E46" s="737">
        <f t="shared" si="1"/>
        <v>4.1391234418978691</v>
      </c>
      <c r="F46" s="850">
        <f t="shared" si="2"/>
        <v>2183710.467229594</v>
      </c>
      <c r="G46" s="791"/>
      <c r="H46" s="791"/>
    </row>
    <row r="47" spans="2:8" ht="13.5">
      <c r="B47" s="738" t="s">
        <v>27</v>
      </c>
      <c r="C47" s="736">
        <f t="shared" si="0"/>
        <v>527578</v>
      </c>
      <c r="D47" s="1736">
        <v>25.24</v>
      </c>
      <c r="E47" s="737">
        <f t="shared" si="1"/>
        <v>4.0784469096671954</v>
      </c>
      <c r="F47" s="850">
        <f t="shared" si="2"/>
        <v>2151698.8637083997</v>
      </c>
      <c r="G47" s="791"/>
      <c r="H47" s="791"/>
    </row>
    <row r="48" spans="2:8" ht="13.5">
      <c r="B48" s="738" t="s">
        <v>29</v>
      </c>
      <c r="C48" s="736">
        <f t="shared" si="0"/>
        <v>527578</v>
      </c>
      <c r="D48" s="1736">
        <v>25.52</v>
      </c>
      <c r="E48" s="737">
        <f t="shared" si="1"/>
        <v>4.0336990595611288</v>
      </c>
      <c r="F48" s="850">
        <f t="shared" si="2"/>
        <v>2128090.8824451412</v>
      </c>
      <c r="G48" s="791"/>
      <c r="H48" s="791"/>
    </row>
    <row r="49" spans="2:9" ht="13.5">
      <c r="B49" s="738" t="s">
        <v>31</v>
      </c>
      <c r="C49" s="736">
        <f t="shared" si="0"/>
        <v>527578</v>
      </c>
      <c r="D49" s="1736">
        <v>25.82</v>
      </c>
      <c r="E49" s="737">
        <f t="shared" si="1"/>
        <v>3.9868319132455459</v>
      </c>
      <c r="F49" s="850">
        <f t="shared" si="2"/>
        <v>2103364.8071262585</v>
      </c>
      <c r="G49" s="791"/>
      <c r="H49" s="791"/>
    </row>
    <row r="50" spans="2:9" ht="13.5">
      <c r="B50" s="738" t="s">
        <v>33</v>
      </c>
      <c r="C50" s="736">
        <f t="shared" si="0"/>
        <v>527578</v>
      </c>
      <c r="D50" s="1736">
        <v>26.12</v>
      </c>
      <c r="E50" s="737">
        <f t="shared" si="1"/>
        <v>3.94104134762634</v>
      </c>
      <c r="F50" s="850">
        <f t="shared" si="2"/>
        <v>2079206.7120980092</v>
      </c>
      <c r="G50" s="791"/>
      <c r="H50" s="791"/>
    </row>
    <row r="51" spans="2:9" ht="13.5">
      <c r="B51" s="738" t="s">
        <v>34</v>
      </c>
      <c r="C51" s="736">
        <f t="shared" si="0"/>
        <v>527578</v>
      </c>
      <c r="D51" s="1736">
        <v>26.33</v>
      </c>
      <c r="E51" s="737">
        <f t="shared" si="1"/>
        <v>3.9096088112419296</v>
      </c>
      <c r="F51" s="850">
        <f t="shared" si="2"/>
        <v>2062623.5974173946</v>
      </c>
      <c r="G51" s="791"/>
      <c r="H51" s="791"/>
    </row>
    <row r="52" spans="2:9" ht="13.5">
      <c r="B52" s="738" t="s">
        <v>35</v>
      </c>
      <c r="C52" s="736">
        <f t="shared" si="0"/>
        <v>527578</v>
      </c>
      <c r="D52" s="1736">
        <v>26.52</v>
      </c>
      <c r="E52" s="737">
        <f t="shared" si="1"/>
        <v>3.8815987933634992</v>
      </c>
      <c r="F52" s="850">
        <f t="shared" si="2"/>
        <v>2047846.1282051282</v>
      </c>
      <c r="G52" s="791"/>
      <c r="H52" s="791"/>
    </row>
    <row r="53" spans="2:9" ht="13.5">
      <c r="B53" s="1739" t="s">
        <v>472</v>
      </c>
      <c r="C53" s="736">
        <v>548094.9222222222</v>
      </c>
      <c r="D53" s="1736">
        <v>26.52</v>
      </c>
      <c r="E53" s="737">
        <f t="shared" ref="E53:E58" si="3">+$C$35/D53</f>
        <v>3.8815987933634992</v>
      </c>
      <c r="F53" s="850">
        <f t="shared" ref="F53:F58" si="4">+C53*E53</f>
        <v>2127484.5887464387</v>
      </c>
      <c r="G53" s="791"/>
      <c r="H53" s="791"/>
    </row>
    <row r="54" spans="2:9" ht="27" customHeight="1">
      <c r="B54" s="1740" t="s">
        <v>475</v>
      </c>
      <c r="C54" s="736">
        <v>68329.166970370352</v>
      </c>
      <c r="D54" s="1736">
        <v>26.52</v>
      </c>
      <c r="E54" s="737">
        <f t="shared" si="3"/>
        <v>3.8815987933634992</v>
      </c>
      <c r="F54" s="850">
        <f>+C54*E54</f>
        <v>265226.41206372262</v>
      </c>
      <c r="G54" s="791"/>
      <c r="H54" s="791"/>
    </row>
    <row r="55" spans="2:9" ht="13.5">
      <c r="B55" s="1739" t="s">
        <v>477</v>
      </c>
      <c r="C55" s="736">
        <v>548094.9222222222</v>
      </c>
      <c r="D55" s="1736">
        <v>26.52</v>
      </c>
      <c r="E55" s="737">
        <f t="shared" si="3"/>
        <v>3.8815987933634992</v>
      </c>
      <c r="F55" s="850">
        <f t="shared" si="4"/>
        <v>2127484.5887464387</v>
      </c>
      <c r="G55" s="791"/>
      <c r="H55" s="791"/>
    </row>
    <row r="56" spans="2:9" ht="13.5">
      <c r="B56" s="1739" t="s">
        <v>480</v>
      </c>
      <c r="C56" s="736">
        <v>602650.6427469136</v>
      </c>
      <c r="D56" s="1736">
        <v>26.52</v>
      </c>
      <c r="E56" s="737">
        <f t="shared" si="3"/>
        <v>3.8815987933634992</v>
      </c>
      <c r="F56" s="850">
        <f t="shared" si="4"/>
        <v>2339248.0077061569</v>
      </c>
      <c r="G56" s="791"/>
      <c r="H56" s="791"/>
    </row>
    <row r="57" spans="2:9" ht="13.5">
      <c r="B57" s="1739" t="s">
        <v>482</v>
      </c>
      <c r="C57" s="736">
        <v>274047.4611111111</v>
      </c>
      <c r="D57" s="1736">
        <v>26.52</v>
      </c>
      <c r="E57" s="737">
        <f t="shared" si="3"/>
        <v>3.8815987933634992</v>
      </c>
      <c r="F57" s="850">
        <f t="shared" si="4"/>
        <v>1063742.2943732194</v>
      </c>
      <c r="G57" s="791"/>
      <c r="H57" s="791"/>
    </row>
    <row r="58" spans="2:9" ht="13.5">
      <c r="B58" s="1739" t="s">
        <v>485</v>
      </c>
      <c r="C58" s="736">
        <v>366373.33333333337</v>
      </c>
      <c r="D58" s="1736">
        <v>26.52</v>
      </c>
      <c r="E58" s="737">
        <f t="shared" si="3"/>
        <v>3.8815987933634992</v>
      </c>
      <c r="F58" s="850">
        <f t="shared" si="4"/>
        <v>1422114.2885872298</v>
      </c>
      <c r="G58" s="791"/>
      <c r="H58" s="791"/>
    </row>
    <row r="59" spans="2:9" ht="14.25" thickBot="1">
      <c r="B59" s="791"/>
      <c r="C59" s="791"/>
      <c r="D59" s="791"/>
      <c r="E59" s="739" t="s">
        <v>61</v>
      </c>
      <c r="F59" s="1175">
        <f>SUM(F41:F58)</f>
        <v>35608003.729195625</v>
      </c>
      <c r="G59" s="982"/>
      <c r="H59" s="791"/>
    </row>
    <row r="60" spans="2:9" ht="14.25" thickTop="1">
      <c r="B60" s="791"/>
      <c r="C60" s="791"/>
      <c r="D60" s="791"/>
      <c r="E60" s="791"/>
      <c r="F60" s="791"/>
      <c r="G60" s="982"/>
      <c r="H60" s="791"/>
      <c r="I60" s="156"/>
    </row>
    <row r="61" spans="2:9" ht="13.5">
      <c r="B61" s="733" t="s">
        <v>503</v>
      </c>
      <c r="C61" s="734" t="s">
        <v>502</v>
      </c>
      <c r="D61" s="735" t="s">
        <v>76</v>
      </c>
      <c r="E61" s="735" t="s">
        <v>77</v>
      </c>
      <c r="F61" s="734" t="s">
        <v>57</v>
      </c>
      <c r="G61" s="982"/>
      <c r="H61" s="791"/>
      <c r="I61" s="156"/>
    </row>
    <row r="62" spans="2:9" ht="13.5">
      <c r="B62" s="738" t="s">
        <v>842</v>
      </c>
      <c r="C62" s="736">
        <f>(C10/30)*15</f>
        <v>329736</v>
      </c>
      <c r="D62" s="1735">
        <v>26.96</v>
      </c>
      <c r="E62" s="948">
        <f>+$C$35/D62</f>
        <v>3.818249258160237</v>
      </c>
      <c r="F62" s="899">
        <f>+C62*E62</f>
        <v>1259014.237388724</v>
      </c>
      <c r="G62" s="982"/>
      <c r="H62" s="791"/>
      <c r="I62" s="156"/>
    </row>
    <row r="63" spans="2:9" ht="13.5">
      <c r="B63" s="1739" t="s">
        <v>472</v>
      </c>
      <c r="C63" s="736">
        <v>45796.666666666664</v>
      </c>
      <c r="D63" s="1735">
        <v>26.96</v>
      </c>
      <c r="E63" s="948">
        <f t="shared" ref="E63:E68" si="5">+$C$35/D63</f>
        <v>3.818249258160237</v>
      </c>
      <c r="F63" s="899">
        <f t="shared" ref="F63:F68" si="6">+C63*E63</f>
        <v>174863.08852621165</v>
      </c>
      <c r="G63" s="982"/>
      <c r="H63" s="791"/>
      <c r="I63" s="156"/>
    </row>
    <row r="64" spans="2:9" ht="13.5">
      <c r="B64" s="1739" t="s">
        <v>475</v>
      </c>
      <c r="C64" s="736">
        <v>381.63888888888891</v>
      </c>
      <c r="D64" s="1735">
        <v>26.96</v>
      </c>
      <c r="E64" s="948">
        <f t="shared" si="5"/>
        <v>3.818249258160237</v>
      </c>
      <c r="F64" s="899">
        <f t="shared" si="6"/>
        <v>1457.1924043850972</v>
      </c>
      <c r="G64" s="982"/>
      <c r="H64" s="791"/>
      <c r="I64" s="156"/>
    </row>
    <row r="65" spans="1:10" ht="13.5">
      <c r="B65" s="1739" t="s">
        <v>477</v>
      </c>
      <c r="C65" s="736">
        <v>45796.666666666664</v>
      </c>
      <c r="D65" s="1735">
        <v>26.96</v>
      </c>
      <c r="E65" s="948">
        <f t="shared" si="5"/>
        <v>3.818249258160237</v>
      </c>
      <c r="F65" s="899">
        <f t="shared" si="6"/>
        <v>174863.08852621165</v>
      </c>
      <c r="G65" s="982"/>
      <c r="H65" s="791"/>
      <c r="I65" s="156"/>
    </row>
    <row r="66" spans="1:10" ht="13.5">
      <c r="B66" s="1732" t="s">
        <v>480</v>
      </c>
      <c r="C66" s="736">
        <v>50355.131172839501</v>
      </c>
      <c r="D66" s="1735">
        <v>26.96</v>
      </c>
      <c r="E66" s="948">
        <f t="shared" si="5"/>
        <v>3.818249258160237</v>
      </c>
      <c r="F66" s="899">
        <f t="shared" si="6"/>
        <v>192268.44224525584</v>
      </c>
      <c r="G66" s="982"/>
      <c r="H66" s="791"/>
    </row>
    <row r="67" spans="1:10" ht="13.5">
      <c r="B67" s="1732" t="s">
        <v>482</v>
      </c>
      <c r="C67" s="736">
        <v>18318.680555555555</v>
      </c>
      <c r="D67" s="1735">
        <v>26.96</v>
      </c>
      <c r="E67" s="948">
        <f t="shared" si="5"/>
        <v>3.818249258160237</v>
      </c>
      <c r="F67" s="899">
        <f t="shared" si="6"/>
        <v>69945.288441724348</v>
      </c>
      <c r="G67" s="982"/>
      <c r="H67" s="791"/>
    </row>
    <row r="68" spans="1:10" ht="13.5">
      <c r="B68" s="1732" t="s">
        <v>485</v>
      </c>
      <c r="C68" s="736">
        <v>457966.66666666663</v>
      </c>
      <c r="D68" s="1735">
        <v>26.96</v>
      </c>
      <c r="E68" s="948">
        <f t="shared" si="5"/>
        <v>3.818249258160237</v>
      </c>
      <c r="F68" s="899">
        <f t="shared" si="6"/>
        <v>1748630.8852621163</v>
      </c>
      <c r="G68" s="982"/>
      <c r="H68" s="791"/>
    </row>
    <row r="69" spans="1:10" ht="14.25" thickBot="1">
      <c r="B69" s="791"/>
      <c r="C69" s="791"/>
      <c r="D69" s="791"/>
      <c r="E69" s="1737" t="s">
        <v>61</v>
      </c>
      <c r="F69" s="1738">
        <f>SUM(F62:F68)</f>
        <v>3621042.2227946292</v>
      </c>
      <c r="G69" s="982"/>
      <c r="H69" s="791"/>
    </row>
    <row r="70" spans="1:10" ht="14.25" thickTop="1">
      <c r="B70" s="900" t="s">
        <v>317</v>
      </c>
      <c r="C70" s="791"/>
      <c r="D70" s="791"/>
      <c r="E70" s="791"/>
      <c r="F70" s="791"/>
      <c r="G70" s="791"/>
      <c r="H70" s="791"/>
    </row>
    <row r="71" spans="1:10" ht="13.5">
      <c r="B71" s="916" t="s">
        <v>180</v>
      </c>
      <c r="C71" s="724">
        <f>+C3</f>
        <v>43669</v>
      </c>
      <c r="D71" s="886"/>
      <c r="E71" s="886"/>
      <c r="F71" s="791"/>
    </row>
    <row r="72" spans="1:10" ht="13.5">
      <c r="B72" s="726" t="s">
        <v>129</v>
      </c>
      <c r="C72" s="850">
        <f>+F38+F59+F69</f>
        <v>40557703.55003307</v>
      </c>
      <c r="D72" s="1728"/>
      <c r="E72" s="1728"/>
      <c r="F72" s="1728"/>
      <c r="G72" s="791"/>
      <c r="H72" s="1728"/>
    </row>
    <row r="73" spans="1:10" ht="13.5">
      <c r="B73" s="2721" t="s">
        <v>172</v>
      </c>
      <c r="C73" s="2559"/>
      <c r="D73" s="2559"/>
      <c r="E73" s="2559"/>
      <c r="F73" s="2559"/>
      <c r="G73" s="2559"/>
      <c r="H73" s="922"/>
    </row>
    <row r="74" spans="1:10" ht="25.5">
      <c r="A74" s="2"/>
      <c r="B74" s="1001" t="s">
        <v>206</v>
      </c>
      <c r="C74" s="1001" t="s">
        <v>10</v>
      </c>
      <c r="D74" s="970" t="s">
        <v>59</v>
      </c>
      <c r="E74" s="794" t="s">
        <v>43</v>
      </c>
      <c r="F74" s="923" t="s">
        <v>129</v>
      </c>
      <c r="G74" s="1725" t="s">
        <v>279</v>
      </c>
      <c r="H74" s="923" t="s">
        <v>253</v>
      </c>
    </row>
    <row r="75" spans="1:10" ht="13.5">
      <c r="A75" s="2">
        <v>1</v>
      </c>
      <c r="B75" s="724">
        <v>43670</v>
      </c>
      <c r="C75" s="724">
        <v>43677</v>
      </c>
      <c r="D75" s="796">
        <v>0.28920000000000001</v>
      </c>
      <c r="E75" s="897">
        <f>((1+D75)^(1/365)-1)</f>
        <v>6.9619256101671745E-4</v>
      </c>
      <c r="F75" s="895">
        <f>+$C$72</f>
        <v>40557703.55003307</v>
      </c>
      <c r="G75" s="1176">
        <f t="shared" ref="G75:G104" si="7">_xlfn.DAYS(C75,B75)+1</f>
        <v>8</v>
      </c>
      <c r="H75" s="941">
        <f>+F75*G75*E75</f>
        <v>225887.7720276347</v>
      </c>
      <c r="I75" s="47"/>
      <c r="J75" s="54"/>
    </row>
    <row r="76" spans="1:10" ht="13.5">
      <c r="A76" s="2">
        <v>2</v>
      </c>
      <c r="B76" s="724">
        <v>43678</v>
      </c>
      <c r="C76" s="724">
        <v>43708</v>
      </c>
      <c r="D76" s="796">
        <v>0.2898</v>
      </c>
      <c r="E76" s="897">
        <f>((1+D76)^(1/365)-1)</f>
        <v>6.9746823462724095E-4</v>
      </c>
      <c r="F76" s="895">
        <f t="shared" ref="F76:F104" si="8">+$C$72</f>
        <v>40557703.55003307</v>
      </c>
      <c r="G76" s="1176">
        <f t="shared" si="7"/>
        <v>31</v>
      </c>
      <c r="H76" s="941">
        <f t="shared" ref="H76:H104" si="9">+F76*G76*E76</f>
        <v>876919.00676287303</v>
      </c>
      <c r="I76" s="47"/>
      <c r="J76" s="54"/>
    </row>
    <row r="77" spans="1:10" ht="13.5">
      <c r="A77" s="2">
        <v>3</v>
      </c>
      <c r="B77" s="724">
        <v>43709</v>
      </c>
      <c r="C77" s="724">
        <v>43738</v>
      </c>
      <c r="D77" s="796">
        <v>0.2898</v>
      </c>
      <c r="E77" s="897">
        <f>((1+D77)^(1/365)-1)</f>
        <v>6.9746823462724095E-4</v>
      </c>
      <c r="F77" s="895">
        <f t="shared" si="8"/>
        <v>40557703.55003307</v>
      </c>
      <c r="G77" s="1176">
        <f t="shared" si="7"/>
        <v>30</v>
      </c>
      <c r="H77" s="941">
        <f t="shared" si="9"/>
        <v>848631.29686729645</v>
      </c>
      <c r="I77" s="47"/>
      <c r="J77" s="54"/>
    </row>
    <row r="78" spans="1:10" ht="13.5">
      <c r="A78" s="2">
        <v>4</v>
      </c>
      <c r="B78" s="724">
        <v>43739</v>
      </c>
      <c r="C78" s="724">
        <v>43769</v>
      </c>
      <c r="D78" s="796">
        <v>0.28649999999999998</v>
      </c>
      <c r="E78" s="897">
        <f t="shared" ref="E78:E104" si="10">((1+D78)^(1/365)-1)</f>
        <v>6.9044469314105683E-4</v>
      </c>
      <c r="F78" s="895">
        <f t="shared" si="8"/>
        <v>40557703.55003307</v>
      </c>
      <c r="G78" s="1176">
        <f t="shared" si="7"/>
        <v>31</v>
      </c>
      <c r="H78" s="941">
        <f t="shared" si="9"/>
        <v>868088.38664536458</v>
      </c>
      <c r="I78" s="47"/>
      <c r="J78" s="54"/>
    </row>
    <row r="79" spans="1:10" ht="13.5">
      <c r="A79" s="2">
        <v>5</v>
      </c>
      <c r="B79" s="724">
        <v>43770</v>
      </c>
      <c r="C79" s="724">
        <v>43799</v>
      </c>
      <c r="D79" s="796">
        <v>0.28544999999999998</v>
      </c>
      <c r="E79" s="897">
        <f t="shared" si="10"/>
        <v>6.8820616169262827E-4</v>
      </c>
      <c r="F79" s="895">
        <f t="shared" si="8"/>
        <v>40557703.55003307</v>
      </c>
      <c r="G79" s="1176">
        <f t="shared" si="7"/>
        <v>30</v>
      </c>
      <c r="H79" s="941">
        <f t="shared" si="9"/>
        <v>837361.84461707226</v>
      </c>
      <c r="I79" s="47"/>
      <c r="J79" s="54"/>
    </row>
    <row r="80" spans="1:10" ht="13.5">
      <c r="A80" s="2">
        <v>6</v>
      </c>
      <c r="B80" s="724">
        <v>43800</v>
      </c>
      <c r="C80" s="724">
        <v>43830</v>
      </c>
      <c r="D80" s="796">
        <v>0.28364999999999996</v>
      </c>
      <c r="E80" s="897">
        <f t="shared" si="10"/>
        <v>6.8436443340047504E-4</v>
      </c>
      <c r="F80" s="895">
        <f t="shared" si="8"/>
        <v>40557703.55003307</v>
      </c>
      <c r="G80" s="1176">
        <f t="shared" si="7"/>
        <v>31</v>
      </c>
      <c r="H80" s="941">
        <f t="shared" si="9"/>
        <v>860443.74411132734</v>
      </c>
      <c r="I80" s="47"/>
      <c r="J80" s="54"/>
    </row>
    <row r="81" spans="1:10" ht="13.5">
      <c r="A81" s="2">
        <v>7</v>
      </c>
      <c r="B81" s="724">
        <v>43831</v>
      </c>
      <c r="C81" s="724">
        <v>43861</v>
      </c>
      <c r="D81" s="796">
        <v>0.28155000000000002</v>
      </c>
      <c r="E81" s="897">
        <f t="shared" si="10"/>
        <v>6.7987562124560696E-4</v>
      </c>
      <c r="F81" s="895">
        <f t="shared" si="8"/>
        <v>40557703.55003307</v>
      </c>
      <c r="G81" s="1176">
        <f t="shared" si="7"/>
        <v>31</v>
      </c>
      <c r="H81" s="941">
        <f t="shared" si="9"/>
        <v>854800.01081859064</v>
      </c>
      <c r="I81" s="47"/>
      <c r="J81" s="54"/>
    </row>
    <row r="82" spans="1:10" ht="13.5">
      <c r="A82" s="2">
        <v>8</v>
      </c>
      <c r="B82" s="724">
        <v>43862</v>
      </c>
      <c r="C82" s="724">
        <v>43890</v>
      </c>
      <c r="D82" s="796">
        <v>0.28589999999999999</v>
      </c>
      <c r="E82" s="897">
        <f t="shared" si="10"/>
        <v>6.8916575551658532E-4</v>
      </c>
      <c r="F82" s="895">
        <f t="shared" si="8"/>
        <v>40557703.55003307</v>
      </c>
      <c r="G82" s="1176">
        <f t="shared" si="7"/>
        <v>29</v>
      </c>
      <c r="H82" s="941">
        <f t="shared" si="9"/>
        <v>810578.43186321075</v>
      </c>
      <c r="I82" s="47"/>
      <c r="J82" s="54"/>
    </row>
    <row r="83" spans="1:10" ht="13.5">
      <c r="A83" s="2">
        <v>9</v>
      </c>
      <c r="B83" s="724">
        <v>43891</v>
      </c>
      <c r="C83" s="724">
        <v>43921</v>
      </c>
      <c r="D83" s="796">
        <v>0.28425</v>
      </c>
      <c r="E83" s="897">
        <f t="shared" si="10"/>
        <v>6.8564560609574166E-4</v>
      </c>
      <c r="F83" s="895">
        <f t="shared" si="8"/>
        <v>40557703.55003307</v>
      </c>
      <c r="G83" s="1176">
        <f t="shared" si="7"/>
        <v>31</v>
      </c>
      <c r="H83" s="941">
        <f t="shared" si="9"/>
        <v>862054.54820482899</v>
      </c>
      <c r="I83" s="47"/>
      <c r="J83" s="54"/>
    </row>
    <row r="84" spans="1:10" ht="13.5">
      <c r="A84" s="2">
        <v>10</v>
      </c>
      <c r="B84" s="724">
        <v>43922</v>
      </c>
      <c r="C84" s="724">
        <v>43951</v>
      </c>
      <c r="D84" s="796">
        <v>0.28034999999999999</v>
      </c>
      <c r="E84" s="897">
        <f t="shared" si="10"/>
        <v>6.7730729113191224E-4</v>
      </c>
      <c r="F84" s="895">
        <f t="shared" si="8"/>
        <v>40557703.55003307</v>
      </c>
      <c r="G84" s="1176">
        <f t="shared" si="7"/>
        <v>30</v>
      </c>
      <c r="H84" s="941">
        <f t="shared" si="9"/>
        <v>824100.84978012112</v>
      </c>
      <c r="I84" s="47"/>
      <c r="J84" s="54"/>
    </row>
    <row r="85" spans="1:10" ht="13.5">
      <c r="A85" s="2">
        <v>11</v>
      </c>
      <c r="B85" s="724">
        <v>43952</v>
      </c>
      <c r="C85" s="724">
        <v>43982</v>
      </c>
      <c r="D85" s="796">
        <v>0.27285000000000004</v>
      </c>
      <c r="E85" s="897">
        <f t="shared" si="10"/>
        <v>6.6120063584418354E-4</v>
      </c>
      <c r="F85" s="895">
        <f t="shared" si="8"/>
        <v>40557703.55003307</v>
      </c>
      <c r="G85" s="1176">
        <f t="shared" si="7"/>
        <v>31</v>
      </c>
      <c r="H85" s="941">
        <f t="shared" si="9"/>
        <v>831320.16064551473</v>
      </c>
      <c r="I85" s="47"/>
      <c r="J85" s="54"/>
    </row>
    <row r="86" spans="1:10" ht="13.5">
      <c r="A86" s="2">
        <v>12</v>
      </c>
      <c r="B86" s="724">
        <v>43983</v>
      </c>
      <c r="C86" s="724">
        <v>44012</v>
      </c>
      <c r="D86" s="796">
        <v>0.27179999999999999</v>
      </c>
      <c r="E86" s="897">
        <f t="shared" si="10"/>
        <v>6.5893815469997286E-4</v>
      </c>
      <c r="F86" s="895">
        <f t="shared" si="8"/>
        <v>40557703.55003307</v>
      </c>
      <c r="G86" s="1176">
        <f t="shared" si="7"/>
        <v>30</v>
      </c>
      <c r="H86" s="941">
        <f t="shared" si="9"/>
        <v>801750.55008381989</v>
      </c>
      <c r="I86" s="47"/>
      <c r="J86" s="54"/>
    </row>
    <row r="87" spans="1:10" ht="13.5">
      <c r="A87" s="2">
        <v>13</v>
      </c>
      <c r="B87" s="724">
        <v>44013</v>
      </c>
      <c r="C87" s="724">
        <v>44043</v>
      </c>
      <c r="D87" s="796">
        <v>0.27179999999999999</v>
      </c>
      <c r="E87" s="897">
        <f t="shared" si="10"/>
        <v>6.5893815469997286E-4</v>
      </c>
      <c r="F87" s="895">
        <f t="shared" si="8"/>
        <v>40557703.55003307</v>
      </c>
      <c r="G87" s="1176">
        <f t="shared" si="7"/>
        <v>31</v>
      </c>
      <c r="H87" s="941">
        <f t="shared" si="9"/>
        <v>828475.56841994717</v>
      </c>
      <c r="I87" s="47"/>
      <c r="J87" s="54"/>
    </row>
    <row r="88" spans="1:10" ht="13.5">
      <c r="A88" s="2">
        <v>14</v>
      </c>
      <c r="B88" s="724">
        <v>44044</v>
      </c>
      <c r="C88" s="724">
        <v>44074</v>
      </c>
      <c r="D88" s="796">
        <v>0.27434999999999998</v>
      </c>
      <c r="E88" s="897">
        <f t="shared" si="10"/>
        <v>6.6442952514544906E-4</v>
      </c>
      <c r="F88" s="895">
        <f t="shared" si="8"/>
        <v>40557703.55003307</v>
      </c>
      <c r="G88" s="1176">
        <f t="shared" si="7"/>
        <v>31</v>
      </c>
      <c r="H88" s="941">
        <f t="shared" si="9"/>
        <v>835379.80703288934</v>
      </c>
      <c r="I88" s="47"/>
      <c r="J88" s="54"/>
    </row>
    <row r="89" spans="1:10" ht="13.5">
      <c r="A89" s="2">
        <v>15</v>
      </c>
      <c r="B89" s="724">
        <v>44075</v>
      </c>
      <c r="C89" s="724">
        <v>44104</v>
      </c>
      <c r="D89" s="796">
        <v>0.27524999999999999</v>
      </c>
      <c r="E89" s="897">
        <f t="shared" si="10"/>
        <v>6.6636503991857055E-4</v>
      </c>
      <c r="F89" s="895">
        <f t="shared" si="8"/>
        <v>40557703.55003307</v>
      </c>
      <c r="G89" s="1176">
        <f t="shared" si="7"/>
        <v>30</v>
      </c>
      <c r="H89" s="941">
        <f t="shared" si="9"/>
        <v>810787.07235370006</v>
      </c>
      <c r="I89" s="47"/>
      <c r="J89" s="54"/>
    </row>
    <row r="90" spans="1:10" ht="13.5">
      <c r="A90" s="2">
        <v>16</v>
      </c>
      <c r="B90" s="724">
        <v>44105</v>
      </c>
      <c r="C90" s="724">
        <v>44135</v>
      </c>
      <c r="D90" s="796">
        <v>0.27134999999999998</v>
      </c>
      <c r="E90" s="897">
        <f t="shared" si="10"/>
        <v>6.5796794962613703E-4</v>
      </c>
      <c r="F90" s="895">
        <f t="shared" si="8"/>
        <v>40557703.55003307</v>
      </c>
      <c r="G90" s="1176">
        <f t="shared" si="7"/>
        <v>31</v>
      </c>
      <c r="H90" s="941">
        <f t="shared" si="9"/>
        <v>827255.74043715873</v>
      </c>
      <c r="I90" s="47"/>
      <c r="J90" s="54"/>
    </row>
    <row r="91" spans="1:10" ht="13.5">
      <c r="A91" s="2">
        <v>17</v>
      </c>
      <c r="B91" s="724">
        <v>44136</v>
      </c>
      <c r="C91" s="724">
        <v>44165</v>
      </c>
      <c r="D91" s="796">
        <v>0.2676</v>
      </c>
      <c r="E91" s="897">
        <f t="shared" si="10"/>
        <v>6.4986956374091243E-4</v>
      </c>
      <c r="F91" s="895">
        <f t="shared" si="8"/>
        <v>40557703.55003307</v>
      </c>
      <c r="G91" s="1176">
        <f t="shared" si="7"/>
        <v>30</v>
      </c>
      <c r="H91" s="941">
        <f t="shared" si="9"/>
        <v>790716.51337179739</v>
      </c>
      <c r="I91" s="47"/>
      <c r="J91" s="54"/>
    </row>
    <row r="92" spans="1:10" ht="13.5">
      <c r="A92" s="2">
        <v>18</v>
      </c>
      <c r="B92" s="724">
        <v>44166</v>
      </c>
      <c r="C92" s="724">
        <v>44196</v>
      </c>
      <c r="D92" s="796">
        <v>0.26190000000000002</v>
      </c>
      <c r="E92" s="897">
        <f t="shared" si="10"/>
        <v>6.3751414410861962E-4</v>
      </c>
      <c r="F92" s="895">
        <f t="shared" si="8"/>
        <v>40557703.55003307</v>
      </c>
      <c r="G92" s="1176">
        <f t="shared" si="7"/>
        <v>31</v>
      </c>
      <c r="H92" s="941">
        <f t="shared" si="9"/>
        <v>801539.39963702415</v>
      </c>
      <c r="I92" s="47"/>
      <c r="J92" s="54"/>
    </row>
    <row r="93" spans="1:10" ht="13.5">
      <c r="A93" s="2">
        <v>19</v>
      </c>
      <c r="B93" s="724">
        <v>44197</v>
      </c>
      <c r="C93" s="724">
        <v>44227</v>
      </c>
      <c r="D93" s="796">
        <v>0.25979999999999998</v>
      </c>
      <c r="E93" s="897">
        <f t="shared" si="10"/>
        <v>6.3294811266723094E-4</v>
      </c>
      <c r="F93" s="895">
        <f t="shared" si="8"/>
        <v>40557703.55003307</v>
      </c>
      <c r="G93" s="1176">
        <f t="shared" si="7"/>
        <v>31</v>
      </c>
      <c r="H93" s="941">
        <f t="shared" si="9"/>
        <v>795798.57939942495</v>
      </c>
      <c r="I93" s="47"/>
      <c r="J93" s="54"/>
    </row>
    <row r="94" spans="1:10" ht="13.5">
      <c r="A94" s="2">
        <v>20</v>
      </c>
      <c r="B94" s="724">
        <v>44228</v>
      </c>
      <c r="C94" s="724">
        <v>44255</v>
      </c>
      <c r="D94" s="796">
        <v>0.2631</v>
      </c>
      <c r="E94" s="897">
        <f t="shared" si="10"/>
        <v>6.4011990387169426E-4</v>
      </c>
      <c r="F94" s="895">
        <f t="shared" si="8"/>
        <v>40557703.55003307</v>
      </c>
      <c r="G94" s="1176">
        <f t="shared" si="7"/>
        <v>28</v>
      </c>
      <c r="H94" s="941">
        <f t="shared" si="9"/>
        <v>726930.2123357075</v>
      </c>
      <c r="I94" s="47"/>
      <c r="J94" s="54"/>
    </row>
    <row r="95" spans="1:10" ht="13.5">
      <c r="A95" s="2">
        <v>21</v>
      </c>
      <c r="B95" s="724">
        <v>44256</v>
      </c>
      <c r="C95" s="724">
        <v>44286</v>
      </c>
      <c r="D95" s="796">
        <v>0.26114999999999999</v>
      </c>
      <c r="E95" s="897">
        <f t="shared" si="10"/>
        <v>6.3588428907812578E-4</v>
      </c>
      <c r="F95" s="895">
        <f t="shared" si="8"/>
        <v>40557703.55003307</v>
      </c>
      <c r="G95" s="1176">
        <f t="shared" si="7"/>
        <v>31</v>
      </c>
      <c r="H95" s="941">
        <f t="shared" si="9"/>
        <v>799490.20114517887</v>
      </c>
      <c r="I95" s="47"/>
      <c r="J95" s="54"/>
    </row>
    <row r="96" spans="1:10" ht="13.5">
      <c r="A96" s="2">
        <v>22</v>
      </c>
      <c r="B96" s="724">
        <v>44287</v>
      </c>
      <c r="C96" s="724">
        <v>44316</v>
      </c>
      <c r="D96" s="796">
        <v>0.25964999999999999</v>
      </c>
      <c r="E96" s="897">
        <f t="shared" si="10"/>
        <v>6.326216771728177E-4</v>
      </c>
      <c r="F96" s="895">
        <f t="shared" si="8"/>
        <v>40557703.55003307</v>
      </c>
      <c r="G96" s="1176">
        <f t="shared" si="7"/>
        <v>30</v>
      </c>
      <c r="H96" s="941">
        <f t="shared" si="9"/>
        <v>769730.47326299583</v>
      </c>
      <c r="I96" s="47"/>
      <c r="J96" s="54"/>
    </row>
    <row r="97" spans="1:10" ht="13.5">
      <c r="A97" s="2">
        <v>23</v>
      </c>
      <c r="B97" s="724">
        <v>44317</v>
      </c>
      <c r="C97" s="724">
        <v>44347</v>
      </c>
      <c r="D97" s="796">
        <v>0.25829999999999997</v>
      </c>
      <c r="E97" s="897">
        <f t="shared" si="10"/>
        <v>6.2968201205726437E-4</v>
      </c>
      <c r="F97" s="895">
        <f t="shared" si="8"/>
        <v>40557703.55003307</v>
      </c>
      <c r="G97" s="1176">
        <f t="shared" si="7"/>
        <v>31</v>
      </c>
      <c r="H97" s="941">
        <f t="shared" si="9"/>
        <v>791692.14765001321</v>
      </c>
      <c r="I97" s="47"/>
      <c r="J97" s="54"/>
    </row>
    <row r="98" spans="1:10" ht="13.5">
      <c r="A98" s="2">
        <v>24</v>
      </c>
      <c r="B98" s="724">
        <v>44348</v>
      </c>
      <c r="C98" s="724">
        <v>44377</v>
      </c>
      <c r="D98" s="796">
        <v>0.25814999999999999</v>
      </c>
      <c r="E98" s="897">
        <f t="shared" si="10"/>
        <v>6.2935518846773952E-4</v>
      </c>
      <c r="F98" s="895">
        <f t="shared" si="8"/>
        <v>40557703.55003307</v>
      </c>
      <c r="G98" s="1176">
        <f t="shared" si="7"/>
        <v>30</v>
      </c>
      <c r="H98" s="941">
        <f t="shared" si="9"/>
        <v>765756.03484649316</v>
      </c>
      <c r="I98" s="47"/>
      <c r="J98" s="54"/>
    </row>
    <row r="99" spans="1:10" ht="13.5">
      <c r="A99" s="2">
        <v>25</v>
      </c>
      <c r="B99" s="724">
        <v>44378</v>
      </c>
      <c r="C99" s="724">
        <v>44408</v>
      </c>
      <c r="D99" s="796">
        <f>17.18%*1.5</f>
        <v>0.25770000000000004</v>
      </c>
      <c r="E99" s="897">
        <f>((1+D99)^(1/365)-1)</f>
        <v>6.2837448450037137E-4</v>
      </c>
      <c r="F99" s="895">
        <f t="shared" si="8"/>
        <v>40557703.55003307</v>
      </c>
      <c r="G99" s="1176">
        <f t="shared" si="7"/>
        <v>31</v>
      </c>
      <c r="H99" s="941">
        <f t="shared" si="9"/>
        <v>790048.20788389829</v>
      </c>
      <c r="I99" s="47"/>
      <c r="J99" s="54"/>
    </row>
    <row r="100" spans="1:10" s="188" customFormat="1" ht="13.5">
      <c r="A100" s="2">
        <v>26</v>
      </c>
      <c r="B100" s="724">
        <v>44409</v>
      </c>
      <c r="C100" s="724">
        <v>44439</v>
      </c>
      <c r="D100" s="796">
        <f>17.24%*1.5</f>
        <v>0.2586</v>
      </c>
      <c r="E100" s="897">
        <f t="shared" si="10"/>
        <v>6.3033554269220637E-4</v>
      </c>
      <c r="F100" s="895">
        <f t="shared" si="8"/>
        <v>40557703.55003307</v>
      </c>
      <c r="G100" s="1176">
        <f t="shared" si="7"/>
        <v>31</v>
      </c>
      <c r="H100" s="941">
        <f t="shared" si="9"/>
        <v>792513.8244043513</v>
      </c>
      <c r="I100" s="613"/>
      <c r="J100" s="54"/>
    </row>
    <row r="101" spans="1:10" ht="13.5">
      <c r="A101" s="2">
        <v>27</v>
      </c>
      <c r="B101" s="724">
        <v>44440</v>
      </c>
      <c r="C101" s="724">
        <v>44469</v>
      </c>
      <c r="D101" s="796">
        <f>17.19%*1.5</f>
        <v>0.25785000000000002</v>
      </c>
      <c r="E101" s="897">
        <f t="shared" si="10"/>
        <v>6.2870142469861889E-4</v>
      </c>
      <c r="F101" s="895">
        <f t="shared" si="8"/>
        <v>40557703.55003307</v>
      </c>
      <c r="G101" s="1176">
        <f t="shared" si="7"/>
        <v>30</v>
      </c>
      <c r="H101" s="941">
        <f t="shared" si="9"/>
        <v>764960.58013230073</v>
      </c>
      <c r="I101" s="47"/>
      <c r="J101" s="54"/>
    </row>
    <row r="102" spans="1:10" ht="13.5">
      <c r="A102" s="2">
        <v>28</v>
      </c>
      <c r="B102" s="724">
        <v>44470</v>
      </c>
      <c r="C102" s="724">
        <v>44500</v>
      </c>
      <c r="D102" s="796">
        <f>17.08%*1.5</f>
        <v>0.25619999999999998</v>
      </c>
      <c r="E102" s="897">
        <f t="shared" si="10"/>
        <v>6.2510294214179751E-4</v>
      </c>
      <c r="F102" s="895">
        <f t="shared" si="8"/>
        <v>40557703.55003307</v>
      </c>
      <c r="G102" s="1176">
        <f t="shared" si="7"/>
        <v>31</v>
      </c>
      <c r="H102" s="941">
        <f t="shared" si="9"/>
        <v>785934.93428485538</v>
      </c>
    </row>
    <row r="103" spans="1:10" ht="13.5">
      <c r="A103" s="2">
        <v>29</v>
      </c>
      <c r="B103" s="724">
        <v>44501</v>
      </c>
      <c r="C103" s="724">
        <v>44530</v>
      </c>
      <c r="D103" s="796">
        <f>17.27%*1.5</f>
        <v>0.25905</v>
      </c>
      <c r="E103" s="897">
        <f t="shared" si="10"/>
        <v>6.3131554742335005E-4</v>
      </c>
      <c r="F103" s="895">
        <f t="shared" si="8"/>
        <v>40557703.55003307</v>
      </c>
      <c r="G103" s="1176">
        <f t="shared" si="7"/>
        <v>30</v>
      </c>
      <c r="H103" s="941">
        <f t="shared" si="9"/>
        <v>768141.26456769218</v>
      </c>
    </row>
    <row r="104" spans="1:10" ht="13.5">
      <c r="A104" s="2">
        <v>30</v>
      </c>
      <c r="B104" s="724">
        <v>44531</v>
      </c>
      <c r="C104" s="724">
        <v>44546</v>
      </c>
      <c r="D104" s="796">
        <f>17.46%*1.5</f>
        <v>0.26190000000000002</v>
      </c>
      <c r="E104" s="897">
        <f t="shared" si="10"/>
        <v>6.3751414410861962E-4</v>
      </c>
      <c r="F104" s="895">
        <f t="shared" si="8"/>
        <v>40557703.55003307</v>
      </c>
      <c r="G104" s="1176">
        <f t="shared" si="7"/>
        <v>16</v>
      </c>
      <c r="H104" s="941">
        <f t="shared" si="9"/>
        <v>413697.75465136732</v>
      </c>
    </row>
    <row r="105" spans="1:10" ht="14.25" thickBot="1">
      <c r="A105" s="32"/>
      <c r="B105" s="982"/>
      <c r="C105" s="982"/>
      <c r="D105" s="982"/>
      <c r="E105" s="982"/>
      <c r="F105" s="1729" t="s">
        <v>338</v>
      </c>
      <c r="G105" s="1177"/>
      <c r="H105" s="1730">
        <f>SUM(H75:H104)</f>
        <v>23360784.918244451</v>
      </c>
    </row>
    <row r="106" spans="1:10" ht="13.5">
      <c r="A106" s="32"/>
      <c r="B106" s="2604" t="s">
        <v>55</v>
      </c>
      <c r="C106" s="2681"/>
      <c r="D106" s="2605"/>
      <c r="E106" s="982"/>
      <c r="F106" s="848"/>
      <c r="G106" s="791"/>
      <c r="H106" s="791"/>
    </row>
    <row r="107" spans="1:10" ht="13.5">
      <c r="B107" s="726" t="s">
        <v>56</v>
      </c>
      <c r="C107" s="726"/>
      <c r="D107" s="726"/>
      <c r="E107" s="982"/>
      <c r="F107" s="791"/>
      <c r="G107" s="791"/>
      <c r="H107" s="791"/>
    </row>
    <row r="108" spans="1:10" ht="13.5">
      <c r="B108" s="741" t="s">
        <v>133</v>
      </c>
      <c r="C108" s="737"/>
      <c r="D108" s="941">
        <f>+C72</f>
        <v>40557703.55003307</v>
      </c>
      <c r="E108" s="982"/>
      <c r="F108" s="791"/>
      <c r="G108" s="791"/>
      <c r="H108" s="791"/>
    </row>
    <row r="109" spans="1:10" ht="13.5">
      <c r="B109" s="742" t="s">
        <v>832</v>
      </c>
      <c r="C109" s="830"/>
      <c r="D109" s="941">
        <f>+H105</f>
        <v>23360784.918244451</v>
      </c>
      <c r="E109" s="982"/>
      <c r="F109" s="791"/>
      <c r="G109" s="791"/>
      <c r="H109" s="791"/>
    </row>
    <row r="110" spans="1:10" ht="14.25" customHeight="1" thickBot="1">
      <c r="B110" s="743" t="s">
        <v>61</v>
      </c>
      <c r="C110" s="942"/>
      <c r="D110" s="943">
        <f>SUM(D108:D109)</f>
        <v>63918488.468277521</v>
      </c>
      <c r="E110" s="1741">
        <f>+D110-'Natalia Batista'!D98</f>
        <v>19040824.165546961</v>
      </c>
      <c r="F110" s="1742" t="s">
        <v>843</v>
      </c>
      <c r="G110" s="791"/>
      <c r="H110" s="791"/>
    </row>
    <row r="111" spans="1:10" ht="14.25" thickTop="1">
      <c r="B111" s="900" t="s">
        <v>62</v>
      </c>
      <c r="C111" s="982"/>
      <c r="D111" s="982"/>
      <c r="E111" s="982">
        <f>+E110+'Yamal Afiuni (2)'!D111</f>
        <v>59641962.410550512</v>
      </c>
      <c r="F111" s="791"/>
      <c r="G111" s="791"/>
      <c r="H111" s="791"/>
    </row>
    <row r="112" spans="1:10" ht="13.5">
      <c r="B112" s="814"/>
      <c r="C112" s="982"/>
      <c r="D112" s="982"/>
      <c r="E112" s="982"/>
      <c r="F112" s="791"/>
      <c r="G112" s="791"/>
      <c r="H112" s="791"/>
    </row>
    <row r="113" spans="2:8" ht="13.5">
      <c r="B113" s="814"/>
      <c r="C113" s="982"/>
      <c r="D113" s="982"/>
      <c r="E113" s="982"/>
      <c r="F113" s="791"/>
      <c r="G113" s="791"/>
      <c r="H113" s="791"/>
    </row>
    <row r="114" spans="2:8" ht="13.5">
      <c r="B114" s="818" t="s">
        <v>63</v>
      </c>
      <c r="C114" s="982"/>
      <c r="D114" s="982"/>
      <c r="E114" s="982"/>
      <c r="F114" s="791"/>
      <c r="G114" s="791"/>
      <c r="H114" s="791"/>
    </row>
    <row r="115" spans="2:8" ht="13.5">
      <c r="B115" s="818" t="s">
        <v>64</v>
      </c>
      <c r="C115" s="982"/>
      <c r="D115" s="982"/>
      <c r="E115" s="982"/>
      <c r="F115" s="791"/>
      <c r="G115" s="791"/>
      <c r="H115" s="791"/>
    </row>
    <row r="116" spans="2:8" ht="13.5">
      <c r="B116" s="900" t="s">
        <v>65</v>
      </c>
      <c r="C116" s="982"/>
      <c r="D116" s="982"/>
      <c r="E116" s="982"/>
      <c r="F116" s="791"/>
      <c r="G116" s="791"/>
      <c r="H116" s="791"/>
    </row>
    <row r="117" spans="2:8">
      <c r="B117" s="758"/>
      <c r="C117" s="758"/>
      <c r="D117" s="758"/>
      <c r="E117" s="758"/>
      <c r="F117" s="156"/>
      <c r="G117" s="156"/>
      <c r="H117" s="156"/>
    </row>
  </sheetData>
  <mergeCells count="2">
    <mergeCell ref="B73:G73"/>
    <mergeCell ref="B106:D106"/>
  </mergeCells>
  <phoneticPr fontId="98" type="noConversion"/>
  <pageMargins left="0.7" right="0.7" top="0.75" bottom="0.75" header="0.3" footer="0.3"/>
  <pageSetup paperSize="9" scale="77" orientation="portrait" r:id="rId1"/>
  <colBreaks count="1" manualBreakCount="1">
    <brk id="8"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4"/>
  <dimension ref="A2:J109"/>
  <sheetViews>
    <sheetView topLeftCell="A4" zoomScaleNormal="100" workbookViewId="0">
      <selection activeCell="C7" sqref="C7"/>
    </sheetView>
  </sheetViews>
  <sheetFormatPr defaultColWidth="9.140625" defaultRowHeight="12.75"/>
  <cols>
    <col min="1" max="1" width="4.5703125" customWidth="1"/>
    <col min="2" max="2" width="24.28515625" bestFit="1" customWidth="1"/>
    <col min="3" max="3" width="27.85546875" customWidth="1"/>
    <col min="4" max="6" width="11.42578125" customWidth="1"/>
    <col min="7" max="7" width="15.42578125" bestFit="1" customWidth="1"/>
    <col min="8" max="8" width="11.42578125" customWidth="1"/>
    <col min="9" max="9" width="19.42578125" customWidth="1"/>
    <col min="10" max="10" width="11.7109375" bestFit="1" customWidth="1"/>
    <col min="11" max="255" width="11.42578125" customWidth="1"/>
  </cols>
  <sheetData>
    <row r="2" spans="2:10">
      <c r="B2" s="501" t="s">
        <v>121</v>
      </c>
      <c r="C2" s="187" t="s">
        <v>137</v>
      </c>
    </row>
    <row r="3" spans="2:10">
      <c r="B3" s="3" t="s">
        <v>67</v>
      </c>
      <c r="C3" s="88">
        <v>30787453</v>
      </c>
      <c r="F3" s="8"/>
    </row>
    <row r="4" spans="2:10">
      <c r="B4" s="3" t="s">
        <v>124</v>
      </c>
      <c r="C4" s="19" t="s">
        <v>138</v>
      </c>
      <c r="F4" s="8"/>
    </row>
    <row r="5" spans="2:10">
      <c r="B5" s="3" t="s">
        <v>4</v>
      </c>
      <c r="C5" s="16">
        <v>42164</v>
      </c>
      <c r="F5" s="8"/>
    </row>
    <row r="6" spans="2:10" ht="25.5">
      <c r="B6" s="64" t="s">
        <v>139</v>
      </c>
      <c r="C6" s="88">
        <v>4804800</v>
      </c>
      <c r="F6" s="8"/>
    </row>
    <row r="7" spans="2:10" ht="38.25">
      <c r="B7" s="64" t="s">
        <v>140</v>
      </c>
      <c r="C7" s="346" t="s">
        <v>141</v>
      </c>
      <c r="F7" s="8"/>
    </row>
    <row r="8" spans="2:10">
      <c r="B8" s="90"/>
    </row>
    <row r="9" spans="2:10">
      <c r="B9" s="90"/>
    </row>
    <row r="10" spans="2:10">
      <c r="B10" s="3" t="s">
        <v>142</v>
      </c>
      <c r="C10" s="2"/>
      <c r="D10" s="2"/>
      <c r="E10" s="2"/>
    </row>
    <row r="11" spans="2:10">
      <c r="B11" s="2" t="s">
        <v>143</v>
      </c>
      <c r="C11" s="522">
        <f>+C3+C6</f>
        <v>35592253</v>
      </c>
      <c r="D11" s="2"/>
      <c r="E11" s="2"/>
      <c r="F11" s="15"/>
    </row>
    <row r="12" spans="2:10" ht="25.5">
      <c r="B12" s="2"/>
      <c r="C12" s="2"/>
      <c r="D12" s="187" t="s">
        <v>144</v>
      </c>
      <c r="E12" s="2">
        <v>85.21</v>
      </c>
    </row>
    <row r="13" spans="2:10" ht="25.5">
      <c r="B13" s="2" t="s">
        <v>145</v>
      </c>
      <c r="C13" s="522">
        <f>+C11*E14</f>
        <v>55976668.108711697</v>
      </c>
      <c r="D13" s="187" t="s">
        <v>146</v>
      </c>
      <c r="E13" s="6">
        <v>54.18</v>
      </c>
    </row>
    <row r="14" spans="2:10">
      <c r="B14" s="3"/>
      <c r="C14" s="9"/>
      <c r="D14" s="2" t="s">
        <v>76</v>
      </c>
      <c r="E14" s="2">
        <f>+E12/E13</f>
        <v>1.572720561092654</v>
      </c>
      <c r="G14" s="53"/>
      <c r="H14" s="53"/>
      <c r="I14" s="53"/>
      <c r="J14" s="53"/>
    </row>
    <row r="17" spans="1:9">
      <c r="B17" s="2557" t="s">
        <v>59</v>
      </c>
      <c r="C17" s="2557"/>
      <c r="D17" s="2557"/>
      <c r="E17" s="2557"/>
      <c r="F17" s="2557"/>
      <c r="G17" s="2557"/>
      <c r="H17" s="2557"/>
      <c r="I17" s="2557"/>
    </row>
    <row r="18" spans="1:9" ht="26.25" customHeight="1">
      <c r="B18" s="57" t="s">
        <v>147</v>
      </c>
      <c r="C18" s="57" t="s">
        <v>40</v>
      </c>
      <c r="D18" s="3" t="s">
        <v>148</v>
      </c>
      <c r="E18" s="33" t="s">
        <v>149</v>
      </c>
      <c r="F18" s="17" t="s">
        <v>43</v>
      </c>
      <c r="G18" s="17" t="s">
        <v>129</v>
      </c>
      <c r="H18" s="65" t="s">
        <v>47</v>
      </c>
      <c r="I18" s="17" t="s">
        <v>48</v>
      </c>
    </row>
    <row r="19" spans="1:9">
      <c r="A19">
        <v>1</v>
      </c>
      <c r="B19" s="16">
        <v>42165</v>
      </c>
      <c r="C19" s="16">
        <v>42185</v>
      </c>
      <c r="D19" s="18">
        <v>0.19370000000000001</v>
      </c>
      <c r="E19" s="18">
        <f>+D19*1.5</f>
        <v>0.29055000000000003</v>
      </c>
      <c r="F19" s="453">
        <f>((1+E19)^(1/365)-1)</f>
        <v>6.9906199467517638E-4</v>
      </c>
      <c r="G19" s="69">
        <f t="shared" ref="G19:G25" si="0">+$C$13</f>
        <v>55976668.108711697</v>
      </c>
      <c r="H19" s="26">
        <f>+_xlfn.DAYS(C19,B19)+1</f>
        <v>21</v>
      </c>
      <c r="I19" s="427">
        <f t="shared" ref="I19:I25" si="1">(F19*G19)*H19</f>
        <v>821754.3865302729</v>
      </c>
    </row>
    <row r="20" spans="1:9">
      <c r="A20">
        <v>2</v>
      </c>
      <c r="B20" s="16">
        <v>42186</v>
      </c>
      <c r="C20" s="16">
        <v>42216</v>
      </c>
      <c r="D20" s="18">
        <v>0.19259999999999999</v>
      </c>
      <c r="E20" s="18">
        <f t="shared" ref="E20:E25" si="2">+D20*1.5</f>
        <v>0.28889999999999999</v>
      </c>
      <c r="F20" s="453">
        <f t="shared" ref="F20:F25" si="3">((1+E20)^(1/365)-1)</f>
        <v>6.9555450216518544E-4</v>
      </c>
      <c r="G20" s="69">
        <f t="shared" si="0"/>
        <v>55976668.108711697</v>
      </c>
      <c r="H20" s="26">
        <f t="shared" ref="H20:H25" si="4">+_xlfn.DAYS(C20,B20)+1</f>
        <v>31</v>
      </c>
      <c r="I20" s="427">
        <f t="shared" si="1"/>
        <v>1206979.5290958441</v>
      </c>
    </row>
    <row r="21" spans="1:9">
      <c r="A21">
        <v>3</v>
      </c>
      <c r="B21" s="16">
        <v>42217</v>
      </c>
      <c r="C21" s="16">
        <v>42247</v>
      </c>
      <c r="D21" s="18">
        <v>0.19259999999999999</v>
      </c>
      <c r="E21" s="18">
        <f t="shared" si="2"/>
        <v>0.28889999999999999</v>
      </c>
      <c r="F21" s="453">
        <f t="shared" si="3"/>
        <v>6.9555450216518544E-4</v>
      </c>
      <c r="G21" s="69">
        <f t="shared" si="0"/>
        <v>55976668.108711697</v>
      </c>
      <c r="H21" s="26">
        <f t="shared" si="4"/>
        <v>31</v>
      </c>
      <c r="I21" s="427">
        <f t="shared" si="1"/>
        <v>1206979.5290958441</v>
      </c>
    </row>
    <row r="22" spans="1:9">
      <c r="A22">
        <v>4</v>
      </c>
      <c r="B22" s="16">
        <v>42248</v>
      </c>
      <c r="C22" s="16">
        <v>42277</v>
      </c>
      <c r="D22" s="18">
        <v>0.19259999999999999</v>
      </c>
      <c r="E22" s="18">
        <f t="shared" si="2"/>
        <v>0.28889999999999999</v>
      </c>
      <c r="F22" s="453">
        <f t="shared" si="3"/>
        <v>6.9555450216518544E-4</v>
      </c>
      <c r="G22" s="69">
        <f t="shared" si="0"/>
        <v>55976668.108711697</v>
      </c>
      <c r="H22" s="26">
        <f t="shared" si="4"/>
        <v>30</v>
      </c>
      <c r="I22" s="427">
        <f t="shared" si="1"/>
        <v>1168044.7055766233</v>
      </c>
    </row>
    <row r="23" spans="1:9">
      <c r="A23">
        <v>5</v>
      </c>
      <c r="B23" s="16">
        <v>42278</v>
      </c>
      <c r="C23" s="16">
        <v>42308</v>
      </c>
      <c r="D23" s="18">
        <v>0.1933</v>
      </c>
      <c r="E23" s="18">
        <f t="shared" si="2"/>
        <v>0.28994999999999999</v>
      </c>
      <c r="F23" s="453">
        <f t="shared" si="3"/>
        <v>6.9778706056067286E-4</v>
      </c>
      <c r="G23" s="69">
        <f t="shared" si="0"/>
        <v>55976668.108711697</v>
      </c>
      <c r="H23" s="26">
        <f t="shared" si="4"/>
        <v>31</v>
      </c>
      <c r="I23" s="427">
        <f t="shared" si="1"/>
        <v>1210853.6356863072</v>
      </c>
    </row>
    <row r="24" spans="1:9">
      <c r="A24">
        <v>6</v>
      </c>
      <c r="B24" s="16">
        <v>42309</v>
      </c>
      <c r="C24" s="16">
        <v>42338</v>
      </c>
      <c r="D24" s="18">
        <v>0.1933</v>
      </c>
      <c r="E24" s="18">
        <f t="shared" si="2"/>
        <v>0.28994999999999999</v>
      </c>
      <c r="F24" s="453">
        <f t="shared" si="3"/>
        <v>6.9778706056067286E-4</v>
      </c>
      <c r="G24" s="69">
        <f t="shared" si="0"/>
        <v>55976668.108711697</v>
      </c>
      <c r="H24" s="26">
        <f t="shared" si="4"/>
        <v>30</v>
      </c>
      <c r="I24" s="427">
        <f t="shared" si="1"/>
        <v>1171793.8409867489</v>
      </c>
    </row>
    <row r="25" spans="1:9" ht="13.5" thickBot="1">
      <c r="A25">
        <v>7</v>
      </c>
      <c r="B25" s="385">
        <v>42339</v>
      </c>
      <c r="C25" s="385">
        <v>42347</v>
      </c>
      <c r="D25" s="386">
        <v>0.1933</v>
      </c>
      <c r="E25" s="386">
        <f t="shared" si="2"/>
        <v>0.28994999999999999</v>
      </c>
      <c r="F25" s="453">
        <f t="shared" si="3"/>
        <v>6.9778706056067286E-4</v>
      </c>
      <c r="G25" s="426">
        <f t="shared" si="0"/>
        <v>55976668.108711697</v>
      </c>
      <c r="H25" s="26">
        <f t="shared" si="4"/>
        <v>9</v>
      </c>
      <c r="I25" s="500">
        <f t="shared" si="1"/>
        <v>351538.15229602467</v>
      </c>
    </row>
    <row r="26" spans="1:9">
      <c r="A26">
        <v>8</v>
      </c>
      <c r="B26" s="98">
        <v>42370</v>
      </c>
      <c r="C26" s="98">
        <v>42400</v>
      </c>
      <c r="D26" s="382">
        <v>0.1968</v>
      </c>
      <c r="E26" s="34">
        <v>0</v>
      </c>
      <c r="F26" s="43">
        <v>0</v>
      </c>
      <c r="G26" s="383">
        <v>0</v>
      </c>
      <c r="H26" s="383">
        <v>0</v>
      </c>
      <c r="I26" s="384">
        <v>0</v>
      </c>
    </row>
    <row r="27" spans="1:9">
      <c r="A27">
        <v>9</v>
      </c>
      <c r="B27" s="16">
        <v>42401</v>
      </c>
      <c r="C27" s="16">
        <v>42429</v>
      </c>
      <c r="D27" s="18">
        <v>0.1968</v>
      </c>
      <c r="E27" s="34">
        <v>0</v>
      </c>
      <c r="F27" s="43">
        <v>0</v>
      </c>
      <c r="G27" s="383">
        <v>0</v>
      </c>
      <c r="H27" s="383">
        <v>0</v>
      </c>
      <c r="I27" s="384">
        <v>0</v>
      </c>
    </row>
    <row r="28" spans="1:9">
      <c r="A28">
        <v>10</v>
      </c>
      <c r="B28" s="16">
        <v>42430</v>
      </c>
      <c r="C28" s="16">
        <v>42460</v>
      </c>
      <c r="D28" s="18">
        <v>0.1968</v>
      </c>
      <c r="E28" s="34">
        <v>0</v>
      </c>
      <c r="F28" s="43">
        <v>0</v>
      </c>
      <c r="G28" s="383">
        <v>0</v>
      </c>
      <c r="H28" s="383">
        <v>0</v>
      </c>
      <c r="I28" s="384">
        <v>0</v>
      </c>
    </row>
    <row r="29" spans="1:9">
      <c r="A29">
        <v>11</v>
      </c>
      <c r="B29" s="16">
        <v>42461</v>
      </c>
      <c r="C29" s="16">
        <v>42490</v>
      </c>
      <c r="D29" s="18">
        <v>0.2054</v>
      </c>
      <c r="E29" s="34">
        <v>0</v>
      </c>
      <c r="F29" s="43">
        <v>0</v>
      </c>
      <c r="G29" s="383">
        <v>0</v>
      </c>
      <c r="H29" s="383">
        <v>0</v>
      </c>
      <c r="I29" s="384">
        <v>0</v>
      </c>
    </row>
    <row r="30" spans="1:9">
      <c r="A30">
        <v>12</v>
      </c>
      <c r="B30" s="16">
        <v>42491</v>
      </c>
      <c r="C30" s="16">
        <v>42521</v>
      </c>
      <c r="D30" s="18">
        <v>0.2054</v>
      </c>
      <c r="E30" s="34">
        <v>0</v>
      </c>
      <c r="F30" s="43">
        <v>0</v>
      </c>
      <c r="G30" s="383">
        <v>0</v>
      </c>
      <c r="H30" s="383">
        <v>0</v>
      </c>
      <c r="I30" s="384">
        <v>0</v>
      </c>
    </row>
    <row r="31" spans="1:9">
      <c r="A31">
        <v>13</v>
      </c>
      <c r="B31" s="16">
        <v>42522</v>
      </c>
      <c r="C31" s="16">
        <v>42551</v>
      </c>
      <c r="D31" s="18">
        <v>0.2054</v>
      </c>
      <c r="E31" s="34">
        <v>0</v>
      </c>
      <c r="F31" s="43">
        <v>0</v>
      </c>
      <c r="G31" s="383">
        <v>0</v>
      </c>
      <c r="H31" s="383">
        <v>0</v>
      </c>
      <c r="I31" s="384">
        <v>0</v>
      </c>
    </row>
    <row r="32" spans="1:9">
      <c r="A32">
        <v>14</v>
      </c>
      <c r="B32" s="16">
        <v>42552</v>
      </c>
      <c r="C32" s="16">
        <v>42582</v>
      </c>
      <c r="D32" s="18">
        <v>0.21340000000000001</v>
      </c>
      <c r="E32" s="34">
        <v>0</v>
      </c>
      <c r="F32" s="43">
        <v>0</v>
      </c>
      <c r="G32" s="383">
        <v>0</v>
      </c>
      <c r="H32" s="383">
        <v>0</v>
      </c>
      <c r="I32" s="384">
        <v>0</v>
      </c>
    </row>
    <row r="33" spans="1:9">
      <c r="A33">
        <v>15</v>
      </c>
      <c r="B33" s="16">
        <v>42583</v>
      </c>
      <c r="C33" s="16">
        <v>42613</v>
      </c>
      <c r="D33" s="18">
        <v>0.21340000000000001</v>
      </c>
      <c r="E33" s="34">
        <v>0</v>
      </c>
      <c r="F33" s="43">
        <v>0</v>
      </c>
      <c r="G33" s="383">
        <v>0</v>
      </c>
      <c r="H33" s="383">
        <v>0</v>
      </c>
      <c r="I33" s="384">
        <v>0</v>
      </c>
    </row>
    <row r="34" spans="1:9">
      <c r="A34">
        <v>16</v>
      </c>
      <c r="B34" s="16">
        <v>42614</v>
      </c>
      <c r="C34" s="16">
        <v>42643</v>
      </c>
      <c r="D34" s="18">
        <v>0.21340000000000001</v>
      </c>
      <c r="E34" s="34">
        <v>0</v>
      </c>
      <c r="F34" s="43">
        <v>0</v>
      </c>
      <c r="G34" s="383">
        <v>0</v>
      </c>
      <c r="H34" s="383">
        <v>0</v>
      </c>
      <c r="I34" s="384">
        <v>0</v>
      </c>
    </row>
    <row r="35" spans="1:9">
      <c r="A35">
        <v>17</v>
      </c>
      <c r="B35" s="16">
        <v>42644</v>
      </c>
      <c r="C35" s="16">
        <v>42674</v>
      </c>
      <c r="D35" s="18">
        <v>0.21990000000000001</v>
      </c>
      <c r="E35" s="34">
        <v>0</v>
      </c>
      <c r="F35" s="43">
        <v>0</v>
      </c>
      <c r="G35" s="383">
        <v>0</v>
      </c>
      <c r="H35" s="383">
        <v>0</v>
      </c>
      <c r="I35" s="384">
        <v>0</v>
      </c>
    </row>
    <row r="36" spans="1:9">
      <c r="A36">
        <v>18</v>
      </c>
      <c r="B36" s="16">
        <v>42675</v>
      </c>
      <c r="C36" s="16">
        <v>42704</v>
      </c>
      <c r="D36" s="18">
        <v>0.21990000000000001</v>
      </c>
      <c r="E36" s="34">
        <v>0</v>
      </c>
      <c r="F36" s="43">
        <v>0</v>
      </c>
      <c r="G36" s="383">
        <v>0</v>
      </c>
      <c r="H36" s="383">
        <v>0</v>
      </c>
      <c r="I36" s="384">
        <v>0</v>
      </c>
    </row>
    <row r="37" spans="1:9">
      <c r="A37">
        <v>19</v>
      </c>
      <c r="B37" s="16">
        <v>42705</v>
      </c>
      <c r="C37" s="16">
        <v>42735</v>
      </c>
      <c r="D37" s="18">
        <v>0.21990000000000001</v>
      </c>
      <c r="E37" s="34">
        <v>0</v>
      </c>
      <c r="F37" s="43">
        <v>0</v>
      </c>
      <c r="G37" s="383">
        <v>0</v>
      </c>
      <c r="H37" s="383">
        <v>0</v>
      </c>
      <c r="I37" s="384">
        <v>0</v>
      </c>
    </row>
    <row r="38" spans="1:9">
      <c r="A38">
        <v>20</v>
      </c>
      <c r="B38" s="16">
        <v>42736</v>
      </c>
      <c r="C38" s="16">
        <v>42766</v>
      </c>
      <c r="D38" s="18">
        <v>0.22339999999999999</v>
      </c>
      <c r="E38" s="34">
        <v>0</v>
      </c>
      <c r="F38" s="43">
        <v>0</v>
      </c>
      <c r="G38" s="383">
        <v>0</v>
      </c>
      <c r="H38" s="383">
        <v>0</v>
      </c>
      <c r="I38" s="384">
        <v>0</v>
      </c>
    </row>
    <row r="39" spans="1:9">
      <c r="A39">
        <v>21</v>
      </c>
      <c r="B39" s="16">
        <v>42767</v>
      </c>
      <c r="C39" s="16">
        <v>42794</v>
      </c>
      <c r="D39" s="18">
        <v>0.22339999999999999</v>
      </c>
      <c r="E39" s="34">
        <v>0</v>
      </c>
      <c r="F39" s="43">
        <v>0</v>
      </c>
      <c r="G39" s="383">
        <v>0</v>
      </c>
      <c r="H39" s="383">
        <v>0</v>
      </c>
      <c r="I39" s="384">
        <v>0</v>
      </c>
    </row>
    <row r="40" spans="1:9">
      <c r="A40">
        <v>22</v>
      </c>
      <c r="B40" s="16">
        <v>42795</v>
      </c>
      <c r="C40" s="16">
        <v>42825</v>
      </c>
      <c r="D40" s="18">
        <v>0.22339999999999999</v>
      </c>
      <c r="E40" s="34">
        <v>0</v>
      </c>
      <c r="F40" s="43">
        <v>0</v>
      </c>
      <c r="G40" s="383">
        <v>0</v>
      </c>
      <c r="H40" s="383">
        <v>0</v>
      </c>
      <c r="I40" s="384">
        <v>0</v>
      </c>
    </row>
    <row r="41" spans="1:9">
      <c r="A41">
        <v>23</v>
      </c>
      <c r="B41" s="16">
        <v>42826</v>
      </c>
      <c r="C41" s="16">
        <v>42855</v>
      </c>
      <c r="D41" s="18">
        <v>0.2233</v>
      </c>
      <c r="E41" s="34">
        <v>0</v>
      </c>
      <c r="F41" s="43">
        <v>0</v>
      </c>
      <c r="G41" s="383">
        <v>0</v>
      </c>
      <c r="H41" s="383">
        <v>0</v>
      </c>
      <c r="I41" s="384">
        <v>0</v>
      </c>
    </row>
    <row r="42" spans="1:9">
      <c r="A42">
        <v>24</v>
      </c>
      <c r="B42" s="16">
        <v>42856</v>
      </c>
      <c r="C42" s="16">
        <v>42886</v>
      </c>
      <c r="D42" s="18">
        <v>0.2233</v>
      </c>
      <c r="E42" s="34">
        <v>0</v>
      </c>
      <c r="F42" s="43">
        <v>0</v>
      </c>
      <c r="G42" s="383">
        <v>0</v>
      </c>
      <c r="H42" s="383">
        <v>0</v>
      </c>
      <c r="I42" s="384">
        <v>0</v>
      </c>
    </row>
    <row r="43" spans="1:9">
      <c r="A43">
        <v>25</v>
      </c>
      <c r="B43" s="16">
        <v>42887</v>
      </c>
      <c r="C43" s="16">
        <v>42916</v>
      </c>
      <c r="D43" s="18">
        <v>0.2233</v>
      </c>
      <c r="E43" s="34">
        <v>0</v>
      </c>
      <c r="F43" s="43">
        <v>0</v>
      </c>
      <c r="G43" s="383">
        <v>0</v>
      </c>
      <c r="H43" s="383">
        <v>0</v>
      </c>
      <c r="I43" s="384">
        <v>0</v>
      </c>
    </row>
    <row r="44" spans="1:9">
      <c r="A44">
        <v>26</v>
      </c>
      <c r="B44" s="16">
        <v>42917</v>
      </c>
      <c r="C44" s="16">
        <v>42947</v>
      </c>
      <c r="D44" s="18">
        <v>0.2198</v>
      </c>
      <c r="E44" s="34">
        <v>0</v>
      </c>
      <c r="F44" s="43">
        <v>0</v>
      </c>
      <c r="G44" s="383">
        <v>0</v>
      </c>
      <c r="H44" s="383">
        <v>0</v>
      </c>
      <c r="I44" s="384">
        <v>0</v>
      </c>
    </row>
    <row r="45" spans="1:9">
      <c r="A45">
        <v>27</v>
      </c>
      <c r="B45" s="16">
        <v>42948</v>
      </c>
      <c r="C45" s="16">
        <v>42978</v>
      </c>
      <c r="D45" s="18">
        <v>0.2198</v>
      </c>
      <c r="E45" s="34">
        <v>0</v>
      </c>
      <c r="F45" s="43">
        <v>0</v>
      </c>
      <c r="G45" s="383">
        <v>0</v>
      </c>
      <c r="H45" s="383">
        <v>0</v>
      </c>
      <c r="I45" s="384">
        <v>0</v>
      </c>
    </row>
    <row r="46" spans="1:9">
      <c r="A46">
        <v>28</v>
      </c>
      <c r="B46" s="16">
        <v>42979</v>
      </c>
      <c r="C46" s="16">
        <v>43008</v>
      </c>
      <c r="D46" s="18">
        <v>0.21479999999999999</v>
      </c>
      <c r="E46" s="34">
        <v>0</v>
      </c>
      <c r="F46" s="43">
        <v>0</v>
      </c>
      <c r="G46" s="383">
        <v>0</v>
      </c>
      <c r="H46" s="383">
        <v>0</v>
      </c>
      <c r="I46" s="384">
        <v>0</v>
      </c>
    </row>
    <row r="47" spans="1:9">
      <c r="A47">
        <v>29</v>
      </c>
      <c r="B47" s="16">
        <v>43009</v>
      </c>
      <c r="C47" s="16">
        <v>43039</v>
      </c>
      <c r="D47" s="18">
        <v>0.21149999999999999</v>
      </c>
      <c r="E47" s="34">
        <v>0</v>
      </c>
      <c r="F47" s="43">
        <v>0</v>
      </c>
      <c r="G47" s="383">
        <v>0</v>
      </c>
      <c r="H47" s="383">
        <v>0</v>
      </c>
      <c r="I47" s="384">
        <v>0</v>
      </c>
    </row>
    <row r="48" spans="1:9">
      <c r="A48">
        <v>30</v>
      </c>
      <c r="B48" s="16">
        <v>43040</v>
      </c>
      <c r="C48" s="16">
        <v>43069</v>
      </c>
      <c r="D48" s="18">
        <v>0.20960000000000001</v>
      </c>
      <c r="E48" s="34">
        <v>0</v>
      </c>
      <c r="F48" s="43">
        <v>0</v>
      </c>
      <c r="G48" s="383">
        <v>0</v>
      </c>
      <c r="H48" s="383">
        <v>0</v>
      </c>
      <c r="I48" s="384">
        <v>0</v>
      </c>
    </row>
    <row r="49" spans="1:9">
      <c r="A49">
        <v>31</v>
      </c>
      <c r="B49" s="16">
        <v>43070</v>
      </c>
      <c r="C49" s="16">
        <v>43100</v>
      </c>
      <c r="D49" s="18">
        <v>0.2077</v>
      </c>
      <c r="E49" s="34">
        <v>0</v>
      </c>
      <c r="F49" s="43">
        <v>0</v>
      </c>
      <c r="G49" s="383">
        <v>0</v>
      </c>
      <c r="H49" s="383">
        <v>0</v>
      </c>
      <c r="I49" s="384">
        <v>0</v>
      </c>
    </row>
    <row r="50" spans="1:9">
      <c r="A50">
        <v>32</v>
      </c>
      <c r="B50" s="16">
        <v>43101</v>
      </c>
      <c r="C50" s="16">
        <v>43131</v>
      </c>
      <c r="D50" s="18">
        <v>0.2069</v>
      </c>
      <c r="E50" s="34">
        <v>0</v>
      </c>
      <c r="F50" s="43">
        <v>0</v>
      </c>
      <c r="G50" s="383">
        <v>0</v>
      </c>
      <c r="H50" s="383">
        <v>0</v>
      </c>
      <c r="I50" s="384">
        <v>0</v>
      </c>
    </row>
    <row r="51" spans="1:9">
      <c r="A51">
        <v>33</v>
      </c>
      <c r="B51" s="16">
        <v>43132</v>
      </c>
      <c r="C51" s="16">
        <v>43159</v>
      </c>
      <c r="D51" s="18">
        <v>0.21010000000000001</v>
      </c>
      <c r="E51" s="34">
        <v>0</v>
      </c>
      <c r="F51" s="43">
        <v>0</v>
      </c>
      <c r="G51" s="383">
        <v>0</v>
      </c>
      <c r="H51" s="383">
        <v>0</v>
      </c>
      <c r="I51" s="384">
        <v>0</v>
      </c>
    </row>
    <row r="52" spans="1:9">
      <c r="A52">
        <v>34</v>
      </c>
      <c r="B52" s="16">
        <v>43160</v>
      </c>
      <c r="C52" s="16">
        <v>43190</v>
      </c>
      <c r="D52" s="18">
        <v>0.20680000000000001</v>
      </c>
      <c r="E52" s="34">
        <v>0</v>
      </c>
      <c r="F52" s="43">
        <v>0</v>
      </c>
      <c r="G52" s="383">
        <v>0</v>
      </c>
      <c r="H52" s="383">
        <v>0</v>
      </c>
      <c r="I52" s="384">
        <v>0</v>
      </c>
    </row>
    <row r="53" spans="1:9">
      <c r="A53">
        <v>35</v>
      </c>
      <c r="B53" s="16">
        <v>43191</v>
      </c>
      <c r="C53" s="16">
        <v>43220</v>
      </c>
      <c r="D53" s="18">
        <v>0.20480000000000001</v>
      </c>
      <c r="E53" s="34">
        <v>0</v>
      </c>
      <c r="F53" s="43">
        <v>0</v>
      </c>
      <c r="G53" s="383">
        <v>0</v>
      </c>
      <c r="H53" s="383">
        <v>0</v>
      </c>
      <c r="I53" s="384">
        <v>0</v>
      </c>
    </row>
    <row r="54" spans="1:9">
      <c r="A54">
        <v>36</v>
      </c>
      <c r="B54" s="16">
        <v>43221</v>
      </c>
      <c r="C54" s="16">
        <v>43251</v>
      </c>
      <c r="D54" s="18">
        <v>0.2044</v>
      </c>
      <c r="E54" s="34">
        <v>0</v>
      </c>
      <c r="F54" s="43">
        <v>0</v>
      </c>
      <c r="G54" s="383">
        <v>0</v>
      </c>
      <c r="H54" s="383">
        <v>0</v>
      </c>
      <c r="I54" s="384">
        <v>0</v>
      </c>
    </row>
    <row r="55" spans="1:9">
      <c r="A55">
        <v>37</v>
      </c>
      <c r="B55" s="16">
        <v>43252</v>
      </c>
      <c r="C55" s="16">
        <v>43281</v>
      </c>
      <c r="D55" s="18">
        <v>0.20280000000000001</v>
      </c>
      <c r="E55" s="34">
        <v>0</v>
      </c>
      <c r="F55" s="43">
        <v>0</v>
      </c>
      <c r="G55" s="383">
        <v>0</v>
      </c>
      <c r="H55" s="383">
        <v>0</v>
      </c>
      <c r="I55" s="384">
        <v>0</v>
      </c>
    </row>
    <row r="56" spans="1:9">
      <c r="A56">
        <v>38</v>
      </c>
      <c r="B56" s="16">
        <v>43282</v>
      </c>
      <c r="C56" s="16">
        <v>43312</v>
      </c>
      <c r="D56" s="18">
        <v>0.20030000000000001</v>
      </c>
      <c r="E56" s="34">
        <v>0</v>
      </c>
      <c r="F56" s="43">
        <v>0</v>
      </c>
      <c r="G56" s="383">
        <v>0</v>
      </c>
      <c r="H56" s="383">
        <v>0</v>
      </c>
      <c r="I56" s="384">
        <v>0</v>
      </c>
    </row>
    <row r="57" spans="1:9">
      <c r="A57">
        <v>39</v>
      </c>
      <c r="B57" s="16">
        <v>43313</v>
      </c>
      <c r="C57" s="16">
        <v>43343</v>
      </c>
      <c r="D57" s="18">
        <v>0.19939999999999999</v>
      </c>
      <c r="E57" s="34">
        <v>0</v>
      </c>
      <c r="F57" s="43">
        <v>0</v>
      </c>
      <c r="G57" s="383">
        <v>0</v>
      </c>
      <c r="H57" s="383">
        <v>0</v>
      </c>
      <c r="I57" s="384">
        <v>0</v>
      </c>
    </row>
    <row r="58" spans="1:9">
      <c r="A58">
        <v>40</v>
      </c>
      <c r="B58" s="16">
        <v>43344</v>
      </c>
      <c r="C58" s="16">
        <v>43373</v>
      </c>
      <c r="D58" s="18">
        <v>0.1981</v>
      </c>
      <c r="E58" s="34">
        <v>0</v>
      </c>
      <c r="F58" s="43">
        <v>0</v>
      </c>
      <c r="G58" s="383">
        <v>0</v>
      </c>
      <c r="H58" s="383">
        <v>0</v>
      </c>
      <c r="I58" s="384">
        <v>0</v>
      </c>
    </row>
    <row r="59" spans="1:9">
      <c r="A59">
        <v>41</v>
      </c>
      <c r="B59" s="16">
        <v>43374</v>
      </c>
      <c r="C59" s="16">
        <v>43404</v>
      </c>
      <c r="D59" s="18">
        <v>0.1963</v>
      </c>
      <c r="E59" s="34">
        <v>0</v>
      </c>
      <c r="F59" s="43">
        <v>0</v>
      </c>
      <c r="G59" s="383">
        <v>0</v>
      </c>
      <c r="H59" s="383">
        <v>0</v>
      </c>
      <c r="I59" s="384">
        <v>0</v>
      </c>
    </row>
    <row r="60" spans="1:9">
      <c r="A60">
        <v>42</v>
      </c>
      <c r="B60" s="16">
        <v>43405</v>
      </c>
      <c r="C60" s="16">
        <v>43434</v>
      </c>
      <c r="D60" s="18">
        <v>0.19489999999999999</v>
      </c>
      <c r="E60" s="34">
        <v>0</v>
      </c>
      <c r="F60" s="43">
        <v>0</v>
      </c>
      <c r="G60" s="383">
        <v>0</v>
      </c>
      <c r="H60" s="383">
        <v>0</v>
      </c>
      <c r="I60" s="384">
        <v>0</v>
      </c>
    </row>
    <row r="61" spans="1:9">
      <c r="A61">
        <v>43</v>
      </c>
      <c r="B61" s="16">
        <v>43435</v>
      </c>
      <c r="C61" s="16">
        <v>43465</v>
      </c>
      <c r="D61" s="18">
        <v>0.19400000000000001</v>
      </c>
      <c r="E61" s="34">
        <v>0</v>
      </c>
      <c r="F61" s="43">
        <v>0</v>
      </c>
      <c r="G61" s="383">
        <v>0</v>
      </c>
      <c r="H61" s="383">
        <v>0</v>
      </c>
      <c r="I61" s="384">
        <v>0</v>
      </c>
    </row>
    <row r="62" spans="1:9">
      <c r="A62">
        <v>44</v>
      </c>
      <c r="B62" s="16">
        <v>43466</v>
      </c>
      <c r="C62" s="16">
        <v>43496</v>
      </c>
      <c r="D62" s="18">
        <v>0.19159999999999999</v>
      </c>
      <c r="E62" s="34">
        <v>0</v>
      </c>
      <c r="F62" s="43">
        <v>0</v>
      </c>
      <c r="G62" s="383">
        <v>0</v>
      </c>
      <c r="H62" s="383">
        <v>0</v>
      </c>
      <c r="I62" s="384">
        <v>0</v>
      </c>
    </row>
    <row r="63" spans="1:9">
      <c r="A63">
        <v>45</v>
      </c>
      <c r="B63" s="16">
        <v>43497</v>
      </c>
      <c r="C63" s="16">
        <v>43524</v>
      </c>
      <c r="D63" s="18">
        <v>0.19700000000000001</v>
      </c>
      <c r="E63" s="34">
        <v>0</v>
      </c>
      <c r="F63" s="43">
        <v>0</v>
      </c>
      <c r="G63" s="383">
        <v>0</v>
      </c>
      <c r="H63" s="383">
        <v>0</v>
      </c>
      <c r="I63" s="384">
        <v>0</v>
      </c>
    </row>
    <row r="64" spans="1:9">
      <c r="A64">
        <v>46</v>
      </c>
      <c r="B64" s="16">
        <v>43525</v>
      </c>
      <c r="C64" s="16">
        <v>43555</v>
      </c>
      <c r="D64" s="18">
        <v>0.19370000000000001</v>
      </c>
      <c r="E64" s="34">
        <v>0</v>
      </c>
      <c r="F64" s="43">
        <v>0</v>
      </c>
      <c r="G64" s="383">
        <v>0</v>
      </c>
      <c r="H64" s="383">
        <v>0</v>
      </c>
      <c r="I64" s="384">
        <v>0</v>
      </c>
    </row>
    <row r="65" spans="1:9">
      <c r="A65">
        <v>47</v>
      </c>
      <c r="B65" s="16">
        <v>43556</v>
      </c>
      <c r="C65" s="16">
        <v>43585</v>
      </c>
      <c r="D65" s="18">
        <v>0.19320000000000001</v>
      </c>
      <c r="E65" s="34">
        <v>0</v>
      </c>
      <c r="F65" s="43">
        <v>0</v>
      </c>
      <c r="G65" s="383">
        <v>0</v>
      </c>
      <c r="H65" s="383">
        <v>0</v>
      </c>
      <c r="I65" s="384">
        <v>0</v>
      </c>
    </row>
    <row r="66" spans="1:9">
      <c r="A66">
        <v>48</v>
      </c>
      <c r="B66" s="16">
        <v>43586</v>
      </c>
      <c r="C66" s="16">
        <v>43616</v>
      </c>
      <c r="D66" s="18">
        <v>0.19339999999999999</v>
      </c>
      <c r="E66" s="34">
        <v>0</v>
      </c>
      <c r="F66" s="43">
        <v>0</v>
      </c>
      <c r="G66" s="383">
        <v>0</v>
      </c>
      <c r="H66" s="383">
        <v>0</v>
      </c>
      <c r="I66" s="384">
        <v>0</v>
      </c>
    </row>
    <row r="67" spans="1:9">
      <c r="A67">
        <v>49</v>
      </c>
      <c r="B67" s="16">
        <v>43617</v>
      </c>
      <c r="C67" s="16">
        <v>43646</v>
      </c>
      <c r="D67" s="18">
        <v>0.193</v>
      </c>
      <c r="E67" s="34">
        <v>0</v>
      </c>
      <c r="F67" s="43">
        <v>0</v>
      </c>
      <c r="G67" s="383">
        <v>0</v>
      </c>
      <c r="H67" s="383">
        <v>0</v>
      </c>
      <c r="I67" s="384">
        <v>0</v>
      </c>
    </row>
    <row r="68" spans="1:9">
      <c r="A68">
        <v>50</v>
      </c>
      <c r="B68" s="16">
        <v>43647</v>
      </c>
      <c r="C68" s="16">
        <v>43677</v>
      </c>
      <c r="D68" s="18">
        <v>0.1928</v>
      </c>
      <c r="E68" s="34">
        <v>0</v>
      </c>
      <c r="F68" s="43">
        <v>0</v>
      </c>
      <c r="G68" s="383">
        <v>0</v>
      </c>
      <c r="H68" s="383">
        <v>0</v>
      </c>
      <c r="I68" s="384">
        <v>0</v>
      </c>
    </row>
    <row r="69" spans="1:9">
      <c r="A69">
        <v>51</v>
      </c>
      <c r="B69" s="16">
        <v>43678</v>
      </c>
      <c r="C69" s="16">
        <v>43708</v>
      </c>
      <c r="D69" s="18">
        <v>0.19320000000000001</v>
      </c>
      <c r="E69" s="34">
        <v>0</v>
      </c>
      <c r="F69" s="43">
        <v>0</v>
      </c>
      <c r="G69" s="383">
        <v>0</v>
      </c>
      <c r="H69" s="383">
        <v>0</v>
      </c>
      <c r="I69" s="384">
        <v>0</v>
      </c>
    </row>
    <row r="70" spans="1:9">
      <c r="A70">
        <v>52</v>
      </c>
      <c r="B70" s="16">
        <v>43709</v>
      </c>
      <c r="C70" s="16">
        <v>43738</v>
      </c>
      <c r="D70" s="18">
        <v>0.19320000000000001</v>
      </c>
      <c r="E70" s="34">
        <v>0</v>
      </c>
      <c r="F70" s="43">
        <v>0</v>
      </c>
      <c r="G70" s="383">
        <v>0</v>
      </c>
      <c r="H70" s="383">
        <v>0</v>
      </c>
      <c r="I70" s="384">
        <v>0</v>
      </c>
    </row>
    <row r="71" spans="1:9">
      <c r="A71">
        <v>53</v>
      </c>
      <c r="B71" s="16">
        <v>43739</v>
      </c>
      <c r="C71" s="16">
        <v>43769</v>
      </c>
      <c r="D71" s="18">
        <v>0.191</v>
      </c>
      <c r="E71" s="34">
        <v>0</v>
      </c>
      <c r="F71" s="43">
        <v>0</v>
      </c>
      <c r="G71" s="383">
        <v>0</v>
      </c>
      <c r="H71" s="383">
        <v>0</v>
      </c>
      <c r="I71" s="384">
        <v>0</v>
      </c>
    </row>
    <row r="72" spans="1:9">
      <c r="A72">
        <v>54</v>
      </c>
      <c r="B72" s="16">
        <v>43770</v>
      </c>
      <c r="C72" s="16">
        <v>43799</v>
      </c>
      <c r="D72" s="18">
        <v>0.1903</v>
      </c>
      <c r="E72" s="34">
        <v>0</v>
      </c>
      <c r="F72" s="43">
        <v>0</v>
      </c>
      <c r="G72" s="383">
        <v>0</v>
      </c>
      <c r="H72" s="383">
        <v>0</v>
      </c>
      <c r="I72" s="384">
        <v>0</v>
      </c>
    </row>
    <row r="73" spans="1:9">
      <c r="A73">
        <v>55</v>
      </c>
      <c r="B73" s="16">
        <v>43808</v>
      </c>
      <c r="C73" s="16">
        <v>43830</v>
      </c>
      <c r="D73" s="18">
        <v>0.18909999999999999</v>
      </c>
      <c r="E73" s="34">
        <v>0</v>
      </c>
      <c r="F73" s="43">
        <v>0</v>
      </c>
      <c r="G73" s="383">
        <v>0</v>
      </c>
      <c r="H73" s="383">
        <v>0</v>
      </c>
      <c r="I73" s="384">
        <v>0</v>
      </c>
    </row>
    <row r="74" spans="1:9">
      <c r="A74">
        <v>56</v>
      </c>
      <c r="B74" s="16">
        <v>43831</v>
      </c>
      <c r="C74" s="16">
        <v>43861</v>
      </c>
      <c r="D74" s="18">
        <v>0.18770000000000001</v>
      </c>
      <c r="E74" s="34">
        <v>0</v>
      </c>
      <c r="F74" s="43">
        <v>0</v>
      </c>
      <c r="G74" s="383">
        <v>0</v>
      </c>
      <c r="H74" s="383">
        <v>0</v>
      </c>
      <c r="I74" s="384">
        <v>0</v>
      </c>
    </row>
    <row r="75" spans="1:9">
      <c r="A75">
        <v>57</v>
      </c>
      <c r="B75" s="16">
        <v>43862</v>
      </c>
      <c r="C75" s="16">
        <v>43890</v>
      </c>
      <c r="D75" s="18">
        <v>0.19059999999999999</v>
      </c>
      <c r="E75" s="34">
        <v>0</v>
      </c>
      <c r="F75" s="43">
        <v>0</v>
      </c>
      <c r="G75" s="383">
        <v>0</v>
      </c>
      <c r="H75" s="383">
        <v>0</v>
      </c>
      <c r="I75" s="384">
        <v>0</v>
      </c>
    </row>
    <row r="76" spans="1:9">
      <c r="A76">
        <v>58</v>
      </c>
      <c r="B76" s="16">
        <v>43891</v>
      </c>
      <c r="C76" s="16">
        <v>43921</v>
      </c>
      <c r="D76" s="18">
        <v>0.1895</v>
      </c>
      <c r="E76" s="34">
        <v>0</v>
      </c>
      <c r="F76" s="43">
        <v>0</v>
      </c>
      <c r="G76" s="383">
        <v>0</v>
      </c>
      <c r="H76" s="383">
        <v>0</v>
      </c>
      <c r="I76" s="384">
        <v>0</v>
      </c>
    </row>
    <row r="77" spans="1:9">
      <c r="A77">
        <v>59</v>
      </c>
      <c r="B77" s="16">
        <v>43922</v>
      </c>
      <c r="C77" s="16">
        <v>43951</v>
      </c>
      <c r="D77" s="18">
        <v>0.18690000000000001</v>
      </c>
      <c r="E77" s="34">
        <v>0</v>
      </c>
      <c r="F77" s="43">
        <v>0</v>
      </c>
      <c r="G77" s="383">
        <v>0</v>
      </c>
      <c r="H77" s="383">
        <v>0</v>
      </c>
      <c r="I77" s="384">
        <v>0</v>
      </c>
    </row>
    <row r="78" spans="1:9">
      <c r="A78">
        <v>60</v>
      </c>
      <c r="B78" s="16">
        <v>43952</v>
      </c>
      <c r="C78" s="16">
        <v>43982</v>
      </c>
      <c r="D78" s="18">
        <v>0.18190000000000001</v>
      </c>
      <c r="E78" s="34">
        <v>0</v>
      </c>
      <c r="F78" s="43">
        <v>0</v>
      </c>
      <c r="G78" s="383">
        <v>0</v>
      </c>
      <c r="H78" s="383">
        <v>0</v>
      </c>
      <c r="I78" s="384">
        <v>0</v>
      </c>
    </row>
    <row r="79" spans="1:9">
      <c r="A79">
        <v>61</v>
      </c>
      <c r="B79" s="16">
        <v>43983</v>
      </c>
      <c r="C79" s="16">
        <v>44012</v>
      </c>
      <c r="D79" s="18">
        <v>0.1812</v>
      </c>
      <c r="E79" s="34">
        <v>0</v>
      </c>
      <c r="F79" s="43">
        <v>0</v>
      </c>
      <c r="G79" s="383">
        <v>0</v>
      </c>
      <c r="H79" s="383">
        <v>0</v>
      </c>
      <c r="I79" s="384">
        <v>0</v>
      </c>
    </row>
    <row r="80" spans="1:9">
      <c r="A80">
        <v>62</v>
      </c>
      <c r="B80" s="16">
        <v>44013</v>
      </c>
      <c r="C80" s="16">
        <v>44043</v>
      </c>
      <c r="D80" s="18">
        <v>0.1812</v>
      </c>
      <c r="E80" s="34">
        <v>0</v>
      </c>
      <c r="F80" s="43">
        <v>0</v>
      </c>
      <c r="G80" s="383">
        <v>0</v>
      </c>
      <c r="H80" s="383">
        <v>0</v>
      </c>
      <c r="I80" s="384">
        <v>0</v>
      </c>
    </row>
    <row r="81" spans="1:9">
      <c r="A81">
        <v>63</v>
      </c>
      <c r="B81" s="16">
        <v>44044</v>
      </c>
      <c r="C81" s="16">
        <v>44074</v>
      </c>
      <c r="D81" s="18">
        <v>0.18290000000000001</v>
      </c>
      <c r="E81" s="34">
        <v>0</v>
      </c>
      <c r="F81" s="43">
        <v>0</v>
      </c>
      <c r="G81" s="383">
        <v>0</v>
      </c>
      <c r="H81" s="383">
        <v>0</v>
      </c>
      <c r="I81" s="384">
        <v>0</v>
      </c>
    </row>
    <row r="82" spans="1:9">
      <c r="A82">
        <v>64</v>
      </c>
      <c r="B82" s="16">
        <v>44075</v>
      </c>
      <c r="C82" s="16">
        <v>44104</v>
      </c>
      <c r="D82" s="18">
        <v>0.1835</v>
      </c>
      <c r="E82" s="34">
        <v>0</v>
      </c>
      <c r="F82" s="43">
        <v>0</v>
      </c>
      <c r="G82" s="383">
        <v>0</v>
      </c>
      <c r="H82" s="383">
        <v>0</v>
      </c>
      <c r="I82" s="384">
        <v>0</v>
      </c>
    </row>
    <row r="83" spans="1:9">
      <c r="A83">
        <v>65</v>
      </c>
      <c r="B83" s="16">
        <v>44105</v>
      </c>
      <c r="C83" s="16">
        <v>44135</v>
      </c>
      <c r="D83" s="18">
        <v>0.18090000000000001</v>
      </c>
      <c r="E83" s="34">
        <v>0</v>
      </c>
      <c r="F83" s="43">
        <v>0</v>
      </c>
      <c r="G83" s="383">
        <v>0</v>
      </c>
      <c r="H83" s="383">
        <v>0</v>
      </c>
      <c r="I83" s="384">
        <v>0</v>
      </c>
    </row>
    <row r="84" spans="1:9">
      <c r="A84">
        <v>66</v>
      </c>
      <c r="B84" s="16">
        <v>44136</v>
      </c>
      <c r="C84" s="16">
        <v>44165</v>
      </c>
      <c r="D84" s="18">
        <v>0.1784</v>
      </c>
      <c r="E84" s="34">
        <v>0</v>
      </c>
      <c r="F84" s="43">
        <v>0</v>
      </c>
      <c r="G84" s="383">
        <v>0</v>
      </c>
      <c r="H84" s="383">
        <v>0</v>
      </c>
      <c r="I84" s="384">
        <v>0</v>
      </c>
    </row>
    <row r="85" spans="1:9">
      <c r="A85">
        <v>67</v>
      </c>
      <c r="B85" s="16">
        <v>44166</v>
      </c>
      <c r="C85" s="16">
        <v>44196</v>
      </c>
      <c r="D85" s="18">
        <v>0.17460000000000001</v>
      </c>
      <c r="E85" s="34">
        <v>0</v>
      </c>
      <c r="F85" s="43">
        <v>0</v>
      </c>
      <c r="G85" s="383">
        <v>0</v>
      </c>
      <c r="H85" s="383">
        <v>0</v>
      </c>
      <c r="I85" s="384">
        <v>0</v>
      </c>
    </row>
    <row r="86" spans="1:9">
      <c r="A86">
        <v>68</v>
      </c>
      <c r="B86" s="16">
        <v>44197</v>
      </c>
      <c r="C86" s="16">
        <v>44227</v>
      </c>
      <c r="D86" s="18">
        <v>0.17319999999999999</v>
      </c>
      <c r="E86" s="34">
        <v>0</v>
      </c>
      <c r="F86" s="43">
        <v>0</v>
      </c>
      <c r="G86" s="383">
        <v>0</v>
      </c>
      <c r="H86" s="383">
        <v>0</v>
      </c>
      <c r="I86" s="384">
        <v>0</v>
      </c>
    </row>
    <row r="87" spans="1:9">
      <c r="A87">
        <v>69</v>
      </c>
      <c r="B87" s="16">
        <v>44228</v>
      </c>
      <c r="C87" s="16">
        <v>44255</v>
      </c>
      <c r="D87" s="18">
        <v>0.1754</v>
      </c>
      <c r="E87" s="34">
        <v>0</v>
      </c>
      <c r="F87" s="43">
        <v>0</v>
      </c>
      <c r="G87" s="383">
        <v>0</v>
      </c>
      <c r="H87" s="383">
        <v>0</v>
      </c>
      <c r="I87" s="384">
        <v>0</v>
      </c>
    </row>
    <row r="88" spans="1:9">
      <c r="A88">
        <v>70</v>
      </c>
      <c r="B88" s="16">
        <v>44256</v>
      </c>
      <c r="C88" s="16">
        <v>44286</v>
      </c>
      <c r="D88" s="18">
        <v>0.1741</v>
      </c>
      <c r="E88" s="34">
        <v>0</v>
      </c>
      <c r="F88" s="43">
        <v>0</v>
      </c>
      <c r="G88" s="383">
        <v>0</v>
      </c>
      <c r="H88" s="383">
        <v>0</v>
      </c>
      <c r="I88" s="384">
        <v>0</v>
      </c>
    </row>
    <row r="89" spans="1:9">
      <c r="A89">
        <v>71</v>
      </c>
      <c r="B89" s="16">
        <v>44287</v>
      </c>
      <c r="C89" s="16">
        <v>44316</v>
      </c>
      <c r="D89" s="18">
        <v>0.1731</v>
      </c>
      <c r="E89" s="34">
        <v>0</v>
      </c>
      <c r="F89" s="43">
        <v>0</v>
      </c>
      <c r="G89" s="383">
        <v>0</v>
      </c>
      <c r="H89" s="383">
        <v>0</v>
      </c>
      <c r="I89" s="384">
        <v>0</v>
      </c>
    </row>
    <row r="90" spans="1:9">
      <c r="A90">
        <v>72</v>
      </c>
      <c r="B90" s="16">
        <v>44317</v>
      </c>
      <c r="C90" s="16">
        <v>44347</v>
      </c>
      <c r="D90" s="18">
        <v>0.17219999999999999</v>
      </c>
      <c r="E90" s="34">
        <v>0</v>
      </c>
      <c r="F90" s="43">
        <v>0</v>
      </c>
      <c r="G90" s="383">
        <v>0</v>
      </c>
      <c r="H90" s="383">
        <v>0</v>
      </c>
      <c r="I90" s="384">
        <v>0</v>
      </c>
    </row>
    <row r="91" spans="1:9">
      <c r="A91">
        <v>73</v>
      </c>
      <c r="B91" s="16">
        <v>44348</v>
      </c>
      <c r="C91" s="16">
        <v>44377</v>
      </c>
      <c r="D91" s="18">
        <v>0.1721</v>
      </c>
      <c r="E91" s="34">
        <v>0</v>
      </c>
      <c r="F91" s="43">
        <v>0</v>
      </c>
      <c r="G91" s="383">
        <v>0</v>
      </c>
      <c r="H91" s="383">
        <v>0</v>
      </c>
      <c r="I91" s="384">
        <v>0</v>
      </c>
    </row>
    <row r="92" spans="1:9">
      <c r="A92" s="188">
        <v>74</v>
      </c>
      <c r="B92" s="16">
        <v>44378</v>
      </c>
      <c r="C92" s="16">
        <v>44408</v>
      </c>
      <c r="D92" s="451">
        <v>0.17180000000000001</v>
      </c>
      <c r="E92" s="34">
        <v>0</v>
      </c>
      <c r="F92" s="43">
        <v>0</v>
      </c>
      <c r="G92" s="383">
        <v>0</v>
      </c>
      <c r="H92" s="383">
        <v>0</v>
      </c>
      <c r="I92" s="384">
        <v>0</v>
      </c>
    </row>
    <row r="93" spans="1:9" s="188" customFormat="1">
      <c r="A93" s="188">
        <v>75</v>
      </c>
      <c r="B93" s="16">
        <v>44409</v>
      </c>
      <c r="C93" s="16">
        <v>44439</v>
      </c>
      <c r="D93" s="451">
        <v>0.1724</v>
      </c>
      <c r="E93" s="34">
        <v>0</v>
      </c>
      <c r="F93" s="43">
        <v>0</v>
      </c>
      <c r="G93" s="383">
        <v>0</v>
      </c>
      <c r="H93" s="383">
        <v>0</v>
      </c>
      <c r="I93" s="384">
        <v>0</v>
      </c>
    </row>
    <row r="94" spans="1:9" s="188" customFormat="1">
      <c r="A94" s="188">
        <v>76</v>
      </c>
      <c r="B94" s="16">
        <v>44440</v>
      </c>
      <c r="C94" s="16">
        <v>44469</v>
      </c>
      <c r="D94" s="451">
        <v>0.1719</v>
      </c>
      <c r="E94" s="34">
        <v>0</v>
      </c>
      <c r="F94" s="43">
        <v>0</v>
      </c>
      <c r="G94" s="383">
        <v>0</v>
      </c>
      <c r="H94" s="383">
        <v>0</v>
      </c>
      <c r="I94" s="384">
        <v>0</v>
      </c>
    </row>
    <row r="95" spans="1:9" s="188" customFormat="1">
      <c r="A95" s="188">
        <v>77</v>
      </c>
      <c r="B95" s="16">
        <v>44470</v>
      </c>
      <c r="C95" s="16">
        <v>44500</v>
      </c>
      <c r="D95" s="451">
        <v>0.1714</v>
      </c>
      <c r="E95" s="34">
        <v>0</v>
      </c>
      <c r="F95" s="43">
        <v>0</v>
      </c>
      <c r="G95" s="383">
        <v>0</v>
      </c>
      <c r="H95" s="383">
        <v>0</v>
      </c>
      <c r="I95" s="384">
        <v>0</v>
      </c>
    </row>
    <row r="96" spans="1:9" s="188" customFormat="1">
      <c r="A96" s="188">
        <v>78</v>
      </c>
      <c r="B96" s="16">
        <v>44501</v>
      </c>
      <c r="C96" s="16">
        <v>44522</v>
      </c>
      <c r="D96" s="451">
        <v>0.17269999999999999</v>
      </c>
      <c r="E96" s="34">
        <v>0</v>
      </c>
      <c r="F96" s="43">
        <v>0</v>
      </c>
      <c r="G96" s="383">
        <v>0</v>
      </c>
      <c r="H96" s="383">
        <v>0</v>
      </c>
      <c r="I96" s="384">
        <v>0</v>
      </c>
    </row>
    <row r="97" spans="2:10" ht="13.5" thickBot="1">
      <c r="G97" s="2553" t="s">
        <v>150</v>
      </c>
      <c r="H97" s="2553"/>
      <c r="I97" s="369">
        <f>SUM(I19:I96)</f>
        <v>7137943.779267665</v>
      </c>
      <c r="J97" s="53"/>
    </row>
    <row r="98" spans="2:10" ht="13.5" thickTop="1"/>
    <row r="99" spans="2:10" ht="27" customHeight="1">
      <c r="B99" s="2554" t="s">
        <v>55</v>
      </c>
      <c r="C99" s="2555"/>
      <c r="D99" s="2556"/>
    </row>
    <row r="100" spans="2:10">
      <c r="B100" s="250" t="s">
        <v>56</v>
      </c>
      <c r="C100" s="250"/>
      <c r="D100" s="219"/>
    </row>
    <row r="101" spans="2:10">
      <c r="B101" s="233" t="s">
        <v>133</v>
      </c>
      <c r="C101" s="251">
        <f>+C13</f>
        <v>55976668.108711697</v>
      </c>
      <c r="D101" s="251"/>
    </row>
    <row r="102" spans="2:10">
      <c r="B102" s="233" t="s">
        <v>134</v>
      </c>
      <c r="C102" s="252">
        <f>+I97</f>
        <v>7137943.779267665</v>
      </c>
      <c r="D102" s="251"/>
    </row>
    <row r="103" spans="2:10" ht="13.5" thickBot="1">
      <c r="B103" s="248" t="s">
        <v>61</v>
      </c>
      <c r="C103" s="249">
        <f>+C101+C102</f>
        <v>63114611.887979358</v>
      </c>
      <c r="D103" s="251"/>
    </row>
    <row r="104" spans="2:10" ht="13.5" thickTop="1">
      <c r="B104" s="221" t="s">
        <v>62</v>
      </c>
      <c r="C104" s="561"/>
      <c r="D104" s="581"/>
    </row>
    <row r="105" spans="2:10">
      <c r="B105" s="217"/>
      <c r="C105" s="218"/>
      <c r="D105" s="217"/>
    </row>
    <row r="106" spans="2:10">
      <c r="B106" s="217"/>
      <c r="C106" s="218"/>
      <c r="D106" s="217"/>
    </row>
    <row r="107" spans="2:10">
      <c r="B107" s="476" t="s">
        <v>63</v>
      </c>
      <c r="C107" s="218"/>
      <c r="D107" s="217"/>
    </row>
    <row r="108" spans="2:10">
      <c r="B108" s="476" t="s">
        <v>64</v>
      </c>
      <c r="C108" s="218"/>
      <c r="D108" s="217"/>
    </row>
    <row r="109" spans="2:10">
      <c r="B109" s="221" t="s">
        <v>65</v>
      </c>
      <c r="C109" s="218"/>
      <c r="D109" s="217"/>
    </row>
  </sheetData>
  <mergeCells count="3">
    <mergeCell ref="G97:H97"/>
    <mergeCell ref="B99:D99"/>
    <mergeCell ref="B17:I17"/>
  </mergeCells>
  <pageMargins left="0.7" right="0.7" top="0.75" bottom="0.75" header="0.3" footer="0.3"/>
  <pageSetup paperSize="5" scale="67"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BC66B-6562-40A7-8D1A-B7DA095D08C3}">
  <sheetPr codeName="Hoja31"/>
  <dimension ref="A2:H106"/>
  <sheetViews>
    <sheetView topLeftCell="A114" zoomScale="98" zoomScaleNormal="98" workbookViewId="0">
      <selection activeCell="C97" sqref="C97:C100"/>
    </sheetView>
  </sheetViews>
  <sheetFormatPr defaultColWidth="11.42578125" defaultRowHeight="11.25"/>
  <cols>
    <col min="1" max="1" width="21.28515625" style="147" customWidth="1"/>
    <col min="2" max="2" width="14.85546875" style="147" bestFit="1" customWidth="1"/>
    <col min="3" max="3" width="12.28515625" style="147" customWidth="1"/>
    <col min="4" max="4" width="13.85546875" style="147" customWidth="1"/>
    <col min="5" max="5" width="11.5703125" style="147" customWidth="1"/>
    <col min="6" max="6" width="11.42578125" style="147"/>
    <col min="7" max="7" width="11.140625" style="147" customWidth="1"/>
    <col min="8" max="16384" width="11.42578125" style="147"/>
  </cols>
  <sheetData>
    <row r="2" spans="1:7" ht="12.75">
      <c r="A2" s="728" t="s">
        <v>121</v>
      </c>
      <c r="B2" s="944" t="s">
        <v>844</v>
      </c>
      <c r="C2" s="791"/>
      <c r="D2" s="791"/>
      <c r="E2" s="791"/>
      <c r="F2" s="791"/>
      <c r="G2" s="791"/>
    </row>
    <row r="3" spans="1:7" ht="12.75">
      <c r="A3" s="728" t="s">
        <v>238</v>
      </c>
      <c r="B3" s="737">
        <v>73141999</v>
      </c>
      <c r="C3" s="791"/>
      <c r="D3" s="791"/>
      <c r="E3" s="791"/>
      <c r="F3" s="791"/>
      <c r="G3" s="791"/>
    </row>
    <row r="4" spans="1:7" ht="12.75">
      <c r="A4" s="728" t="s">
        <v>4</v>
      </c>
      <c r="B4" s="724">
        <v>43689</v>
      </c>
      <c r="C4" s="791"/>
      <c r="D4" s="791"/>
      <c r="E4" s="791"/>
      <c r="F4" s="791"/>
      <c r="G4" s="791"/>
    </row>
    <row r="5" spans="1:7" ht="12.75">
      <c r="A5" s="848" t="s">
        <v>838</v>
      </c>
      <c r="B5" s="724">
        <v>43714</v>
      </c>
      <c r="C5" s="791"/>
      <c r="D5" s="791"/>
      <c r="E5" s="791"/>
      <c r="F5" s="791"/>
      <c r="G5" s="791"/>
    </row>
    <row r="6" spans="1:7" ht="12.75">
      <c r="A6" s="1166" t="s">
        <v>124</v>
      </c>
      <c r="B6" s="724" t="s">
        <v>845</v>
      </c>
      <c r="C6" s="791"/>
      <c r="D6" s="791"/>
      <c r="E6" s="791"/>
      <c r="F6" s="791"/>
      <c r="G6" s="791"/>
    </row>
    <row r="7" spans="1:7" ht="12.75">
      <c r="A7" s="791"/>
      <c r="B7" s="1167" t="s">
        <v>458</v>
      </c>
      <c r="C7" s="1167" t="s">
        <v>459</v>
      </c>
      <c r="D7" s="791"/>
      <c r="E7" s="791"/>
      <c r="F7" s="791"/>
      <c r="G7" s="791"/>
    </row>
    <row r="8" spans="1:7" ht="12.75">
      <c r="A8" s="1141" t="s">
        <v>461</v>
      </c>
      <c r="B8" s="851">
        <v>1554650</v>
      </c>
      <c r="C8" s="851">
        <v>1243720</v>
      </c>
      <c r="D8" s="791"/>
      <c r="E8" s="791"/>
      <c r="F8" s="791"/>
      <c r="G8" s="791"/>
    </row>
    <row r="9" spans="1:7" ht="26.25" thickBot="1">
      <c r="A9" s="1168" t="s">
        <v>464</v>
      </c>
      <c r="B9" s="1169">
        <v>895178</v>
      </c>
      <c r="C9" s="1169">
        <v>716142</v>
      </c>
      <c r="D9" s="791"/>
      <c r="E9" s="791"/>
      <c r="F9" s="791"/>
      <c r="G9" s="791"/>
    </row>
    <row r="10" spans="1:7" ht="12.75">
      <c r="A10" s="791" t="s">
        <v>465</v>
      </c>
      <c r="B10" s="851">
        <f>+B8-B9</f>
        <v>659472</v>
      </c>
      <c r="C10" s="851">
        <f>+C8-C9</f>
        <v>527578</v>
      </c>
      <c r="D10" s="791"/>
      <c r="E10" s="791"/>
      <c r="F10" s="791"/>
      <c r="G10" s="791"/>
    </row>
    <row r="11" spans="1:7" ht="12.75">
      <c r="A11" s="791"/>
      <c r="B11" s="851"/>
      <c r="C11" s="851"/>
      <c r="D11" s="791"/>
      <c r="E11" s="848" t="s">
        <v>846</v>
      </c>
      <c r="F11" s="791"/>
      <c r="G11" s="791"/>
    </row>
    <row r="12" spans="1:7" ht="12.75">
      <c r="A12" s="848" t="s">
        <v>489</v>
      </c>
      <c r="B12" s="851"/>
      <c r="C12" s="851"/>
      <c r="D12" s="791"/>
      <c r="E12" s="850">
        <v>329736</v>
      </c>
      <c r="F12" s="929">
        <v>27478</v>
      </c>
      <c r="G12" s="737" t="s">
        <v>467</v>
      </c>
    </row>
    <row r="13" spans="1:7" ht="12.75">
      <c r="A13" s="791" t="s">
        <v>472</v>
      </c>
      <c r="B13" s="851">
        <f>+(C10*360)/360</f>
        <v>527578</v>
      </c>
      <c r="C13" s="851"/>
      <c r="D13" s="791"/>
      <c r="E13" s="850">
        <v>470789.33333333302</v>
      </c>
      <c r="F13" s="929">
        <v>39232</v>
      </c>
      <c r="G13" s="737" t="s">
        <v>470</v>
      </c>
    </row>
    <row r="14" spans="1:7" ht="12.75">
      <c r="A14" s="791" t="s">
        <v>477</v>
      </c>
      <c r="B14" s="851">
        <f>+(C10*360)/360</f>
        <v>527578</v>
      </c>
      <c r="C14" s="851"/>
      <c r="D14" s="791"/>
      <c r="E14" s="850">
        <v>43964</v>
      </c>
      <c r="F14" s="929">
        <v>0</v>
      </c>
      <c r="G14" s="737" t="s">
        <v>473</v>
      </c>
    </row>
    <row r="15" spans="1:7" ht="12.75">
      <c r="A15" s="791" t="s">
        <v>480</v>
      </c>
      <c r="B15" s="851">
        <f>+E16</f>
        <v>745416</v>
      </c>
      <c r="C15" s="851"/>
      <c r="D15" s="791"/>
      <c r="E15" s="850">
        <v>494328.8</v>
      </c>
      <c r="F15" s="929">
        <v>0</v>
      </c>
      <c r="G15" s="737" t="s">
        <v>22</v>
      </c>
    </row>
    <row r="16" spans="1:7" ht="12.75">
      <c r="A16" s="791" t="s">
        <v>482</v>
      </c>
      <c r="B16" s="851">
        <f>+(C10*360)/720</f>
        <v>263789</v>
      </c>
      <c r="C16" s="851"/>
      <c r="D16" s="791"/>
      <c r="E16" s="850">
        <v>745416</v>
      </c>
      <c r="F16" s="929">
        <v>62118</v>
      </c>
      <c r="G16" s="737" t="s">
        <v>478</v>
      </c>
    </row>
    <row r="17" spans="1:7" ht="13.5" thickBot="1">
      <c r="A17" s="1171" t="s">
        <v>485</v>
      </c>
      <c r="B17" s="1169">
        <f>+E13</f>
        <v>470789.33333333302</v>
      </c>
      <c r="C17" s="851"/>
      <c r="D17" s="791"/>
      <c r="E17" s="850">
        <v>807534</v>
      </c>
      <c r="F17" s="929"/>
      <c r="G17" s="737" t="s">
        <v>490</v>
      </c>
    </row>
    <row r="18" spans="1:7" ht="12.75">
      <c r="A18" s="848" t="s">
        <v>488</v>
      </c>
      <c r="B18" s="879">
        <f>SUM(B13:B17)</f>
        <v>2535150.333333333</v>
      </c>
      <c r="C18" s="791"/>
      <c r="D18" s="791"/>
      <c r="E18" s="850">
        <v>96904.08</v>
      </c>
      <c r="F18" s="929"/>
      <c r="G18" s="737" t="s">
        <v>483</v>
      </c>
    </row>
    <row r="19" spans="1:7" ht="12.75">
      <c r="A19" s="791"/>
      <c r="B19" s="791"/>
      <c r="C19" s="791"/>
      <c r="D19" s="791"/>
      <c r="E19" s="850">
        <v>230815.19999999998</v>
      </c>
      <c r="F19" s="929">
        <v>19234</v>
      </c>
      <c r="G19" s="737" t="s">
        <v>486</v>
      </c>
    </row>
    <row r="20" spans="1:7" ht="12.75">
      <c r="A20" s="848" t="s">
        <v>491</v>
      </c>
      <c r="B20" s="791"/>
      <c r="C20" s="791"/>
      <c r="D20" s="791"/>
      <c r="E20" s="791"/>
      <c r="F20" s="791"/>
      <c r="G20" s="791"/>
    </row>
    <row r="21" spans="1:7" ht="12.75">
      <c r="A21" s="791" t="s">
        <v>472</v>
      </c>
      <c r="B21" s="851">
        <f>+(B10*360)/360</f>
        <v>659472</v>
      </c>
      <c r="C21" s="791"/>
      <c r="D21" s="791"/>
      <c r="E21" s="850">
        <v>263789</v>
      </c>
      <c r="F21" s="929">
        <v>21982</v>
      </c>
      <c r="G21" s="737" t="s">
        <v>467</v>
      </c>
    </row>
    <row r="22" spans="1:7" ht="12.75">
      <c r="A22" s="791" t="s">
        <v>477</v>
      </c>
      <c r="B22" s="851">
        <f>+(B10*360)/360</f>
        <v>659472</v>
      </c>
      <c r="C22" s="791"/>
      <c r="D22" s="791"/>
      <c r="E22" s="850">
        <v>376631.33333333331</v>
      </c>
      <c r="F22" s="929">
        <v>31385</v>
      </c>
      <c r="G22" s="737" t="s">
        <v>470</v>
      </c>
    </row>
    <row r="23" spans="1:7" ht="12.75">
      <c r="A23" s="791" t="s">
        <v>480</v>
      </c>
      <c r="B23" s="879">
        <f>+E25</f>
        <v>596332</v>
      </c>
      <c r="C23" s="791"/>
      <c r="D23" s="791"/>
      <c r="E23" s="850">
        <v>35170</v>
      </c>
      <c r="F23" s="929">
        <v>0</v>
      </c>
      <c r="G23" s="737" t="s">
        <v>473</v>
      </c>
    </row>
    <row r="24" spans="1:7" ht="12.75">
      <c r="A24" s="791" t="s">
        <v>482</v>
      </c>
      <c r="B24" s="1170">
        <f>+(C10*360)/720</f>
        <v>263789</v>
      </c>
      <c r="C24" s="791"/>
      <c r="D24" s="791"/>
      <c r="E24" s="850">
        <v>395462.89999999997</v>
      </c>
      <c r="F24" s="929">
        <v>0</v>
      </c>
      <c r="G24" s="737" t="s">
        <v>22</v>
      </c>
    </row>
    <row r="25" spans="1:7" ht="13.5" thickBot="1">
      <c r="A25" s="1171" t="s">
        <v>485</v>
      </c>
      <c r="B25" s="1172">
        <f>+E22</f>
        <v>376631.33333333331</v>
      </c>
      <c r="C25" s="791"/>
      <c r="D25" s="791"/>
      <c r="E25" s="850">
        <v>596332</v>
      </c>
      <c r="F25" s="929">
        <v>49694</v>
      </c>
      <c r="G25" s="737" t="s">
        <v>478</v>
      </c>
    </row>
    <row r="26" spans="1:7" ht="12.75">
      <c r="A26" s="848" t="s">
        <v>492</v>
      </c>
      <c r="B26" s="879">
        <f>SUM(B21:B25)</f>
        <v>2555696.3333333335</v>
      </c>
      <c r="C26" s="791"/>
      <c r="D26" s="791"/>
      <c r="E26" s="850">
        <v>646026</v>
      </c>
      <c r="F26" s="929"/>
      <c r="G26" s="737" t="s">
        <v>490</v>
      </c>
    </row>
    <row r="27" spans="1:7" ht="12.75">
      <c r="A27" s="791"/>
      <c r="B27" s="791"/>
      <c r="C27" s="791"/>
      <c r="D27" s="791"/>
      <c r="E27" s="850">
        <v>77523.12</v>
      </c>
      <c r="F27" s="929"/>
      <c r="G27" s="737" t="s">
        <v>483</v>
      </c>
    </row>
    <row r="28" spans="1:7" ht="12.75">
      <c r="A28" s="791"/>
      <c r="B28" s="791"/>
      <c r="C28" s="791"/>
      <c r="D28" s="791"/>
      <c r="E28" s="850">
        <v>184652.3</v>
      </c>
      <c r="F28" s="929">
        <v>15387</v>
      </c>
      <c r="G28" s="737" t="s">
        <v>486</v>
      </c>
    </row>
    <row r="29" spans="1:7" ht="12.75">
      <c r="A29" s="848" t="s">
        <v>493</v>
      </c>
      <c r="B29" s="791"/>
      <c r="C29" s="791"/>
      <c r="D29" s="791"/>
      <c r="E29" s="791"/>
      <c r="F29" s="791"/>
      <c r="G29" s="791"/>
    </row>
    <row r="30" spans="1:7" ht="12.75">
      <c r="A30" s="737" t="s">
        <v>494</v>
      </c>
      <c r="B30" s="724">
        <v>35047</v>
      </c>
      <c r="C30" s="791"/>
      <c r="D30" s="791"/>
      <c r="E30" s="791"/>
      <c r="F30" s="791"/>
      <c r="G30" s="791"/>
    </row>
    <row r="31" spans="1:7" ht="12.75">
      <c r="A31" s="737" t="s">
        <v>495</v>
      </c>
      <c r="B31" s="724">
        <v>35446</v>
      </c>
      <c r="C31" s="791"/>
      <c r="D31" s="791"/>
      <c r="E31" s="791"/>
      <c r="F31" s="791"/>
      <c r="G31" s="791"/>
    </row>
    <row r="32" spans="1:7" ht="12.75">
      <c r="A32" s="737" t="s">
        <v>496</v>
      </c>
      <c r="B32" s="737">
        <f>_xlfn.DAYS(B31,B30)</f>
        <v>399</v>
      </c>
      <c r="C32" s="791"/>
      <c r="D32" s="791"/>
      <c r="E32" s="791"/>
      <c r="F32" s="791"/>
      <c r="G32" s="791"/>
    </row>
    <row r="33" spans="1:7" ht="12.75">
      <c r="A33" s="791"/>
      <c r="B33" s="791"/>
      <c r="C33" s="791"/>
      <c r="D33" s="791"/>
      <c r="E33" s="791"/>
      <c r="F33" s="791"/>
      <c r="G33" s="791"/>
    </row>
    <row r="34" spans="1:7" ht="24" customHeight="1">
      <c r="A34" s="1141" t="s">
        <v>497</v>
      </c>
      <c r="B34" s="732">
        <v>96.36</v>
      </c>
      <c r="C34" s="791"/>
      <c r="D34" s="791"/>
      <c r="E34" s="791"/>
      <c r="F34" s="791"/>
      <c r="G34" s="791"/>
    </row>
    <row r="35" spans="1:7" ht="12.75">
      <c r="A35" s="760" t="s">
        <v>840</v>
      </c>
      <c r="B35" s="761" t="s">
        <v>499</v>
      </c>
      <c r="C35" s="1113" t="s">
        <v>76</v>
      </c>
      <c r="D35" s="1113" t="s">
        <v>77</v>
      </c>
      <c r="E35" s="761" t="s">
        <v>57</v>
      </c>
      <c r="F35" s="791"/>
      <c r="G35" s="791"/>
    </row>
    <row r="36" spans="1:7" ht="12.75">
      <c r="A36" s="737" t="s">
        <v>841</v>
      </c>
      <c r="B36" s="736">
        <f>(C10/30)*16</f>
        <v>281374.93333333335</v>
      </c>
      <c r="C36" s="741">
        <v>59.857550000000003</v>
      </c>
      <c r="D36" s="737">
        <f>+B34/C36</f>
        <v>1.6098219856977105</v>
      </c>
      <c r="E36" s="850">
        <f>+B36*D36</f>
        <v>452963.55390422762</v>
      </c>
      <c r="F36" s="791"/>
      <c r="G36" s="791"/>
    </row>
    <row r="37" spans="1:7" ht="12.75">
      <c r="A37" s="791"/>
      <c r="B37" s="791"/>
      <c r="C37" s="791"/>
      <c r="D37" s="737" t="s">
        <v>61</v>
      </c>
      <c r="E37" s="850">
        <f>+E36</f>
        <v>452963.55390422762</v>
      </c>
      <c r="F37" s="791"/>
      <c r="G37" s="791"/>
    </row>
    <row r="38" spans="1:7" ht="12.75">
      <c r="A38" s="791"/>
      <c r="B38" s="791"/>
      <c r="C38" s="791"/>
      <c r="D38" s="791"/>
      <c r="E38" s="791"/>
      <c r="F38" s="791"/>
      <c r="G38" s="791"/>
    </row>
    <row r="39" spans="1:7" ht="12.75">
      <c r="A39" s="760" t="s">
        <v>501</v>
      </c>
      <c r="B39" s="761" t="s">
        <v>502</v>
      </c>
      <c r="C39" s="1113" t="s">
        <v>76</v>
      </c>
      <c r="D39" s="1113" t="s">
        <v>77</v>
      </c>
      <c r="E39" s="761" t="s">
        <v>57</v>
      </c>
      <c r="F39" s="791"/>
      <c r="G39" s="791"/>
    </row>
    <row r="40" spans="1:7" ht="12.75">
      <c r="A40" s="738" t="s">
        <v>16</v>
      </c>
      <c r="B40" s="736">
        <f>+$C$9</f>
        <v>716142</v>
      </c>
      <c r="C40" s="741">
        <v>61.363549999999996</v>
      </c>
      <c r="D40" s="737">
        <f>+$B$34/C40</f>
        <v>1.5703133211817113</v>
      </c>
      <c r="E40" s="850">
        <f>+B40*D40</f>
        <v>1124567.3224577131</v>
      </c>
      <c r="F40" s="791"/>
      <c r="G40" s="791"/>
    </row>
    <row r="41" spans="1:7" ht="12.75">
      <c r="A41" s="738" t="s">
        <v>17</v>
      </c>
      <c r="B41" s="736">
        <f t="shared" ref="B41:B51" si="0">+$C$9</f>
        <v>716142</v>
      </c>
      <c r="C41" s="741">
        <v>63.824489999999997</v>
      </c>
      <c r="D41" s="737">
        <f t="shared" ref="D41:D51" si="1">+$B$34/C41</f>
        <v>1.5097652954218672</v>
      </c>
      <c r="E41" s="850">
        <f t="shared" ref="E41:E51" si="2">+B41*D41</f>
        <v>1081206.3381940068</v>
      </c>
      <c r="F41" s="791"/>
      <c r="G41" s="791"/>
    </row>
    <row r="42" spans="1:7" ht="12.75">
      <c r="A42" s="738" t="s">
        <v>19</v>
      </c>
      <c r="B42" s="736">
        <f t="shared" si="0"/>
        <v>716142</v>
      </c>
      <c r="C42" s="741">
        <v>65.170699999999997</v>
      </c>
      <c r="D42" s="737">
        <f t="shared" si="1"/>
        <v>1.4785785636796904</v>
      </c>
      <c r="E42" s="850">
        <f t="shared" si="2"/>
        <v>1058872.209750701</v>
      </c>
      <c r="F42" s="791"/>
      <c r="G42" s="791"/>
    </row>
    <row r="43" spans="1:7" ht="12.75">
      <c r="A43" s="738" t="s">
        <v>21</v>
      </c>
      <c r="B43" s="736">
        <f t="shared" si="0"/>
        <v>716142</v>
      </c>
      <c r="C43" s="741">
        <v>66.459050000000005</v>
      </c>
      <c r="D43" s="737">
        <f t="shared" si="1"/>
        <v>1.4499153990314335</v>
      </c>
      <c r="E43" s="850">
        <f t="shared" si="2"/>
        <v>1038345.3136931688</v>
      </c>
      <c r="F43" s="791"/>
      <c r="G43" s="791"/>
    </row>
    <row r="44" spans="1:7" ht="12.75">
      <c r="A44" s="738" t="s">
        <v>23</v>
      </c>
      <c r="B44" s="736">
        <f t="shared" si="0"/>
        <v>716142</v>
      </c>
      <c r="C44" s="741">
        <v>67.490729999999999</v>
      </c>
      <c r="D44" s="737">
        <f t="shared" si="1"/>
        <v>1.427751633446549</v>
      </c>
      <c r="E44" s="850">
        <f t="shared" si="2"/>
        <v>1022472.9102796785</v>
      </c>
      <c r="F44" s="791"/>
      <c r="G44" s="791"/>
    </row>
    <row r="45" spans="1:7" ht="12.75">
      <c r="A45" s="738" t="s">
        <v>25</v>
      </c>
      <c r="B45" s="736">
        <f t="shared" si="0"/>
        <v>716142</v>
      </c>
      <c r="C45" s="741">
        <v>68.264489999999995</v>
      </c>
      <c r="D45" s="737">
        <f t="shared" si="1"/>
        <v>1.4115684450290336</v>
      </c>
      <c r="E45" s="850">
        <f t="shared" si="2"/>
        <v>1010883.4493599822</v>
      </c>
      <c r="F45" s="791"/>
      <c r="G45" s="791"/>
    </row>
    <row r="46" spans="1:7" ht="12.75">
      <c r="A46" s="738" t="s">
        <v>27</v>
      </c>
      <c r="B46" s="736">
        <f t="shared" si="0"/>
        <v>716142</v>
      </c>
      <c r="C46" s="741">
        <v>69.296170000000004</v>
      </c>
      <c r="D46" s="737">
        <f t="shared" si="1"/>
        <v>1.3905530421089649</v>
      </c>
      <c r="E46" s="850">
        <f t="shared" si="2"/>
        <v>995833.43668199831</v>
      </c>
      <c r="F46" s="791"/>
      <c r="G46" s="791"/>
    </row>
    <row r="47" spans="1:7" ht="12.75">
      <c r="A47" s="738" t="s">
        <v>29</v>
      </c>
      <c r="B47" s="736">
        <f t="shared" si="0"/>
        <v>716142</v>
      </c>
      <c r="C47" s="741">
        <v>70.061120000000003</v>
      </c>
      <c r="D47" s="737">
        <f t="shared" si="1"/>
        <v>1.3753705336140787</v>
      </c>
      <c r="E47" s="850">
        <f t="shared" si="2"/>
        <v>984960.60468345357</v>
      </c>
      <c r="F47" s="791"/>
      <c r="G47" s="791"/>
    </row>
    <row r="48" spans="1:7" ht="12.75">
      <c r="A48" s="738" t="s">
        <v>31</v>
      </c>
      <c r="B48" s="736">
        <f t="shared" si="0"/>
        <v>716142</v>
      </c>
      <c r="C48" s="741">
        <v>70.895269999999996</v>
      </c>
      <c r="D48" s="737">
        <f t="shared" si="1"/>
        <v>1.3591879966040048</v>
      </c>
      <c r="E48" s="850">
        <f t="shared" si="2"/>
        <v>973371.61026398523</v>
      </c>
      <c r="F48" s="791"/>
      <c r="G48" s="791"/>
    </row>
    <row r="49" spans="1:8" ht="12.75">
      <c r="A49" s="738" t="s">
        <v>33</v>
      </c>
      <c r="B49" s="736">
        <f t="shared" si="0"/>
        <v>716142</v>
      </c>
      <c r="C49" s="741">
        <v>71.713059999999999</v>
      </c>
      <c r="D49" s="737">
        <f t="shared" si="1"/>
        <v>1.3436883044734111</v>
      </c>
      <c r="E49" s="850">
        <f t="shared" si="2"/>
        <v>962271.62974219758</v>
      </c>
      <c r="F49" s="791"/>
      <c r="G49" s="791"/>
    </row>
    <row r="50" spans="1:8" ht="12.75">
      <c r="A50" s="738" t="s">
        <v>34</v>
      </c>
      <c r="B50" s="736">
        <f t="shared" si="0"/>
        <v>716142</v>
      </c>
      <c r="C50" s="741">
        <v>72.288039999999995</v>
      </c>
      <c r="D50" s="737">
        <f t="shared" si="1"/>
        <v>1.3330005904157867</v>
      </c>
      <c r="E50" s="850">
        <f t="shared" si="2"/>
        <v>954617.70882154233</v>
      </c>
      <c r="F50" s="791"/>
      <c r="G50" s="791"/>
    </row>
    <row r="51" spans="1:8" ht="12.75">
      <c r="A51" s="738" t="s">
        <v>35</v>
      </c>
      <c r="B51" s="736">
        <f t="shared" si="0"/>
        <v>716142</v>
      </c>
      <c r="C51" s="741">
        <v>72.811430000000001</v>
      </c>
      <c r="D51" s="737">
        <f t="shared" si="1"/>
        <v>1.32341858963627</v>
      </c>
      <c r="E51" s="850">
        <f t="shared" si="2"/>
        <v>947755.63561929762</v>
      </c>
      <c r="F51" s="791"/>
      <c r="G51" s="791"/>
    </row>
    <row r="52" spans="1:8" ht="13.5" thickBot="1">
      <c r="A52" s="738"/>
      <c r="B52" s="736"/>
      <c r="C52" s="737"/>
      <c r="D52" s="739" t="s">
        <v>61</v>
      </c>
      <c r="E52" s="1175">
        <f>SUM(E40:E51)</f>
        <v>12155158.169547724</v>
      </c>
      <c r="F52" s="791"/>
      <c r="G52" s="791"/>
    </row>
    <row r="53" spans="1:8" ht="13.5" thickTop="1">
      <c r="A53" s="791"/>
      <c r="B53" s="791"/>
      <c r="C53" s="791"/>
      <c r="D53" s="791"/>
      <c r="E53" s="791"/>
      <c r="F53" s="791"/>
      <c r="G53" s="791"/>
    </row>
    <row r="54" spans="1:8" ht="12.75">
      <c r="A54" s="791"/>
      <c r="B54" s="791"/>
      <c r="C54" s="791"/>
      <c r="D54" s="791"/>
      <c r="E54" s="791"/>
      <c r="F54" s="791"/>
      <c r="G54" s="791"/>
    </row>
    <row r="55" spans="1:8" ht="12.75">
      <c r="A55" s="733" t="s">
        <v>503</v>
      </c>
      <c r="B55" s="734" t="s">
        <v>504</v>
      </c>
      <c r="C55" s="735" t="s">
        <v>76</v>
      </c>
      <c r="D55" s="735" t="s">
        <v>77</v>
      </c>
      <c r="E55" s="734" t="s">
        <v>57</v>
      </c>
      <c r="F55" s="791"/>
      <c r="G55" s="791"/>
    </row>
    <row r="56" spans="1:8" ht="12.75">
      <c r="A56" s="1311">
        <v>44212</v>
      </c>
      <c r="B56" s="736">
        <f>(B10/30)*15</f>
        <v>329736</v>
      </c>
      <c r="C56" s="741">
        <v>74.017989999999998</v>
      </c>
      <c r="D56" s="737">
        <f>+$B$34/C56</f>
        <v>1.301845672923569</v>
      </c>
      <c r="E56" s="850">
        <f>+B56*D56</f>
        <v>429265.38480712596</v>
      </c>
      <c r="F56" s="791"/>
      <c r="G56" s="791"/>
    </row>
    <row r="57" spans="1:8" ht="13.5" thickBot="1">
      <c r="A57" s="791"/>
      <c r="B57" s="791"/>
      <c r="C57" s="791"/>
      <c r="D57" s="739" t="s">
        <v>61</v>
      </c>
      <c r="E57" s="1175">
        <f>+E37+E52+E56</f>
        <v>13037387.108259078</v>
      </c>
      <c r="F57" s="791"/>
      <c r="G57" s="791"/>
    </row>
    <row r="58" spans="1:8" ht="13.5" thickTop="1">
      <c r="A58" s="791"/>
      <c r="B58" s="791"/>
      <c r="C58" s="791"/>
      <c r="D58" s="791"/>
      <c r="E58" s="791"/>
      <c r="F58" s="791"/>
      <c r="G58" s="791"/>
    </row>
    <row r="59" spans="1:8" ht="12.75">
      <c r="A59" s="900" t="s">
        <v>317</v>
      </c>
      <c r="B59" s="791"/>
      <c r="C59" s="791"/>
      <c r="D59" s="791"/>
      <c r="E59" s="791"/>
      <c r="F59" s="791"/>
      <c r="G59" s="791"/>
    </row>
    <row r="60" spans="1:8" ht="12.75">
      <c r="A60" s="726" t="s">
        <v>180</v>
      </c>
      <c r="B60" s="724">
        <f>+B4</f>
        <v>43689</v>
      </c>
      <c r="C60" s="791"/>
      <c r="D60" s="791"/>
      <c r="E60" s="791"/>
      <c r="F60" s="791"/>
      <c r="G60" s="791"/>
    </row>
    <row r="61" spans="1:8" ht="12.75">
      <c r="A61" s="726" t="s">
        <v>129</v>
      </c>
      <c r="B61" s="850">
        <f>+B18+B26+E37+E52+E56</f>
        <v>18128233.774925742</v>
      </c>
      <c r="C61" s="791"/>
      <c r="D61" s="791"/>
      <c r="E61" s="791"/>
      <c r="F61" s="791"/>
      <c r="G61" s="791"/>
    </row>
    <row r="62" spans="1:8" ht="25.5">
      <c r="A62" s="761" t="s">
        <v>206</v>
      </c>
      <c r="B62" s="761" t="s">
        <v>10</v>
      </c>
      <c r="C62" s="1001" t="s">
        <v>279</v>
      </c>
      <c r="D62" s="923" t="s">
        <v>129</v>
      </c>
      <c r="E62" s="1001" t="s">
        <v>847</v>
      </c>
      <c r="F62" s="970" t="s">
        <v>59</v>
      </c>
      <c r="G62" s="912" t="s">
        <v>43</v>
      </c>
      <c r="H62" s="970" t="s">
        <v>253</v>
      </c>
    </row>
    <row r="63" spans="1:8" ht="12.75">
      <c r="A63" s="724">
        <v>43690</v>
      </c>
      <c r="B63" s="724">
        <v>43708</v>
      </c>
      <c r="C63" s="1176">
        <f t="shared" ref="C63:C69" si="3">_xlfn.DAYS(B63,A63)+1</f>
        <v>19</v>
      </c>
      <c r="D63" s="895">
        <f>+$B$61</f>
        <v>18128233.774925742</v>
      </c>
      <c r="E63" s="796">
        <v>0.19320000000000001</v>
      </c>
      <c r="F63" s="796">
        <f>+E63*1.5</f>
        <v>0.2898</v>
      </c>
      <c r="G63" s="897">
        <f>((1+F63)^(1/365)-1)</f>
        <v>6.9746823462724095E-4</v>
      </c>
      <c r="H63" s="895">
        <f>+D63*C63*G63</f>
        <v>240233.47695024026</v>
      </c>
    </row>
    <row r="64" spans="1:8" ht="12.75">
      <c r="A64" s="724">
        <v>43709</v>
      </c>
      <c r="B64" s="724">
        <v>43738</v>
      </c>
      <c r="C64" s="1176">
        <f t="shared" si="3"/>
        <v>30</v>
      </c>
      <c r="D64" s="895">
        <f t="shared" ref="D64:D92" si="4">+$B$61</f>
        <v>18128233.774925742</v>
      </c>
      <c r="E64" s="796">
        <v>0.19320000000000001</v>
      </c>
      <c r="F64" s="796">
        <f t="shared" ref="F64:F92" si="5">+E64*1.5</f>
        <v>0.2898</v>
      </c>
      <c r="G64" s="897">
        <f t="shared" ref="G64:G91" si="6">((1+F64)^(1/365)-1)</f>
        <v>6.9746823462724095E-4</v>
      </c>
      <c r="H64" s="895">
        <f t="shared" ref="H64:H92" si="7">+D64*C64*G64</f>
        <v>379316.01623722143</v>
      </c>
    </row>
    <row r="65" spans="1:8" ht="12.75">
      <c r="A65" s="724">
        <v>43739</v>
      </c>
      <c r="B65" s="724">
        <v>43769</v>
      </c>
      <c r="C65" s="1176">
        <f t="shared" si="3"/>
        <v>31</v>
      </c>
      <c r="D65" s="895">
        <f t="shared" si="4"/>
        <v>18128233.774925742</v>
      </c>
      <c r="E65" s="796">
        <v>0.191</v>
      </c>
      <c r="F65" s="796">
        <f t="shared" si="5"/>
        <v>0.28649999999999998</v>
      </c>
      <c r="G65" s="897">
        <f t="shared" si="6"/>
        <v>6.9044469314105683E-4</v>
      </c>
      <c r="H65" s="895">
        <f t="shared" si="7"/>
        <v>388012.82698345638</v>
      </c>
    </row>
    <row r="66" spans="1:8" ht="12.75">
      <c r="A66" s="724">
        <v>43770</v>
      </c>
      <c r="B66" s="724">
        <v>43799</v>
      </c>
      <c r="C66" s="1176">
        <f t="shared" si="3"/>
        <v>30</v>
      </c>
      <c r="D66" s="895">
        <f t="shared" si="4"/>
        <v>18128233.774925742</v>
      </c>
      <c r="E66" s="796">
        <v>0.1903</v>
      </c>
      <c r="F66" s="796">
        <f t="shared" si="5"/>
        <v>0.28544999999999998</v>
      </c>
      <c r="G66" s="897">
        <f t="shared" si="6"/>
        <v>6.8820616169262827E-4</v>
      </c>
      <c r="H66" s="895">
        <f t="shared" si="7"/>
        <v>374278.86553524929</v>
      </c>
    </row>
    <row r="67" spans="1:8" ht="12.75">
      <c r="A67" s="724">
        <v>43800</v>
      </c>
      <c r="B67" s="724">
        <v>43830</v>
      </c>
      <c r="C67" s="1176">
        <f t="shared" si="3"/>
        <v>31</v>
      </c>
      <c r="D67" s="895">
        <f t="shared" si="4"/>
        <v>18128233.774925742</v>
      </c>
      <c r="E67" s="796">
        <v>0.18909999999999999</v>
      </c>
      <c r="F67" s="796">
        <f t="shared" si="5"/>
        <v>0.28364999999999996</v>
      </c>
      <c r="G67" s="897">
        <f t="shared" si="6"/>
        <v>6.8436443340047504E-4</v>
      </c>
      <c r="H67" s="895">
        <f t="shared" si="7"/>
        <v>384595.87151378073</v>
      </c>
    </row>
    <row r="68" spans="1:8" ht="12.75">
      <c r="A68" s="724">
        <v>43831</v>
      </c>
      <c r="B68" s="724">
        <v>43861</v>
      </c>
      <c r="C68" s="1176">
        <f t="shared" si="3"/>
        <v>31</v>
      </c>
      <c r="D68" s="895">
        <f t="shared" si="4"/>
        <v>18128233.774925742</v>
      </c>
      <c r="E68" s="796">
        <v>0.18770000000000001</v>
      </c>
      <c r="F68" s="796">
        <f t="shared" si="5"/>
        <v>0.28155000000000002</v>
      </c>
      <c r="G68" s="897">
        <f t="shared" si="6"/>
        <v>6.7987562124560696E-4</v>
      </c>
      <c r="H68" s="895">
        <f t="shared" si="7"/>
        <v>382073.27019421029</v>
      </c>
    </row>
    <row r="69" spans="1:8" ht="12.75">
      <c r="A69" s="724">
        <v>43862</v>
      </c>
      <c r="B69" s="724">
        <v>43874</v>
      </c>
      <c r="C69" s="1176">
        <f t="shared" si="3"/>
        <v>13</v>
      </c>
      <c r="D69" s="895">
        <f t="shared" si="4"/>
        <v>18128233.774925742</v>
      </c>
      <c r="E69" s="796">
        <v>0.19059999999999999</v>
      </c>
      <c r="F69" s="796">
        <f t="shared" si="5"/>
        <v>0.28589999999999999</v>
      </c>
      <c r="G69" s="897">
        <f t="shared" si="6"/>
        <v>6.8916575551658532E-4</v>
      </c>
      <c r="H69" s="895">
        <f>+D69*C69*G69</f>
        <v>162413.65303381372</v>
      </c>
    </row>
    <row r="70" spans="1:8" ht="12.75" hidden="1">
      <c r="A70" s="724">
        <v>43875</v>
      </c>
      <c r="B70" s="724">
        <v>43889</v>
      </c>
      <c r="C70" s="1176"/>
      <c r="D70" s="895">
        <f t="shared" si="4"/>
        <v>18128233.774925742</v>
      </c>
      <c r="E70" s="796">
        <v>0.19059999999999999</v>
      </c>
      <c r="F70" s="796">
        <f>+E70*1.5</f>
        <v>0.28589999999999999</v>
      </c>
      <c r="G70" s="897">
        <f>((1+F70)^(1/365)-1)</f>
        <v>6.8916575551658532E-4</v>
      </c>
      <c r="H70" s="895">
        <f>+D70*C70*G70</f>
        <v>0</v>
      </c>
    </row>
    <row r="71" spans="1:8" ht="12.75" hidden="1">
      <c r="A71" s="724">
        <v>43891</v>
      </c>
      <c r="B71" s="724">
        <v>43921</v>
      </c>
      <c r="C71" s="1176"/>
      <c r="D71" s="895">
        <f t="shared" si="4"/>
        <v>18128233.774925742</v>
      </c>
      <c r="E71" s="796">
        <v>0.1895</v>
      </c>
      <c r="F71" s="796">
        <f t="shared" si="5"/>
        <v>0.28425</v>
      </c>
      <c r="G71" s="897">
        <f t="shared" si="6"/>
        <v>6.8564560609574166E-4</v>
      </c>
      <c r="H71" s="895">
        <f t="shared" si="7"/>
        <v>0</v>
      </c>
    </row>
    <row r="72" spans="1:8" ht="12.75" hidden="1">
      <c r="A72" s="724">
        <v>43922</v>
      </c>
      <c r="B72" s="724">
        <v>43951</v>
      </c>
      <c r="C72" s="1176"/>
      <c r="D72" s="895">
        <f t="shared" si="4"/>
        <v>18128233.774925742</v>
      </c>
      <c r="E72" s="796">
        <v>0.18690000000000001</v>
      </c>
      <c r="F72" s="796">
        <f t="shared" si="5"/>
        <v>0.28034999999999999</v>
      </c>
      <c r="G72" s="897">
        <f t="shared" si="6"/>
        <v>6.7730729113191224E-4</v>
      </c>
      <c r="H72" s="895">
        <f t="shared" si="7"/>
        <v>0</v>
      </c>
    </row>
    <row r="73" spans="1:8" ht="12.75" hidden="1">
      <c r="A73" s="724">
        <v>43952</v>
      </c>
      <c r="B73" s="724">
        <v>43982</v>
      </c>
      <c r="C73" s="1176"/>
      <c r="D73" s="895">
        <f t="shared" si="4"/>
        <v>18128233.774925742</v>
      </c>
      <c r="E73" s="796">
        <v>0.18190000000000001</v>
      </c>
      <c r="F73" s="796">
        <f t="shared" si="5"/>
        <v>0.27285000000000004</v>
      </c>
      <c r="G73" s="897">
        <f t="shared" si="6"/>
        <v>6.6120063584418354E-4</v>
      </c>
      <c r="H73" s="895">
        <f t="shared" si="7"/>
        <v>0</v>
      </c>
    </row>
    <row r="74" spans="1:8" ht="12.75" hidden="1">
      <c r="A74" s="724">
        <v>43983</v>
      </c>
      <c r="B74" s="724">
        <v>44012</v>
      </c>
      <c r="C74" s="1176"/>
      <c r="D74" s="895">
        <f t="shared" si="4"/>
        <v>18128233.774925742</v>
      </c>
      <c r="E74" s="796">
        <v>0.1812</v>
      </c>
      <c r="F74" s="796">
        <f t="shared" si="5"/>
        <v>0.27179999999999999</v>
      </c>
      <c r="G74" s="897">
        <f t="shared" si="6"/>
        <v>6.5893815469997286E-4</v>
      </c>
      <c r="H74" s="895">
        <f t="shared" si="7"/>
        <v>0</v>
      </c>
    </row>
    <row r="75" spans="1:8" ht="12.75" hidden="1">
      <c r="A75" s="724">
        <v>44013</v>
      </c>
      <c r="B75" s="724">
        <v>44043</v>
      </c>
      <c r="C75" s="1176"/>
      <c r="D75" s="895">
        <f t="shared" si="4"/>
        <v>18128233.774925742</v>
      </c>
      <c r="E75" s="796">
        <v>0.1812</v>
      </c>
      <c r="F75" s="796">
        <f t="shared" si="5"/>
        <v>0.27179999999999999</v>
      </c>
      <c r="G75" s="897">
        <f t="shared" si="6"/>
        <v>6.5893815469997286E-4</v>
      </c>
      <c r="H75" s="895">
        <f t="shared" si="7"/>
        <v>0</v>
      </c>
    </row>
    <row r="76" spans="1:8" ht="12.75" hidden="1">
      <c r="A76" s="724">
        <v>44044</v>
      </c>
      <c r="B76" s="724">
        <v>44074</v>
      </c>
      <c r="C76" s="1176"/>
      <c r="D76" s="895">
        <f t="shared" si="4"/>
        <v>18128233.774925742</v>
      </c>
      <c r="E76" s="796">
        <v>0.18290000000000001</v>
      </c>
      <c r="F76" s="796">
        <f t="shared" si="5"/>
        <v>0.27434999999999998</v>
      </c>
      <c r="G76" s="897">
        <f t="shared" si="6"/>
        <v>6.6442952514544906E-4</v>
      </c>
      <c r="H76" s="895">
        <f t="shared" si="7"/>
        <v>0</v>
      </c>
    </row>
    <row r="77" spans="1:8" ht="12.75" hidden="1">
      <c r="A77" s="724">
        <v>44075</v>
      </c>
      <c r="B77" s="724">
        <v>44104</v>
      </c>
      <c r="C77" s="1176"/>
      <c r="D77" s="895">
        <f t="shared" si="4"/>
        <v>18128233.774925742</v>
      </c>
      <c r="E77" s="796">
        <v>0.1835</v>
      </c>
      <c r="F77" s="796">
        <f t="shared" si="5"/>
        <v>0.27524999999999999</v>
      </c>
      <c r="G77" s="897">
        <f t="shared" si="6"/>
        <v>6.6636503991857055E-4</v>
      </c>
      <c r="H77" s="895">
        <f t="shared" si="7"/>
        <v>0</v>
      </c>
    </row>
    <row r="78" spans="1:8" ht="12.75" hidden="1">
      <c r="A78" s="724">
        <v>44105</v>
      </c>
      <c r="B78" s="724">
        <v>44135</v>
      </c>
      <c r="C78" s="1176"/>
      <c r="D78" s="895">
        <f t="shared" si="4"/>
        <v>18128233.774925742</v>
      </c>
      <c r="E78" s="796">
        <v>0.18090000000000001</v>
      </c>
      <c r="F78" s="796">
        <f t="shared" si="5"/>
        <v>0.27134999999999998</v>
      </c>
      <c r="G78" s="897">
        <f t="shared" si="6"/>
        <v>6.5796794962613703E-4</v>
      </c>
      <c r="H78" s="895">
        <f t="shared" si="7"/>
        <v>0</v>
      </c>
    </row>
    <row r="79" spans="1:8" ht="12.75" hidden="1">
      <c r="A79" s="724">
        <v>44136</v>
      </c>
      <c r="B79" s="724">
        <v>44165</v>
      </c>
      <c r="C79" s="1176"/>
      <c r="D79" s="895">
        <f t="shared" si="4"/>
        <v>18128233.774925742</v>
      </c>
      <c r="E79" s="796">
        <v>0.1784</v>
      </c>
      <c r="F79" s="796">
        <f t="shared" si="5"/>
        <v>0.2676</v>
      </c>
      <c r="G79" s="897">
        <f t="shared" si="6"/>
        <v>6.4986956374091243E-4</v>
      </c>
      <c r="H79" s="895">
        <f t="shared" si="7"/>
        <v>0</v>
      </c>
    </row>
    <row r="80" spans="1:8" ht="12.75" hidden="1">
      <c r="A80" s="724">
        <v>44166</v>
      </c>
      <c r="B80" s="724">
        <v>44196</v>
      </c>
      <c r="C80" s="1176"/>
      <c r="D80" s="895">
        <f t="shared" si="4"/>
        <v>18128233.774925742</v>
      </c>
      <c r="E80" s="796">
        <v>0.17460000000000001</v>
      </c>
      <c r="F80" s="796">
        <f t="shared" si="5"/>
        <v>0.26190000000000002</v>
      </c>
      <c r="G80" s="897">
        <f t="shared" si="6"/>
        <v>6.3751414410861962E-4</v>
      </c>
      <c r="H80" s="895">
        <f t="shared" si="7"/>
        <v>0</v>
      </c>
    </row>
    <row r="81" spans="1:8" ht="12.75" hidden="1">
      <c r="A81" s="724">
        <v>44197</v>
      </c>
      <c r="B81" s="724">
        <v>44227</v>
      </c>
      <c r="C81" s="1176"/>
      <c r="D81" s="895">
        <f t="shared" si="4"/>
        <v>18128233.774925742</v>
      </c>
      <c r="E81" s="796">
        <v>0.17319999999999999</v>
      </c>
      <c r="F81" s="796">
        <f t="shared" si="5"/>
        <v>0.25979999999999998</v>
      </c>
      <c r="G81" s="897">
        <f t="shared" si="6"/>
        <v>6.3294811266723094E-4</v>
      </c>
      <c r="H81" s="895">
        <f t="shared" si="7"/>
        <v>0</v>
      </c>
    </row>
    <row r="82" spans="1:8" ht="12.75" hidden="1">
      <c r="A82" s="724">
        <v>44228</v>
      </c>
      <c r="B82" s="724">
        <v>44255</v>
      </c>
      <c r="C82" s="1176"/>
      <c r="D82" s="895">
        <f t="shared" si="4"/>
        <v>18128233.774925742</v>
      </c>
      <c r="E82" s="796">
        <v>0.1754</v>
      </c>
      <c r="F82" s="796">
        <f t="shared" si="5"/>
        <v>0.2631</v>
      </c>
      <c r="G82" s="897">
        <f t="shared" si="6"/>
        <v>6.4011990387169426E-4</v>
      </c>
      <c r="H82" s="895">
        <f t="shared" si="7"/>
        <v>0</v>
      </c>
    </row>
    <row r="83" spans="1:8" ht="12.75" hidden="1">
      <c r="A83" s="724">
        <v>44256</v>
      </c>
      <c r="B83" s="724">
        <v>44286</v>
      </c>
      <c r="C83" s="1176"/>
      <c r="D83" s="895">
        <f t="shared" si="4"/>
        <v>18128233.774925742</v>
      </c>
      <c r="E83" s="796">
        <v>0.1741</v>
      </c>
      <c r="F83" s="796">
        <f t="shared" si="5"/>
        <v>0.26114999999999999</v>
      </c>
      <c r="G83" s="897">
        <f t="shared" si="6"/>
        <v>6.3588428907812578E-4</v>
      </c>
      <c r="H83" s="895">
        <f t="shared" si="7"/>
        <v>0</v>
      </c>
    </row>
    <row r="84" spans="1:8" ht="12.75" hidden="1">
      <c r="A84" s="724">
        <v>44287</v>
      </c>
      <c r="B84" s="724">
        <v>44316</v>
      </c>
      <c r="C84" s="1176"/>
      <c r="D84" s="895">
        <f t="shared" si="4"/>
        <v>18128233.774925742</v>
      </c>
      <c r="E84" s="796">
        <v>0.1731</v>
      </c>
      <c r="F84" s="796">
        <f t="shared" si="5"/>
        <v>0.25964999999999999</v>
      </c>
      <c r="G84" s="897">
        <f t="shared" si="6"/>
        <v>6.326216771728177E-4</v>
      </c>
      <c r="H84" s="895">
        <f t="shared" si="7"/>
        <v>0</v>
      </c>
    </row>
    <row r="85" spans="1:8" ht="12.75" hidden="1">
      <c r="A85" s="724">
        <v>44317</v>
      </c>
      <c r="B85" s="724">
        <v>44347</v>
      </c>
      <c r="C85" s="1176"/>
      <c r="D85" s="895">
        <f t="shared" si="4"/>
        <v>18128233.774925742</v>
      </c>
      <c r="E85" s="796">
        <v>0.17219999999999999</v>
      </c>
      <c r="F85" s="796">
        <f t="shared" si="5"/>
        <v>0.25829999999999997</v>
      </c>
      <c r="G85" s="897">
        <f t="shared" si="6"/>
        <v>6.2968201205726437E-4</v>
      </c>
      <c r="H85" s="895">
        <f t="shared" si="7"/>
        <v>0</v>
      </c>
    </row>
    <row r="86" spans="1:8" ht="12.75" hidden="1">
      <c r="A86" s="724">
        <v>44348</v>
      </c>
      <c r="B86" s="724">
        <v>44377</v>
      </c>
      <c r="C86" s="1176"/>
      <c r="D86" s="895">
        <f t="shared" si="4"/>
        <v>18128233.774925742</v>
      </c>
      <c r="E86" s="796">
        <v>0.1721</v>
      </c>
      <c r="F86" s="796">
        <f t="shared" si="5"/>
        <v>0.25814999999999999</v>
      </c>
      <c r="G86" s="897">
        <f t="shared" si="6"/>
        <v>6.2935518846773952E-4</v>
      </c>
      <c r="H86" s="895">
        <f t="shared" si="7"/>
        <v>0</v>
      </c>
    </row>
    <row r="87" spans="1:8" ht="12.75" hidden="1">
      <c r="A87" s="724">
        <v>44378</v>
      </c>
      <c r="B87" s="724">
        <v>44408</v>
      </c>
      <c r="C87" s="1176"/>
      <c r="D87" s="895">
        <f t="shared" si="4"/>
        <v>18128233.774925742</v>
      </c>
      <c r="E87" s="796">
        <v>0.17180000000000001</v>
      </c>
      <c r="F87" s="796">
        <f t="shared" si="5"/>
        <v>0.25770000000000004</v>
      </c>
      <c r="G87" s="897">
        <f t="shared" si="6"/>
        <v>6.2837448450037137E-4</v>
      </c>
      <c r="H87" s="895">
        <f t="shared" si="7"/>
        <v>0</v>
      </c>
    </row>
    <row r="88" spans="1:8" ht="12.75" hidden="1">
      <c r="A88" s="724">
        <v>44409</v>
      </c>
      <c r="B88" s="724">
        <v>44439</v>
      </c>
      <c r="C88" s="1176"/>
      <c r="D88" s="895">
        <f t="shared" si="4"/>
        <v>18128233.774925742</v>
      </c>
      <c r="E88" s="796">
        <v>0.1724</v>
      </c>
      <c r="F88" s="796">
        <f t="shared" si="5"/>
        <v>0.2586</v>
      </c>
      <c r="G88" s="897">
        <f t="shared" si="6"/>
        <v>6.3033554269220637E-4</v>
      </c>
      <c r="H88" s="895">
        <f t="shared" si="7"/>
        <v>0</v>
      </c>
    </row>
    <row r="89" spans="1:8" ht="12.75" hidden="1">
      <c r="A89" s="724">
        <v>44440</v>
      </c>
      <c r="B89" s="724">
        <v>44469</v>
      </c>
      <c r="C89" s="1176"/>
      <c r="D89" s="895">
        <f t="shared" si="4"/>
        <v>18128233.774925742</v>
      </c>
      <c r="E89" s="796">
        <v>0.1719</v>
      </c>
      <c r="F89" s="796">
        <f t="shared" si="5"/>
        <v>0.25785000000000002</v>
      </c>
      <c r="G89" s="897">
        <f t="shared" si="6"/>
        <v>6.2870142469861889E-4</v>
      </c>
      <c r="H89" s="895">
        <f t="shared" si="7"/>
        <v>0</v>
      </c>
    </row>
    <row r="90" spans="1:8" ht="12.75" hidden="1">
      <c r="A90" s="724">
        <v>44470</v>
      </c>
      <c r="B90" s="724">
        <v>44500</v>
      </c>
      <c r="C90" s="1176"/>
      <c r="D90" s="895">
        <f t="shared" si="4"/>
        <v>18128233.774925742</v>
      </c>
      <c r="E90" s="796">
        <v>0.17080000000000001</v>
      </c>
      <c r="F90" s="796">
        <f t="shared" si="5"/>
        <v>0.25619999999999998</v>
      </c>
      <c r="G90" s="897">
        <f t="shared" si="6"/>
        <v>6.2510294214179751E-4</v>
      </c>
      <c r="H90" s="895">
        <f t="shared" si="7"/>
        <v>0</v>
      </c>
    </row>
    <row r="91" spans="1:8" ht="12.75" hidden="1">
      <c r="A91" s="724">
        <v>44501</v>
      </c>
      <c r="B91" s="724">
        <v>44530</v>
      </c>
      <c r="C91" s="1176"/>
      <c r="D91" s="895">
        <f t="shared" si="4"/>
        <v>18128233.774925742</v>
      </c>
      <c r="E91" s="796">
        <v>0.17269999999999999</v>
      </c>
      <c r="F91" s="796">
        <f t="shared" si="5"/>
        <v>0.25905</v>
      </c>
      <c r="G91" s="897">
        <f t="shared" si="6"/>
        <v>6.3131554742335005E-4</v>
      </c>
      <c r="H91" s="895">
        <f t="shared" si="7"/>
        <v>0</v>
      </c>
    </row>
    <row r="92" spans="1:8" ht="12.75" hidden="1">
      <c r="A92" s="724">
        <v>44531</v>
      </c>
      <c r="B92" s="724">
        <v>44546</v>
      </c>
      <c r="C92" s="1176"/>
      <c r="D92" s="895">
        <f t="shared" si="4"/>
        <v>18128233.774925742</v>
      </c>
      <c r="E92" s="796">
        <v>0.17460000000000001</v>
      </c>
      <c r="F92" s="796">
        <f t="shared" si="5"/>
        <v>0.26190000000000002</v>
      </c>
      <c r="G92" s="897">
        <f>((1+F92)^(1/365)-1)</f>
        <v>6.3751414410861962E-4</v>
      </c>
      <c r="H92" s="895">
        <f t="shared" si="7"/>
        <v>0</v>
      </c>
    </row>
    <row r="93" spans="1:8" ht="27.75" customHeight="1" thickBot="1">
      <c r="A93" s="791"/>
      <c r="B93" s="791"/>
      <c r="C93" s="791"/>
      <c r="D93" s="791"/>
      <c r="F93" s="2722" t="s">
        <v>338</v>
      </c>
      <c r="G93" s="2723"/>
      <c r="H93" s="1312">
        <f>SUM(H63:H92)</f>
        <v>2310923.9804479722</v>
      </c>
    </row>
    <row r="94" spans="1:8" ht="27.75" customHeight="1">
      <c r="A94" s="791"/>
      <c r="B94" s="791"/>
      <c r="C94" s="791"/>
      <c r="D94" s="791"/>
      <c r="F94" s="1249"/>
      <c r="G94" s="1249"/>
      <c r="H94" s="1727"/>
    </row>
    <row r="95" spans="1:8" ht="12.75">
      <c r="A95" s="2604" t="s">
        <v>55</v>
      </c>
      <c r="B95" s="2681"/>
      <c r="C95" s="2605"/>
      <c r="D95" s="791"/>
      <c r="E95" s="791"/>
      <c r="F95" s="791"/>
      <c r="G95" s="791"/>
    </row>
    <row r="96" spans="1:8" ht="12.75">
      <c r="A96" s="726" t="s">
        <v>56</v>
      </c>
      <c r="B96" s="726"/>
      <c r="C96" s="726"/>
      <c r="D96" s="791"/>
      <c r="E96" s="791"/>
      <c r="F96" s="791"/>
      <c r="G96" s="791"/>
    </row>
    <row r="97" spans="1:7" ht="12.75">
      <c r="A97" s="741" t="s">
        <v>133</v>
      </c>
      <c r="B97" s="737"/>
      <c r="C97" s="895">
        <f>+B61</f>
        <v>18128233.774925742</v>
      </c>
      <c r="D97" s="791"/>
      <c r="E97" s="791"/>
      <c r="F97" s="791"/>
      <c r="G97" s="791"/>
    </row>
    <row r="98" spans="1:7" ht="12.75">
      <c r="A98" s="742" t="s">
        <v>832</v>
      </c>
      <c r="B98" s="830"/>
      <c r="C98" s="895">
        <f>+H93</f>
        <v>2310923.9804479722</v>
      </c>
      <c r="D98" s="791"/>
      <c r="E98" s="791"/>
      <c r="F98" s="791"/>
      <c r="G98" s="791"/>
    </row>
    <row r="99" spans="1:7" ht="12.75">
      <c r="A99" s="1788" t="s">
        <v>848</v>
      </c>
      <c r="B99" s="1789"/>
      <c r="C99" s="956">
        <v>17618500</v>
      </c>
      <c r="D99" s="791"/>
      <c r="E99" s="791"/>
      <c r="F99" s="791"/>
      <c r="G99" s="791"/>
    </row>
    <row r="100" spans="1:7" ht="13.5" thickBot="1">
      <c r="A100" s="743" t="s">
        <v>61</v>
      </c>
      <c r="B100" s="942"/>
      <c r="C100" s="1007">
        <f>SUM(C97:C99)</f>
        <v>38057657.755373716</v>
      </c>
      <c r="D100" s="791"/>
      <c r="E100" s="879"/>
      <c r="F100" s="791"/>
      <c r="G100" s="791"/>
    </row>
    <row r="101" spans="1:7" ht="13.5" thickTop="1">
      <c r="A101" s="900" t="s">
        <v>62</v>
      </c>
      <c r="B101" s="791"/>
      <c r="C101" s="925"/>
      <c r="D101" s="791"/>
      <c r="E101" s="791"/>
      <c r="F101" s="791"/>
      <c r="G101" s="791"/>
    </row>
    <row r="102" spans="1:7" ht="12.75">
      <c r="A102" s="814"/>
    </row>
    <row r="103" spans="1:7" ht="12.75">
      <c r="A103" s="814"/>
    </row>
    <row r="104" spans="1:7" ht="12.75">
      <c r="A104" s="818" t="s">
        <v>63</v>
      </c>
    </row>
    <row r="105" spans="1:7" ht="12.75">
      <c r="A105" s="818" t="s">
        <v>64</v>
      </c>
    </row>
    <row r="106" spans="1:7" ht="12.75">
      <c r="A106" s="900" t="s">
        <v>65</v>
      </c>
    </row>
  </sheetData>
  <mergeCells count="2">
    <mergeCell ref="A95:C95"/>
    <mergeCell ref="F93:G93"/>
  </mergeCells>
  <pageMargins left="0.7" right="0.7" top="0.75" bottom="0.75" header="0.3" footer="0.3"/>
  <pageSetup paperSize="5" scale="78"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95F95-56A4-40D7-B42A-26EB642A5A7F}">
  <sheetPr codeName="Hoja48"/>
  <dimension ref="A2:H117"/>
  <sheetViews>
    <sheetView topLeftCell="A62" zoomScale="98" zoomScaleNormal="98" workbookViewId="0">
      <selection activeCell="G116" sqref="G116"/>
    </sheetView>
  </sheetViews>
  <sheetFormatPr defaultColWidth="11.42578125" defaultRowHeight="11.25"/>
  <cols>
    <col min="1" max="1" width="22.42578125" style="147" customWidth="1"/>
    <col min="2" max="2" width="14.85546875" style="147" bestFit="1" customWidth="1"/>
    <col min="3" max="3" width="12.28515625" style="147" customWidth="1"/>
    <col min="4" max="4" width="13.85546875" style="147" customWidth="1"/>
    <col min="5" max="5" width="10.28515625" style="147" bestFit="1" customWidth="1"/>
    <col min="6" max="6" width="11.42578125" style="147"/>
    <col min="7" max="7" width="11.140625" style="147" customWidth="1"/>
    <col min="8" max="16384" width="11.42578125" style="147"/>
  </cols>
  <sheetData>
    <row r="2" spans="1:7" ht="12.75">
      <c r="A2" s="728" t="s">
        <v>121</v>
      </c>
      <c r="B2" s="944" t="s">
        <v>844</v>
      </c>
      <c r="C2" s="791"/>
      <c r="D2" s="791"/>
      <c r="E2" s="791"/>
      <c r="F2" s="791"/>
      <c r="G2" s="791"/>
    </row>
    <row r="3" spans="1:7" ht="12.75">
      <c r="A3" s="728" t="s">
        <v>238</v>
      </c>
      <c r="B3" s="737">
        <v>73141999</v>
      </c>
      <c r="C3" s="791"/>
      <c r="D3" s="791"/>
      <c r="E3" s="791"/>
      <c r="F3" s="791"/>
      <c r="G3" s="791"/>
    </row>
    <row r="4" spans="1:7" ht="12.75">
      <c r="A4" s="728" t="s">
        <v>4</v>
      </c>
      <c r="B4" s="724">
        <v>43689</v>
      </c>
      <c r="C4" s="791"/>
      <c r="D4" s="791"/>
      <c r="E4" s="791"/>
      <c r="F4" s="791"/>
      <c r="G4" s="791"/>
    </row>
    <row r="5" spans="1:7" ht="12.75">
      <c r="A5" s="848" t="s">
        <v>838</v>
      </c>
      <c r="B5" s="724">
        <v>43714</v>
      </c>
      <c r="C5" s="791"/>
      <c r="D5" s="791"/>
      <c r="E5" s="791"/>
      <c r="F5" s="791"/>
      <c r="G5" s="791"/>
    </row>
    <row r="6" spans="1:7" ht="12.75">
      <c r="A6" s="1166" t="s">
        <v>124</v>
      </c>
      <c r="B6" s="724" t="s">
        <v>845</v>
      </c>
      <c r="C6" s="791"/>
      <c r="D6" s="791"/>
      <c r="E6" s="791"/>
      <c r="F6" s="791"/>
      <c r="G6" s="791"/>
    </row>
    <row r="7" spans="1:7" ht="12.75">
      <c r="A7" s="791"/>
      <c r="B7" s="1167" t="s">
        <v>458</v>
      </c>
      <c r="C7" s="1167" t="s">
        <v>459</v>
      </c>
      <c r="D7" s="791"/>
      <c r="E7" s="791"/>
      <c r="F7" s="791"/>
      <c r="G7" s="791"/>
    </row>
    <row r="8" spans="1:7" ht="12.75">
      <c r="A8" s="1141" t="s">
        <v>461</v>
      </c>
      <c r="B8" s="851">
        <v>1554650</v>
      </c>
      <c r="C8" s="851">
        <v>1243720</v>
      </c>
      <c r="D8" s="791"/>
      <c r="E8" s="791"/>
      <c r="F8" s="791"/>
      <c r="G8" s="791"/>
    </row>
    <row r="9" spans="1:7" ht="13.5" thickBot="1">
      <c r="A9" s="1168" t="s">
        <v>464</v>
      </c>
      <c r="B9" s="1169">
        <v>895178</v>
      </c>
      <c r="C9" s="1169">
        <v>716142</v>
      </c>
      <c r="D9" s="791"/>
      <c r="E9" s="791"/>
      <c r="F9" s="791"/>
      <c r="G9" s="791"/>
    </row>
    <row r="10" spans="1:7" ht="12.75">
      <c r="A10" s="791" t="s">
        <v>465</v>
      </c>
      <c r="B10" s="851">
        <f>+B8-B9</f>
        <v>659472</v>
      </c>
      <c r="C10" s="851">
        <f>+C8-C9</f>
        <v>527578</v>
      </c>
      <c r="D10" s="791"/>
      <c r="E10" s="791"/>
      <c r="F10" s="791"/>
      <c r="G10" s="791"/>
    </row>
    <row r="11" spans="1:7" ht="12.75">
      <c r="A11" s="791"/>
      <c r="B11" s="851"/>
      <c r="C11" s="851"/>
      <c r="D11" s="791"/>
      <c r="E11" s="848" t="s">
        <v>846</v>
      </c>
      <c r="F11" s="791"/>
      <c r="G11" s="791"/>
    </row>
    <row r="12" spans="1:7" ht="12.75">
      <c r="A12" s="848" t="s">
        <v>489</v>
      </c>
      <c r="B12" s="851"/>
      <c r="C12" s="851"/>
      <c r="D12" s="791"/>
      <c r="E12" s="850">
        <v>329736</v>
      </c>
      <c r="F12" s="929">
        <v>27478</v>
      </c>
      <c r="G12" s="737" t="s">
        <v>467</v>
      </c>
    </row>
    <row r="13" spans="1:7" ht="12.75">
      <c r="A13" s="791" t="s">
        <v>472</v>
      </c>
      <c r="B13" s="851">
        <f>+(C10*360)/360</f>
        <v>527578</v>
      </c>
      <c r="C13" s="851"/>
      <c r="D13" s="791"/>
      <c r="E13" s="850">
        <v>470789.33333333337</v>
      </c>
      <c r="F13" s="929">
        <v>39232</v>
      </c>
      <c r="G13" s="737" t="s">
        <v>470</v>
      </c>
    </row>
    <row r="14" spans="1:7" ht="12.75">
      <c r="A14" s="791" t="s">
        <v>477</v>
      </c>
      <c r="B14" s="851">
        <f>+(C10*360)/360</f>
        <v>527578</v>
      </c>
      <c r="C14" s="851"/>
      <c r="D14" s="791"/>
      <c r="E14" s="850">
        <v>43964</v>
      </c>
      <c r="F14" s="929">
        <v>0</v>
      </c>
      <c r="G14" s="737" t="s">
        <v>473</v>
      </c>
    </row>
    <row r="15" spans="1:7" ht="12.75">
      <c r="A15" s="791" t="s">
        <v>480</v>
      </c>
      <c r="B15" s="851">
        <f>+E16</f>
        <v>745416</v>
      </c>
      <c r="C15" s="851"/>
      <c r="D15" s="791"/>
      <c r="E15" s="850">
        <v>494328.8</v>
      </c>
      <c r="F15" s="929">
        <v>0</v>
      </c>
      <c r="G15" s="737" t="s">
        <v>22</v>
      </c>
    </row>
    <row r="16" spans="1:7" ht="12.75">
      <c r="A16" s="791" t="s">
        <v>482</v>
      </c>
      <c r="B16" s="851">
        <f>+(C10*360)/720</f>
        <v>263789</v>
      </c>
      <c r="C16" s="851"/>
      <c r="D16" s="791"/>
      <c r="E16" s="850">
        <v>745416</v>
      </c>
      <c r="F16" s="929">
        <v>62118</v>
      </c>
      <c r="G16" s="737" t="s">
        <v>478</v>
      </c>
    </row>
    <row r="17" spans="1:7" ht="13.5" thickBot="1">
      <c r="A17" s="1171" t="s">
        <v>485</v>
      </c>
      <c r="B17" s="1169">
        <f>+E13</f>
        <v>470789.33333333337</v>
      </c>
      <c r="C17" s="851"/>
      <c r="D17" s="791"/>
      <c r="E17" s="850">
        <v>807534</v>
      </c>
      <c r="F17" s="929"/>
      <c r="G17" s="737" t="s">
        <v>490</v>
      </c>
    </row>
    <row r="18" spans="1:7" ht="12.75">
      <c r="A18" s="848" t="s">
        <v>488</v>
      </c>
      <c r="B18" s="879">
        <f>SUM(B13:B17)</f>
        <v>2535150.3333333335</v>
      </c>
      <c r="C18" s="791"/>
      <c r="D18" s="791"/>
      <c r="E18" s="850">
        <v>96904.08</v>
      </c>
      <c r="F18" s="929"/>
      <c r="G18" s="737" t="s">
        <v>483</v>
      </c>
    </row>
    <row r="19" spans="1:7" ht="12.75">
      <c r="A19" s="791"/>
      <c r="B19" s="791"/>
      <c r="C19" s="791"/>
      <c r="D19" s="791"/>
      <c r="E19" s="850">
        <v>230815.19999999998</v>
      </c>
      <c r="F19" s="929">
        <v>19234</v>
      </c>
      <c r="G19" s="737" t="s">
        <v>486</v>
      </c>
    </row>
    <row r="20" spans="1:7" ht="12.75">
      <c r="A20" s="848" t="s">
        <v>491</v>
      </c>
      <c r="B20" s="791"/>
      <c r="C20" s="791"/>
      <c r="D20" s="791"/>
      <c r="E20" s="791"/>
      <c r="F20" s="791"/>
      <c r="G20" s="791"/>
    </row>
    <row r="21" spans="1:7" ht="12.75">
      <c r="A21" s="791" t="s">
        <v>472</v>
      </c>
      <c r="B21" s="851">
        <f>+(B10*360)/360</f>
        <v>659472</v>
      </c>
      <c r="C21" s="791"/>
      <c r="D21" s="791"/>
      <c r="E21" s="850">
        <v>263789</v>
      </c>
      <c r="F21" s="929">
        <v>21982</v>
      </c>
      <c r="G21" s="737" t="s">
        <v>467</v>
      </c>
    </row>
    <row r="22" spans="1:7" ht="12.75">
      <c r="A22" s="791" t="s">
        <v>477</v>
      </c>
      <c r="B22" s="851">
        <f>+(B10*360)/360</f>
        <v>659472</v>
      </c>
      <c r="C22" s="791"/>
      <c r="D22" s="791"/>
      <c r="E22" s="850">
        <v>376631.33333333331</v>
      </c>
      <c r="F22" s="929">
        <v>31385</v>
      </c>
      <c r="G22" s="737" t="s">
        <v>470</v>
      </c>
    </row>
    <row r="23" spans="1:7" ht="12.75">
      <c r="A23" s="791" t="s">
        <v>480</v>
      </c>
      <c r="B23" s="879">
        <f>+E25</f>
        <v>596332</v>
      </c>
      <c r="C23" s="791"/>
      <c r="D23" s="791"/>
      <c r="E23" s="850">
        <v>35170</v>
      </c>
      <c r="F23" s="929">
        <v>0</v>
      </c>
      <c r="G23" s="737" t="s">
        <v>473</v>
      </c>
    </row>
    <row r="24" spans="1:7" ht="12.75">
      <c r="A24" s="791" t="s">
        <v>482</v>
      </c>
      <c r="B24" s="1170">
        <f>+(C10*360)/720</f>
        <v>263789</v>
      </c>
      <c r="C24" s="791"/>
      <c r="D24" s="791"/>
      <c r="E24" s="850">
        <v>395462.89999999997</v>
      </c>
      <c r="F24" s="929">
        <v>0</v>
      </c>
      <c r="G24" s="737" t="s">
        <v>22</v>
      </c>
    </row>
    <row r="25" spans="1:7" ht="13.5" thickBot="1">
      <c r="A25" s="1171" t="s">
        <v>485</v>
      </c>
      <c r="B25" s="1172">
        <f>+E22</f>
        <v>376631.33333333331</v>
      </c>
      <c r="C25" s="791"/>
      <c r="D25" s="791"/>
      <c r="E25" s="850">
        <v>596332</v>
      </c>
      <c r="F25" s="929">
        <v>49694</v>
      </c>
      <c r="G25" s="737" t="s">
        <v>478</v>
      </c>
    </row>
    <row r="26" spans="1:7" ht="12.75">
      <c r="A26" s="848" t="s">
        <v>492</v>
      </c>
      <c r="B26" s="879">
        <f>SUM(B21:B25)</f>
        <v>2555696.3333333335</v>
      </c>
      <c r="C26" s="791"/>
      <c r="D26" s="791"/>
      <c r="E26" s="850">
        <v>646026</v>
      </c>
      <c r="F26" s="929"/>
      <c r="G26" s="737" t="s">
        <v>490</v>
      </c>
    </row>
    <row r="27" spans="1:7" ht="12.75">
      <c r="A27" s="791"/>
      <c r="B27" s="791"/>
      <c r="C27" s="791"/>
      <c r="D27" s="791"/>
      <c r="E27" s="850">
        <v>77523.12</v>
      </c>
      <c r="F27" s="929"/>
      <c r="G27" s="737" t="s">
        <v>483</v>
      </c>
    </row>
    <row r="28" spans="1:7" ht="12.75">
      <c r="A28" s="791"/>
      <c r="B28" s="791"/>
      <c r="C28" s="791"/>
      <c r="D28" s="791"/>
      <c r="E28" s="850">
        <v>184652.3</v>
      </c>
      <c r="F28" s="929">
        <v>15387</v>
      </c>
      <c r="G28" s="737" t="s">
        <v>486</v>
      </c>
    </row>
    <row r="29" spans="1:7" ht="12.75">
      <c r="A29" s="848" t="s">
        <v>493</v>
      </c>
      <c r="B29" s="791"/>
      <c r="C29" s="791"/>
      <c r="D29" s="791"/>
      <c r="E29" s="791"/>
      <c r="F29" s="791"/>
      <c r="G29" s="791"/>
    </row>
    <row r="30" spans="1:7" ht="12.75">
      <c r="A30" s="737" t="s">
        <v>494</v>
      </c>
      <c r="B30" s="724">
        <v>35047</v>
      </c>
      <c r="C30" s="791"/>
      <c r="D30" s="791"/>
      <c r="E30" s="791"/>
      <c r="F30" s="791"/>
      <c r="G30" s="791"/>
    </row>
    <row r="31" spans="1:7" ht="12.75">
      <c r="A31" s="737" t="s">
        <v>495</v>
      </c>
      <c r="B31" s="724">
        <v>35446</v>
      </c>
      <c r="C31" s="791"/>
      <c r="D31" s="791"/>
      <c r="E31" s="791"/>
      <c r="F31" s="791"/>
      <c r="G31" s="791"/>
    </row>
    <row r="32" spans="1:7" ht="12.75">
      <c r="A32" s="737" t="s">
        <v>496</v>
      </c>
      <c r="B32" s="737">
        <f>_xlfn.DAYS(B31,B30)</f>
        <v>399</v>
      </c>
      <c r="C32" s="791"/>
      <c r="D32" s="791"/>
      <c r="E32" s="791"/>
      <c r="F32" s="791"/>
      <c r="G32" s="791"/>
    </row>
    <row r="33" spans="1:7" ht="12.75">
      <c r="A33" s="791"/>
      <c r="B33" s="791"/>
      <c r="C33" s="791"/>
      <c r="D33" s="791"/>
      <c r="E33" s="791"/>
      <c r="F33" s="791"/>
      <c r="G33" s="791"/>
    </row>
    <row r="34" spans="1:7" ht="24" customHeight="1">
      <c r="A34" s="1141" t="s">
        <v>497</v>
      </c>
      <c r="B34" s="732">
        <v>96.36</v>
      </c>
      <c r="C34" s="791"/>
      <c r="D34" s="791"/>
      <c r="E34" s="791"/>
      <c r="F34" s="791"/>
      <c r="G34" s="791"/>
    </row>
    <row r="35" spans="1:7" ht="12.75">
      <c r="A35" s="760" t="s">
        <v>840</v>
      </c>
      <c r="B35" s="761" t="s">
        <v>499</v>
      </c>
      <c r="C35" s="1113" t="s">
        <v>76</v>
      </c>
      <c r="D35" s="1113" t="s">
        <v>77</v>
      </c>
      <c r="E35" s="761" t="s">
        <v>57</v>
      </c>
      <c r="F35" s="791"/>
      <c r="G35" s="791"/>
    </row>
    <row r="36" spans="1:7" ht="12.75">
      <c r="A36" s="737" t="s">
        <v>841</v>
      </c>
      <c r="B36" s="736">
        <f>(C10/30)*16</f>
        <v>281374.93333333335</v>
      </c>
      <c r="C36" s="1744">
        <v>21.8</v>
      </c>
      <c r="D36" s="737">
        <f>+B34/C36</f>
        <v>4.4201834862385319</v>
      </c>
      <c r="E36" s="850">
        <f>+B36*D36</f>
        <v>1243728.8337614678</v>
      </c>
      <c r="F36" s="791"/>
      <c r="G36" s="791"/>
    </row>
    <row r="37" spans="1:7" ht="12.75">
      <c r="A37" s="791"/>
      <c r="B37" s="791"/>
      <c r="C37" s="791"/>
      <c r="D37" s="737" t="s">
        <v>61</v>
      </c>
      <c r="E37" s="850">
        <f>+E36</f>
        <v>1243728.8337614678</v>
      </c>
      <c r="F37" s="791"/>
      <c r="G37" s="791"/>
    </row>
    <row r="38" spans="1:7" ht="12.75">
      <c r="A38" s="791"/>
      <c r="B38" s="791"/>
      <c r="C38" s="791"/>
      <c r="D38" s="791"/>
      <c r="E38" s="791"/>
      <c r="F38" s="791"/>
      <c r="G38" s="791"/>
    </row>
    <row r="39" spans="1:7" ht="12.75">
      <c r="A39" s="760" t="s">
        <v>501</v>
      </c>
      <c r="B39" s="761" t="s">
        <v>502</v>
      </c>
      <c r="C39" s="1113" t="s">
        <v>76</v>
      </c>
      <c r="D39" s="1113" t="s">
        <v>77</v>
      </c>
      <c r="E39" s="761" t="s">
        <v>57</v>
      </c>
      <c r="F39" s="791"/>
      <c r="G39" s="791"/>
    </row>
    <row r="40" spans="1:7" ht="12.75">
      <c r="A40" s="738" t="s">
        <v>16</v>
      </c>
      <c r="B40" s="736">
        <f>+$C$9</f>
        <v>716142</v>
      </c>
      <c r="C40" s="1744">
        <v>22.35</v>
      </c>
      <c r="D40" s="737">
        <f t="shared" ref="D40:D51" si="0">+$B$34/C40</f>
        <v>4.3114093959731541</v>
      </c>
      <c r="E40" s="850">
        <f t="shared" ref="E40:E51" si="1">+B40*D40</f>
        <v>3087581.3476510067</v>
      </c>
      <c r="F40" s="791"/>
      <c r="G40" s="791"/>
    </row>
    <row r="41" spans="1:7" ht="12.75">
      <c r="A41" s="738" t="s">
        <v>17</v>
      </c>
      <c r="B41" s="736">
        <f t="shared" ref="B41:B51" si="2">+$C$9</f>
        <v>716142</v>
      </c>
      <c r="C41" s="1744">
        <v>23.25</v>
      </c>
      <c r="D41" s="737">
        <f t="shared" si="0"/>
        <v>4.1445161290322581</v>
      </c>
      <c r="E41" s="850">
        <f t="shared" si="1"/>
        <v>2968062.0696774195</v>
      </c>
      <c r="F41" s="791"/>
      <c r="G41" s="791"/>
    </row>
    <row r="42" spans="1:7" ht="12.75">
      <c r="A42" s="738" t="s">
        <v>19</v>
      </c>
      <c r="B42" s="736">
        <f t="shared" si="2"/>
        <v>716142</v>
      </c>
      <c r="C42" s="1744">
        <v>23.74</v>
      </c>
      <c r="D42" s="737">
        <f t="shared" si="0"/>
        <v>4.0589721988205563</v>
      </c>
      <c r="E42" s="850">
        <f t="shared" si="1"/>
        <v>2906800.4684077506</v>
      </c>
      <c r="F42" s="791"/>
      <c r="G42" s="791"/>
    </row>
    <row r="43" spans="1:7" ht="12.75">
      <c r="A43" s="738" t="s">
        <v>21</v>
      </c>
      <c r="B43" s="736">
        <f t="shared" si="2"/>
        <v>716142</v>
      </c>
      <c r="C43" s="1744">
        <v>24.21</v>
      </c>
      <c r="D43" s="737">
        <f t="shared" si="0"/>
        <v>3.9801734820322179</v>
      </c>
      <c r="E43" s="850">
        <f t="shared" si="1"/>
        <v>2850369.3977695168</v>
      </c>
      <c r="F43" s="791"/>
      <c r="G43" s="791"/>
    </row>
    <row r="44" spans="1:7" ht="12.75">
      <c r="A44" s="738" t="s">
        <v>23</v>
      </c>
      <c r="B44" s="736">
        <f t="shared" si="2"/>
        <v>716142</v>
      </c>
      <c r="C44" s="1744">
        <v>24.58</v>
      </c>
      <c r="D44" s="737">
        <f t="shared" si="0"/>
        <v>3.9202603742880391</v>
      </c>
      <c r="E44" s="850">
        <f t="shared" si="1"/>
        <v>2807463.104963385</v>
      </c>
      <c r="F44" s="791"/>
      <c r="G44" s="791"/>
    </row>
    <row r="45" spans="1:7" ht="12.75">
      <c r="A45" s="738" t="s">
        <v>25</v>
      </c>
      <c r="B45" s="736">
        <f t="shared" si="2"/>
        <v>716142</v>
      </c>
      <c r="C45" s="1744">
        <v>24.87</v>
      </c>
      <c r="D45" s="737">
        <f t="shared" si="0"/>
        <v>3.8745476477683956</v>
      </c>
      <c r="E45" s="850">
        <f t="shared" si="1"/>
        <v>2774726.3015681542</v>
      </c>
      <c r="F45" s="791"/>
      <c r="G45" s="791"/>
    </row>
    <row r="46" spans="1:7" ht="12.75">
      <c r="A46" s="738" t="s">
        <v>27</v>
      </c>
      <c r="B46" s="736">
        <f t="shared" si="2"/>
        <v>716142</v>
      </c>
      <c r="C46" s="1744">
        <v>25.24</v>
      </c>
      <c r="D46" s="737">
        <f t="shared" si="0"/>
        <v>3.8177496038034868</v>
      </c>
      <c r="E46" s="850">
        <f t="shared" si="1"/>
        <v>2734050.8367670365</v>
      </c>
      <c r="F46" s="791"/>
      <c r="G46" s="791"/>
    </row>
    <row r="47" spans="1:7" ht="12.75">
      <c r="A47" s="738" t="s">
        <v>29</v>
      </c>
      <c r="B47" s="736">
        <f t="shared" si="2"/>
        <v>716142</v>
      </c>
      <c r="C47" s="1744">
        <v>25.52</v>
      </c>
      <c r="D47" s="737">
        <f t="shared" si="0"/>
        <v>3.7758620689655173</v>
      </c>
      <c r="E47" s="850">
        <f t="shared" si="1"/>
        <v>2704053.4137931033</v>
      </c>
      <c r="F47" s="791"/>
      <c r="G47" s="791"/>
    </row>
    <row r="48" spans="1:7" ht="12.75">
      <c r="A48" s="738" t="s">
        <v>31</v>
      </c>
      <c r="B48" s="736">
        <f t="shared" si="2"/>
        <v>716142</v>
      </c>
      <c r="C48" s="1744">
        <v>25.82</v>
      </c>
      <c r="D48" s="737">
        <f t="shared" si="0"/>
        <v>3.7319907048799381</v>
      </c>
      <c r="E48" s="850">
        <f t="shared" si="1"/>
        <v>2672635.2873741286</v>
      </c>
      <c r="F48" s="791"/>
      <c r="G48" s="791"/>
    </row>
    <row r="49" spans="1:7" ht="12.75">
      <c r="A49" s="738" t="s">
        <v>33</v>
      </c>
      <c r="B49" s="736">
        <f t="shared" si="2"/>
        <v>716142</v>
      </c>
      <c r="C49" s="1744">
        <v>26.12</v>
      </c>
      <c r="D49" s="737">
        <f t="shared" si="0"/>
        <v>3.6891271056661559</v>
      </c>
      <c r="E49" s="850">
        <f t="shared" si="1"/>
        <v>2641938.8637059722</v>
      </c>
      <c r="F49" s="791"/>
      <c r="G49" s="791"/>
    </row>
    <row r="50" spans="1:7" ht="12.75">
      <c r="A50" s="738" t="s">
        <v>34</v>
      </c>
      <c r="B50" s="736">
        <f t="shared" si="2"/>
        <v>716142</v>
      </c>
      <c r="C50" s="1744">
        <v>26.33</v>
      </c>
      <c r="D50" s="737">
        <f t="shared" si="0"/>
        <v>3.6597037599696165</v>
      </c>
      <c r="E50" s="850">
        <f t="shared" si="1"/>
        <v>2620867.570072161</v>
      </c>
      <c r="F50" s="791"/>
      <c r="G50" s="791"/>
    </row>
    <row r="51" spans="1:7" ht="12.75">
      <c r="A51" s="738" t="s">
        <v>35</v>
      </c>
      <c r="B51" s="736">
        <f t="shared" si="2"/>
        <v>716142</v>
      </c>
      <c r="C51" s="1744">
        <v>26.52</v>
      </c>
      <c r="D51" s="737">
        <f t="shared" si="0"/>
        <v>3.6334841628959276</v>
      </c>
      <c r="E51" s="850">
        <f t="shared" si="1"/>
        <v>2602090.6153846155</v>
      </c>
      <c r="F51" s="791"/>
      <c r="G51" s="791"/>
    </row>
    <row r="52" spans="1:7" ht="12.75">
      <c r="A52" s="1739" t="s">
        <v>472</v>
      </c>
      <c r="B52" s="736">
        <v>527578</v>
      </c>
      <c r="C52" s="1744">
        <v>26.52</v>
      </c>
      <c r="D52" s="737">
        <f>+$B$34/C52</f>
        <v>3.6334841628959276</v>
      </c>
      <c r="E52" s="850">
        <f>+B52*D52</f>
        <v>1916946.3076923077</v>
      </c>
      <c r="F52" s="791"/>
      <c r="G52" s="791"/>
    </row>
    <row r="53" spans="1:7" ht="12.75">
      <c r="A53" s="1739" t="s">
        <v>477</v>
      </c>
      <c r="B53" s="736">
        <v>527578</v>
      </c>
      <c r="C53" s="1744">
        <v>26.52</v>
      </c>
      <c r="D53" s="737">
        <f>+$B$34/C53</f>
        <v>3.6334841628959276</v>
      </c>
      <c r="E53" s="850">
        <f>+B53*D53</f>
        <v>1916946.3076923077</v>
      </c>
      <c r="F53" s="791"/>
      <c r="G53" s="791"/>
    </row>
    <row r="54" spans="1:7" ht="12.75">
      <c r="A54" s="1739" t="s">
        <v>480</v>
      </c>
      <c r="B54" s="736">
        <v>745416</v>
      </c>
      <c r="C54" s="1744">
        <v>26.52</v>
      </c>
      <c r="D54" s="737">
        <f>+$B$34/C54</f>
        <v>3.6334841628959276</v>
      </c>
      <c r="E54" s="850">
        <f>+B54*D54</f>
        <v>2708457.2307692305</v>
      </c>
      <c r="F54" s="791"/>
      <c r="G54" s="791"/>
    </row>
    <row r="55" spans="1:7" ht="12.75">
      <c r="A55" s="1739" t="s">
        <v>482</v>
      </c>
      <c r="B55" s="736">
        <v>263789</v>
      </c>
      <c r="C55" s="1744">
        <v>26.52</v>
      </c>
      <c r="D55" s="737">
        <f>+$B$34/C55</f>
        <v>3.6334841628959276</v>
      </c>
      <c r="E55" s="850">
        <f>+B55*D55</f>
        <v>958473.15384615387</v>
      </c>
      <c r="F55" s="791"/>
      <c r="G55" s="791"/>
    </row>
    <row r="56" spans="1:7" ht="12.75">
      <c r="A56" s="1739" t="s">
        <v>485</v>
      </c>
      <c r="B56" s="736">
        <v>470789.33333333337</v>
      </c>
      <c r="C56" s="1744">
        <v>26.52</v>
      </c>
      <c r="D56" s="737">
        <f>+$B$34/C56</f>
        <v>3.6334841628959276</v>
      </c>
      <c r="E56" s="850">
        <f>+B56*D56</f>
        <v>1710605.5867269987</v>
      </c>
      <c r="F56" s="791"/>
      <c r="G56" s="791"/>
    </row>
    <row r="57" spans="1:7" ht="13.5" thickBot="1">
      <c r="A57" s="738"/>
      <c r="B57" s="736"/>
      <c r="C57" s="737"/>
      <c r="D57" s="739" t="s">
        <v>61</v>
      </c>
      <c r="E57" s="1175">
        <f>SUM(E40:E56)</f>
        <v>42582067.86386124</v>
      </c>
      <c r="F57" s="791"/>
      <c r="G57" s="791"/>
    </row>
    <row r="58" spans="1:7" ht="13.5" thickTop="1">
      <c r="A58" s="791"/>
      <c r="B58" s="791"/>
      <c r="C58" s="791"/>
      <c r="D58" s="791"/>
      <c r="E58" s="791"/>
      <c r="F58" s="791"/>
      <c r="G58" s="791"/>
    </row>
    <row r="59" spans="1:7" ht="12.75">
      <c r="A59" s="791"/>
      <c r="B59" s="791"/>
      <c r="C59" s="791"/>
      <c r="D59" s="791"/>
      <c r="E59" s="791"/>
      <c r="F59" s="791"/>
      <c r="G59" s="791"/>
    </row>
    <row r="60" spans="1:7" ht="12.75">
      <c r="A60" s="733" t="s">
        <v>503</v>
      </c>
      <c r="B60" s="734" t="s">
        <v>504</v>
      </c>
      <c r="C60" s="735" t="s">
        <v>76</v>
      </c>
      <c r="D60" s="735" t="s">
        <v>77</v>
      </c>
      <c r="E60" s="734" t="s">
        <v>57</v>
      </c>
      <c r="F60" s="791"/>
      <c r="G60" s="791"/>
    </row>
    <row r="61" spans="1:7" ht="12.75">
      <c r="A61" s="1311">
        <v>44212</v>
      </c>
      <c r="B61" s="736">
        <f>(B10/30)*15</f>
        <v>329736</v>
      </c>
      <c r="C61" s="1744">
        <v>26.96</v>
      </c>
      <c r="D61" s="737">
        <f t="shared" ref="D61:D66" si="3">+$B$34/C61</f>
        <v>3.5741839762611276</v>
      </c>
      <c r="E61" s="850">
        <f t="shared" ref="E61:E66" si="4">+B61*D61</f>
        <v>1178537.1275964391</v>
      </c>
      <c r="F61" s="791"/>
      <c r="G61" s="791"/>
    </row>
    <row r="62" spans="1:7" ht="12.75">
      <c r="A62" s="1745" t="s">
        <v>472</v>
      </c>
      <c r="B62" s="1746">
        <v>659472</v>
      </c>
      <c r="C62" s="1744">
        <v>26.96</v>
      </c>
      <c r="D62" s="737">
        <f t="shared" si="3"/>
        <v>3.5741839762611276</v>
      </c>
      <c r="E62" s="850">
        <f t="shared" si="4"/>
        <v>2357074.2551928782</v>
      </c>
      <c r="F62" s="791"/>
      <c r="G62" s="791"/>
    </row>
    <row r="63" spans="1:7" ht="12.75">
      <c r="A63" s="1745" t="s">
        <v>477</v>
      </c>
      <c r="B63" s="1746">
        <v>659472</v>
      </c>
      <c r="C63" s="1744">
        <v>26.96</v>
      </c>
      <c r="D63" s="737">
        <f t="shared" si="3"/>
        <v>3.5741839762611276</v>
      </c>
      <c r="E63" s="850">
        <f t="shared" si="4"/>
        <v>2357074.2551928782</v>
      </c>
      <c r="F63" s="791"/>
      <c r="G63" s="791"/>
    </row>
    <row r="64" spans="1:7" ht="12.75">
      <c r="A64" s="1745" t="s">
        <v>480</v>
      </c>
      <c r="B64" s="1746">
        <v>596332</v>
      </c>
      <c r="C64" s="1744">
        <v>26.96</v>
      </c>
      <c r="D64" s="737">
        <f t="shared" si="3"/>
        <v>3.5741839762611276</v>
      </c>
      <c r="E64" s="850">
        <f t="shared" si="4"/>
        <v>2131400.2789317509</v>
      </c>
      <c r="F64" s="791"/>
      <c r="G64" s="791"/>
    </row>
    <row r="65" spans="1:8" ht="12.75">
      <c r="A65" s="1745" t="s">
        <v>482</v>
      </c>
      <c r="B65" s="1746">
        <v>263789</v>
      </c>
      <c r="C65" s="1744">
        <v>26.96</v>
      </c>
      <c r="D65" s="737">
        <f t="shared" si="3"/>
        <v>3.5741839762611276</v>
      </c>
      <c r="E65" s="850">
        <f t="shared" si="4"/>
        <v>942830.41691394662</v>
      </c>
      <c r="F65" s="791"/>
      <c r="G65" s="791"/>
    </row>
    <row r="66" spans="1:8" ht="13.5" thickBot="1">
      <c r="A66" s="1745" t="s">
        <v>485</v>
      </c>
      <c r="B66" s="1746">
        <v>376631.33333333331</v>
      </c>
      <c r="C66" s="1744">
        <v>26.96</v>
      </c>
      <c r="D66" s="1751">
        <f t="shared" si="3"/>
        <v>3.5741839762611276</v>
      </c>
      <c r="E66" s="1752">
        <f t="shared" si="4"/>
        <v>1346149.6765578634</v>
      </c>
      <c r="F66" s="791"/>
      <c r="G66" s="791"/>
    </row>
    <row r="67" spans="1:8" s="1749" customFormat="1" ht="13.5" thickBot="1">
      <c r="A67" s="1747"/>
      <c r="B67" s="1748"/>
      <c r="C67" s="911"/>
      <c r="D67" s="1750" t="s">
        <v>61</v>
      </c>
      <c r="E67" s="1753">
        <f>SUM(E61:E66)</f>
        <v>10313066.010385755</v>
      </c>
      <c r="F67" s="1086"/>
      <c r="G67" s="1086"/>
    </row>
    <row r="68" spans="1:8" ht="13.5" thickTop="1">
      <c r="A68" s="791"/>
      <c r="B68" s="791"/>
      <c r="C68" s="791"/>
      <c r="F68" s="791"/>
      <c r="G68" s="791"/>
    </row>
    <row r="69" spans="1:8" ht="13.5" thickBot="1">
      <c r="A69" s="791"/>
      <c r="B69" s="791"/>
      <c r="C69" s="791"/>
      <c r="D69" s="739" t="s">
        <v>61</v>
      </c>
      <c r="E69" s="1175">
        <f>+E37+E57+E67</f>
        <v>54138862.708008468</v>
      </c>
      <c r="G69" s="791"/>
    </row>
    <row r="70" spans="1:8" ht="13.5" thickTop="1">
      <c r="A70" s="900" t="s">
        <v>317</v>
      </c>
      <c r="B70" s="791"/>
      <c r="C70" s="791"/>
      <c r="D70" s="791"/>
      <c r="E70" s="791"/>
      <c r="F70" s="791"/>
      <c r="G70" s="791"/>
    </row>
    <row r="71" spans="1:8" ht="12.75">
      <c r="A71" s="726" t="s">
        <v>180</v>
      </c>
      <c r="B71" s="724">
        <f>+B4</f>
        <v>43689</v>
      </c>
      <c r="C71" s="791"/>
      <c r="D71" s="791"/>
      <c r="E71" s="791"/>
      <c r="F71" s="791"/>
      <c r="G71" s="791"/>
    </row>
    <row r="72" spans="1:8" ht="12.75">
      <c r="A72" s="726" t="s">
        <v>129</v>
      </c>
      <c r="B72" s="850">
        <f>+E37+E57+E67</f>
        <v>54138862.708008468</v>
      </c>
      <c r="C72" s="791"/>
      <c r="D72" s="791"/>
      <c r="E72" s="791"/>
      <c r="F72" s="791"/>
      <c r="G72" s="791"/>
    </row>
    <row r="73" spans="1:8" ht="25.5">
      <c r="A73" s="761" t="s">
        <v>206</v>
      </c>
      <c r="B73" s="761" t="s">
        <v>10</v>
      </c>
      <c r="C73" s="1001" t="s">
        <v>279</v>
      </c>
      <c r="D73" s="923" t="s">
        <v>129</v>
      </c>
      <c r="E73" s="1001" t="s">
        <v>847</v>
      </c>
      <c r="F73" s="970" t="s">
        <v>59</v>
      </c>
      <c r="G73" s="912" t="s">
        <v>43</v>
      </c>
      <c r="H73" s="970" t="s">
        <v>253</v>
      </c>
    </row>
    <row r="74" spans="1:8" ht="12.75">
      <c r="A74" s="724">
        <v>43690</v>
      </c>
      <c r="B74" s="724">
        <v>43708</v>
      </c>
      <c r="C74" s="1176">
        <f t="shared" ref="C74:C80" si="5">_xlfn.DAYS(B74,A74)+1</f>
        <v>19</v>
      </c>
      <c r="D74" s="895">
        <f>+$B$72</f>
        <v>54138862.708008468</v>
      </c>
      <c r="E74" s="796">
        <v>0.19320000000000001</v>
      </c>
      <c r="F74" s="796">
        <f>+E74*1.5</f>
        <v>0.2898</v>
      </c>
      <c r="G74" s="897">
        <f>((1+F74)^(1/365)-1)</f>
        <v>6.9746823462724095E-4</v>
      </c>
      <c r="H74" s="895">
        <f t="shared" ref="H74:H103" si="6">+D74*C74*G74</f>
        <v>717442.60295594344</v>
      </c>
    </row>
    <row r="75" spans="1:8" ht="12.75">
      <c r="A75" s="724">
        <v>43709</v>
      </c>
      <c r="B75" s="724">
        <v>43738</v>
      </c>
      <c r="C75" s="1176">
        <f t="shared" si="5"/>
        <v>30</v>
      </c>
      <c r="D75" s="895">
        <f t="shared" ref="D75:D103" si="7">+$B$72</f>
        <v>54138862.708008468</v>
      </c>
      <c r="E75" s="796">
        <v>0.19320000000000001</v>
      </c>
      <c r="F75" s="796">
        <f t="shared" ref="F75:F103" si="8">+E75*1.5</f>
        <v>0.2898</v>
      </c>
      <c r="G75" s="897">
        <f t="shared" ref="G75:G102" si="9">((1+F75)^(1/365)-1)</f>
        <v>6.9746823462724095E-4</v>
      </c>
      <c r="H75" s="895">
        <f t="shared" si="6"/>
        <v>1132804.1099304371</v>
      </c>
    </row>
    <row r="76" spans="1:8" ht="12.75">
      <c r="A76" s="724">
        <v>43739</v>
      </c>
      <c r="B76" s="724">
        <v>43769</v>
      </c>
      <c r="C76" s="1176">
        <f t="shared" si="5"/>
        <v>31</v>
      </c>
      <c r="D76" s="895">
        <f t="shared" si="7"/>
        <v>54138862.708008468</v>
      </c>
      <c r="E76" s="796">
        <v>0.191</v>
      </c>
      <c r="F76" s="796">
        <f t="shared" si="8"/>
        <v>0.28649999999999998</v>
      </c>
      <c r="G76" s="897">
        <f t="shared" si="9"/>
        <v>6.9044469314105683E-4</v>
      </c>
      <c r="H76" s="895">
        <f t="shared" si="6"/>
        <v>1158776.6039325381</v>
      </c>
    </row>
    <row r="77" spans="1:8" ht="12.75">
      <c r="A77" s="724">
        <v>43770</v>
      </c>
      <c r="B77" s="724">
        <v>43799</v>
      </c>
      <c r="C77" s="1176">
        <f t="shared" si="5"/>
        <v>30</v>
      </c>
      <c r="D77" s="895">
        <f t="shared" si="7"/>
        <v>54138862.708008468</v>
      </c>
      <c r="E77" s="796">
        <v>0.1903</v>
      </c>
      <c r="F77" s="796">
        <f t="shared" si="8"/>
        <v>0.28544999999999998</v>
      </c>
      <c r="G77" s="897">
        <f t="shared" si="9"/>
        <v>6.8820616169262827E-4</v>
      </c>
      <c r="H77" s="895">
        <f t="shared" si="6"/>
        <v>1117760.9670804802</v>
      </c>
    </row>
    <row r="78" spans="1:8" ht="12.75">
      <c r="A78" s="724">
        <v>43800</v>
      </c>
      <c r="B78" s="724">
        <v>43830</v>
      </c>
      <c r="C78" s="1176">
        <f t="shared" si="5"/>
        <v>31</v>
      </c>
      <c r="D78" s="895">
        <f t="shared" si="7"/>
        <v>54138862.708008468</v>
      </c>
      <c r="E78" s="796">
        <v>0.18909999999999999</v>
      </c>
      <c r="F78" s="796">
        <f t="shared" si="8"/>
        <v>0.28364999999999996</v>
      </c>
      <c r="G78" s="897">
        <f t="shared" si="9"/>
        <v>6.8436443340047504E-4</v>
      </c>
      <c r="H78" s="895">
        <f t="shared" si="6"/>
        <v>1148572.075165482</v>
      </c>
    </row>
    <row r="79" spans="1:8" ht="12.75">
      <c r="A79" s="724">
        <v>43831</v>
      </c>
      <c r="B79" s="724">
        <v>43861</v>
      </c>
      <c r="C79" s="1176">
        <f t="shared" si="5"/>
        <v>31</v>
      </c>
      <c r="D79" s="895">
        <f t="shared" si="7"/>
        <v>54138862.708008468</v>
      </c>
      <c r="E79" s="796">
        <v>0.18770000000000001</v>
      </c>
      <c r="F79" s="796">
        <f t="shared" si="8"/>
        <v>0.28155000000000002</v>
      </c>
      <c r="G79" s="897">
        <f t="shared" si="9"/>
        <v>6.7987562124560696E-4</v>
      </c>
      <c r="H79" s="895">
        <f t="shared" si="6"/>
        <v>1141038.4804312743</v>
      </c>
    </row>
    <row r="80" spans="1:8" ht="12.75">
      <c r="A80" s="724">
        <v>43862</v>
      </c>
      <c r="B80" s="724">
        <v>43874</v>
      </c>
      <c r="C80" s="1176">
        <f t="shared" si="5"/>
        <v>13</v>
      </c>
      <c r="D80" s="895">
        <f t="shared" si="7"/>
        <v>54138862.708008468</v>
      </c>
      <c r="E80" s="796">
        <v>0.19059999999999999</v>
      </c>
      <c r="F80" s="796">
        <f t="shared" si="8"/>
        <v>0.28589999999999999</v>
      </c>
      <c r="G80" s="897">
        <f t="shared" si="9"/>
        <v>6.8916575551658532E-4</v>
      </c>
      <c r="H80" s="895">
        <f t="shared" si="6"/>
        <v>485038.45287265349</v>
      </c>
    </row>
    <row r="81" spans="1:8" ht="12.75" hidden="1">
      <c r="A81" s="724">
        <v>43875</v>
      </c>
      <c r="B81" s="724">
        <v>43889</v>
      </c>
      <c r="C81" s="1176"/>
      <c r="D81" s="895">
        <f t="shared" si="7"/>
        <v>54138862.708008468</v>
      </c>
      <c r="E81" s="796">
        <v>0.19059999999999999</v>
      </c>
      <c r="F81" s="796">
        <f t="shared" si="8"/>
        <v>0.28589999999999999</v>
      </c>
      <c r="G81" s="897">
        <f>((1+F81)^(1/365)-1)</f>
        <v>6.8916575551658532E-4</v>
      </c>
      <c r="H81" s="895">
        <f t="shared" si="6"/>
        <v>0</v>
      </c>
    </row>
    <row r="82" spans="1:8" ht="12.75" hidden="1">
      <c r="A82" s="724">
        <v>43891</v>
      </c>
      <c r="B82" s="724">
        <v>43921</v>
      </c>
      <c r="C82" s="1176"/>
      <c r="D82" s="895">
        <f t="shared" si="7"/>
        <v>54138862.708008468</v>
      </c>
      <c r="E82" s="796">
        <v>0.1895</v>
      </c>
      <c r="F82" s="796">
        <f t="shared" si="8"/>
        <v>0.28425</v>
      </c>
      <c r="G82" s="897">
        <f t="shared" si="9"/>
        <v>6.8564560609574166E-4</v>
      </c>
      <c r="H82" s="895">
        <f t="shared" si="6"/>
        <v>0</v>
      </c>
    </row>
    <row r="83" spans="1:8" ht="12.75" hidden="1">
      <c r="A83" s="724">
        <v>43922</v>
      </c>
      <c r="B83" s="724">
        <v>43951</v>
      </c>
      <c r="C83" s="1176"/>
      <c r="D83" s="895">
        <f t="shared" si="7"/>
        <v>54138862.708008468</v>
      </c>
      <c r="E83" s="796">
        <v>0.18690000000000001</v>
      </c>
      <c r="F83" s="796">
        <f t="shared" si="8"/>
        <v>0.28034999999999999</v>
      </c>
      <c r="G83" s="897">
        <f t="shared" si="9"/>
        <v>6.7730729113191224E-4</v>
      </c>
      <c r="H83" s="895">
        <f t="shared" si="6"/>
        <v>0</v>
      </c>
    </row>
    <row r="84" spans="1:8" ht="12.75" hidden="1">
      <c r="A84" s="724">
        <v>43952</v>
      </c>
      <c r="B84" s="724">
        <v>43982</v>
      </c>
      <c r="C84" s="1176"/>
      <c r="D84" s="895">
        <f t="shared" si="7"/>
        <v>54138862.708008468</v>
      </c>
      <c r="E84" s="796">
        <v>0.18190000000000001</v>
      </c>
      <c r="F84" s="796">
        <f t="shared" si="8"/>
        <v>0.27285000000000004</v>
      </c>
      <c r="G84" s="897">
        <f t="shared" si="9"/>
        <v>6.6120063584418354E-4</v>
      </c>
      <c r="H84" s="895">
        <f t="shared" si="6"/>
        <v>0</v>
      </c>
    </row>
    <row r="85" spans="1:8" ht="12.75" hidden="1">
      <c r="A85" s="724">
        <v>43983</v>
      </c>
      <c r="B85" s="724">
        <v>44012</v>
      </c>
      <c r="C85" s="1176"/>
      <c r="D85" s="895">
        <f t="shared" si="7"/>
        <v>54138862.708008468</v>
      </c>
      <c r="E85" s="796">
        <v>0.1812</v>
      </c>
      <c r="F85" s="796">
        <f t="shared" si="8"/>
        <v>0.27179999999999999</v>
      </c>
      <c r="G85" s="897">
        <f t="shared" si="9"/>
        <v>6.5893815469997286E-4</v>
      </c>
      <c r="H85" s="895">
        <f t="shared" si="6"/>
        <v>0</v>
      </c>
    </row>
    <row r="86" spans="1:8" ht="12.75" hidden="1">
      <c r="A86" s="724">
        <v>44013</v>
      </c>
      <c r="B86" s="724">
        <v>44043</v>
      </c>
      <c r="C86" s="1176"/>
      <c r="D86" s="895">
        <f t="shared" si="7"/>
        <v>54138862.708008468</v>
      </c>
      <c r="E86" s="796">
        <v>0.1812</v>
      </c>
      <c r="F86" s="796">
        <f t="shared" si="8"/>
        <v>0.27179999999999999</v>
      </c>
      <c r="G86" s="897">
        <f t="shared" si="9"/>
        <v>6.5893815469997286E-4</v>
      </c>
      <c r="H86" s="895">
        <f t="shared" si="6"/>
        <v>0</v>
      </c>
    </row>
    <row r="87" spans="1:8" ht="12.75" hidden="1">
      <c r="A87" s="724">
        <v>44044</v>
      </c>
      <c r="B87" s="724">
        <v>44074</v>
      </c>
      <c r="C87" s="1176"/>
      <c r="D87" s="895">
        <f t="shared" si="7"/>
        <v>54138862.708008468</v>
      </c>
      <c r="E87" s="796">
        <v>0.18290000000000001</v>
      </c>
      <c r="F87" s="796">
        <f t="shared" si="8"/>
        <v>0.27434999999999998</v>
      </c>
      <c r="G87" s="897">
        <f t="shared" si="9"/>
        <v>6.6442952514544906E-4</v>
      </c>
      <c r="H87" s="895">
        <f t="shared" si="6"/>
        <v>0</v>
      </c>
    </row>
    <row r="88" spans="1:8" ht="12.75" hidden="1">
      <c r="A88" s="724">
        <v>44075</v>
      </c>
      <c r="B88" s="724">
        <v>44104</v>
      </c>
      <c r="C88" s="1176"/>
      <c r="D88" s="895">
        <f t="shared" si="7"/>
        <v>54138862.708008468</v>
      </c>
      <c r="E88" s="796">
        <v>0.1835</v>
      </c>
      <c r="F88" s="796">
        <f t="shared" si="8"/>
        <v>0.27524999999999999</v>
      </c>
      <c r="G88" s="897">
        <f t="shared" si="9"/>
        <v>6.6636503991857055E-4</v>
      </c>
      <c r="H88" s="895">
        <f t="shared" si="6"/>
        <v>0</v>
      </c>
    </row>
    <row r="89" spans="1:8" ht="12.75" hidden="1">
      <c r="A89" s="724">
        <v>44105</v>
      </c>
      <c r="B89" s="724">
        <v>44135</v>
      </c>
      <c r="C89" s="1176"/>
      <c r="D89" s="895">
        <f t="shared" si="7"/>
        <v>54138862.708008468</v>
      </c>
      <c r="E89" s="796">
        <v>0.18090000000000001</v>
      </c>
      <c r="F89" s="796">
        <f t="shared" si="8"/>
        <v>0.27134999999999998</v>
      </c>
      <c r="G89" s="897">
        <f t="shared" si="9"/>
        <v>6.5796794962613703E-4</v>
      </c>
      <c r="H89" s="895">
        <f t="shared" si="6"/>
        <v>0</v>
      </c>
    </row>
    <row r="90" spans="1:8" ht="12.75" hidden="1">
      <c r="A90" s="724">
        <v>44136</v>
      </c>
      <c r="B90" s="724">
        <v>44165</v>
      </c>
      <c r="C90" s="1176"/>
      <c r="D90" s="895">
        <f t="shared" si="7"/>
        <v>54138862.708008468</v>
      </c>
      <c r="E90" s="796">
        <v>0.1784</v>
      </c>
      <c r="F90" s="796">
        <f t="shared" si="8"/>
        <v>0.2676</v>
      </c>
      <c r="G90" s="897">
        <f t="shared" si="9"/>
        <v>6.4986956374091243E-4</v>
      </c>
      <c r="H90" s="895">
        <f t="shared" si="6"/>
        <v>0</v>
      </c>
    </row>
    <row r="91" spans="1:8" ht="12.75" hidden="1">
      <c r="A91" s="724">
        <v>44166</v>
      </c>
      <c r="B91" s="724">
        <v>44196</v>
      </c>
      <c r="C91" s="1176"/>
      <c r="D91" s="895">
        <f t="shared" si="7"/>
        <v>54138862.708008468</v>
      </c>
      <c r="E91" s="796">
        <v>0.17460000000000001</v>
      </c>
      <c r="F91" s="796">
        <f t="shared" si="8"/>
        <v>0.26190000000000002</v>
      </c>
      <c r="G91" s="897">
        <f t="shared" si="9"/>
        <v>6.3751414410861962E-4</v>
      </c>
      <c r="H91" s="895">
        <f t="shared" si="6"/>
        <v>0</v>
      </c>
    </row>
    <row r="92" spans="1:8" ht="12.75" hidden="1">
      <c r="A92" s="724">
        <v>44197</v>
      </c>
      <c r="B92" s="724">
        <v>44227</v>
      </c>
      <c r="C92" s="1176"/>
      <c r="D92" s="895">
        <f t="shared" si="7"/>
        <v>54138862.708008468</v>
      </c>
      <c r="E92" s="796">
        <v>0.17319999999999999</v>
      </c>
      <c r="F92" s="796">
        <f t="shared" si="8"/>
        <v>0.25979999999999998</v>
      </c>
      <c r="G92" s="897">
        <f t="shared" si="9"/>
        <v>6.3294811266723094E-4</v>
      </c>
      <c r="H92" s="895">
        <f t="shared" si="6"/>
        <v>0</v>
      </c>
    </row>
    <row r="93" spans="1:8" ht="12.75" hidden="1">
      <c r="A93" s="724">
        <v>44228</v>
      </c>
      <c r="B93" s="724">
        <v>44255</v>
      </c>
      <c r="C93" s="1176"/>
      <c r="D93" s="895">
        <f t="shared" si="7"/>
        <v>54138862.708008468</v>
      </c>
      <c r="E93" s="796">
        <v>0.1754</v>
      </c>
      <c r="F93" s="796">
        <f t="shared" si="8"/>
        <v>0.2631</v>
      </c>
      <c r="G93" s="897">
        <f t="shared" si="9"/>
        <v>6.4011990387169426E-4</v>
      </c>
      <c r="H93" s="895">
        <f t="shared" si="6"/>
        <v>0</v>
      </c>
    </row>
    <row r="94" spans="1:8" ht="12.75" hidden="1">
      <c r="A94" s="724">
        <v>44256</v>
      </c>
      <c r="B94" s="724">
        <v>44286</v>
      </c>
      <c r="C94" s="1176"/>
      <c r="D94" s="895">
        <f t="shared" si="7"/>
        <v>54138862.708008468</v>
      </c>
      <c r="E94" s="796">
        <v>0.1741</v>
      </c>
      <c r="F94" s="796">
        <f t="shared" si="8"/>
        <v>0.26114999999999999</v>
      </c>
      <c r="G94" s="897">
        <f t="shared" si="9"/>
        <v>6.3588428907812578E-4</v>
      </c>
      <c r="H94" s="895">
        <f t="shared" si="6"/>
        <v>0</v>
      </c>
    </row>
    <row r="95" spans="1:8" ht="12.75" hidden="1">
      <c r="A95" s="724">
        <v>44287</v>
      </c>
      <c r="B95" s="724">
        <v>44316</v>
      </c>
      <c r="C95" s="1176"/>
      <c r="D95" s="895">
        <f t="shared" si="7"/>
        <v>54138862.708008468</v>
      </c>
      <c r="E95" s="796">
        <v>0.1731</v>
      </c>
      <c r="F95" s="796">
        <f t="shared" si="8"/>
        <v>0.25964999999999999</v>
      </c>
      <c r="G95" s="897">
        <f t="shared" si="9"/>
        <v>6.326216771728177E-4</v>
      </c>
      <c r="H95" s="895">
        <f t="shared" si="6"/>
        <v>0</v>
      </c>
    </row>
    <row r="96" spans="1:8" ht="12.75" hidden="1">
      <c r="A96" s="724">
        <v>44317</v>
      </c>
      <c r="B96" s="724">
        <v>44347</v>
      </c>
      <c r="C96" s="1176"/>
      <c r="D96" s="895">
        <f t="shared" si="7"/>
        <v>54138862.708008468</v>
      </c>
      <c r="E96" s="796">
        <v>0.17219999999999999</v>
      </c>
      <c r="F96" s="796">
        <f t="shared" si="8"/>
        <v>0.25829999999999997</v>
      </c>
      <c r="G96" s="897">
        <f t="shared" si="9"/>
        <v>6.2968201205726437E-4</v>
      </c>
      <c r="H96" s="895">
        <f t="shared" si="6"/>
        <v>0</v>
      </c>
    </row>
    <row r="97" spans="1:8" ht="12.75" hidden="1">
      <c r="A97" s="724">
        <v>44348</v>
      </c>
      <c r="B97" s="724">
        <v>44377</v>
      </c>
      <c r="C97" s="1176"/>
      <c r="D97" s="895">
        <f t="shared" si="7"/>
        <v>54138862.708008468</v>
      </c>
      <c r="E97" s="796">
        <v>0.1721</v>
      </c>
      <c r="F97" s="796">
        <f t="shared" si="8"/>
        <v>0.25814999999999999</v>
      </c>
      <c r="G97" s="897">
        <f t="shared" si="9"/>
        <v>6.2935518846773952E-4</v>
      </c>
      <c r="H97" s="895">
        <f t="shared" si="6"/>
        <v>0</v>
      </c>
    </row>
    <row r="98" spans="1:8" ht="12.75" hidden="1">
      <c r="A98" s="724">
        <v>44378</v>
      </c>
      <c r="B98" s="724">
        <v>44408</v>
      </c>
      <c r="C98" s="1176"/>
      <c r="D98" s="895">
        <f t="shared" si="7"/>
        <v>54138862.708008468</v>
      </c>
      <c r="E98" s="796">
        <v>0.17180000000000001</v>
      </c>
      <c r="F98" s="796">
        <f t="shared" si="8"/>
        <v>0.25770000000000004</v>
      </c>
      <c r="G98" s="897">
        <f t="shared" si="9"/>
        <v>6.2837448450037137E-4</v>
      </c>
      <c r="H98" s="895">
        <f t="shared" si="6"/>
        <v>0</v>
      </c>
    </row>
    <row r="99" spans="1:8" ht="12.75" hidden="1">
      <c r="A99" s="724">
        <v>44409</v>
      </c>
      <c r="B99" s="724">
        <v>44439</v>
      </c>
      <c r="C99" s="1176"/>
      <c r="D99" s="895">
        <f t="shared" si="7"/>
        <v>54138862.708008468</v>
      </c>
      <c r="E99" s="796">
        <v>0.1724</v>
      </c>
      <c r="F99" s="796">
        <f t="shared" si="8"/>
        <v>0.2586</v>
      </c>
      <c r="G99" s="897">
        <f t="shared" si="9"/>
        <v>6.3033554269220637E-4</v>
      </c>
      <c r="H99" s="895">
        <f t="shared" si="6"/>
        <v>0</v>
      </c>
    </row>
    <row r="100" spans="1:8" ht="12.75" hidden="1">
      <c r="A100" s="724">
        <v>44440</v>
      </c>
      <c r="B100" s="724">
        <v>44469</v>
      </c>
      <c r="C100" s="1176"/>
      <c r="D100" s="895">
        <f t="shared" si="7"/>
        <v>54138862.708008468</v>
      </c>
      <c r="E100" s="796">
        <v>0.1719</v>
      </c>
      <c r="F100" s="796">
        <f t="shared" si="8"/>
        <v>0.25785000000000002</v>
      </c>
      <c r="G100" s="897">
        <f t="shared" si="9"/>
        <v>6.2870142469861889E-4</v>
      </c>
      <c r="H100" s="895">
        <f t="shared" si="6"/>
        <v>0</v>
      </c>
    </row>
    <row r="101" spans="1:8" ht="12.75" hidden="1">
      <c r="A101" s="724">
        <v>44470</v>
      </c>
      <c r="B101" s="724">
        <v>44500</v>
      </c>
      <c r="C101" s="1176"/>
      <c r="D101" s="895">
        <f t="shared" si="7"/>
        <v>54138862.708008468</v>
      </c>
      <c r="E101" s="796">
        <v>0.17080000000000001</v>
      </c>
      <c r="F101" s="796">
        <f t="shared" si="8"/>
        <v>0.25619999999999998</v>
      </c>
      <c r="G101" s="897">
        <f t="shared" si="9"/>
        <v>6.2510294214179751E-4</v>
      </c>
      <c r="H101" s="895">
        <f t="shared" si="6"/>
        <v>0</v>
      </c>
    </row>
    <row r="102" spans="1:8" ht="12.75" hidden="1">
      <c r="A102" s="724">
        <v>44501</v>
      </c>
      <c r="B102" s="724">
        <v>44530</v>
      </c>
      <c r="C102" s="1176"/>
      <c r="D102" s="895">
        <f t="shared" si="7"/>
        <v>54138862.708008468</v>
      </c>
      <c r="E102" s="796">
        <v>0.17269999999999999</v>
      </c>
      <c r="F102" s="796">
        <f t="shared" si="8"/>
        <v>0.25905</v>
      </c>
      <c r="G102" s="897">
        <f t="shared" si="9"/>
        <v>6.3131554742335005E-4</v>
      </c>
      <c r="H102" s="895">
        <f t="shared" si="6"/>
        <v>0</v>
      </c>
    </row>
    <row r="103" spans="1:8" ht="12.75" hidden="1">
      <c r="A103" s="724">
        <v>44531</v>
      </c>
      <c r="B103" s="724">
        <v>44546</v>
      </c>
      <c r="C103" s="1176"/>
      <c r="D103" s="895">
        <f t="shared" si="7"/>
        <v>54138862.708008468</v>
      </c>
      <c r="E103" s="796">
        <v>0.17460000000000001</v>
      </c>
      <c r="F103" s="796">
        <f t="shared" si="8"/>
        <v>0.26190000000000002</v>
      </c>
      <c r="G103" s="897">
        <f>((1+F103)^(1/365)-1)</f>
        <v>6.3751414410861962E-4</v>
      </c>
      <c r="H103" s="895">
        <f t="shared" si="6"/>
        <v>0</v>
      </c>
    </row>
    <row r="104" spans="1:8" ht="27.75" customHeight="1" thickBot="1">
      <c r="A104" s="791"/>
      <c r="B104" s="791"/>
      <c r="C104" s="791"/>
      <c r="D104" s="791"/>
      <c r="F104" s="2722" t="s">
        <v>338</v>
      </c>
      <c r="G104" s="2723"/>
      <c r="H104" s="1312">
        <f>SUM(H74:H103)</f>
        <v>6901433.2923688088</v>
      </c>
    </row>
    <row r="105" spans="1:8" ht="27.75" customHeight="1">
      <c r="A105" s="791"/>
      <c r="B105" s="791"/>
      <c r="C105" s="791"/>
      <c r="D105" s="791"/>
      <c r="F105" s="1249"/>
      <c r="G105" s="1249"/>
      <c r="H105" s="1727"/>
    </row>
    <row r="106" spans="1:8" ht="12.75">
      <c r="A106" s="2604" t="s">
        <v>55</v>
      </c>
      <c r="B106" s="2681"/>
      <c r="C106" s="2605"/>
      <c r="D106" s="791"/>
      <c r="E106" s="791"/>
      <c r="F106" s="791"/>
      <c r="G106" s="791"/>
    </row>
    <row r="107" spans="1:8" ht="12.75">
      <c r="A107" s="726" t="s">
        <v>56</v>
      </c>
      <c r="B107" s="726"/>
      <c r="C107" s="726"/>
      <c r="D107" s="791"/>
      <c r="E107" s="791"/>
      <c r="F107" s="791"/>
      <c r="G107" s="791"/>
    </row>
    <row r="108" spans="1:8" ht="12.75">
      <c r="A108" s="741" t="s">
        <v>133</v>
      </c>
      <c r="B108" s="737"/>
      <c r="C108" s="895">
        <f>+B72</f>
        <v>54138862.708008468</v>
      </c>
      <c r="D108" s="791"/>
      <c r="E108" s="791"/>
      <c r="F108" s="791"/>
      <c r="G108" s="791"/>
    </row>
    <row r="109" spans="1:8" ht="12.75">
      <c r="A109" s="742" t="s">
        <v>832</v>
      </c>
      <c r="B109" s="830"/>
      <c r="C109" s="895">
        <f>+H104</f>
        <v>6901433.2923688088</v>
      </c>
      <c r="D109" s="791"/>
      <c r="E109" s="791"/>
      <c r="F109" s="791"/>
      <c r="G109" s="791"/>
    </row>
    <row r="110" spans="1:8" ht="12.75">
      <c r="A110" s="742" t="s">
        <v>848</v>
      </c>
      <c r="B110" s="830"/>
      <c r="C110" s="895">
        <v>17618500</v>
      </c>
      <c r="D110" s="791"/>
      <c r="E110" s="791"/>
      <c r="F110" s="791"/>
      <c r="G110" s="791"/>
    </row>
    <row r="111" spans="1:8" ht="13.5" thickBot="1">
      <c r="A111" s="743" t="s">
        <v>61</v>
      </c>
      <c r="B111" s="942"/>
      <c r="C111" s="1314">
        <f>SUM(C108:C110)</f>
        <v>78658796.000377268</v>
      </c>
      <c r="D111" s="1754">
        <f>+C111-'Yamal Afiuni'!C100</f>
        <v>40601138.245003551</v>
      </c>
      <c r="E111" s="879"/>
      <c r="F111" s="791"/>
      <c r="G111" s="791"/>
    </row>
    <row r="112" spans="1:8" ht="13.5" thickTop="1">
      <c r="A112" s="900" t="s">
        <v>62</v>
      </c>
      <c r="B112" s="791"/>
      <c r="C112" s="925"/>
      <c r="D112" s="791"/>
      <c r="E112" s="791"/>
      <c r="F112" s="791"/>
      <c r="G112" s="791"/>
    </row>
    <row r="113" spans="1:1" ht="12.75">
      <c r="A113" s="814"/>
    </row>
    <row r="114" spans="1:1" ht="12.75">
      <c r="A114" s="814"/>
    </row>
    <row r="115" spans="1:1" ht="12.75">
      <c r="A115" s="818" t="s">
        <v>63</v>
      </c>
    </row>
    <row r="116" spans="1:1" ht="12.75">
      <c r="A116" s="818" t="s">
        <v>64</v>
      </c>
    </row>
    <row r="117" spans="1:1" ht="12.75">
      <c r="A117" s="900" t="s">
        <v>65</v>
      </c>
    </row>
  </sheetData>
  <mergeCells count="2">
    <mergeCell ref="F104:G104"/>
    <mergeCell ref="A106:C106"/>
  </mergeCells>
  <pageMargins left="0.7" right="0.7" top="0.75" bottom="0.75" header="0.3" footer="0.3"/>
  <pageSetup paperSize="5" scale="78"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D2661-1832-4723-A341-147A79D63300}">
  <sheetPr codeName="Hoja32">
    <pageSetUpPr fitToPage="1"/>
  </sheetPr>
  <dimension ref="A1:U223"/>
  <sheetViews>
    <sheetView topLeftCell="A162" zoomScale="109" zoomScaleNormal="109" zoomScaleSheetLayoutView="44" workbookViewId="0">
      <selection activeCell="E21" sqref="E21"/>
    </sheetView>
  </sheetViews>
  <sheetFormatPr defaultColWidth="9.140625" defaultRowHeight="11.25"/>
  <cols>
    <col min="1" max="1" width="3" style="234" bestFit="1" customWidth="1"/>
    <col min="2" max="2" width="19.28515625" style="234" customWidth="1"/>
    <col min="3" max="3" width="22.7109375" style="997" customWidth="1"/>
    <col min="4" max="4" width="15.28515625" style="234" customWidth="1"/>
    <col min="5" max="5" width="14.42578125" style="234" customWidth="1"/>
    <col min="6" max="6" width="13.42578125" style="997" customWidth="1"/>
    <col min="7" max="7" width="13.85546875" style="349" customWidth="1"/>
    <col min="8" max="9" width="10.5703125" style="234" customWidth="1"/>
    <col min="10" max="10" width="13.28515625" style="234" bestFit="1" customWidth="1"/>
    <col min="11" max="13" width="11.42578125" style="234" customWidth="1"/>
    <col min="14" max="14" width="14" style="234" customWidth="1"/>
    <col min="15" max="15" width="13.28515625" style="234" bestFit="1" customWidth="1"/>
    <col min="16" max="257" width="11.42578125" style="234" customWidth="1"/>
    <col min="258" max="16384" width="9.140625" style="234"/>
  </cols>
  <sheetData>
    <row r="1" spans="1:9" ht="12.75">
      <c r="A1" s="814"/>
      <c r="B1" s="1201" t="s">
        <v>538</v>
      </c>
      <c r="C1" s="1419" t="s">
        <v>849</v>
      </c>
      <c r="D1" s="814"/>
      <c r="E1" s="814"/>
      <c r="F1" s="979"/>
      <c r="G1" s="1059"/>
      <c r="H1" s="814"/>
      <c r="I1" s="814"/>
    </row>
    <row r="2" spans="1:9" ht="12.75">
      <c r="A2" s="814"/>
      <c r="B2" s="726" t="s">
        <v>67</v>
      </c>
      <c r="C2" s="850">
        <v>3437000</v>
      </c>
      <c r="D2" s="814"/>
      <c r="E2" s="814"/>
      <c r="F2" s="979"/>
      <c r="G2" s="1059"/>
      <c r="H2" s="814"/>
      <c r="I2" s="814"/>
    </row>
    <row r="3" spans="1:9" ht="25.5" customHeight="1">
      <c r="A3" s="814"/>
      <c r="B3" s="924" t="s">
        <v>850</v>
      </c>
      <c r="C3" s="1060" t="s">
        <v>851</v>
      </c>
      <c r="D3" s="814"/>
      <c r="E3" s="814"/>
      <c r="F3" s="979"/>
      <c r="G3" s="1059"/>
      <c r="H3" s="814"/>
      <c r="I3" s="814"/>
    </row>
    <row r="4" spans="1:9" ht="12.75">
      <c r="A4" s="814"/>
      <c r="B4" s="726" t="s">
        <v>124</v>
      </c>
      <c r="C4" s="1061" t="s">
        <v>852</v>
      </c>
      <c r="D4" s="814"/>
      <c r="E4" s="814"/>
      <c r="F4" s="979"/>
      <c r="G4" s="1059"/>
      <c r="H4" s="814"/>
      <c r="I4" s="814"/>
    </row>
    <row r="5" spans="1:9" ht="12.75">
      <c r="A5" s="814"/>
      <c r="B5" s="726" t="s">
        <v>541</v>
      </c>
      <c r="C5" s="800">
        <v>35882</v>
      </c>
      <c r="D5" s="814"/>
      <c r="E5" s="814"/>
      <c r="F5" s="979"/>
      <c r="G5" s="1059"/>
      <c r="H5" s="814"/>
      <c r="I5" s="814"/>
    </row>
    <row r="6" spans="1:9" ht="12.75">
      <c r="A6" s="814"/>
      <c r="B6" s="726" t="s">
        <v>40</v>
      </c>
      <c r="C6" s="800">
        <v>36890</v>
      </c>
      <c r="D6" s="814"/>
      <c r="E6" s="814"/>
      <c r="F6" s="979"/>
      <c r="G6" s="1059"/>
      <c r="H6" s="814"/>
      <c r="I6" s="814"/>
    </row>
    <row r="7" spans="1:9" ht="12.75">
      <c r="A7" s="814"/>
      <c r="B7" s="726" t="s">
        <v>677</v>
      </c>
      <c r="C7" s="1420" t="s">
        <v>853</v>
      </c>
      <c r="D7" s="814"/>
      <c r="E7" s="814"/>
      <c r="F7" s="979"/>
      <c r="G7" s="1059"/>
      <c r="H7" s="814"/>
      <c r="I7" s="814"/>
    </row>
    <row r="8" spans="1:9" ht="12.75">
      <c r="A8" s="814"/>
      <c r="B8" s="726" t="s">
        <v>4</v>
      </c>
      <c r="C8" s="800">
        <v>41873</v>
      </c>
      <c r="D8" s="814"/>
      <c r="E8" s="814"/>
      <c r="F8" s="979"/>
      <c r="G8" s="1059"/>
      <c r="H8" s="814"/>
      <c r="I8" s="814"/>
    </row>
    <row r="9" spans="1:9" ht="12.75">
      <c r="A9" s="814"/>
      <c r="B9" s="726" t="s">
        <v>290</v>
      </c>
      <c r="C9" s="800">
        <v>42443</v>
      </c>
      <c r="D9" s="814"/>
      <c r="E9" s="814"/>
      <c r="F9" s="979"/>
      <c r="G9" s="1059"/>
      <c r="H9" s="814"/>
      <c r="I9" s="814"/>
    </row>
    <row r="10" spans="1:9" ht="12.75">
      <c r="A10" s="814"/>
      <c r="B10" s="1113" t="s">
        <v>675</v>
      </c>
      <c r="C10" s="1062" t="s">
        <v>854</v>
      </c>
      <c r="D10" s="814"/>
      <c r="E10" s="1063"/>
      <c r="F10" s="979"/>
      <c r="G10" s="1059"/>
      <c r="H10" s="814"/>
      <c r="I10" s="814"/>
    </row>
    <row r="11" spans="1:9" ht="12.75">
      <c r="A11" s="814"/>
      <c r="B11" s="741">
        <v>1998</v>
      </c>
      <c r="C11" s="850">
        <v>246179</v>
      </c>
      <c r="D11" s="1063"/>
      <c r="E11" s="1063"/>
      <c r="F11" s="979"/>
      <c r="G11" s="1059"/>
      <c r="H11" s="814"/>
      <c r="I11" s="814"/>
    </row>
    <row r="12" spans="1:9" ht="12.75">
      <c r="A12" s="814"/>
      <c r="B12" s="741">
        <v>1999</v>
      </c>
      <c r="C12" s="850">
        <v>303253</v>
      </c>
      <c r="D12" s="1063"/>
      <c r="E12" s="1063"/>
      <c r="F12" s="979"/>
      <c r="G12" s="1059"/>
      <c r="H12" s="814"/>
      <c r="I12" s="814"/>
    </row>
    <row r="13" spans="1:9" ht="12.75">
      <c r="A13" s="814"/>
      <c r="B13" s="741">
        <v>2000</v>
      </c>
      <c r="C13" s="850">
        <v>305753</v>
      </c>
      <c r="D13" s="1063"/>
      <c r="E13" s="1063"/>
      <c r="F13" s="979"/>
      <c r="G13" s="1059"/>
      <c r="H13" s="814"/>
      <c r="I13" s="814"/>
    </row>
    <row r="14" spans="1:9" ht="12.75">
      <c r="A14" s="814"/>
      <c r="B14" s="923" t="s">
        <v>855</v>
      </c>
      <c r="C14" s="923" t="s">
        <v>10</v>
      </c>
      <c r="D14" s="923" t="s">
        <v>856</v>
      </c>
      <c r="E14" s="814"/>
      <c r="F14" s="979"/>
      <c r="G14" s="1059"/>
      <c r="H14" s="814"/>
      <c r="I14" s="814"/>
    </row>
    <row r="15" spans="1:9" ht="12.75">
      <c r="A15" s="814"/>
      <c r="B15" s="1064">
        <v>35883</v>
      </c>
      <c r="C15" s="1065">
        <v>36160</v>
      </c>
      <c r="D15" s="741">
        <v>272</v>
      </c>
      <c r="E15" s="814"/>
      <c r="F15" s="814"/>
      <c r="G15" s="1059"/>
      <c r="H15" s="814"/>
      <c r="I15" s="814"/>
    </row>
    <row r="16" spans="1:9" ht="12.75">
      <c r="A16" s="814"/>
      <c r="B16" s="1064">
        <v>36161</v>
      </c>
      <c r="C16" s="1065">
        <v>36525</v>
      </c>
      <c r="D16" s="741">
        <v>360</v>
      </c>
      <c r="E16" s="814"/>
      <c r="F16" s="979"/>
      <c r="G16" s="1059"/>
      <c r="H16" s="814"/>
      <c r="I16" s="814"/>
    </row>
    <row r="17" spans="1:9" ht="12.75">
      <c r="A17" s="814"/>
      <c r="B17" s="1064">
        <v>36526</v>
      </c>
      <c r="C17" s="1064">
        <v>36891</v>
      </c>
      <c r="D17" s="741">
        <v>360</v>
      </c>
      <c r="E17" s="814"/>
      <c r="F17" s="979"/>
      <c r="G17" s="1059"/>
      <c r="H17" s="814"/>
      <c r="I17" s="814"/>
    </row>
    <row r="18" spans="1:9" s="1431" customFormat="1" ht="30.75" customHeight="1">
      <c r="A18" s="1428"/>
      <c r="B18" s="923" t="s">
        <v>857</v>
      </c>
      <c r="C18" s="1429" t="s">
        <v>858</v>
      </c>
      <c r="D18" s="1430" t="s">
        <v>857</v>
      </c>
      <c r="E18" s="1429" t="s">
        <v>859</v>
      </c>
      <c r="F18" s="1430" t="s">
        <v>860</v>
      </c>
      <c r="G18" s="1429" t="s">
        <v>861</v>
      </c>
      <c r="H18" s="1430" t="s">
        <v>862</v>
      </c>
      <c r="I18" s="1428"/>
    </row>
    <row r="19" spans="1:9" ht="12.75">
      <c r="A19" s="814"/>
      <c r="B19" s="741" t="s">
        <v>863</v>
      </c>
      <c r="C19" s="1061">
        <f>+C11*0.5</f>
        <v>123089.5</v>
      </c>
      <c r="D19" s="1061">
        <f>+C19/12</f>
        <v>10257.458333333334</v>
      </c>
      <c r="E19" s="1061">
        <f>+C12*0.5</f>
        <v>151626.5</v>
      </c>
      <c r="F19" s="1061">
        <f>+E19/12</f>
        <v>12635.541666666666</v>
      </c>
      <c r="G19" s="1066">
        <f>+C13*0.5</f>
        <v>152876.5</v>
      </c>
      <c r="H19" s="1061">
        <f>+G19/12</f>
        <v>12739.708333333334</v>
      </c>
      <c r="I19" s="814"/>
    </row>
    <row r="20" spans="1:9" ht="12.75">
      <c r="A20" s="814"/>
      <c r="B20" s="741" t="s">
        <v>20</v>
      </c>
      <c r="C20" s="1061">
        <f>+(C11+D19)/30*20</f>
        <v>170957.63888888891</v>
      </c>
      <c r="D20" s="1061">
        <f>+C20/12</f>
        <v>14246.469907407409</v>
      </c>
      <c r="E20" s="1061">
        <f>+(C12+F19)/30*20</f>
        <v>210592.36111111112</v>
      </c>
      <c r="F20" s="1061">
        <f>+E20/12</f>
        <v>17549.363425925927</v>
      </c>
      <c r="G20" s="1066">
        <f>+(C13+H19)/30*20</f>
        <v>212328.47222222222</v>
      </c>
      <c r="H20" s="1061">
        <f>+G20/12</f>
        <v>17694.03935185185</v>
      </c>
      <c r="I20" s="814"/>
    </row>
    <row r="21" spans="1:9" ht="12.75">
      <c r="A21" s="814"/>
      <c r="B21" s="741" t="s">
        <v>864</v>
      </c>
      <c r="C21" s="1061">
        <f>+C11*0.35</f>
        <v>86162.65</v>
      </c>
      <c r="D21" s="1061">
        <f>+C21/12</f>
        <v>7180.2208333333328</v>
      </c>
      <c r="E21" s="1061">
        <f>+C12*0.35</f>
        <v>106138.54999999999</v>
      </c>
      <c r="F21" s="1061">
        <f>+E21/12</f>
        <v>8844.8791666666657</v>
      </c>
      <c r="G21" s="1066">
        <f>+C13*0.35</f>
        <v>107013.54999999999</v>
      </c>
      <c r="H21" s="1061">
        <f>+G21/12</f>
        <v>8917.7958333333318</v>
      </c>
      <c r="I21" s="814"/>
    </row>
    <row r="22" spans="1:9" ht="12.75">
      <c r="A22" s="814"/>
      <c r="B22" s="741" t="s">
        <v>865</v>
      </c>
      <c r="C22" s="1061">
        <f>+(C11+D19+D20)/360*D15</f>
        <v>204515.99022633742</v>
      </c>
      <c r="D22" s="1061"/>
      <c r="E22" s="1061">
        <f>+(C12+F19+F20)/360*360</f>
        <v>333437.90509259258</v>
      </c>
      <c r="F22" s="1061"/>
      <c r="G22" s="1066">
        <f>+(C13+H19+H20)/360*360</f>
        <v>336186.74768518517</v>
      </c>
      <c r="H22" s="1061"/>
      <c r="I22" s="814"/>
    </row>
    <row r="23" spans="1:9" ht="12.75">
      <c r="A23" s="814"/>
      <c r="B23" s="900" t="s">
        <v>866</v>
      </c>
      <c r="C23" s="979"/>
      <c r="D23" s="814"/>
      <c r="E23" s="814"/>
      <c r="F23" s="979"/>
      <c r="G23" s="1059"/>
      <c r="H23" s="814"/>
      <c r="I23" s="814"/>
    </row>
    <row r="24" spans="1:9" ht="24.75" customHeight="1">
      <c r="A24" s="814"/>
      <c r="B24" s="923" t="s">
        <v>56</v>
      </c>
      <c r="C24" s="1433" t="s">
        <v>867</v>
      </c>
      <c r="D24" s="1434" t="s">
        <v>868</v>
      </c>
      <c r="E24" s="1434" t="s">
        <v>869</v>
      </c>
      <c r="F24" s="1435" t="s">
        <v>870</v>
      </c>
      <c r="G24" s="1435" t="s">
        <v>871</v>
      </c>
      <c r="H24" s="1435" t="s">
        <v>872</v>
      </c>
      <c r="I24" s="1432" t="s">
        <v>316</v>
      </c>
    </row>
    <row r="25" spans="1:9" ht="12.75">
      <c r="A25" s="814"/>
      <c r="B25" s="741" t="s">
        <v>30</v>
      </c>
      <c r="C25" s="1068">
        <f>+($C$11*$D$15)/360</f>
        <v>186001.91111111111</v>
      </c>
      <c r="D25" s="1068">
        <f>+(C12*D16)/360</f>
        <v>303253</v>
      </c>
      <c r="E25" s="1068">
        <f>+(C13*D17)/360</f>
        <v>305753</v>
      </c>
      <c r="F25" s="1061">
        <f>(C25*$R$198/$H$198)*U214/H218</f>
        <v>559767.45411195722</v>
      </c>
      <c r="G25" s="1066">
        <f>(D25*$R$198/$I$198)*U214/H218</f>
        <v>835500.40076774918</v>
      </c>
      <c r="H25" s="1061">
        <f>(E25*$R$198/$J$198)*U214/H218</f>
        <v>774622.8080648391</v>
      </c>
      <c r="I25" s="741"/>
    </row>
    <row r="26" spans="1:9" ht="12.75">
      <c r="A26" s="814"/>
      <c r="B26" s="741" t="s">
        <v>873</v>
      </c>
      <c r="C26" s="1068">
        <f>+(C25*360*0.12)/360</f>
        <v>22320.229333333333</v>
      </c>
      <c r="D26" s="1068">
        <f>+(D25*360*0.12)/360</f>
        <v>36390.36</v>
      </c>
      <c r="E26" s="1068">
        <f>+(E25*360*0.12)/360</f>
        <v>36690.36</v>
      </c>
      <c r="F26" s="1068">
        <f>(C26*$R$198/$H$198)*U214/H218</f>
        <v>67172.094493434852</v>
      </c>
      <c r="G26" s="1067">
        <f>(D26*$R$198/$I$198)*U214/H218</f>
        <v>100260.0480921299</v>
      </c>
      <c r="H26" s="1061">
        <f>(E26*$R$198/$J$198)*U214/H218</f>
        <v>92954.736967780686</v>
      </c>
      <c r="I26" s="741"/>
    </row>
    <row r="27" spans="1:9" ht="12.75">
      <c r="A27" s="814"/>
      <c r="B27" s="741" t="s">
        <v>874</v>
      </c>
      <c r="C27" s="1068">
        <f>(20700/30)*D15</f>
        <v>187680</v>
      </c>
      <c r="D27" s="1068">
        <f>24012*12</f>
        <v>288144</v>
      </c>
      <c r="E27" s="1068">
        <f>26413*12</f>
        <v>316956</v>
      </c>
      <c r="F27" s="1068">
        <f>(C27*$R$198/$H$198)*U214/H218</f>
        <v>564817.61483071325</v>
      </c>
      <c r="G27" s="1067">
        <f>(D27*$R$198/$I$198)*U214/H218</f>
        <v>793873.19327037933</v>
      </c>
      <c r="H27" s="1061">
        <f>(E27*$R$198/$J$198)*U214/H218</f>
        <v>803005.51998835371</v>
      </c>
      <c r="I27" s="741"/>
    </row>
    <row r="28" spans="1:9" ht="12.75">
      <c r="A28" s="814"/>
      <c r="B28" s="741" t="s">
        <v>875</v>
      </c>
      <c r="C28" s="1068">
        <v>80400</v>
      </c>
      <c r="D28" s="1068">
        <v>96480</v>
      </c>
      <c r="E28" s="1068">
        <v>1240586</v>
      </c>
      <c r="F28" s="1068">
        <v>456882</v>
      </c>
      <c r="G28" s="1067">
        <v>171463</v>
      </c>
      <c r="H28" s="1061">
        <v>238263</v>
      </c>
      <c r="I28" s="741"/>
    </row>
    <row r="29" spans="1:9" ht="12.75">
      <c r="A29" s="814"/>
      <c r="B29" s="741" t="s">
        <v>865</v>
      </c>
      <c r="C29" s="1068">
        <f>+C22</f>
        <v>204515.99022633742</v>
      </c>
      <c r="D29" s="1068">
        <f>+E22</f>
        <v>333437.90509259258</v>
      </c>
      <c r="E29" s="1068">
        <f>+G22</f>
        <v>336186.74768518517</v>
      </c>
      <c r="F29" s="1068">
        <f>(C29*$R$198/$H$198)*U214/H218</f>
        <v>615485.04792402696</v>
      </c>
      <c r="G29" s="1067">
        <f>(D29*$R$198/$I$198)*U214/H218</f>
        <v>918663.63510342781</v>
      </c>
      <c r="H29" s="1061">
        <f>(E29*$R$198/$J$198)*U214/H218</f>
        <v>851726.46720092255</v>
      </c>
      <c r="I29" s="741"/>
    </row>
    <row r="30" spans="1:9" ht="12.75">
      <c r="A30" s="814"/>
      <c r="B30" s="741" t="s">
        <v>104</v>
      </c>
      <c r="C30" s="1068">
        <f>+(C11*D15)/720</f>
        <v>93000.955555555556</v>
      </c>
      <c r="D30" s="1068">
        <f>+(C12*D16)/720</f>
        <v>151626.5</v>
      </c>
      <c r="E30" s="1068">
        <f>+(C13*D17)/720</f>
        <v>152876.5</v>
      </c>
      <c r="F30" s="1068">
        <f>(C30*$R$198/$H$198)*U214/H218</f>
        <v>279883.72705597861</v>
      </c>
      <c r="G30" s="1067">
        <f>(D30*$R$198/$I$198)*U214/H218</f>
        <v>417750.20038387459</v>
      </c>
      <c r="H30" s="1061">
        <f>(E30*$R$198/$J$198)*U214/H218</f>
        <v>387311.40403241955</v>
      </c>
      <c r="I30" s="741"/>
    </row>
    <row r="31" spans="1:9" ht="12.75">
      <c r="A31" s="814"/>
      <c r="B31" s="741" t="s">
        <v>876</v>
      </c>
      <c r="C31" s="1068">
        <f>+C20</f>
        <v>170957.63888888891</v>
      </c>
      <c r="D31" s="1068">
        <f>+E20</f>
        <v>210592.36111111112</v>
      </c>
      <c r="E31" s="1068">
        <f>+G20</f>
        <v>212328.47222222222</v>
      </c>
      <c r="F31" s="1061">
        <f>(C31*$R$198/$H$198)*U214/H218</f>
        <v>514492.14532349014</v>
      </c>
      <c r="G31" s="1066">
        <f>(D31*$R$198/$I$198)*U214/H218</f>
        <v>580208.61164427025</v>
      </c>
      <c r="H31" s="1061">
        <f>(E31*$R$198/$J$198)*U214/H218</f>
        <v>537932.50560058258</v>
      </c>
      <c r="I31" s="741"/>
    </row>
    <row r="32" spans="1:9" ht="12.75" customHeight="1">
      <c r="A32" s="814"/>
      <c r="B32" s="726" t="s">
        <v>97</v>
      </c>
      <c r="C32" s="1069">
        <f t="shared" ref="C32:H32" si="0">SUM(C25:C31)</f>
        <v>944876.72511522623</v>
      </c>
      <c r="D32" s="1069">
        <f t="shared" si="0"/>
        <v>1419924.1262037037</v>
      </c>
      <c r="E32" s="1069">
        <f t="shared" si="0"/>
        <v>2601377.0799074071</v>
      </c>
      <c r="F32" s="1070">
        <f t="shared" si="0"/>
        <v>3058500.0837396011</v>
      </c>
      <c r="G32" s="1071">
        <f t="shared" si="0"/>
        <v>3817719.0892618313</v>
      </c>
      <c r="H32" s="1070">
        <f t="shared" si="0"/>
        <v>3685816.4418548979</v>
      </c>
      <c r="I32" s="1070">
        <f>SUM(F32:H32)</f>
        <v>10562035.614856331</v>
      </c>
    </row>
    <row r="33" spans="1:9" ht="12.75">
      <c r="A33" s="814"/>
      <c r="B33" s="1034"/>
      <c r="C33" s="1113" t="s">
        <v>315</v>
      </c>
      <c r="D33" s="814"/>
      <c r="E33" s="814"/>
      <c r="F33" s="979"/>
      <c r="G33" s="1059"/>
      <c r="H33" s="814"/>
      <c r="I33" s="814"/>
    </row>
    <row r="34" spans="1:9" ht="12.75">
      <c r="A34" s="814"/>
      <c r="B34" s="1072" t="s">
        <v>76</v>
      </c>
      <c r="C34" s="1035">
        <f>+U214</f>
        <v>109.62</v>
      </c>
      <c r="D34" s="814"/>
      <c r="E34" s="814"/>
      <c r="F34" s="979"/>
      <c r="G34" s="1059"/>
      <c r="H34" s="814"/>
      <c r="I34" s="814"/>
    </row>
    <row r="35" spans="1:9" ht="12.75">
      <c r="A35" s="814"/>
      <c r="B35" s="735" t="s">
        <v>11</v>
      </c>
      <c r="C35" s="734" t="s">
        <v>877</v>
      </c>
      <c r="D35" s="735" t="s">
        <v>76</v>
      </c>
      <c r="E35" s="735" t="s">
        <v>77</v>
      </c>
      <c r="F35" s="734" t="s">
        <v>878</v>
      </c>
      <c r="G35" s="1059"/>
      <c r="H35" s="814"/>
      <c r="I35" s="814"/>
    </row>
    <row r="36" spans="1:9" ht="12.75">
      <c r="A36" s="814"/>
      <c r="B36" s="741"/>
      <c r="C36" s="1036"/>
      <c r="D36" s="741"/>
      <c r="E36" s="741"/>
      <c r="F36" s="979"/>
      <c r="G36" s="1059"/>
      <c r="H36" s="814"/>
      <c r="I36" s="814"/>
    </row>
    <row r="37" spans="1:9" ht="12.75">
      <c r="A37" s="814"/>
      <c r="B37" s="741" t="s">
        <v>30</v>
      </c>
      <c r="C37" s="1036">
        <f>+($C$11*$D$15)/360</f>
        <v>186001.91111111111</v>
      </c>
      <c r="D37" s="1037" t="s">
        <v>879</v>
      </c>
      <c r="E37" s="741"/>
      <c r="F37" s="1061">
        <v>559767.45411195722</v>
      </c>
      <c r="G37" s="1059"/>
      <c r="H37" s="814"/>
      <c r="I37" s="814"/>
    </row>
    <row r="38" spans="1:9" ht="12.75">
      <c r="A38" s="814"/>
      <c r="B38" s="741" t="s">
        <v>873</v>
      </c>
      <c r="C38" s="1036">
        <f>+(C37*360*0.12)/360</f>
        <v>22320.229333333333</v>
      </c>
      <c r="D38" s="1037"/>
      <c r="E38" s="741"/>
      <c r="F38" s="1061">
        <v>67172.094493434852</v>
      </c>
      <c r="G38" s="1059"/>
      <c r="H38" s="814"/>
      <c r="I38" s="814"/>
    </row>
    <row r="39" spans="1:9" ht="12.75">
      <c r="A39" s="814"/>
      <c r="B39" s="741" t="s">
        <v>874</v>
      </c>
      <c r="C39" s="1036">
        <f>(20700/30)*D15</f>
        <v>187680</v>
      </c>
      <c r="D39" s="1037"/>
      <c r="E39" s="741"/>
      <c r="F39" s="1061">
        <v>564817.61483071325</v>
      </c>
      <c r="G39" s="1059"/>
      <c r="H39" s="814"/>
      <c r="I39" s="814"/>
    </row>
    <row r="40" spans="1:9" ht="12.75">
      <c r="A40" s="814"/>
      <c r="B40" s="741" t="s">
        <v>875</v>
      </c>
      <c r="C40" s="1036">
        <v>80400</v>
      </c>
      <c r="D40" s="1037"/>
      <c r="E40" s="741"/>
      <c r="F40" s="1061">
        <v>456882</v>
      </c>
      <c r="G40" s="1059"/>
      <c r="H40" s="814"/>
      <c r="I40" s="814"/>
    </row>
    <row r="41" spans="1:9" ht="12.75">
      <c r="A41" s="814"/>
      <c r="B41" s="741" t="s">
        <v>865</v>
      </c>
      <c r="C41" s="1036">
        <f>+C22</f>
        <v>204515.99022633742</v>
      </c>
      <c r="D41" s="1037"/>
      <c r="E41" s="741"/>
      <c r="F41" s="1061">
        <v>615485.04792402696</v>
      </c>
      <c r="G41" s="1059"/>
      <c r="H41" s="814"/>
      <c r="I41" s="814"/>
    </row>
    <row r="42" spans="1:9" ht="12.75">
      <c r="A42" s="814"/>
      <c r="B42" s="741" t="s">
        <v>104</v>
      </c>
      <c r="C42" s="1036">
        <f>+(C11*G15)/720</f>
        <v>0</v>
      </c>
      <c r="D42" s="1037"/>
      <c r="E42" s="741"/>
      <c r="F42" s="1061">
        <v>279883.72705597861</v>
      </c>
      <c r="G42" s="1059"/>
      <c r="H42" s="814"/>
      <c r="I42" s="814"/>
    </row>
    <row r="43" spans="1:9" ht="13.5" thickBot="1">
      <c r="A43" s="814"/>
      <c r="B43" s="1040" t="s">
        <v>876</v>
      </c>
      <c r="C43" s="1038">
        <f>+C31</f>
        <v>170957.63888888891</v>
      </c>
      <c r="D43" s="1039"/>
      <c r="E43" s="1040"/>
      <c r="F43" s="1061">
        <v>514492.14532349014</v>
      </c>
      <c r="G43" s="1059"/>
      <c r="H43" s="814"/>
      <c r="I43" s="814"/>
    </row>
    <row r="44" spans="1:9" ht="13.5" thickTop="1">
      <c r="A44" s="814"/>
      <c r="B44" s="801" t="s">
        <v>880</v>
      </c>
      <c r="C44" s="1041"/>
      <c r="D44" s="1042"/>
      <c r="E44" s="1043"/>
      <c r="F44" s="1044">
        <f>SUM(F37:F43)</f>
        <v>3058500.0837396011</v>
      </c>
      <c r="G44" s="1059"/>
      <c r="H44" s="814"/>
      <c r="I44" s="814"/>
    </row>
    <row r="45" spans="1:9" ht="12.75">
      <c r="A45" s="814"/>
      <c r="B45" s="1034"/>
      <c r="C45" s="1113" t="str">
        <f>+C33</f>
        <v xml:space="preserve">IPC </v>
      </c>
      <c r="D45" s="814"/>
      <c r="E45" s="814"/>
      <c r="F45" s="979"/>
      <c r="G45" s="1059"/>
      <c r="H45" s="814"/>
      <c r="I45" s="814"/>
    </row>
    <row r="46" spans="1:9" ht="12.75">
      <c r="A46" s="814"/>
      <c r="B46" s="1072" t="s">
        <v>76</v>
      </c>
      <c r="C46" s="1035">
        <f>+C34</f>
        <v>109.62</v>
      </c>
      <c r="D46" s="814"/>
      <c r="E46" s="814"/>
      <c r="F46" s="979"/>
      <c r="G46" s="1059"/>
      <c r="H46" s="814"/>
      <c r="I46" s="814"/>
    </row>
    <row r="47" spans="1:9" ht="12.75">
      <c r="A47" s="814"/>
      <c r="B47" s="735" t="s">
        <v>11</v>
      </c>
      <c r="C47" s="734" t="s">
        <v>881</v>
      </c>
      <c r="D47" s="735" t="s">
        <v>76</v>
      </c>
      <c r="E47" s="735" t="s">
        <v>77</v>
      </c>
      <c r="F47" s="734" t="s">
        <v>878</v>
      </c>
      <c r="G47" s="1059"/>
      <c r="H47" s="814"/>
      <c r="I47" s="814"/>
    </row>
    <row r="48" spans="1:9" ht="12.75">
      <c r="A48" s="814"/>
      <c r="B48" s="741" t="s">
        <v>30</v>
      </c>
      <c r="C48" s="1036">
        <f>+($C$12*$D$16)/360</f>
        <v>303253</v>
      </c>
      <c r="D48" s="1037" t="s">
        <v>879</v>
      </c>
      <c r="E48" s="741"/>
      <c r="F48" s="858">
        <v>835500.40076774918</v>
      </c>
      <c r="G48" s="1059"/>
      <c r="H48" s="814"/>
      <c r="I48" s="814"/>
    </row>
    <row r="49" spans="1:9" ht="12.75">
      <c r="A49" s="814"/>
      <c r="B49" s="741" t="s">
        <v>873</v>
      </c>
      <c r="C49" s="1036">
        <f>+(C48*360*0.12)/360</f>
        <v>36390.36</v>
      </c>
      <c r="D49" s="1037"/>
      <c r="E49" s="741"/>
      <c r="F49" s="858">
        <v>100260.0480921299</v>
      </c>
      <c r="G49" s="1059"/>
      <c r="H49" s="814"/>
      <c r="I49" s="814"/>
    </row>
    <row r="50" spans="1:9" ht="12.75">
      <c r="A50" s="814"/>
      <c r="B50" s="741" t="s">
        <v>874</v>
      </c>
      <c r="C50" s="1036">
        <f>24012*12</f>
        <v>288144</v>
      </c>
      <c r="D50" s="1037"/>
      <c r="E50" s="741"/>
      <c r="F50" s="858">
        <v>793873.19327037933</v>
      </c>
      <c r="G50" s="1059"/>
      <c r="H50" s="814"/>
      <c r="I50" s="814"/>
    </row>
    <row r="51" spans="1:9" ht="12.75">
      <c r="A51" s="814"/>
      <c r="B51" s="741" t="s">
        <v>875</v>
      </c>
      <c r="C51" s="1036">
        <f>+D28</f>
        <v>96480</v>
      </c>
      <c r="D51" s="1037"/>
      <c r="E51" s="741"/>
      <c r="F51" s="858">
        <v>171463</v>
      </c>
      <c r="G51" s="1059"/>
      <c r="H51" s="814"/>
      <c r="I51" s="814"/>
    </row>
    <row r="52" spans="1:9" ht="12.75">
      <c r="A52" s="814"/>
      <c r="B52" s="741" t="s">
        <v>865</v>
      </c>
      <c r="C52" s="1036">
        <f>+E22</f>
        <v>333437.90509259258</v>
      </c>
      <c r="D52" s="1037"/>
      <c r="E52" s="741"/>
      <c r="F52" s="858">
        <v>918663.63510342781</v>
      </c>
      <c r="G52" s="1059"/>
      <c r="H52" s="814"/>
      <c r="I52" s="814"/>
    </row>
    <row r="53" spans="1:9" ht="12.75">
      <c r="A53" s="814"/>
      <c r="B53" s="741" t="s">
        <v>104</v>
      </c>
      <c r="C53" s="1036">
        <f>+(C12*D16)/720</f>
        <v>151626.5</v>
      </c>
      <c r="D53" s="1037"/>
      <c r="E53" s="741"/>
      <c r="F53" s="858">
        <v>417750.20038387459</v>
      </c>
      <c r="G53" s="1059"/>
      <c r="H53" s="814"/>
      <c r="I53" s="814"/>
    </row>
    <row r="54" spans="1:9" ht="13.5" thickBot="1">
      <c r="A54" s="814"/>
      <c r="B54" s="1040" t="s">
        <v>876</v>
      </c>
      <c r="C54" s="1038">
        <f>+E20</f>
        <v>210592.36111111112</v>
      </c>
      <c r="D54" s="1039"/>
      <c r="E54" s="1040"/>
      <c r="F54" s="1045">
        <v>580208.61164427025</v>
      </c>
      <c r="G54" s="1059"/>
      <c r="H54" s="814"/>
      <c r="I54" s="814"/>
    </row>
    <row r="55" spans="1:9" ht="13.5" thickTop="1">
      <c r="A55" s="814"/>
      <c r="B55" s="801" t="s">
        <v>882</v>
      </c>
      <c r="C55" s="1041">
        <f>SUM(C48:C54)</f>
        <v>1419924.1262037037</v>
      </c>
      <c r="D55" s="1042"/>
      <c r="E55" s="1043"/>
      <c r="F55" s="1044">
        <f>SUM(F48:F54)</f>
        <v>3817719.0892618313</v>
      </c>
      <c r="G55" s="1059"/>
      <c r="H55" s="814"/>
      <c r="I55" s="814"/>
    </row>
    <row r="56" spans="1:9" ht="12.75">
      <c r="A56" s="814"/>
      <c r="B56" s="1072" t="s">
        <v>883</v>
      </c>
      <c r="C56" s="1035">
        <f>+C34</f>
        <v>109.62</v>
      </c>
      <c r="D56" s="814"/>
      <c r="E56" s="814"/>
      <c r="F56" s="979"/>
      <c r="G56" s="1059"/>
      <c r="H56" s="814"/>
      <c r="I56" s="814"/>
    </row>
    <row r="57" spans="1:9" ht="12.75">
      <c r="A57" s="814"/>
      <c r="B57" s="1113" t="s">
        <v>11</v>
      </c>
      <c r="C57" s="761" t="s">
        <v>884</v>
      </c>
      <c r="D57" s="1113" t="s">
        <v>76</v>
      </c>
      <c r="E57" s="1113" t="s">
        <v>77</v>
      </c>
      <c r="F57" s="761" t="s">
        <v>878</v>
      </c>
      <c r="G57" s="1059"/>
      <c r="H57" s="814"/>
      <c r="I57" s="814"/>
    </row>
    <row r="58" spans="1:9" ht="12.75">
      <c r="A58" s="814"/>
      <c r="B58" s="741" t="s">
        <v>30</v>
      </c>
      <c r="C58" s="1036">
        <v>305753</v>
      </c>
      <c r="D58" s="1037" t="s">
        <v>879</v>
      </c>
      <c r="E58" s="741"/>
      <c r="F58" s="858">
        <v>774622.8080648391</v>
      </c>
      <c r="G58" s="1059"/>
      <c r="H58" s="814"/>
      <c r="I58" s="814"/>
    </row>
    <row r="59" spans="1:9" ht="12.75">
      <c r="A59" s="814"/>
      <c r="B59" s="741" t="s">
        <v>873</v>
      </c>
      <c r="C59" s="1036">
        <v>36690.36</v>
      </c>
      <c r="D59" s="1037"/>
      <c r="E59" s="741"/>
      <c r="F59" s="858">
        <v>92954.736967780686</v>
      </c>
      <c r="G59" s="1059"/>
      <c r="H59" s="814"/>
      <c r="I59" s="814"/>
    </row>
    <row r="60" spans="1:9" ht="12.75">
      <c r="A60" s="814"/>
      <c r="B60" s="741" t="s">
        <v>874</v>
      </c>
      <c r="C60" s="1036">
        <v>316956</v>
      </c>
      <c r="D60" s="1037"/>
      <c r="E60" s="741"/>
      <c r="F60" s="858">
        <v>803005.51998835371</v>
      </c>
      <c r="G60" s="1059"/>
      <c r="H60" s="814"/>
      <c r="I60" s="814"/>
    </row>
    <row r="61" spans="1:9" ht="12.75">
      <c r="A61" s="814"/>
      <c r="B61" s="741" t="s">
        <v>875</v>
      </c>
      <c r="C61" s="1036"/>
      <c r="D61" s="1037"/>
      <c r="E61" s="741"/>
      <c r="F61" s="858">
        <v>238263</v>
      </c>
      <c r="G61" s="1059"/>
      <c r="H61" s="814"/>
      <c r="I61" s="814"/>
    </row>
    <row r="62" spans="1:9" ht="12.75">
      <c r="A62" s="814"/>
      <c r="B62" s="741" t="s">
        <v>865</v>
      </c>
      <c r="C62" s="1036">
        <v>336186.74768518517</v>
      </c>
      <c r="D62" s="1037"/>
      <c r="E62" s="741"/>
      <c r="F62" s="858">
        <v>851726.46720092255</v>
      </c>
      <c r="G62" s="1059"/>
      <c r="H62" s="814"/>
      <c r="I62" s="814"/>
    </row>
    <row r="63" spans="1:9" ht="12.75">
      <c r="A63" s="814"/>
      <c r="B63" s="741" t="s">
        <v>104</v>
      </c>
      <c r="C63" s="1036">
        <v>152876.5</v>
      </c>
      <c r="D63" s="1037"/>
      <c r="E63" s="741"/>
      <c r="F63" s="858">
        <v>387311.40403241955</v>
      </c>
      <c r="G63" s="1059"/>
      <c r="H63" s="814"/>
      <c r="I63" s="814"/>
    </row>
    <row r="64" spans="1:9" ht="13.5" thickBot="1">
      <c r="A64" s="814"/>
      <c r="B64" s="1040" t="s">
        <v>876</v>
      </c>
      <c r="C64" s="1038">
        <v>212328.47222222222</v>
      </c>
      <c r="D64" s="1039"/>
      <c r="E64" s="1040"/>
      <c r="F64" s="1045">
        <v>537932.50560058258</v>
      </c>
      <c r="G64" s="1059"/>
      <c r="H64" s="814"/>
      <c r="I64" s="814"/>
    </row>
    <row r="65" spans="1:9" ht="14.25" thickTop="1" thickBot="1">
      <c r="A65" s="814"/>
      <c r="B65" s="1046" t="s">
        <v>885</v>
      </c>
      <c r="C65" s="1047">
        <f>SUM(C58:C64)</f>
        <v>1360791.0799074073</v>
      </c>
      <c r="D65" s="1048"/>
      <c r="E65" s="1049"/>
      <c r="F65" s="1050">
        <f>SUM(F58:F64)</f>
        <v>3685816.4418548979</v>
      </c>
      <c r="G65" s="1059"/>
      <c r="H65" s="814"/>
      <c r="I65" s="814"/>
    </row>
    <row r="66" spans="1:9" ht="14.25" thickTop="1" thickBot="1">
      <c r="A66" s="814"/>
      <c r="B66" s="900" t="s">
        <v>886</v>
      </c>
      <c r="C66" s="1051"/>
      <c r="D66" s="1052"/>
      <c r="E66" s="814"/>
      <c r="F66" s="1050">
        <f>+F44+F55+F65</f>
        <v>10562035.614856331</v>
      </c>
      <c r="G66" s="1059"/>
      <c r="H66" s="814"/>
      <c r="I66" s="814"/>
    </row>
    <row r="67" spans="1:9" ht="13.5" thickTop="1">
      <c r="A67" s="814"/>
      <c r="B67" s="900" t="s">
        <v>198</v>
      </c>
      <c r="C67" s="1075">
        <f>+F66</f>
        <v>10562035.614856331</v>
      </c>
      <c r="D67" s="1052"/>
      <c r="E67" s="814"/>
      <c r="F67" s="1051"/>
      <c r="G67" s="1916">
        <v>9267627</v>
      </c>
      <c r="H67" s="925">
        <f>+G67-C67</f>
        <v>-1294408.6148563307</v>
      </c>
      <c r="I67" s="814"/>
    </row>
    <row r="68" spans="1:9" ht="12.75">
      <c r="A68" s="814"/>
      <c r="B68" s="2591" t="s">
        <v>160</v>
      </c>
      <c r="C68" s="2591"/>
      <c r="D68" s="2591"/>
      <c r="E68" s="2591"/>
      <c r="F68" s="2591"/>
      <c r="G68" s="2591"/>
      <c r="H68" s="2591"/>
      <c r="I68" s="814"/>
    </row>
    <row r="69" spans="1:9" ht="12.75">
      <c r="A69" s="741"/>
      <c r="B69" s="1113" t="s">
        <v>887</v>
      </c>
      <c r="C69" s="1113" t="s">
        <v>10</v>
      </c>
      <c r="D69" s="1113" t="s">
        <v>320</v>
      </c>
      <c r="E69" s="1113" t="s">
        <v>321</v>
      </c>
      <c r="F69" s="1113" t="s">
        <v>88</v>
      </c>
      <c r="G69" s="1113" t="s">
        <v>86</v>
      </c>
      <c r="H69" s="1113" t="s">
        <v>97</v>
      </c>
      <c r="I69" s="814"/>
    </row>
    <row r="70" spans="1:9" ht="12.75">
      <c r="A70" s="1132">
        <v>1</v>
      </c>
      <c r="B70" s="800">
        <v>41874</v>
      </c>
      <c r="C70" s="800">
        <v>41882</v>
      </c>
      <c r="D70" s="1053">
        <v>0.1933</v>
      </c>
      <c r="E70" s="1053">
        <f>+D70*1.5</f>
        <v>0.28994999999999999</v>
      </c>
      <c r="F70" s="909">
        <f>((1+E70)^(1/365))-1</f>
        <v>6.9778706056067286E-4</v>
      </c>
      <c r="G70" s="1054">
        <f t="shared" ref="G70:G136" si="1">+_xlfn.DAYS(C70,B70)+1</f>
        <v>9</v>
      </c>
      <c r="H70" s="812">
        <f>+$C$67*G70*F70</f>
        <v>66330.466067049638</v>
      </c>
      <c r="I70" s="814"/>
    </row>
    <row r="71" spans="1:9" ht="12.75">
      <c r="A71" s="741">
        <v>2</v>
      </c>
      <c r="B71" s="800">
        <v>41883</v>
      </c>
      <c r="C71" s="1073">
        <v>41912</v>
      </c>
      <c r="D71" s="1055">
        <v>0.1933</v>
      </c>
      <c r="E71" s="1053">
        <f t="shared" ref="E71:E76" si="2">+D71*1.5</f>
        <v>0.28994999999999999</v>
      </c>
      <c r="F71" s="909">
        <f t="shared" ref="F71:F76" si="3">((1+E71)^(1/365))-1</f>
        <v>6.9778706056067286E-4</v>
      </c>
      <c r="G71" s="1054">
        <f t="shared" si="1"/>
        <v>30</v>
      </c>
      <c r="H71" s="812">
        <f t="shared" ref="H71:H76" si="4">+$C$67*G71*F71</f>
        <v>221101.55355683214</v>
      </c>
      <c r="I71" s="814"/>
    </row>
    <row r="72" spans="1:9" ht="12.75">
      <c r="A72" s="1132">
        <v>3</v>
      </c>
      <c r="B72" s="800">
        <v>41913</v>
      </c>
      <c r="C72" s="800">
        <v>41943</v>
      </c>
      <c r="D72" s="1055">
        <v>0.19170000000000001</v>
      </c>
      <c r="E72" s="1053">
        <f t="shared" si="2"/>
        <v>0.28755000000000003</v>
      </c>
      <c r="F72" s="909">
        <f t="shared" si="3"/>
        <v>6.9268140331879557E-4</v>
      </c>
      <c r="G72" s="1054">
        <f t="shared" si="1"/>
        <v>31</v>
      </c>
      <c r="H72" s="812">
        <f t="shared" si="4"/>
        <v>226799.89519965524</v>
      </c>
      <c r="I72" s="814"/>
    </row>
    <row r="73" spans="1:9" ht="12.75">
      <c r="A73" s="741">
        <v>4</v>
      </c>
      <c r="B73" s="800">
        <v>41944</v>
      </c>
      <c r="C73" s="1073">
        <v>41973</v>
      </c>
      <c r="D73" s="1055">
        <v>0.19170000000000001</v>
      </c>
      <c r="E73" s="1053">
        <f t="shared" si="2"/>
        <v>0.28755000000000003</v>
      </c>
      <c r="F73" s="909">
        <f t="shared" si="3"/>
        <v>6.9268140331879557E-4</v>
      </c>
      <c r="G73" s="1054">
        <f t="shared" si="1"/>
        <v>30</v>
      </c>
      <c r="H73" s="812">
        <f t="shared" si="4"/>
        <v>219483.76954805342</v>
      </c>
      <c r="I73" s="814"/>
    </row>
    <row r="74" spans="1:9" ht="12.75">
      <c r="A74" s="1132">
        <v>5</v>
      </c>
      <c r="B74" s="800">
        <v>41974</v>
      </c>
      <c r="C74" s="800">
        <v>42004</v>
      </c>
      <c r="D74" s="1055">
        <v>0.19170000000000001</v>
      </c>
      <c r="E74" s="1053">
        <f t="shared" si="2"/>
        <v>0.28755000000000003</v>
      </c>
      <c r="F74" s="909">
        <f t="shared" si="3"/>
        <v>6.9268140331879557E-4</v>
      </c>
      <c r="G74" s="1054">
        <f t="shared" si="1"/>
        <v>31</v>
      </c>
      <c r="H74" s="812">
        <f t="shared" si="4"/>
        <v>226799.89519965524</v>
      </c>
      <c r="I74" s="814"/>
    </row>
    <row r="75" spans="1:9" ht="12.75">
      <c r="A75" s="741">
        <v>6</v>
      </c>
      <c r="B75" s="800">
        <v>42005</v>
      </c>
      <c r="C75" s="1073">
        <v>42035</v>
      </c>
      <c r="D75" s="1055">
        <v>0.19209999999999999</v>
      </c>
      <c r="E75" s="1053">
        <f t="shared" si="2"/>
        <v>0.28815000000000002</v>
      </c>
      <c r="F75" s="909">
        <f t="shared" si="3"/>
        <v>6.9395870684818561E-4</v>
      </c>
      <c r="G75" s="1054">
        <f t="shared" si="1"/>
        <v>31</v>
      </c>
      <c r="H75" s="812">
        <f t="shared" si="4"/>
        <v>227218.11388607562</v>
      </c>
      <c r="I75" s="814"/>
    </row>
    <row r="76" spans="1:9" ht="12.75">
      <c r="A76" s="1132">
        <v>7</v>
      </c>
      <c r="B76" s="800">
        <v>42036</v>
      </c>
      <c r="C76" s="800">
        <v>42058</v>
      </c>
      <c r="D76" s="1055">
        <v>0.19209999999999999</v>
      </c>
      <c r="E76" s="1053">
        <f t="shared" si="2"/>
        <v>0.28815000000000002</v>
      </c>
      <c r="F76" s="909">
        <f t="shared" si="3"/>
        <v>6.9395870684818561E-4</v>
      </c>
      <c r="G76" s="1054">
        <f>+_xlfn.DAYS(C76,B76)+1</f>
        <v>23</v>
      </c>
      <c r="H76" s="812">
        <f t="shared" si="4"/>
        <v>168581.18127031415</v>
      </c>
      <c r="I76" s="814"/>
    </row>
    <row r="77" spans="1:9" ht="12.75">
      <c r="A77" s="1132"/>
      <c r="B77" s="800" t="s">
        <v>888</v>
      </c>
      <c r="C77" s="800"/>
      <c r="D77" s="1055"/>
      <c r="E77" s="1053"/>
      <c r="F77" s="909"/>
      <c r="G77" s="1054"/>
      <c r="H77" s="812"/>
      <c r="I77" s="814"/>
    </row>
    <row r="78" spans="1:9" ht="12.75">
      <c r="A78" s="741">
        <v>8</v>
      </c>
      <c r="B78" s="800">
        <v>42059</v>
      </c>
      <c r="C78" s="800">
        <v>42063</v>
      </c>
      <c r="D78" s="1055">
        <v>0.19209999999999999</v>
      </c>
      <c r="E78" s="1053">
        <v>0</v>
      </c>
      <c r="F78" s="909">
        <f>((1+E78)^(1/365))-1</f>
        <v>0</v>
      </c>
      <c r="G78" s="1054">
        <v>0</v>
      </c>
      <c r="H78" s="812">
        <v>0</v>
      </c>
      <c r="I78" s="814"/>
    </row>
    <row r="79" spans="1:9" ht="12.75">
      <c r="A79" s="1132">
        <v>9</v>
      </c>
      <c r="B79" s="800">
        <v>42064</v>
      </c>
      <c r="C79" s="1073">
        <v>42094</v>
      </c>
      <c r="D79" s="1055">
        <v>0.19209999999999999</v>
      </c>
      <c r="E79" s="1053">
        <v>0</v>
      </c>
      <c r="F79" s="909">
        <v>0</v>
      </c>
      <c r="G79" s="1054">
        <v>0</v>
      </c>
      <c r="H79" s="812">
        <v>0</v>
      </c>
      <c r="I79" s="814"/>
    </row>
    <row r="80" spans="1:9" ht="12.75">
      <c r="A80" s="741">
        <v>10</v>
      </c>
      <c r="B80" s="800">
        <v>42095</v>
      </c>
      <c r="C80" s="800">
        <v>42124</v>
      </c>
      <c r="D80" s="1055">
        <v>0.19370000000000001</v>
      </c>
      <c r="E80" s="1055">
        <v>0</v>
      </c>
      <c r="F80" s="909">
        <v>0</v>
      </c>
      <c r="G80" s="1054">
        <v>0</v>
      </c>
      <c r="H80" s="812">
        <v>0</v>
      </c>
      <c r="I80" s="814"/>
    </row>
    <row r="81" spans="1:9" ht="12.75">
      <c r="A81" s="1132">
        <v>11</v>
      </c>
      <c r="B81" s="800">
        <v>42125</v>
      </c>
      <c r="C81" s="1073">
        <v>42155</v>
      </c>
      <c r="D81" s="1055">
        <v>0.19370000000000001</v>
      </c>
      <c r="E81" s="1055">
        <v>0</v>
      </c>
      <c r="F81" s="909">
        <v>0</v>
      </c>
      <c r="G81" s="1054">
        <v>0</v>
      </c>
      <c r="H81" s="812">
        <v>0</v>
      </c>
      <c r="I81" s="814"/>
    </row>
    <row r="82" spans="1:9" ht="12.75">
      <c r="A82" s="1132">
        <v>12</v>
      </c>
      <c r="B82" s="800">
        <v>42156</v>
      </c>
      <c r="C82" s="800">
        <v>42185</v>
      </c>
      <c r="D82" s="1055">
        <v>0.19370000000000001</v>
      </c>
      <c r="E82" s="1055">
        <v>0</v>
      </c>
      <c r="F82" s="909">
        <v>0</v>
      </c>
      <c r="G82" s="1054">
        <v>0</v>
      </c>
      <c r="H82" s="812">
        <v>0</v>
      </c>
      <c r="I82" s="814"/>
    </row>
    <row r="83" spans="1:9" ht="12.75">
      <c r="A83" s="741">
        <v>13</v>
      </c>
      <c r="B83" s="800">
        <v>42186</v>
      </c>
      <c r="C83" s="1073">
        <v>42216</v>
      </c>
      <c r="D83" s="1055">
        <v>0.19259999999999999</v>
      </c>
      <c r="E83" s="1055">
        <v>0</v>
      </c>
      <c r="F83" s="909">
        <v>0</v>
      </c>
      <c r="G83" s="1054">
        <v>0</v>
      </c>
      <c r="H83" s="812">
        <v>0</v>
      </c>
      <c r="I83" s="814"/>
    </row>
    <row r="84" spans="1:9" ht="12.75">
      <c r="A84" s="1132">
        <v>14</v>
      </c>
      <c r="B84" s="800">
        <v>42217</v>
      </c>
      <c r="C84" s="800">
        <v>42247</v>
      </c>
      <c r="D84" s="1055">
        <v>0.19259999999999999</v>
      </c>
      <c r="E84" s="1055">
        <v>0</v>
      </c>
      <c r="F84" s="909">
        <v>0</v>
      </c>
      <c r="G84" s="1054">
        <v>0</v>
      </c>
      <c r="H84" s="812">
        <v>0</v>
      </c>
      <c r="I84" s="814"/>
    </row>
    <row r="85" spans="1:9" ht="12.75">
      <c r="A85" s="741">
        <v>15</v>
      </c>
      <c r="B85" s="800">
        <v>42248</v>
      </c>
      <c r="C85" s="1073">
        <v>42277</v>
      </c>
      <c r="D85" s="1055">
        <v>0.19259999999999999</v>
      </c>
      <c r="E85" s="1055">
        <v>0</v>
      </c>
      <c r="F85" s="909">
        <v>0</v>
      </c>
      <c r="G85" s="1054">
        <v>0</v>
      </c>
      <c r="H85" s="812">
        <v>0</v>
      </c>
      <c r="I85" s="814"/>
    </row>
    <row r="86" spans="1:9" ht="12.75">
      <c r="A86" s="1132">
        <v>16</v>
      </c>
      <c r="B86" s="800">
        <v>42278</v>
      </c>
      <c r="C86" s="800">
        <v>42308</v>
      </c>
      <c r="D86" s="1055">
        <v>0.1933</v>
      </c>
      <c r="E86" s="1055">
        <v>0</v>
      </c>
      <c r="F86" s="909">
        <v>0</v>
      </c>
      <c r="G86" s="1054">
        <v>0</v>
      </c>
      <c r="H86" s="812">
        <v>0</v>
      </c>
      <c r="I86" s="814"/>
    </row>
    <row r="87" spans="1:9" ht="12.75">
      <c r="A87" s="741">
        <v>17</v>
      </c>
      <c r="B87" s="815">
        <v>42309</v>
      </c>
      <c r="C87" s="1074">
        <v>42338</v>
      </c>
      <c r="D87" s="1055">
        <v>0.1933</v>
      </c>
      <c r="E87" s="1055">
        <v>0</v>
      </c>
      <c r="F87" s="909">
        <v>0</v>
      </c>
      <c r="G87" s="1054">
        <v>0</v>
      </c>
      <c r="H87" s="812">
        <v>0</v>
      </c>
      <c r="I87" s="814"/>
    </row>
    <row r="88" spans="1:9" ht="12.75">
      <c r="A88" s="1132">
        <v>18</v>
      </c>
      <c r="B88" s="800">
        <v>42339</v>
      </c>
      <c r="C88" s="800">
        <v>42369</v>
      </c>
      <c r="D88" s="1053">
        <v>0.1933</v>
      </c>
      <c r="E88" s="1053">
        <v>0</v>
      </c>
      <c r="F88" s="909">
        <v>0</v>
      </c>
      <c r="G88" s="1054">
        <v>0</v>
      </c>
      <c r="H88" s="812">
        <v>0</v>
      </c>
      <c r="I88" s="814"/>
    </row>
    <row r="89" spans="1:9" ht="12.75">
      <c r="A89" s="741">
        <v>19</v>
      </c>
      <c r="B89" s="800">
        <v>42370</v>
      </c>
      <c r="C89" s="1073">
        <v>42400</v>
      </c>
      <c r="D89" s="1053">
        <v>0.1968</v>
      </c>
      <c r="E89" s="1053">
        <v>0</v>
      </c>
      <c r="F89" s="909">
        <v>0</v>
      </c>
      <c r="G89" s="1054">
        <v>0</v>
      </c>
      <c r="H89" s="812">
        <v>0</v>
      </c>
      <c r="I89" s="814"/>
    </row>
    <row r="90" spans="1:9" ht="12.75">
      <c r="A90" s="1132">
        <v>20</v>
      </c>
      <c r="B90" s="804">
        <v>42401</v>
      </c>
      <c r="C90" s="804">
        <v>42429</v>
      </c>
      <c r="D90" s="1056">
        <v>0.1968</v>
      </c>
      <c r="E90" s="1056">
        <f t="shared" ref="E90:E154" si="5">+D90*1.5</f>
        <v>0.29520000000000002</v>
      </c>
      <c r="F90" s="909">
        <v>0</v>
      </c>
      <c r="G90" s="1054">
        <v>0</v>
      </c>
      <c r="H90" s="812">
        <v>0</v>
      </c>
      <c r="I90" s="814"/>
    </row>
    <row r="91" spans="1:9" ht="12.75">
      <c r="A91" s="741">
        <v>21</v>
      </c>
      <c r="B91" s="804">
        <v>42430</v>
      </c>
      <c r="C91" s="804">
        <v>42443</v>
      </c>
      <c r="D91" s="1055">
        <v>0.1968</v>
      </c>
      <c r="E91" s="1055">
        <f t="shared" si="5"/>
        <v>0.29520000000000002</v>
      </c>
      <c r="F91" s="909">
        <v>0</v>
      </c>
      <c r="G91" s="1054">
        <v>0</v>
      </c>
      <c r="H91" s="812">
        <v>0</v>
      </c>
      <c r="I91" s="814"/>
    </row>
    <row r="92" spans="1:9" ht="12.75">
      <c r="A92" s="1132">
        <v>22</v>
      </c>
      <c r="B92" s="800">
        <v>42444</v>
      </c>
      <c r="C92" s="1073">
        <v>42460</v>
      </c>
      <c r="D92" s="1055">
        <v>0.1968</v>
      </c>
      <c r="E92" s="1055">
        <f t="shared" si="5"/>
        <v>0.29520000000000002</v>
      </c>
      <c r="F92" s="1057">
        <f t="shared" ref="F92:F123" si="6">((1+E92)^(1/365))-1</f>
        <v>7.0892273793354832E-4</v>
      </c>
      <c r="G92" s="1054">
        <f t="shared" si="1"/>
        <v>17</v>
      </c>
      <c r="H92" s="812">
        <f>+$C$67*G92*F92</f>
        <v>127290.34250600518</v>
      </c>
      <c r="I92" s="814"/>
    </row>
    <row r="93" spans="1:9" ht="12.75">
      <c r="A93" s="1132">
        <v>23</v>
      </c>
      <c r="B93" s="800">
        <v>42461</v>
      </c>
      <c r="C93" s="800">
        <v>42490</v>
      </c>
      <c r="D93" s="1055">
        <v>0.2054</v>
      </c>
      <c r="E93" s="1055">
        <f t="shared" si="5"/>
        <v>0.30809999999999998</v>
      </c>
      <c r="F93" s="1057">
        <f t="shared" si="6"/>
        <v>7.3609462782320279E-4</v>
      </c>
      <c r="G93" s="1054">
        <f t="shared" si="1"/>
        <v>30</v>
      </c>
      <c r="H93" s="812">
        <f t="shared" ref="H93:H156" si="7">+$C$67*G93*F93</f>
        <v>233239.73024919251</v>
      </c>
      <c r="I93" s="814"/>
    </row>
    <row r="94" spans="1:9" ht="12.75">
      <c r="A94" s="741">
        <v>24</v>
      </c>
      <c r="B94" s="800">
        <v>42491</v>
      </c>
      <c r="C94" s="1073">
        <v>42521</v>
      </c>
      <c r="D94" s="1055">
        <v>0.2054</v>
      </c>
      <c r="E94" s="1055">
        <f t="shared" si="5"/>
        <v>0.30809999999999998</v>
      </c>
      <c r="F94" s="1057">
        <f t="shared" si="6"/>
        <v>7.3609462782320279E-4</v>
      </c>
      <c r="G94" s="1054">
        <f t="shared" si="1"/>
        <v>31</v>
      </c>
      <c r="H94" s="812">
        <f t="shared" si="7"/>
        <v>241014.38792416561</v>
      </c>
      <c r="I94" s="814"/>
    </row>
    <row r="95" spans="1:9" ht="12.75">
      <c r="A95" s="1132">
        <v>25</v>
      </c>
      <c r="B95" s="800">
        <v>42522</v>
      </c>
      <c r="C95" s="800">
        <v>42551</v>
      </c>
      <c r="D95" s="1055">
        <v>0.2054</v>
      </c>
      <c r="E95" s="1055">
        <f t="shared" si="5"/>
        <v>0.30809999999999998</v>
      </c>
      <c r="F95" s="1057">
        <f t="shared" si="6"/>
        <v>7.3609462782320279E-4</v>
      </c>
      <c r="G95" s="1054">
        <f t="shared" si="1"/>
        <v>30</v>
      </c>
      <c r="H95" s="812">
        <f t="shared" si="7"/>
        <v>233239.73024919251</v>
      </c>
      <c r="I95" s="814"/>
    </row>
    <row r="96" spans="1:9" ht="12.75">
      <c r="A96" s="741">
        <v>26</v>
      </c>
      <c r="B96" s="800">
        <v>42552</v>
      </c>
      <c r="C96" s="1073">
        <v>42582</v>
      </c>
      <c r="D96" s="1055">
        <v>0.21340000000000001</v>
      </c>
      <c r="E96" s="1055">
        <f t="shared" si="5"/>
        <v>0.3201</v>
      </c>
      <c r="F96" s="1057">
        <f t="shared" si="6"/>
        <v>7.6113195596128058E-4</v>
      </c>
      <c r="G96" s="1054">
        <f t="shared" si="1"/>
        <v>31</v>
      </c>
      <c r="H96" s="812">
        <f t="shared" si="7"/>
        <v>249212.18762051751</v>
      </c>
      <c r="I96" s="814"/>
    </row>
    <row r="97" spans="1:9" ht="12.75">
      <c r="A97" s="1132">
        <v>27</v>
      </c>
      <c r="B97" s="800">
        <v>42583</v>
      </c>
      <c r="C97" s="800">
        <v>42613</v>
      </c>
      <c r="D97" s="1055">
        <v>0.21340000000000001</v>
      </c>
      <c r="E97" s="1055">
        <f t="shared" si="5"/>
        <v>0.3201</v>
      </c>
      <c r="F97" s="1057">
        <f t="shared" si="6"/>
        <v>7.6113195596128058E-4</v>
      </c>
      <c r="G97" s="1054">
        <f t="shared" si="1"/>
        <v>31</v>
      </c>
      <c r="H97" s="812">
        <f t="shared" si="7"/>
        <v>249212.18762051751</v>
      </c>
      <c r="I97" s="814"/>
    </row>
    <row r="98" spans="1:9" ht="12.75">
      <c r="A98" s="741">
        <v>28</v>
      </c>
      <c r="B98" s="800">
        <v>42614</v>
      </c>
      <c r="C98" s="1073">
        <v>42643</v>
      </c>
      <c r="D98" s="1055">
        <v>0.21340000000000001</v>
      </c>
      <c r="E98" s="1055">
        <f t="shared" si="5"/>
        <v>0.3201</v>
      </c>
      <c r="F98" s="1057">
        <f t="shared" si="6"/>
        <v>7.6113195596128058E-4</v>
      </c>
      <c r="G98" s="1054">
        <f t="shared" si="1"/>
        <v>30</v>
      </c>
      <c r="H98" s="812">
        <f t="shared" si="7"/>
        <v>241173.08479404918</v>
      </c>
      <c r="I98" s="814"/>
    </row>
    <row r="99" spans="1:9" ht="12.75">
      <c r="A99" s="1132">
        <v>29</v>
      </c>
      <c r="B99" s="800">
        <v>42644</v>
      </c>
      <c r="C99" s="800">
        <v>42674</v>
      </c>
      <c r="D99" s="1055">
        <v>0.21990000000000001</v>
      </c>
      <c r="E99" s="1055">
        <f t="shared" si="5"/>
        <v>0.32985000000000003</v>
      </c>
      <c r="F99" s="1057">
        <f t="shared" si="6"/>
        <v>7.8130822380240161E-4</v>
      </c>
      <c r="G99" s="1054">
        <f t="shared" si="1"/>
        <v>31</v>
      </c>
      <c r="H99" s="812">
        <f t="shared" si="7"/>
        <v>255818.36386541431</v>
      </c>
      <c r="I99" s="814"/>
    </row>
    <row r="100" spans="1:9" ht="12.75">
      <c r="A100" s="741">
        <v>30</v>
      </c>
      <c r="B100" s="800">
        <v>42675</v>
      </c>
      <c r="C100" s="1073">
        <v>42704</v>
      </c>
      <c r="D100" s="1055">
        <v>0.21990000000000001</v>
      </c>
      <c r="E100" s="1055">
        <f t="shared" si="5"/>
        <v>0.32985000000000003</v>
      </c>
      <c r="F100" s="1057">
        <f t="shared" si="6"/>
        <v>7.8130822380240161E-4</v>
      </c>
      <c r="G100" s="1054">
        <f t="shared" si="1"/>
        <v>30</v>
      </c>
      <c r="H100" s="812">
        <f t="shared" si="7"/>
        <v>247566.15857943319</v>
      </c>
      <c r="I100" s="814"/>
    </row>
    <row r="101" spans="1:9" ht="12.75">
      <c r="A101" s="1132">
        <v>31</v>
      </c>
      <c r="B101" s="800">
        <v>42705</v>
      </c>
      <c r="C101" s="800">
        <v>42735</v>
      </c>
      <c r="D101" s="1055">
        <v>0.21990000000000001</v>
      </c>
      <c r="E101" s="1055">
        <f t="shared" si="5"/>
        <v>0.32985000000000003</v>
      </c>
      <c r="F101" s="1057">
        <f t="shared" si="6"/>
        <v>7.8130822380240161E-4</v>
      </c>
      <c r="G101" s="1054">
        <f t="shared" si="1"/>
        <v>31</v>
      </c>
      <c r="H101" s="812">
        <f t="shared" si="7"/>
        <v>255818.36386541431</v>
      </c>
      <c r="I101" s="814"/>
    </row>
    <row r="102" spans="1:9" ht="12.75">
      <c r="A102" s="741">
        <v>32</v>
      </c>
      <c r="B102" s="800">
        <v>42736</v>
      </c>
      <c r="C102" s="1073">
        <v>42766</v>
      </c>
      <c r="D102" s="1055">
        <v>0.22339999999999999</v>
      </c>
      <c r="E102" s="1055">
        <f t="shared" si="5"/>
        <v>0.33509999999999995</v>
      </c>
      <c r="F102" s="1057">
        <f t="shared" si="6"/>
        <v>7.9211135028089963E-4</v>
      </c>
      <c r="G102" s="1054">
        <f t="shared" si="1"/>
        <v>31</v>
      </c>
      <c r="H102" s="812">
        <f t="shared" si="7"/>
        <v>259355.55707056282</v>
      </c>
      <c r="I102" s="814"/>
    </row>
    <row r="103" spans="1:9" ht="12.75">
      <c r="A103" s="1132">
        <v>33</v>
      </c>
      <c r="B103" s="800">
        <v>42767</v>
      </c>
      <c r="C103" s="1073">
        <v>42794</v>
      </c>
      <c r="D103" s="1055">
        <v>0.22339999999999999</v>
      </c>
      <c r="E103" s="1055">
        <f t="shared" si="5"/>
        <v>0.33509999999999995</v>
      </c>
      <c r="F103" s="1057">
        <f t="shared" si="6"/>
        <v>7.9211135028089963E-4</v>
      </c>
      <c r="G103" s="1054">
        <f t="shared" si="1"/>
        <v>28</v>
      </c>
      <c r="H103" s="812">
        <f t="shared" si="7"/>
        <v>234256.63219276638</v>
      </c>
      <c r="I103" s="814"/>
    </row>
    <row r="104" spans="1:9" ht="12.75">
      <c r="A104" s="1132">
        <v>34</v>
      </c>
      <c r="B104" s="800">
        <v>42795</v>
      </c>
      <c r="C104" s="800">
        <v>42825</v>
      </c>
      <c r="D104" s="1055">
        <v>0.22339999999999999</v>
      </c>
      <c r="E104" s="1055">
        <f t="shared" si="5"/>
        <v>0.33509999999999995</v>
      </c>
      <c r="F104" s="1057">
        <f t="shared" si="6"/>
        <v>7.9211135028089963E-4</v>
      </c>
      <c r="G104" s="1054">
        <f t="shared" si="1"/>
        <v>31</v>
      </c>
      <c r="H104" s="812">
        <f t="shared" si="7"/>
        <v>259355.55707056282</v>
      </c>
      <c r="I104" s="814"/>
    </row>
    <row r="105" spans="1:9" ht="12.75">
      <c r="A105" s="741">
        <v>35</v>
      </c>
      <c r="B105" s="800">
        <v>42826</v>
      </c>
      <c r="C105" s="1073">
        <v>42855</v>
      </c>
      <c r="D105" s="1055">
        <v>0.2233</v>
      </c>
      <c r="E105" s="1055">
        <f t="shared" si="5"/>
        <v>0.33494999999999997</v>
      </c>
      <c r="F105" s="1057">
        <f t="shared" si="6"/>
        <v>7.9180327787309324E-4</v>
      </c>
      <c r="G105" s="1054">
        <f t="shared" si="1"/>
        <v>30</v>
      </c>
      <c r="H105" s="812">
        <f t="shared" si="7"/>
        <v>250891.63262566781</v>
      </c>
      <c r="I105" s="814"/>
    </row>
    <row r="106" spans="1:9" ht="12.75">
      <c r="A106" s="1132">
        <v>36</v>
      </c>
      <c r="B106" s="800">
        <v>42856</v>
      </c>
      <c r="C106" s="1073">
        <v>42886</v>
      </c>
      <c r="D106" s="1055">
        <v>0.2233</v>
      </c>
      <c r="E106" s="1055">
        <f t="shared" si="5"/>
        <v>0.33494999999999997</v>
      </c>
      <c r="F106" s="1057">
        <f t="shared" si="6"/>
        <v>7.9180327787309324E-4</v>
      </c>
      <c r="G106" s="1054">
        <f t="shared" si="1"/>
        <v>31</v>
      </c>
      <c r="H106" s="812">
        <f t="shared" si="7"/>
        <v>259254.68704652344</v>
      </c>
      <c r="I106" s="814"/>
    </row>
    <row r="107" spans="1:9" ht="12.75">
      <c r="A107" s="741">
        <v>37</v>
      </c>
      <c r="B107" s="800">
        <v>42887</v>
      </c>
      <c r="C107" s="800">
        <v>42916</v>
      </c>
      <c r="D107" s="1055">
        <v>0.2233</v>
      </c>
      <c r="E107" s="1055">
        <f t="shared" si="5"/>
        <v>0.33494999999999997</v>
      </c>
      <c r="F107" s="1057">
        <f t="shared" si="6"/>
        <v>7.9180327787309324E-4</v>
      </c>
      <c r="G107" s="1054">
        <f t="shared" si="1"/>
        <v>30</v>
      </c>
      <c r="H107" s="812">
        <f t="shared" si="7"/>
        <v>250891.63262566781</v>
      </c>
      <c r="I107" s="814"/>
    </row>
    <row r="108" spans="1:9" ht="12.75">
      <c r="A108" s="1132">
        <v>38</v>
      </c>
      <c r="B108" s="800">
        <v>42917</v>
      </c>
      <c r="C108" s="1073">
        <v>42947</v>
      </c>
      <c r="D108" s="1055">
        <v>0.2198</v>
      </c>
      <c r="E108" s="1055">
        <f t="shared" si="5"/>
        <v>0.32969999999999999</v>
      </c>
      <c r="F108" s="1057">
        <f t="shared" si="6"/>
        <v>7.8099893845218205E-4</v>
      </c>
      <c r="G108" s="1054">
        <f t="shared" si="1"/>
        <v>31</v>
      </c>
      <c r="H108" s="812">
        <f t="shared" si="7"/>
        <v>255717.09669600497</v>
      </c>
      <c r="I108" s="814"/>
    </row>
    <row r="109" spans="1:9" ht="12.75">
      <c r="A109" s="741">
        <v>39</v>
      </c>
      <c r="B109" s="800">
        <v>42948</v>
      </c>
      <c r="C109" s="1073">
        <v>42978</v>
      </c>
      <c r="D109" s="1055">
        <v>0.2198</v>
      </c>
      <c r="E109" s="1055">
        <f t="shared" si="5"/>
        <v>0.32969999999999999</v>
      </c>
      <c r="F109" s="1057">
        <f t="shared" si="6"/>
        <v>7.8099893845218205E-4</v>
      </c>
      <c r="G109" s="1054">
        <f t="shared" si="1"/>
        <v>31</v>
      </c>
      <c r="H109" s="812">
        <f t="shared" si="7"/>
        <v>255717.09669600497</v>
      </c>
      <c r="I109" s="814"/>
    </row>
    <row r="110" spans="1:9" ht="12.75">
      <c r="A110" s="1132">
        <v>40</v>
      </c>
      <c r="B110" s="800">
        <v>42979</v>
      </c>
      <c r="C110" s="800">
        <v>43008</v>
      </c>
      <c r="D110" s="1055">
        <v>0.21479999999999999</v>
      </c>
      <c r="E110" s="1055">
        <f t="shared" si="5"/>
        <v>0.32219999999999999</v>
      </c>
      <c r="F110" s="1057">
        <f t="shared" si="6"/>
        <v>7.6549014202820231E-4</v>
      </c>
      <c r="G110" s="1054">
        <f t="shared" si="1"/>
        <v>30</v>
      </c>
      <c r="H110" s="812">
        <f t="shared" si="7"/>
        <v>242554.02428769911</v>
      </c>
      <c r="I110" s="814"/>
    </row>
    <row r="111" spans="1:9" ht="12.75">
      <c r="A111" s="741">
        <v>41</v>
      </c>
      <c r="B111" s="800">
        <v>43009</v>
      </c>
      <c r="C111" s="1073">
        <v>43039</v>
      </c>
      <c r="D111" s="1055">
        <v>0.21149999999999999</v>
      </c>
      <c r="E111" s="1055">
        <f t="shared" si="5"/>
        <v>0.31724999999999998</v>
      </c>
      <c r="F111" s="1057">
        <f t="shared" si="6"/>
        <v>7.5520620308799913E-4</v>
      </c>
      <c r="G111" s="1054">
        <f t="shared" si="1"/>
        <v>31</v>
      </c>
      <c r="H111" s="812">
        <f t="shared" si="7"/>
        <v>247271.95922085198</v>
      </c>
      <c r="I111" s="814"/>
    </row>
    <row r="112" spans="1:9" ht="12.75">
      <c r="A112" s="1132">
        <v>42</v>
      </c>
      <c r="B112" s="800">
        <v>43040</v>
      </c>
      <c r="C112" s="1073">
        <v>43069</v>
      </c>
      <c r="D112" s="1055">
        <v>0.20960000000000001</v>
      </c>
      <c r="E112" s="1055">
        <f t="shared" si="5"/>
        <v>0.31440000000000001</v>
      </c>
      <c r="F112" s="1057">
        <f t="shared" si="6"/>
        <v>7.4926765057248268E-4</v>
      </c>
      <c r="G112" s="1054">
        <f t="shared" si="1"/>
        <v>30</v>
      </c>
      <c r="H112" s="812">
        <f t="shared" si="7"/>
        <v>237413.74831218872</v>
      </c>
      <c r="I112" s="814"/>
    </row>
    <row r="113" spans="1:9" ht="12.75">
      <c r="A113" s="741">
        <v>43</v>
      </c>
      <c r="B113" s="800">
        <v>43070</v>
      </c>
      <c r="C113" s="800">
        <v>43100</v>
      </c>
      <c r="D113" s="1055">
        <v>0.2077</v>
      </c>
      <c r="E113" s="1055">
        <f t="shared" si="5"/>
        <v>0.31154999999999999</v>
      </c>
      <c r="F113" s="1057">
        <f t="shared" si="6"/>
        <v>7.4331624292400811E-4</v>
      </c>
      <c r="G113" s="1054">
        <f t="shared" si="1"/>
        <v>31</v>
      </c>
      <c r="H113" s="812">
        <f t="shared" si="7"/>
        <v>243378.91155680182</v>
      </c>
      <c r="I113" s="814"/>
    </row>
    <row r="114" spans="1:9" ht="12.75">
      <c r="A114" s="1132">
        <v>44</v>
      </c>
      <c r="B114" s="800">
        <v>43101</v>
      </c>
      <c r="C114" s="1073">
        <v>43131</v>
      </c>
      <c r="D114" s="1055">
        <v>0.2069</v>
      </c>
      <c r="E114" s="1055">
        <f t="shared" si="5"/>
        <v>0.31035000000000001</v>
      </c>
      <c r="F114" s="1057">
        <f t="shared" si="6"/>
        <v>7.4080652774299871E-4</v>
      </c>
      <c r="G114" s="1054">
        <f t="shared" si="1"/>
        <v>31</v>
      </c>
      <c r="H114" s="812">
        <f t="shared" si="7"/>
        <v>242557.17282192784</v>
      </c>
      <c r="I114" s="814"/>
    </row>
    <row r="115" spans="1:9" ht="12.75">
      <c r="A115" s="1132">
        <v>45</v>
      </c>
      <c r="B115" s="800">
        <v>43132</v>
      </c>
      <c r="C115" s="1073">
        <v>43159</v>
      </c>
      <c r="D115" s="1055">
        <v>0.21010000000000001</v>
      </c>
      <c r="E115" s="1055">
        <f t="shared" si="5"/>
        <v>0.31515000000000004</v>
      </c>
      <c r="F115" s="1057">
        <f t="shared" si="6"/>
        <v>7.5083167162115494E-4</v>
      </c>
      <c r="G115" s="1054">
        <f t="shared" si="1"/>
        <v>28</v>
      </c>
      <c r="H115" s="812">
        <f t="shared" si="7"/>
        <v>222048.70397989303</v>
      </c>
      <c r="I115" s="814"/>
    </row>
    <row r="116" spans="1:9" ht="12.75">
      <c r="A116" s="741">
        <v>46</v>
      </c>
      <c r="B116" s="800">
        <v>43160</v>
      </c>
      <c r="C116" s="800">
        <v>43190</v>
      </c>
      <c r="D116" s="1055">
        <v>0.20680000000000001</v>
      </c>
      <c r="E116" s="1055">
        <f t="shared" si="5"/>
        <v>0.31020000000000003</v>
      </c>
      <c r="F116" s="1057">
        <f t="shared" si="6"/>
        <v>7.4049265219700011E-4</v>
      </c>
      <c r="G116" s="1054">
        <f t="shared" si="1"/>
        <v>31</v>
      </c>
      <c r="H116" s="812">
        <f t="shared" si="7"/>
        <v>242454.40271636826</v>
      </c>
      <c r="I116" s="814"/>
    </row>
    <row r="117" spans="1:9" ht="12.75">
      <c r="A117" s="1132">
        <v>47</v>
      </c>
      <c r="B117" s="800">
        <v>43191</v>
      </c>
      <c r="C117" s="1073">
        <v>43220</v>
      </c>
      <c r="D117" s="1055">
        <v>0.20480000000000001</v>
      </c>
      <c r="E117" s="1055">
        <f t="shared" si="5"/>
        <v>0.30720000000000003</v>
      </c>
      <c r="F117" s="1057">
        <f t="shared" si="6"/>
        <v>7.34207604366377E-4</v>
      </c>
      <c r="G117" s="1054">
        <f t="shared" si="1"/>
        <v>30</v>
      </c>
      <c r="H117" s="812">
        <f t="shared" si="7"/>
        <v>232641.8059804806</v>
      </c>
      <c r="I117" s="814"/>
    </row>
    <row r="118" spans="1:9" ht="12.75">
      <c r="A118" s="741">
        <v>48</v>
      </c>
      <c r="B118" s="800">
        <v>43221</v>
      </c>
      <c r="C118" s="1073">
        <v>43251</v>
      </c>
      <c r="D118" s="1055">
        <v>0.2044</v>
      </c>
      <c r="E118" s="1055">
        <f t="shared" si="5"/>
        <v>0.30659999999999998</v>
      </c>
      <c r="F118" s="1057">
        <f t="shared" si="6"/>
        <v>7.3294886878794152E-4</v>
      </c>
      <c r="G118" s="1054">
        <f t="shared" si="1"/>
        <v>31</v>
      </c>
      <c r="H118" s="812">
        <f t="shared" si="7"/>
        <v>239984.39373621385</v>
      </c>
      <c r="I118" s="814"/>
    </row>
    <row r="119" spans="1:9" ht="12.75">
      <c r="A119" s="1132">
        <v>49</v>
      </c>
      <c r="B119" s="800">
        <v>43252</v>
      </c>
      <c r="C119" s="800">
        <v>43281</v>
      </c>
      <c r="D119" s="1055">
        <v>0.20280000000000001</v>
      </c>
      <c r="E119" s="1055">
        <f t="shared" si="5"/>
        <v>0.30420000000000003</v>
      </c>
      <c r="F119" s="1057">
        <f t="shared" si="6"/>
        <v>7.2790815549184096E-4</v>
      </c>
      <c r="G119" s="1054">
        <f t="shared" si="1"/>
        <v>30</v>
      </c>
      <c r="H119" s="812">
        <f t="shared" si="7"/>
        <v>230645.75587947611</v>
      </c>
      <c r="I119" s="814"/>
    </row>
    <row r="120" spans="1:9" ht="12.75">
      <c r="A120" s="741">
        <v>50</v>
      </c>
      <c r="B120" s="800">
        <v>43282</v>
      </c>
      <c r="C120" s="1073">
        <v>43312</v>
      </c>
      <c r="D120" s="1055">
        <v>0.20030000000000001</v>
      </c>
      <c r="E120" s="1055">
        <f t="shared" si="5"/>
        <v>0.30044999999999999</v>
      </c>
      <c r="F120" s="1057">
        <f t="shared" si="6"/>
        <v>7.2001349197825526E-4</v>
      </c>
      <c r="G120" s="1054">
        <f t="shared" si="1"/>
        <v>31</v>
      </c>
      <c r="H120" s="812">
        <f t="shared" si="7"/>
        <v>235749.05250899357</v>
      </c>
      <c r="I120" s="814"/>
    </row>
    <row r="121" spans="1:9" ht="12.75">
      <c r="A121" s="1132">
        <v>51</v>
      </c>
      <c r="B121" s="800">
        <v>43313</v>
      </c>
      <c r="C121" s="1073">
        <v>43343</v>
      </c>
      <c r="D121" s="1055">
        <v>0.19939999999999999</v>
      </c>
      <c r="E121" s="1055">
        <f>+D121*1.5</f>
        <v>0.29909999999999998</v>
      </c>
      <c r="F121" s="1057">
        <f t="shared" si="6"/>
        <v>7.1716585429704161E-4</v>
      </c>
      <c r="G121" s="1054">
        <f t="shared" si="1"/>
        <v>31</v>
      </c>
      <c r="H121" s="812">
        <f t="shared" si="7"/>
        <v>234816.67014017081</v>
      </c>
      <c r="I121" s="814"/>
    </row>
    <row r="122" spans="1:9" ht="12.75">
      <c r="A122" s="741">
        <v>52</v>
      </c>
      <c r="B122" s="800">
        <v>43344</v>
      </c>
      <c r="C122" s="800">
        <v>43373</v>
      </c>
      <c r="D122" s="1055">
        <v>0.1981</v>
      </c>
      <c r="E122" s="1055">
        <f t="shared" si="5"/>
        <v>0.29715000000000003</v>
      </c>
      <c r="F122" s="1057">
        <f t="shared" si="6"/>
        <v>7.1304738558919389E-4</v>
      </c>
      <c r="G122" s="1054">
        <f t="shared" si="1"/>
        <v>30</v>
      </c>
      <c r="H122" s="812">
        <f t="shared" si="7"/>
        <v>225936.95645019782</v>
      </c>
      <c r="I122" s="814"/>
    </row>
    <row r="123" spans="1:9" ht="12.75">
      <c r="A123" s="1132">
        <v>53</v>
      </c>
      <c r="B123" s="800">
        <v>43374</v>
      </c>
      <c r="C123" s="1073">
        <v>43404</v>
      </c>
      <c r="D123" s="1055">
        <v>0.1963</v>
      </c>
      <c r="E123" s="1055">
        <f t="shared" si="5"/>
        <v>0.29444999999999999</v>
      </c>
      <c r="F123" s="1057">
        <f t="shared" si="6"/>
        <v>7.073346857742191E-4</v>
      </c>
      <c r="G123" s="1054">
        <f t="shared" si="1"/>
        <v>31</v>
      </c>
      <c r="H123" s="812">
        <f t="shared" si="7"/>
        <v>231597.71842588595</v>
      </c>
      <c r="I123" s="814"/>
    </row>
    <row r="124" spans="1:9" ht="12.75">
      <c r="A124" s="741">
        <v>54</v>
      </c>
      <c r="B124" s="800">
        <v>43405</v>
      </c>
      <c r="C124" s="1073">
        <v>43434</v>
      </c>
      <c r="D124" s="1055">
        <v>0.19489999999999999</v>
      </c>
      <c r="E124" s="1055">
        <f t="shared" si="5"/>
        <v>0.29235</v>
      </c>
      <c r="F124" s="1057">
        <f t="shared" ref="F124:F155" si="8">((1+E124)^(1/365))-1</f>
        <v>7.0288325333756063E-4</v>
      </c>
      <c r="G124" s="1054">
        <f t="shared" si="1"/>
        <v>30</v>
      </c>
      <c r="H124" s="812">
        <f t="shared" si="7"/>
        <v>222716.33864512201</v>
      </c>
      <c r="I124" s="814"/>
    </row>
    <row r="125" spans="1:9" ht="12.75">
      <c r="A125" s="1132">
        <v>55</v>
      </c>
      <c r="B125" s="800">
        <v>43435</v>
      </c>
      <c r="C125" s="800">
        <v>43465</v>
      </c>
      <c r="D125" s="1055">
        <v>0.19400000000000001</v>
      </c>
      <c r="E125" s="1055">
        <f t="shared" si="5"/>
        <v>0.29100000000000004</v>
      </c>
      <c r="F125" s="1057">
        <f t="shared" si="8"/>
        <v>7.0001780740103214E-4</v>
      </c>
      <c r="G125" s="1054">
        <f t="shared" si="1"/>
        <v>31</v>
      </c>
      <c r="H125" s="812">
        <f t="shared" si="7"/>
        <v>229202.0033969036</v>
      </c>
      <c r="I125" s="814"/>
    </row>
    <row r="126" spans="1:9" ht="12.75">
      <c r="A126" s="1132">
        <v>56</v>
      </c>
      <c r="B126" s="800">
        <v>43466</v>
      </c>
      <c r="C126" s="1073">
        <v>43496</v>
      </c>
      <c r="D126" s="1055">
        <v>0.19159999999999999</v>
      </c>
      <c r="E126" s="1055">
        <f t="shared" si="5"/>
        <v>0.28739999999999999</v>
      </c>
      <c r="F126" s="1057">
        <f t="shared" si="8"/>
        <v>6.9236198468725085E-4</v>
      </c>
      <c r="G126" s="1054">
        <f t="shared" si="1"/>
        <v>31</v>
      </c>
      <c r="H126" s="812">
        <f t="shared" si="7"/>
        <v>226695.31015982007</v>
      </c>
      <c r="I126" s="814"/>
    </row>
    <row r="127" spans="1:9" ht="12.75">
      <c r="A127" s="741">
        <v>57</v>
      </c>
      <c r="B127" s="800">
        <v>43497</v>
      </c>
      <c r="C127" s="1073">
        <v>43524</v>
      </c>
      <c r="D127" s="1055">
        <v>0.19700000000000001</v>
      </c>
      <c r="E127" s="1055">
        <f t="shared" si="5"/>
        <v>0.29549999999999998</v>
      </c>
      <c r="F127" s="1057">
        <f t="shared" si="8"/>
        <v>7.0955770203506852E-4</v>
      </c>
      <c r="G127" s="1054">
        <f t="shared" si="1"/>
        <v>28</v>
      </c>
      <c r="H127" s="812">
        <f t="shared" si="7"/>
        <v>209842.46415132028</v>
      </c>
      <c r="I127" s="814"/>
    </row>
    <row r="128" spans="1:9" ht="12.75">
      <c r="A128" s="1132">
        <v>58</v>
      </c>
      <c r="B128" s="800">
        <v>43525</v>
      </c>
      <c r="C128" s="1073">
        <v>43555</v>
      </c>
      <c r="D128" s="1055">
        <v>0.19370000000000001</v>
      </c>
      <c r="E128" s="1055">
        <f t="shared" si="5"/>
        <v>0.29055000000000003</v>
      </c>
      <c r="F128" s="1057">
        <f t="shared" si="8"/>
        <v>6.9906199467517638E-4</v>
      </c>
      <c r="G128" s="1054">
        <f t="shared" si="1"/>
        <v>31</v>
      </c>
      <c r="H128" s="812">
        <f t="shared" si="7"/>
        <v>228889.04822730331</v>
      </c>
      <c r="I128" s="814"/>
    </row>
    <row r="129" spans="1:9" ht="12.75">
      <c r="A129" s="741">
        <v>59</v>
      </c>
      <c r="B129" s="800">
        <v>43556</v>
      </c>
      <c r="C129" s="800">
        <v>43585</v>
      </c>
      <c r="D129" s="1055">
        <v>0.19320000000000001</v>
      </c>
      <c r="E129" s="1055">
        <f t="shared" si="5"/>
        <v>0.2898</v>
      </c>
      <c r="F129" s="1057">
        <f t="shared" si="8"/>
        <v>6.9746823462724095E-4</v>
      </c>
      <c r="G129" s="1054">
        <f t="shared" si="1"/>
        <v>30</v>
      </c>
      <c r="H129" s="812">
        <f t="shared" si="7"/>
        <v>221000.53003091671</v>
      </c>
      <c r="I129" s="814"/>
    </row>
    <row r="130" spans="1:9" ht="12.75">
      <c r="A130" s="1132">
        <v>60</v>
      </c>
      <c r="B130" s="800">
        <v>43586</v>
      </c>
      <c r="C130" s="1073">
        <v>43616</v>
      </c>
      <c r="D130" s="1055">
        <v>0.19339999999999999</v>
      </c>
      <c r="E130" s="1055">
        <f t="shared" si="5"/>
        <v>0.29009999999999997</v>
      </c>
      <c r="F130" s="1057">
        <f t="shared" si="8"/>
        <v>6.9810584952367805E-4</v>
      </c>
      <c r="G130" s="1054">
        <f t="shared" si="1"/>
        <v>31</v>
      </c>
      <c r="H130" s="812">
        <f t="shared" si="7"/>
        <v>228575.98421386731</v>
      </c>
      <c r="I130" s="814"/>
    </row>
    <row r="131" spans="1:9" ht="12.75">
      <c r="A131" s="741">
        <v>61</v>
      </c>
      <c r="B131" s="800">
        <v>43617</v>
      </c>
      <c r="C131" s="1073">
        <v>43646</v>
      </c>
      <c r="D131" s="1055">
        <v>0.193</v>
      </c>
      <c r="E131" s="1055">
        <f t="shared" si="5"/>
        <v>0.28949999999999998</v>
      </c>
      <c r="F131" s="1057">
        <f t="shared" si="8"/>
        <v>6.9683047181468005E-4</v>
      </c>
      <c r="G131" s="1054">
        <f t="shared" si="1"/>
        <v>30</v>
      </c>
      <c r="H131" s="812">
        <f t="shared" si="7"/>
        <v>220798.44782471374</v>
      </c>
      <c r="I131" s="814"/>
    </row>
    <row r="132" spans="1:9" ht="12.75">
      <c r="A132" s="1132">
        <v>62</v>
      </c>
      <c r="B132" s="800">
        <v>43647</v>
      </c>
      <c r="C132" s="1073">
        <v>43677</v>
      </c>
      <c r="D132" s="1055">
        <v>0.1928</v>
      </c>
      <c r="E132" s="1055">
        <f t="shared" si="5"/>
        <v>0.28920000000000001</v>
      </c>
      <c r="F132" s="1057">
        <f t="shared" si="8"/>
        <v>6.9619256101671745E-4</v>
      </c>
      <c r="G132" s="1054">
        <f t="shared" si="1"/>
        <v>31</v>
      </c>
      <c r="H132" s="812">
        <f t="shared" si="7"/>
        <v>227949.5293519549</v>
      </c>
      <c r="I132" s="814"/>
    </row>
    <row r="133" spans="1:9" ht="12.75">
      <c r="A133" s="741">
        <v>63</v>
      </c>
      <c r="B133" s="800">
        <v>43678</v>
      </c>
      <c r="C133" s="800">
        <v>43708</v>
      </c>
      <c r="D133" s="1055">
        <v>0.19320000000000001</v>
      </c>
      <c r="E133" s="1055">
        <f t="shared" si="5"/>
        <v>0.2898</v>
      </c>
      <c r="F133" s="1057">
        <f t="shared" si="8"/>
        <v>6.9746823462724095E-4</v>
      </c>
      <c r="G133" s="1054">
        <f t="shared" si="1"/>
        <v>31</v>
      </c>
      <c r="H133" s="812">
        <f t="shared" si="7"/>
        <v>228367.21436528061</v>
      </c>
      <c r="I133" s="814"/>
    </row>
    <row r="134" spans="1:9" ht="12.75">
      <c r="A134" s="1132">
        <v>64</v>
      </c>
      <c r="B134" s="800">
        <v>43709</v>
      </c>
      <c r="C134" s="1073">
        <v>43738</v>
      </c>
      <c r="D134" s="1055">
        <v>0.19320000000000001</v>
      </c>
      <c r="E134" s="1055">
        <f t="shared" si="5"/>
        <v>0.2898</v>
      </c>
      <c r="F134" s="1057">
        <f t="shared" si="8"/>
        <v>6.9746823462724095E-4</v>
      </c>
      <c r="G134" s="1054">
        <f t="shared" si="1"/>
        <v>30</v>
      </c>
      <c r="H134" s="812">
        <f t="shared" si="7"/>
        <v>221000.53003091671</v>
      </c>
      <c r="I134" s="814"/>
    </row>
    <row r="135" spans="1:9" ht="12.75">
      <c r="A135" s="741">
        <v>65</v>
      </c>
      <c r="B135" s="800">
        <v>43739</v>
      </c>
      <c r="C135" s="1073">
        <v>43769</v>
      </c>
      <c r="D135" s="1055">
        <v>0.191</v>
      </c>
      <c r="E135" s="1055">
        <f t="shared" si="5"/>
        <v>0.28649999999999998</v>
      </c>
      <c r="F135" s="1057">
        <f t="shared" si="8"/>
        <v>6.9044469314105683E-4</v>
      </c>
      <c r="G135" s="1054">
        <f t="shared" si="1"/>
        <v>31</v>
      </c>
      <c r="H135" s="812">
        <f t="shared" si="7"/>
        <v>226067.54461037621</v>
      </c>
      <c r="I135" s="814"/>
    </row>
    <row r="136" spans="1:9" ht="12.75">
      <c r="A136" s="1132">
        <v>66</v>
      </c>
      <c r="B136" s="800">
        <v>43770</v>
      </c>
      <c r="C136" s="1073">
        <v>43799</v>
      </c>
      <c r="D136" s="1055">
        <v>0.1903</v>
      </c>
      <c r="E136" s="1055">
        <f t="shared" si="5"/>
        <v>0.28544999999999998</v>
      </c>
      <c r="F136" s="1057">
        <f t="shared" si="8"/>
        <v>6.8820616169262827E-4</v>
      </c>
      <c r="G136" s="1054">
        <f t="shared" si="1"/>
        <v>30</v>
      </c>
      <c r="H136" s="812">
        <f t="shared" si="7"/>
        <v>218065.73970483342</v>
      </c>
      <c r="I136" s="814"/>
    </row>
    <row r="137" spans="1:9" ht="12.75">
      <c r="A137" s="1132">
        <v>67</v>
      </c>
      <c r="B137" s="800">
        <v>43800</v>
      </c>
      <c r="C137" s="800">
        <v>43830</v>
      </c>
      <c r="D137" s="1055">
        <v>0.18909999999999999</v>
      </c>
      <c r="E137" s="1055">
        <f t="shared" si="5"/>
        <v>0.28364999999999996</v>
      </c>
      <c r="F137" s="1057">
        <f t="shared" si="8"/>
        <v>6.8436443340047504E-4</v>
      </c>
      <c r="G137" s="1054">
        <f t="shared" ref="G137:G157" si="9">+_xlfn.DAYS(C137,B137)+1</f>
        <v>31</v>
      </c>
      <c r="H137" s="812">
        <f t="shared" si="7"/>
        <v>224076.72709262054</v>
      </c>
      <c r="I137" s="814"/>
    </row>
    <row r="138" spans="1:9" ht="12.75">
      <c r="A138" s="741">
        <v>68</v>
      </c>
      <c r="B138" s="800">
        <v>43831</v>
      </c>
      <c r="C138" s="1073">
        <v>43861</v>
      </c>
      <c r="D138" s="1055">
        <v>0.18770000000000001</v>
      </c>
      <c r="E138" s="1055">
        <f t="shared" si="5"/>
        <v>0.28155000000000002</v>
      </c>
      <c r="F138" s="1057">
        <f t="shared" si="8"/>
        <v>6.7987562124560696E-4</v>
      </c>
      <c r="G138" s="1054">
        <f t="shared" si="9"/>
        <v>31</v>
      </c>
      <c r="H138" s="812">
        <f t="shared" si="7"/>
        <v>222606.98628332891</v>
      </c>
      <c r="I138" s="814"/>
    </row>
    <row r="139" spans="1:9" ht="12.75">
      <c r="A139" s="1132">
        <v>69</v>
      </c>
      <c r="B139" s="800">
        <v>43862</v>
      </c>
      <c r="C139" s="800">
        <v>43890</v>
      </c>
      <c r="D139" s="1055">
        <v>0.19059999999999999</v>
      </c>
      <c r="E139" s="1055">
        <f t="shared" si="5"/>
        <v>0.28589999999999999</v>
      </c>
      <c r="F139" s="1057">
        <f t="shared" si="8"/>
        <v>6.8916575551658532E-4</v>
      </c>
      <c r="G139" s="1054">
        <f t="shared" si="9"/>
        <v>29</v>
      </c>
      <c r="H139" s="812">
        <f t="shared" si="7"/>
        <v>211090.80437486083</v>
      </c>
      <c r="I139" s="814"/>
    </row>
    <row r="140" spans="1:9" ht="12.75">
      <c r="A140" s="741">
        <v>70</v>
      </c>
      <c r="B140" s="800">
        <v>43891</v>
      </c>
      <c r="C140" s="1073">
        <v>43921</v>
      </c>
      <c r="D140" s="1055">
        <v>0.1895</v>
      </c>
      <c r="E140" s="1055">
        <f t="shared" si="5"/>
        <v>0.28425</v>
      </c>
      <c r="F140" s="1057">
        <f t="shared" si="8"/>
        <v>6.8564560609574166E-4</v>
      </c>
      <c r="G140" s="1054">
        <f t="shared" si="9"/>
        <v>31</v>
      </c>
      <c r="H140" s="812">
        <f t="shared" si="7"/>
        <v>224496.21263334234</v>
      </c>
      <c r="I140" s="814"/>
    </row>
    <row r="141" spans="1:9" ht="12.75">
      <c r="A141" s="1132">
        <v>71</v>
      </c>
      <c r="B141" s="800">
        <v>43922</v>
      </c>
      <c r="C141" s="1073">
        <v>43951</v>
      </c>
      <c r="D141" s="1055">
        <v>0.18690000000000001</v>
      </c>
      <c r="E141" s="1055">
        <f t="shared" si="5"/>
        <v>0.28034999999999999</v>
      </c>
      <c r="F141" s="1057">
        <f t="shared" si="8"/>
        <v>6.7730729113191224E-4</v>
      </c>
      <c r="G141" s="1054">
        <f t="shared" si="9"/>
        <v>30</v>
      </c>
      <c r="H141" s="812">
        <f t="shared" si="7"/>
        <v>214612.31193411368</v>
      </c>
      <c r="I141" s="814"/>
    </row>
    <row r="142" spans="1:9" ht="12.75">
      <c r="A142" s="741">
        <v>72</v>
      </c>
      <c r="B142" s="800">
        <v>43952</v>
      </c>
      <c r="C142" s="1073">
        <v>43982</v>
      </c>
      <c r="D142" s="1055">
        <v>0.18190000000000001</v>
      </c>
      <c r="E142" s="1055">
        <f t="shared" si="5"/>
        <v>0.27285000000000004</v>
      </c>
      <c r="F142" s="1057">
        <f t="shared" si="8"/>
        <v>6.6120063584418354E-4</v>
      </c>
      <c r="G142" s="1054">
        <f t="shared" si="9"/>
        <v>31</v>
      </c>
      <c r="H142" s="812">
        <f t="shared" si="7"/>
        <v>216492.36459490948</v>
      </c>
      <c r="I142" s="814"/>
    </row>
    <row r="143" spans="1:9" ht="12.75">
      <c r="A143" s="1132">
        <v>73</v>
      </c>
      <c r="B143" s="800">
        <v>43983</v>
      </c>
      <c r="C143" s="800">
        <v>44012</v>
      </c>
      <c r="D143" s="1055">
        <v>0.1812</v>
      </c>
      <c r="E143" s="1055">
        <f t="shared" si="5"/>
        <v>0.27179999999999999</v>
      </c>
      <c r="F143" s="1057">
        <f t="shared" si="8"/>
        <v>6.5893815469997286E-4</v>
      </c>
      <c r="G143" s="1054">
        <f t="shared" si="9"/>
        <v>30</v>
      </c>
      <c r="H143" s="812">
        <f t="shared" si="7"/>
        <v>208791.84773786471</v>
      </c>
      <c r="I143" s="814"/>
    </row>
    <row r="144" spans="1:9" ht="12.75">
      <c r="A144" s="741">
        <v>74</v>
      </c>
      <c r="B144" s="800">
        <v>44013</v>
      </c>
      <c r="C144" s="1073">
        <v>44043</v>
      </c>
      <c r="D144" s="1055">
        <v>0.1812</v>
      </c>
      <c r="E144" s="1055">
        <f t="shared" si="5"/>
        <v>0.27179999999999999</v>
      </c>
      <c r="F144" s="1057">
        <f t="shared" si="8"/>
        <v>6.5893815469997286E-4</v>
      </c>
      <c r="G144" s="1054">
        <f t="shared" si="9"/>
        <v>31</v>
      </c>
      <c r="H144" s="812">
        <f t="shared" si="7"/>
        <v>215751.57599579357</v>
      </c>
      <c r="I144" s="814"/>
    </row>
    <row r="145" spans="1:9" ht="12.75">
      <c r="A145" s="1132">
        <v>75</v>
      </c>
      <c r="B145" s="800">
        <v>44044</v>
      </c>
      <c r="C145" s="800">
        <v>44074</v>
      </c>
      <c r="D145" s="1055">
        <v>0.18290000000000001</v>
      </c>
      <c r="E145" s="1055">
        <f t="shared" si="5"/>
        <v>0.27434999999999998</v>
      </c>
      <c r="F145" s="1057">
        <f t="shared" si="8"/>
        <v>6.6442952514544906E-4</v>
      </c>
      <c r="G145" s="1054">
        <f t="shared" si="9"/>
        <v>31</v>
      </c>
      <c r="H145" s="812">
        <f t="shared" si="7"/>
        <v>217549.57755259771</v>
      </c>
      <c r="I145" s="814"/>
    </row>
    <row r="146" spans="1:9" ht="12.75">
      <c r="A146" s="741">
        <v>76</v>
      </c>
      <c r="B146" s="800">
        <v>44075</v>
      </c>
      <c r="C146" s="1073">
        <v>44104</v>
      </c>
      <c r="D146" s="1055">
        <v>0.1835</v>
      </c>
      <c r="E146" s="1055">
        <f t="shared" si="5"/>
        <v>0.27524999999999999</v>
      </c>
      <c r="F146" s="1057">
        <f t="shared" si="8"/>
        <v>6.6636503991857055E-4</v>
      </c>
      <c r="G146" s="1054">
        <f t="shared" si="9"/>
        <v>30</v>
      </c>
      <c r="H146" s="812">
        <f t="shared" si="7"/>
        <v>211145.13852345306</v>
      </c>
      <c r="I146" s="814"/>
    </row>
    <row r="147" spans="1:9" ht="12.75">
      <c r="A147" s="1132">
        <v>77</v>
      </c>
      <c r="B147" s="800">
        <v>44105</v>
      </c>
      <c r="C147" s="1073">
        <v>44135</v>
      </c>
      <c r="D147" s="1055">
        <v>0.18090000000000001</v>
      </c>
      <c r="E147" s="1055">
        <f t="shared" si="5"/>
        <v>0.27134999999999998</v>
      </c>
      <c r="F147" s="1057">
        <f t="shared" si="8"/>
        <v>6.5796794962613703E-4</v>
      </c>
      <c r="G147" s="1054">
        <f t="shared" si="9"/>
        <v>31</v>
      </c>
      <c r="H147" s="812">
        <f t="shared" si="7"/>
        <v>215433.90843894295</v>
      </c>
      <c r="I147" s="814"/>
    </row>
    <row r="148" spans="1:9" ht="12.75">
      <c r="A148" s="1132">
        <v>78</v>
      </c>
      <c r="B148" s="800">
        <v>44136</v>
      </c>
      <c r="C148" s="1073">
        <v>44165</v>
      </c>
      <c r="D148" s="1055">
        <v>0.1784</v>
      </c>
      <c r="E148" s="1055">
        <f t="shared" si="5"/>
        <v>0.2676</v>
      </c>
      <c r="F148" s="1057">
        <f t="shared" si="8"/>
        <v>6.4986956374091243E-4</v>
      </c>
      <c r="G148" s="1054">
        <f t="shared" si="9"/>
        <v>30</v>
      </c>
      <c r="H148" s="812">
        <f t="shared" si="7"/>
        <v>205918.36431727989</v>
      </c>
      <c r="I148" s="814"/>
    </row>
    <row r="149" spans="1:9" ht="12.75">
      <c r="A149" s="741">
        <v>79</v>
      </c>
      <c r="B149" s="800">
        <v>44166</v>
      </c>
      <c r="C149" s="800">
        <v>44196</v>
      </c>
      <c r="D149" s="1055">
        <v>0.17460000000000001</v>
      </c>
      <c r="E149" s="1055">
        <f t="shared" si="5"/>
        <v>0.26190000000000002</v>
      </c>
      <c r="F149" s="1057">
        <f t="shared" si="8"/>
        <v>6.3751414410861962E-4</v>
      </c>
      <c r="G149" s="1054">
        <f t="shared" si="9"/>
        <v>31</v>
      </c>
      <c r="H149" s="812">
        <f t="shared" si="7"/>
        <v>208736.85994654667</v>
      </c>
      <c r="I149" s="814"/>
    </row>
    <row r="150" spans="1:9" ht="12.75">
      <c r="A150" s="1132">
        <v>80</v>
      </c>
      <c r="B150" s="800">
        <v>44197</v>
      </c>
      <c r="C150" s="1073">
        <v>44227</v>
      </c>
      <c r="D150" s="1055">
        <v>0.17319999999999999</v>
      </c>
      <c r="E150" s="1055">
        <f t="shared" si="5"/>
        <v>0.25979999999999998</v>
      </c>
      <c r="F150" s="1057">
        <f t="shared" si="8"/>
        <v>6.3294811266723094E-4</v>
      </c>
      <c r="G150" s="1054">
        <f t="shared" si="9"/>
        <v>31</v>
      </c>
      <c r="H150" s="812">
        <f t="shared" si="7"/>
        <v>207241.83575876913</v>
      </c>
      <c r="I150" s="814"/>
    </row>
    <row r="151" spans="1:9" ht="12.75">
      <c r="A151" s="741">
        <v>81</v>
      </c>
      <c r="B151" s="800">
        <v>44228</v>
      </c>
      <c r="C151" s="800">
        <v>44255</v>
      </c>
      <c r="D151" s="1055">
        <v>0.1754</v>
      </c>
      <c r="E151" s="1055">
        <f t="shared" si="5"/>
        <v>0.2631</v>
      </c>
      <c r="F151" s="1057">
        <f t="shared" si="8"/>
        <v>6.4011990387169426E-4</v>
      </c>
      <c r="G151" s="1054">
        <f t="shared" si="9"/>
        <v>28</v>
      </c>
      <c r="H151" s="812">
        <f t="shared" si="7"/>
        <v>189307.13822919488</v>
      </c>
      <c r="I151" s="814"/>
    </row>
    <row r="152" spans="1:9" ht="12.75">
      <c r="A152" s="1132">
        <v>82</v>
      </c>
      <c r="B152" s="800">
        <v>44256</v>
      </c>
      <c r="C152" s="800">
        <v>44286</v>
      </c>
      <c r="D152" s="1055">
        <v>0.1741</v>
      </c>
      <c r="E152" s="1055">
        <f t="shared" si="5"/>
        <v>0.26114999999999999</v>
      </c>
      <c r="F152" s="1057">
        <f t="shared" si="8"/>
        <v>6.3588428907812578E-4</v>
      </c>
      <c r="G152" s="1054">
        <f t="shared" si="9"/>
        <v>31</v>
      </c>
      <c r="H152" s="812">
        <f t="shared" si="7"/>
        <v>208203.20775329365</v>
      </c>
      <c r="I152" s="814"/>
    </row>
    <row r="153" spans="1:9" ht="12.75">
      <c r="A153" s="741">
        <v>83</v>
      </c>
      <c r="B153" s="800">
        <v>44287</v>
      </c>
      <c r="C153" s="1073">
        <v>44316</v>
      </c>
      <c r="D153" s="1055">
        <v>0.1731</v>
      </c>
      <c r="E153" s="1055">
        <f t="shared" si="5"/>
        <v>0.25964999999999999</v>
      </c>
      <c r="F153" s="1057">
        <f t="shared" si="8"/>
        <v>6.326216771728177E-4</v>
      </c>
      <c r="G153" s="1054">
        <f t="shared" si="9"/>
        <v>30</v>
      </c>
      <c r="H153" s="812">
        <f t="shared" si="7"/>
        <v>200453.18055088335</v>
      </c>
      <c r="I153" s="814"/>
    </row>
    <row r="154" spans="1:9" ht="12.75">
      <c r="A154" s="1132">
        <v>84</v>
      </c>
      <c r="B154" s="800">
        <v>44317</v>
      </c>
      <c r="C154" s="1073">
        <v>44347</v>
      </c>
      <c r="D154" s="1053">
        <v>0.17219999999999999</v>
      </c>
      <c r="E154" s="1053">
        <f t="shared" si="5"/>
        <v>0.25829999999999997</v>
      </c>
      <c r="F154" s="1057">
        <f t="shared" si="8"/>
        <v>6.2968201205726437E-4</v>
      </c>
      <c r="G154" s="1054">
        <f t="shared" si="9"/>
        <v>31</v>
      </c>
      <c r="H154" s="812">
        <f t="shared" si="7"/>
        <v>206172.43895887982</v>
      </c>
      <c r="I154" s="814"/>
    </row>
    <row r="155" spans="1:9" ht="12.75">
      <c r="A155" s="741">
        <v>85</v>
      </c>
      <c r="B155" s="800">
        <v>44348</v>
      </c>
      <c r="C155" s="800">
        <v>44377</v>
      </c>
      <c r="D155" s="1053">
        <v>0.1721</v>
      </c>
      <c r="E155" s="1053">
        <f t="shared" ref="E155:E161" si="10">+D155*1.5</f>
        <v>0.25814999999999999</v>
      </c>
      <c r="F155" s="1057">
        <f t="shared" si="8"/>
        <v>6.2935518846773952E-4</v>
      </c>
      <c r="G155" s="1054">
        <f t="shared" si="9"/>
        <v>30</v>
      </c>
      <c r="H155" s="812">
        <f t="shared" si="7"/>
        <v>199418.15744972648</v>
      </c>
      <c r="I155" s="814"/>
    </row>
    <row r="156" spans="1:9" ht="12.75">
      <c r="A156" s="1132">
        <v>86</v>
      </c>
      <c r="B156" s="800">
        <v>44378</v>
      </c>
      <c r="C156" s="800">
        <v>44408</v>
      </c>
      <c r="D156" s="1053">
        <v>0.17180000000000001</v>
      </c>
      <c r="E156" s="1053">
        <f t="shared" si="10"/>
        <v>0.25770000000000004</v>
      </c>
      <c r="F156" s="909">
        <f t="shared" ref="F156:F161" si="11">((1+E156)^(1/365))-1</f>
        <v>6.2837448450037137E-4</v>
      </c>
      <c r="G156" s="1054">
        <f t="shared" si="9"/>
        <v>31</v>
      </c>
      <c r="H156" s="812">
        <f t="shared" si="7"/>
        <v>205744.32422755723</v>
      </c>
      <c r="I156" s="814"/>
    </row>
    <row r="157" spans="1:9" ht="12.75">
      <c r="A157" s="741">
        <v>87</v>
      </c>
      <c r="B157" s="800">
        <v>44409</v>
      </c>
      <c r="C157" s="800">
        <v>44439</v>
      </c>
      <c r="D157" s="1053">
        <v>0.1724</v>
      </c>
      <c r="E157" s="1053">
        <f t="shared" si="10"/>
        <v>0.2586</v>
      </c>
      <c r="F157" s="909">
        <f t="shared" si="11"/>
        <v>6.3033554269220637E-4</v>
      </c>
      <c r="G157" s="1054">
        <f t="shared" si="9"/>
        <v>31</v>
      </c>
      <c r="H157" s="812">
        <f>+$C$67*G157*F157</f>
        <v>206386.4199879712</v>
      </c>
      <c r="I157" s="814"/>
    </row>
    <row r="158" spans="1:9" ht="12.75">
      <c r="A158" s="1132">
        <v>88</v>
      </c>
      <c r="B158" s="800">
        <v>44440</v>
      </c>
      <c r="C158" s="800">
        <v>44469</v>
      </c>
      <c r="D158" s="1053">
        <v>0.1719</v>
      </c>
      <c r="E158" s="1053">
        <f t="shared" si="10"/>
        <v>0.25785000000000002</v>
      </c>
      <c r="F158" s="909">
        <f t="shared" si="11"/>
        <v>6.2870142469861889E-4</v>
      </c>
      <c r="G158" s="1054">
        <f>+_xlfn.DAYS(C158,B158)+1</f>
        <v>30</v>
      </c>
      <c r="H158" s="812">
        <f>+$C$67*G158*F158</f>
        <v>199211.00516333184</v>
      </c>
      <c r="I158" s="814"/>
    </row>
    <row r="159" spans="1:9" ht="12.75">
      <c r="A159" s="741">
        <v>89</v>
      </c>
      <c r="B159" s="800">
        <v>44470</v>
      </c>
      <c r="C159" s="800">
        <v>44500</v>
      </c>
      <c r="D159" s="1053">
        <v>0.17080000000000001</v>
      </c>
      <c r="E159" s="1053">
        <f t="shared" si="10"/>
        <v>0.25619999999999998</v>
      </c>
      <c r="F159" s="909">
        <f t="shared" si="11"/>
        <v>6.2510294214179751E-4</v>
      </c>
      <c r="G159" s="1054">
        <f>+_xlfn.DAYS(C159,B159)+1</f>
        <v>31</v>
      </c>
      <c r="H159" s="812">
        <f>+$C$67*G159*F159</f>
        <v>204673.1456734474</v>
      </c>
      <c r="I159" s="814"/>
    </row>
    <row r="160" spans="1:9" ht="12.75">
      <c r="A160" s="1132">
        <v>90</v>
      </c>
      <c r="B160" s="800">
        <v>44501</v>
      </c>
      <c r="C160" s="800">
        <v>44530</v>
      </c>
      <c r="D160" s="1053">
        <v>0.17269999999999999</v>
      </c>
      <c r="E160" s="1053">
        <f t="shared" si="10"/>
        <v>0.25905</v>
      </c>
      <c r="F160" s="909">
        <f t="shared" si="11"/>
        <v>6.3131554742335005E-4</v>
      </c>
      <c r="G160" s="1054">
        <f>+_xlfn.DAYS(C160,B160)+1</f>
        <v>30</v>
      </c>
      <c r="H160" s="812">
        <f>+$C$67*G160*F160</f>
        <v>200039.31888293833</v>
      </c>
      <c r="I160" s="814"/>
    </row>
    <row r="161" spans="1:9" ht="12.75">
      <c r="A161" s="741">
        <v>91</v>
      </c>
      <c r="B161" s="800">
        <v>44531</v>
      </c>
      <c r="C161" s="800">
        <v>44550</v>
      </c>
      <c r="D161" s="1053">
        <v>0.17460000000000001</v>
      </c>
      <c r="E161" s="1053">
        <f t="shared" si="10"/>
        <v>0.26190000000000002</v>
      </c>
      <c r="F161" s="909">
        <f t="shared" si="11"/>
        <v>6.3751414410861962E-4</v>
      </c>
      <c r="G161" s="1054">
        <f>+_xlfn.DAYS(C161,B161)+1</f>
        <v>20</v>
      </c>
      <c r="H161" s="812">
        <f>+$C$67*G161*F161</f>
        <v>134668.94190099783</v>
      </c>
      <c r="I161" s="814"/>
    </row>
    <row r="162" spans="1:9" ht="26.25" customHeight="1" thickBot="1">
      <c r="A162" s="814"/>
      <c r="B162" s="979"/>
      <c r="C162" s="814"/>
      <c r="D162" s="814"/>
      <c r="E162" s="979"/>
      <c r="F162" s="814"/>
      <c r="G162" s="1058" t="s">
        <v>162</v>
      </c>
      <c r="H162" s="812">
        <f>SUM(H70:H161)</f>
        <v>17091783.058718421</v>
      </c>
      <c r="I162" s="814"/>
    </row>
    <row r="163" spans="1:9" ht="13.5" thickTop="1">
      <c r="A163" s="814"/>
      <c r="B163" s="2604" t="s">
        <v>55</v>
      </c>
      <c r="C163" s="2681"/>
      <c r="D163" s="2605"/>
      <c r="E163" s="814"/>
      <c r="F163" s="814"/>
      <c r="G163" s="1059"/>
      <c r="H163" s="814"/>
      <c r="I163" s="814"/>
    </row>
    <row r="164" spans="1:9" ht="12.75">
      <c r="A164" s="814"/>
      <c r="B164" s="726" t="s">
        <v>56</v>
      </c>
      <c r="C164" s="726" t="s">
        <v>163</v>
      </c>
      <c r="D164" s="726"/>
      <c r="E164" s="814"/>
      <c r="F164" s="814"/>
      <c r="G164" s="1059"/>
      <c r="H164" s="814"/>
      <c r="I164" s="814"/>
    </row>
    <row r="165" spans="1:9" ht="12.75">
      <c r="A165" s="814"/>
      <c r="B165" s="741" t="s">
        <v>133</v>
      </c>
      <c r="C165" s="857">
        <f>+C67</f>
        <v>10562035.614856331</v>
      </c>
      <c r="D165" s="857"/>
      <c r="E165" s="814"/>
      <c r="F165" s="814"/>
      <c r="G165" s="1059"/>
      <c r="H165" s="814"/>
      <c r="I165" s="814"/>
    </row>
    <row r="166" spans="1:9" ht="12.75">
      <c r="A166" s="814"/>
      <c r="B166" s="741" t="s">
        <v>134</v>
      </c>
      <c r="C166" s="858">
        <f>+H162</f>
        <v>17091783.058718421</v>
      </c>
      <c r="D166" s="857"/>
      <c r="E166" s="814"/>
      <c r="F166" s="814"/>
      <c r="G166" s="1059"/>
      <c r="H166" s="814"/>
      <c r="I166" s="814"/>
    </row>
    <row r="167" spans="1:9" ht="13.5" thickBot="1">
      <c r="A167" s="814"/>
      <c r="B167" s="817" t="s">
        <v>61</v>
      </c>
      <c r="C167" s="859">
        <f>SUM(C165:C166)</f>
        <v>27653818.673574753</v>
      </c>
      <c r="D167" s="857"/>
      <c r="E167" s="927"/>
      <c r="F167" s="814"/>
      <c r="G167" s="1059"/>
      <c r="H167" s="814"/>
      <c r="I167" s="814"/>
    </row>
    <row r="168" spans="1:9" ht="13.5" thickTop="1">
      <c r="A168" s="814"/>
      <c r="B168" s="719" t="s">
        <v>62</v>
      </c>
      <c r="C168" s="926"/>
      <c r="D168" s="927"/>
      <c r="E168" s="814"/>
      <c r="F168" s="814"/>
      <c r="G168" s="1059"/>
      <c r="H168" s="814"/>
      <c r="I168" s="814"/>
    </row>
    <row r="169" spans="1:9" ht="6.75" customHeight="1">
      <c r="A169" s="814"/>
      <c r="B169" s="911"/>
      <c r="C169" s="928"/>
      <c r="D169" s="814"/>
      <c r="E169" s="814"/>
      <c r="F169" s="814"/>
      <c r="G169" s="1059"/>
      <c r="H169" s="814"/>
      <c r="I169" s="814"/>
    </row>
    <row r="170" spans="1:9" ht="12.75">
      <c r="A170" s="814"/>
      <c r="B170" s="911"/>
      <c r="C170" s="928"/>
      <c r="D170" s="814"/>
      <c r="E170" s="814"/>
      <c r="F170" s="979"/>
      <c r="G170" s="1059"/>
      <c r="H170" s="814"/>
      <c r="I170" s="814"/>
    </row>
    <row r="171" spans="1:9" ht="12.75">
      <c r="A171" s="814"/>
      <c r="B171" s="719" t="s">
        <v>63</v>
      </c>
      <c r="C171" s="928"/>
      <c r="D171" s="814"/>
      <c r="E171" s="814"/>
      <c r="F171" s="979"/>
      <c r="G171" s="1059"/>
      <c r="H171" s="814"/>
      <c r="I171" s="814"/>
    </row>
    <row r="172" spans="1:9" ht="12.75">
      <c r="A172" s="814"/>
      <c r="B172" s="719" t="s">
        <v>64</v>
      </c>
      <c r="C172" s="928"/>
      <c r="D172" s="814"/>
      <c r="E172" s="814"/>
      <c r="F172" s="979"/>
      <c r="G172" s="1059"/>
      <c r="H172" s="814"/>
      <c r="I172" s="814"/>
    </row>
    <row r="173" spans="1:9" ht="12.75">
      <c r="A173" s="814"/>
      <c r="B173" s="719" t="s">
        <v>65</v>
      </c>
      <c r="C173" s="928"/>
      <c r="D173" s="814"/>
      <c r="E173" s="814"/>
      <c r="F173" s="979"/>
      <c r="G173" s="1059"/>
      <c r="H173" s="814"/>
      <c r="I173" s="814"/>
    </row>
    <row r="174" spans="1:9">
      <c r="B174" s="1008"/>
      <c r="C174" s="1421"/>
    </row>
    <row r="175" spans="1:9">
      <c r="C175" s="1181" t="s">
        <v>889</v>
      </c>
      <c r="D175" s="1181"/>
    </row>
    <row r="176" spans="1:9">
      <c r="C176" s="354" t="s">
        <v>56</v>
      </c>
      <c r="D176" s="354" t="s">
        <v>57</v>
      </c>
    </row>
    <row r="177" spans="2:18">
      <c r="C177" s="233" t="s">
        <v>133</v>
      </c>
      <c r="D177" s="1422">
        <f>+C165</f>
        <v>10562035.614856331</v>
      </c>
    </row>
    <row r="178" spans="2:18">
      <c r="C178" s="233" t="s">
        <v>93</v>
      </c>
      <c r="D178" s="1422">
        <f>+H162</f>
        <v>17091783.058718421</v>
      </c>
    </row>
    <row r="179" spans="2:18" ht="15" customHeight="1">
      <c r="C179" s="233" t="s">
        <v>890</v>
      </c>
      <c r="D179" s="1422">
        <f>+D178*0.4</f>
        <v>6836713.2234873688</v>
      </c>
    </row>
    <row r="180" spans="2:18" ht="12" thickBot="1">
      <c r="C180" s="248" t="s">
        <v>61</v>
      </c>
      <c r="D180" s="1423">
        <f>+D177+D178-D179</f>
        <v>20817105.450087383</v>
      </c>
    </row>
    <row r="181" spans="2:18" ht="12" thickTop="1"/>
    <row r="182" spans="2:18">
      <c r="B182" s="234" t="s">
        <v>891</v>
      </c>
    </row>
    <row r="183" spans="2:18">
      <c r="B183" s="234" t="s">
        <v>892</v>
      </c>
    </row>
    <row r="184" spans="2:18">
      <c r="B184" s="234" t="s">
        <v>893</v>
      </c>
    </row>
    <row r="185" spans="2:18">
      <c r="P185" s="234" t="s">
        <v>894</v>
      </c>
    </row>
    <row r="186" spans="2:18">
      <c r="B186" s="234" t="s">
        <v>895</v>
      </c>
      <c r="C186" s="997">
        <v>1993</v>
      </c>
      <c r="D186" s="234">
        <v>1994</v>
      </c>
      <c r="E186" s="234">
        <v>1995</v>
      </c>
      <c r="F186" s="997">
        <v>1996</v>
      </c>
      <c r="G186" s="349">
        <v>1997</v>
      </c>
      <c r="H186" s="234">
        <v>1998</v>
      </c>
      <c r="I186" s="234">
        <v>1999</v>
      </c>
      <c r="J186" s="234">
        <v>2000</v>
      </c>
      <c r="K186" s="234">
        <v>2001</v>
      </c>
      <c r="L186" s="234">
        <v>2002</v>
      </c>
      <c r="M186" s="234">
        <v>2003</v>
      </c>
      <c r="N186" s="234">
        <v>2004</v>
      </c>
      <c r="O186" s="234">
        <v>2005</v>
      </c>
      <c r="P186" s="234">
        <v>2006</v>
      </c>
      <c r="Q186" s="234">
        <v>2007</v>
      </c>
      <c r="R186" s="234">
        <v>2008</v>
      </c>
    </row>
    <row r="187" spans="2:18">
      <c r="B187" s="234" t="s">
        <v>16</v>
      </c>
      <c r="C187" s="997">
        <v>34.41281</v>
      </c>
      <c r="D187" s="234">
        <v>42.157960000000003</v>
      </c>
      <c r="E187" s="234">
        <v>51.0304</v>
      </c>
      <c r="F187" s="234">
        <v>61.363549999999996</v>
      </c>
      <c r="G187" s="349">
        <v>74.017989999999998</v>
      </c>
      <c r="H187" s="234">
        <v>87.223489999999998</v>
      </c>
      <c r="I187" s="234">
        <v>102.20906921</v>
      </c>
      <c r="J187" s="234">
        <v>110.64001808</v>
      </c>
      <c r="K187" s="234">
        <v>120.03575539000001</v>
      </c>
      <c r="L187" s="234">
        <v>128.88810169000001</v>
      </c>
      <c r="M187" s="234">
        <v>138.41844761999999</v>
      </c>
      <c r="N187" s="234">
        <v>146.98315106999999</v>
      </c>
      <c r="O187" s="234">
        <v>154.96504443000001</v>
      </c>
      <c r="P187" s="234">
        <v>162.03629368</v>
      </c>
      <c r="Q187" s="234">
        <v>169.67104361</v>
      </c>
      <c r="R187" s="234">
        <v>179.84629279000001</v>
      </c>
    </row>
    <row r="188" spans="2:18">
      <c r="B188" s="234" t="s">
        <v>17</v>
      </c>
      <c r="C188" s="997">
        <v>35.533819999999999</v>
      </c>
      <c r="D188" s="234">
        <v>43.711770000000001</v>
      </c>
      <c r="E188" s="234">
        <v>52.83081</v>
      </c>
      <c r="F188" s="234">
        <v>63.824489999999997</v>
      </c>
      <c r="G188" s="349">
        <v>76.326689999999999</v>
      </c>
      <c r="H188" s="234">
        <v>90.088290000000001</v>
      </c>
      <c r="I188" s="234">
        <v>103.94487785</v>
      </c>
      <c r="J188" s="234">
        <v>113.18700803</v>
      </c>
      <c r="K188" s="234">
        <v>122.30791367</v>
      </c>
      <c r="L188" s="234">
        <v>130.50769692</v>
      </c>
      <c r="M188" s="234">
        <v>139.95561814999999</v>
      </c>
      <c r="N188" s="234">
        <v>148.74610769</v>
      </c>
      <c r="O188" s="234">
        <v>156.54950775</v>
      </c>
      <c r="P188" s="234">
        <v>163.10202199</v>
      </c>
      <c r="Q188" s="234">
        <v>171.65960598999999</v>
      </c>
      <c r="R188" s="234">
        <v>182.56343713000001</v>
      </c>
    </row>
    <row r="189" spans="2:18">
      <c r="B189" s="234" t="s">
        <v>19</v>
      </c>
      <c r="C189" s="997">
        <v>36.201889999999999</v>
      </c>
      <c r="D189" s="234">
        <v>44.680540000000001</v>
      </c>
      <c r="E189" s="234">
        <v>54.214770000000001</v>
      </c>
      <c r="F189" s="234">
        <v>65.170699999999997</v>
      </c>
      <c r="G189" s="349">
        <v>77.513120000000001</v>
      </c>
      <c r="H189" s="234">
        <v>92.432209999999998</v>
      </c>
      <c r="I189" s="234">
        <v>104.91983184</v>
      </c>
      <c r="J189" s="234">
        <v>115.12348115</v>
      </c>
      <c r="K189" s="234">
        <v>124.11956954</v>
      </c>
      <c r="L189" s="234">
        <v>131.43211833999999</v>
      </c>
      <c r="M189" s="234">
        <v>141.42112886000001</v>
      </c>
      <c r="N189" s="234">
        <v>150.21019383000001</v>
      </c>
      <c r="O189" s="234">
        <v>157.76043562999999</v>
      </c>
      <c r="P189" s="234">
        <v>164.24755565000001</v>
      </c>
      <c r="Q189" s="234">
        <v>173.74182239999999</v>
      </c>
      <c r="R189" s="234">
        <v>184.03767880000001</v>
      </c>
    </row>
    <row r="190" spans="2:18">
      <c r="B190" s="234" t="s">
        <v>21</v>
      </c>
      <c r="C190" s="997">
        <v>36.905200000000001</v>
      </c>
      <c r="D190" s="234">
        <v>45.741160000000001</v>
      </c>
      <c r="E190" s="234">
        <v>55.426360000000003</v>
      </c>
      <c r="F190" s="234">
        <v>66.459050000000005</v>
      </c>
      <c r="G190" s="349">
        <v>78.771259999999998</v>
      </c>
      <c r="H190" s="234">
        <v>95.117099999999994</v>
      </c>
      <c r="I190" s="234">
        <v>105.74219995</v>
      </c>
      <c r="J190" s="234">
        <v>116.27025052</v>
      </c>
      <c r="K190" s="234">
        <v>125.54388711</v>
      </c>
      <c r="L190" s="234">
        <v>132.63471425</v>
      </c>
      <c r="M190" s="234">
        <v>143.04406840999999</v>
      </c>
      <c r="N190" s="234">
        <v>150.89532851999999</v>
      </c>
      <c r="O190" s="234">
        <v>158.45251657</v>
      </c>
      <c r="P190" s="234">
        <v>164.98300617000001</v>
      </c>
      <c r="Q190" s="234">
        <v>175.30489800000001</v>
      </c>
      <c r="R190" s="234">
        <v>185.3463625</v>
      </c>
    </row>
    <row r="191" spans="2:18">
      <c r="B191" s="234" t="s">
        <v>23</v>
      </c>
      <c r="C191" s="997">
        <v>37.499040000000001</v>
      </c>
      <c r="D191" s="234">
        <v>46.449489999999997</v>
      </c>
      <c r="E191" s="234">
        <v>56.346069999999997</v>
      </c>
      <c r="F191" s="234">
        <v>67.490729999999999</v>
      </c>
      <c r="G191" s="349">
        <v>80.050799999999995</v>
      </c>
      <c r="H191" s="234">
        <v>96.602969999999999</v>
      </c>
      <c r="I191" s="234">
        <v>106.24819869</v>
      </c>
      <c r="J191" s="234">
        <v>116.87634523</v>
      </c>
      <c r="K191" s="234">
        <v>126.06915261</v>
      </c>
      <c r="L191" s="234">
        <v>133.42888375999999</v>
      </c>
      <c r="M191" s="234">
        <v>143.74480954000001</v>
      </c>
      <c r="N191" s="234">
        <v>151.46999435000001</v>
      </c>
      <c r="O191" s="234">
        <v>159.09876929999999</v>
      </c>
      <c r="P191" s="234">
        <v>165.52385724999999</v>
      </c>
      <c r="Q191" s="234">
        <v>175.83009264</v>
      </c>
      <c r="R191" s="234">
        <v>187.07323116000001</v>
      </c>
    </row>
    <row r="192" spans="2:18">
      <c r="B192" s="234" t="s">
        <v>25</v>
      </c>
      <c r="C192" s="997">
        <v>38.079050000000002</v>
      </c>
      <c r="D192" s="234">
        <v>46.87097</v>
      </c>
      <c r="E192" s="234">
        <v>57.026730000000001</v>
      </c>
      <c r="F192" s="234">
        <v>68.264489999999995</v>
      </c>
      <c r="G192" s="349">
        <v>81.013279999999995</v>
      </c>
      <c r="H192" s="234">
        <v>97.783109999999994</v>
      </c>
      <c r="I192" s="234">
        <v>106.54504429000001</v>
      </c>
      <c r="J192" s="234">
        <v>116.85370018</v>
      </c>
      <c r="K192" s="234">
        <v>126.11995761</v>
      </c>
      <c r="L192" s="234">
        <v>134.00106356000001</v>
      </c>
      <c r="M192" s="234">
        <v>143.66621954999999</v>
      </c>
      <c r="N192" s="234">
        <v>152.3840515</v>
      </c>
      <c r="O192" s="234">
        <v>159.73672411999999</v>
      </c>
      <c r="P192" s="234">
        <v>166.02755325000001</v>
      </c>
      <c r="Q192" s="234">
        <v>176.04535290999999</v>
      </c>
      <c r="R192" s="234">
        <v>188.68611719</v>
      </c>
    </row>
    <row r="193" spans="2:21">
      <c r="B193" s="234" t="s">
        <v>27</v>
      </c>
      <c r="C193" s="997">
        <v>38.548340000000003</v>
      </c>
      <c r="D193" s="234">
        <v>47.298740000000002</v>
      </c>
      <c r="E193" s="234">
        <v>57.470849999999999</v>
      </c>
      <c r="F193" s="234">
        <v>69.296170000000004</v>
      </c>
      <c r="G193" s="349">
        <v>81.690160000000006</v>
      </c>
      <c r="H193" s="234">
        <v>98.249880000000005</v>
      </c>
      <c r="I193" s="234">
        <v>106.8774842</v>
      </c>
      <c r="J193" s="234">
        <v>116.80830609</v>
      </c>
      <c r="K193" s="234">
        <v>126.25753127</v>
      </c>
      <c r="L193" s="234">
        <v>134.03133172</v>
      </c>
      <c r="M193" s="234">
        <v>143.4606077</v>
      </c>
      <c r="N193" s="234">
        <v>152.33695084999999</v>
      </c>
      <c r="O193" s="234">
        <v>159.81446317000001</v>
      </c>
      <c r="P193" s="234">
        <v>166.7134284</v>
      </c>
      <c r="Q193" s="234">
        <v>176.33575191</v>
      </c>
      <c r="R193" s="234">
        <v>189.59547752</v>
      </c>
    </row>
    <row r="194" spans="2:21">
      <c r="B194" s="234" t="s">
        <v>29</v>
      </c>
      <c r="C194" s="997">
        <v>39.03398</v>
      </c>
      <c r="D194" s="234">
        <v>47.761740000000003</v>
      </c>
      <c r="E194" s="234">
        <v>57.836970000000001</v>
      </c>
      <c r="F194" s="234">
        <v>70.061120000000003</v>
      </c>
      <c r="G194" s="349">
        <v>82.628739999999993</v>
      </c>
      <c r="H194" s="234">
        <v>98.282589999999999</v>
      </c>
      <c r="I194" s="234">
        <v>107.40664950999999</v>
      </c>
      <c r="J194" s="234">
        <v>117.17699838999999</v>
      </c>
      <c r="K194" s="234">
        <v>126.58658934</v>
      </c>
      <c r="L194" s="234">
        <v>134.15782843</v>
      </c>
      <c r="M194" s="234">
        <v>143.90377190000001</v>
      </c>
      <c r="N194" s="234">
        <v>152.38291136000001</v>
      </c>
      <c r="O194" s="234">
        <v>159.81692122999999</v>
      </c>
      <c r="P194" s="234">
        <v>167.36753210000001</v>
      </c>
      <c r="Q194" s="234">
        <v>176.10036446000001</v>
      </c>
      <c r="R194" s="234">
        <v>189.95817148</v>
      </c>
    </row>
    <row r="195" spans="2:21">
      <c r="B195" s="234" t="s">
        <v>31</v>
      </c>
      <c r="C195" s="997">
        <v>39.474330000000002</v>
      </c>
      <c r="D195" s="234">
        <v>48.28387</v>
      </c>
      <c r="E195" s="234">
        <v>58.325130000000001</v>
      </c>
      <c r="F195" s="234">
        <v>70.895269999999996</v>
      </c>
      <c r="G195" s="349">
        <v>83.669229999999999</v>
      </c>
      <c r="H195" s="234">
        <v>98.566929999999999</v>
      </c>
      <c r="I195" s="234">
        <v>107.76198856000001</v>
      </c>
      <c r="J195" s="234">
        <v>117.67613745</v>
      </c>
      <c r="K195" s="234">
        <v>127.05628197</v>
      </c>
      <c r="L195" s="234">
        <v>134.64109142999999</v>
      </c>
      <c r="M195" s="234">
        <v>144.22053790000001</v>
      </c>
      <c r="N195" s="234">
        <v>152.83431748000001</v>
      </c>
      <c r="O195" s="234">
        <v>160.50063693999999</v>
      </c>
      <c r="P195" s="234">
        <v>167.84652473</v>
      </c>
      <c r="Q195" s="234">
        <v>176.24724653999999</v>
      </c>
      <c r="R195" s="234">
        <v>189.59571632999999</v>
      </c>
    </row>
    <row r="196" spans="2:21">
      <c r="B196" s="234" t="s">
        <v>94</v>
      </c>
      <c r="C196" s="997">
        <v>39.895809999999997</v>
      </c>
      <c r="D196" s="234">
        <v>48.823610000000002</v>
      </c>
      <c r="E196" s="234">
        <v>58.842230000000001</v>
      </c>
      <c r="F196" s="234">
        <v>71.713059999999999</v>
      </c>
      <c r="G196" s="349">
        <v>84.478210000000004</v>
      </c>
      <c r="H196" s="234">
        <v>98.919210000000007</v>
      </c>
      <c r="I196" s="234">
        <v>108.13877069</v>
      </c>
      <c r="J196" s="234">
        <v>117.85621974999999</v>
      </c>
      <c r="K196" s="234">
        <v>127.29165599</v>
      </c>
      <c r="L196" s="234">
        <v>135.39389797000001</v>
      </c>
      <c r="M196" s="234">
        <v>144.3074661</v>
      </c>
      <c r="N196" s="234">
        <v>152.81911744000001</v>
      </c>
      <c r="O196" s="234">
        <v>160.86991824</v>
      </c>
      <c r="P196" s="234">
        <v>167.60381809</v>
      </c>
      <c r="Q196" s="234">
        <v>176.25770635000001</v>
      </c>
      <c r="R196" s="234">
        <v>190.25200333999999</v>
      </c>
    </row>
    <row r="197" spans="2:21">
      <c r="B197" s="234" t="s">
        <v>34</v>
      </c>
      <c r="C197" s="997">
        <v>40.41039</v>
      </c>
      <c r="D197" s="234">
        <v>49.367130000000003</v>
      </c>
      <c r="E197" s="234">
        <v>59.308999999999997</v>
      </c>
      <c r="F197" s="234">
        <v>72.288039999999995</v>
      </c>
      <c r="G197" s="349">
        <v>85.16516</v>
      </c>
      <c r="H197" s="234">
        <v>99.094099999999997</v>
      </c>
      <c r="I197" s="234">
        <v>108.65660080000001</v>
      </c>
      <c r="J197" s="234">
        <v>118.24326372</v>
      </c>
      <c r="K197" s="234">
        <v>127.44043193</v>
      </c>
      <c r="L197" s="234">
        <v>136.44759371999999</v>
      </c>
      <c r="M197" s="234">
        <v>144.81011506999999</v>
      </c>
      <c r="N197" s="234">
        <v>153.24356617000001</v>
      </c>
      <c r="O197" s="234">
        <v>161.05381098999999</v>
      </c>
      <c r="P197" s="234">
        <v>168.00101168</v>
      </c>
      <c r="Q197" s="234">
        <v>177.09335311999999</v>
      </c>
      <c r="R197" s="234">
        <v>190.78283531</v>
      </c>
    </row>
    <row r="198" spans="2:21">
      <c r="B198" s="234" t="s">
        <v>35</v>
      </c>
      <c r="C198" s="997">
        <v>40.869610000000002</v>
      </c>
      <c r="D198" s="234">
        <v>50.104410000000001</v>
      </c>
      <c r="E198" s="234">
        <v>59.857550000000003</v>
      </c>
      <c r="F198" s="234">
        <v>72.811430000000001</v>
      </c>
      <c r="G198" s="349">
        <v>85.687290000000004</v>
      </c>
      <c r="H198" s="1424">
        <v>100</v>
      </c>
      <c r="I198" s="1425">
        <v>109.23169707</v>
      </c>
      <c r="J198" s="1426">
        <v>118.78748418000001</v>
      </c>
      <c r="K198" s="234">
        <v>127.87039523999999</v>
      </c>
      <c r="L198" s="234">
        <v>136.81208273999999</v>
      </c>
      <c r="M198" s="234">
        <v>145.69205986</v>
      </c>
      <c r="N198" s="234">
        <v>153.70151419999999</v>
      </c>
      <c r="O198" s="234">
        <v>161.16357144</v>
      </c>
      <c r="P198" s="234">
        <v>168.38033317</v>
      </c>
      <c r="Q198" s="234">
        <v>177.96801500999999</v>
      </c>
      <c r="R198" s="234">
        <v>191.62663025000001</v>
      </c>
    </row>
    <row r="199" spans="2:21">
      <c r="B199" s="234" t="s">
        <v>896</v>
      </c>
    </row>
    <row r="200" spans="2:21">
      <c r="B200" s="234" t="s">
        <v>897</v>
      </c>
    </row>
    <row r="202" spans="2:21">
      <c r="B202" s="234" t="s">
        <v>898</v>
      </c>
    </row>
    <row r="205" spans="2:21">
      <c r="S205" s="234" t="s">
        <v>899</v>
      </c>
    </row>
    <row r="206" spans="2:21">
      <c r="B206" s="234" t="s">
        <v>895</v>
      </c>
      <c r="C206" s="997">
        <v>2003</v>
      </c>
      <c r="D206" s="234">
        <v>2004</v>
      </c>
      <c r="E206" s="234">
        <v>2005</v>
      </c>
      <c r="F206" s="997">
        <v>2006</v>
      </c>
      <c r="G206" s="349">
        <v>2007</v>
      </c>
      <c r="H206" s="234">
        <v>2008</v>
      </c>
      <c r="I206" s="234">
        <v>2009</v>
      </c>
      <c r="J206" s="234">
        <v>2010</v>
      </c>
      <c r="K206" s="234">
        <v>2011</v>
      </c>
      <c r="L206" s="234">
        <v>2012</v>
      </c>
      <c r="M206" s="234">
        <v>2013</v>
      </c>
      <c r="N206" s="234">
        <v>2014</v>
      </c>
      <c r="O206" s="234">
        <v>2015</v>
      </c>
      <c r="P206" s="234">
        <v>2016</v>
      </c>
      <c r="Q206" s="234">
        <v>2017</v>
      </c>
      <c r="R206" s="234">
        <v>2018</v>
      </c>
      <c r="S206" s="234">
        <v>2019</v>
      </c>
      <c r="T206" s="234">
        <v>2020</v>
      </c>
      <c r="U206" s="234">
        <v>2021</v>
      </c>
    </row>
    <row r="207" spans="2:21">
      <c r="B207" s="234" t="s">
        <v>16</v>
      </c>
      <c r="C207" s="997">
        <v>50.42</v>
      </c>
      <c r="D207" s="234">
        <v>53.54</v>
      </c>
      <c r="E207" s="234">
        <v>56.45</v>
      </c>
      <c r="F207" s="997">
        <v>59.02</v>
      </c>
      <c r="G207" s="349">
        <v>61.8</v>
      </c>
      <c r="H207" s="234">
        <v>65.510000000000005</v>
      </c>
      <c r="I207" s="234">
        <v>70.209999999999994</v>
      </c>
      <c r="J207" s="234">
        <v>71.69</v>
      </c>
      <c r="K207" s="234">
        <v>74.12</v>
      </c>
      <c r="L207" s="234">
        <v>76.75</v>
      </c>
      <c r="M207" s="234">
        <v>78.28</v>
      </c>
      <c r="N207" s="234">
        <v>79.95</v>
      </c>
      <c r="O207" s="234">
        <v>83</v>
      </c>
      <c r="P207" s="234">
        <v>89.19</v>
      </c>
      <c r="Q207" s="234">
        <v>94.07</v>
      </c>
      <c r="R207" s="234">
        <v>97.53</v>
      </c>
      <c r="S207" s="234">
        <v>100.6</v>
      </c>
      <c r="T207" s="234">
        <v>104.24</v>
      </c>
      <c r="U207" s="234">
        <v>105.91</v>
      </c>
    </row>
    <row r="208" spans="2:21">
      <c r="B208" s="234" t="s">
        <v>17</v>
      </c>
      <c r="C208" s="997">
        <v>50.98</v>
      </c>
      <c r="D208" s="234">
        <v>54.18</v>
      </c>
      <c r="E208" s="234">
        <v>57.02</v>
      </c>
      <c r="F208" s="997">
        <v>59.41</v>
      </c>
      <c r="G208" s="349">
        <v>62.53</v>
      </c>
      <c r="H208" s="234">
        <v>66.5</v>
      </c>
      <c r="I208" s="234">
        <v>70.8</v>
      </c>
      <c r="J208" s="234">
        <v>72.28</v>
      </c>
      <c r="K208" s="234">
        <v>74.569999999999993</v>
      </c>
      <c r="L208" s="234">
        <v>77.22</v>
      </c>
      <c r="M208" s="234">
        <v>78.63</v>
      </c>
      <c r="N208" s="234">
        <v>80.45</v>
      </c>
      <c r="O208" s="234">
        <v>83.96</v>
      </c>
      <c r="P208" s="234">
        <v>90.33</v>
      </c>
      <c r="Q208" s="234">
        <v>95.01</v>
      </c>
      <c r="R208" s="234">
        <v>98.22</v>
      </c>
      <c r="S208" s="234">
        <v>101.18</v>
      </c>
      <c r="T208" s="234">
        <v>104.94</v>
      </c>
      <c r="U208" s="234">
        <v>106.58</v>
      </c>
    </row>
    <row r="209" spans="2:21">
      <c r="B209" s="234" t="s">
        <v>19</v>
      </c>
      <c r="C209" s="997">
        <v>51.51</v>
      </c>
      <c r="D209" s="234">
        <v>54.71</v>
      </c>
      <c r="E209" s="234">
        <v>57.46</v>
      </c>
      <c r="F209" s="997">
        <v>59.83</v>
      </c>
      <c r="G209" s="349">
        <v>63.29</v>
      </c>
      <c r="H209" s="234">
        <v>67.040000000000006</v>
      </c>
      <c r="I209" s="234">
        <v>71.150000000000006</v>
      </c>
      <c r="J209" s="234">
        <v>72.459999999999994</v>
      </c>
      <c r="K209" s="234">
        <v>74.77</v>
      </c>
      <c r="L209" s="234">
        <v>77.31</v>
      </c>
      <c r="M209" s="234">
        <v>78.790000000000006</v>
      </c>
      <c r="N209" s="234">
        <v>80.77</v>
      </c>
      <c r="O209" s="234">
        <v>84.45</v>
      </c>
      <c r="P209" s="234">
        <v>91.18</v>
      </c>
      <c r="Q209" s="234">
        <v>95.46</v>
      </c>
      <c r="R209" s="234">
        <v>98.45</v>
      </c>
      <c r="S209" s="234">
        <v>101.62</v>
      </c>
      <c r="T209" s="234">
        <v>105.53</v>
      </c>
      <c r="U209" s="234">
        <v>107.12</v>
      </c>
    </row>
    <row r="210" spans="2:21">
      <c r="B210" s="234" t="s">
        <v>21</v>
      </c>
      <c r="C210" s="997">
        <v>52.1</v>
      </c>
      <c r="D210" s="234">
        <v>54.96</v>
      </c>
      <c r="E210" s="234">
        <v>57.72</v>
      </c>
      <c r="F210" s="997">
        <v>60.09</v>
      </c>
      <c r="G210" s="349">
        <v>63.85</v>
      </c>
      <c r="H210" s="234">
        <v>67.510000000000005</v>
      </c>
      <c r="I210" s="234">
        <v>71.38</v>
      </c>
      <c r="J210" s="234">
        <v>72.790000000000006</v>
      </c>
      <c r="K210" s="234">
        <v>74.86</v>
      </c>
      <c r="L210" s="234">
        <v>77.42</v>
      </c>
      <c r="M210" s="234">
        <v>78.989999999999995</v>
      </c>
      <c r="N210" s="234">
        <v>81.14</v>
      </c>
      <c r="O210" s="234">
        <v>84.9</v>
      </c>
      <c r="P210" s="234">
        <v>91.63</v>
      </c>
      <c r="Q210" s="234">
        <v>95.91</v>
      </c>
      <c r="R210" s="234">
        <v>98.91</v>
      </c>
      <c r="S210" s="234">
        <v>102.12</v>
      </c>
      <c r="T210" s="234">
        <v>105.7</v>
      </c>
      <c r="U210" s="234">
        <v>107.76</v>
      </c>
    </row>
    <row r="211" spans="2:21">
      <c r="B211" s="234" t="s">
        <v>23</v>
      </c>
      <c r="C211" s="997">
        <v>52.36</v>
      </c>
      <c r="D211" s="234">
        <v>55.17</v>
      </c>
      <c r="E211" s="234">
        <v>57.95</v>
      </c>
      <c r="F211" s="997">
        <v>60.29</v>
      </c>
      <c r="G211" s="349">
        <v>64.05</v>
      </c>
      <c r="H211" s="234">
        <v>68.14</v>
      </c>
      <c r="I211" s="234">
        <v>71.39</v>
      </c>
      <c r="J211" s="234">
        <v>72.87</v>
      </c>
      <c r="K211" s="234">
        <v>75.069999999999993</v>
      </c>
      <c r="L211" s="234">
        <v>77.66</v>
      </c>
      <c r="M211" s="234">
        <v>79.209999999999994</v>
      </c>
      <c r="N211" s="234">
        <v>81.53</v>
      </c>
      <c r="O211" s="234">
        <v>85.12</v>
      </c>
      <c r="P211" s="234">
        <v>92.1</v>
      </c>
      <c r="Q211" s="234">
        <v>96.12</v>
      </c>
      <c r="R211" s="234">
        <v>99.16</v>
      </c>
      <c r="S211" s="234">
        <v>102.44</v>
      </c>
      <c r="T211" s="234">
        <v>105.36</v>
      </c>
      <c r="U211" s="234">
        <v>108.84</v>
      </c>
    </row>
    <row r="212" spans="2:21">
      <c r="B212" s="234" t="s">
        <v>25</v>
      </c>
      <c r="C212" s="997">
        <v>52.33</v>
      </c>
      <c r="D212" s="234">
        <v>55.51</v>
      </c>
      <c r="E212" s="234">
        <v>58.18</v>
      </c>
      <c r="F212" s="997">
        <v>60.48</v>
      </c>
      <c r="G212" s="349">
        <v>64.12</v>
      </c>
      <c r="H212" s="234">
        <v>68.73</v>
      </c>
      <c r="I212" s="234">
        <v>71.349999999999994</v>
      </c>
      <c r="J212" s="234">
        <v>72.95</v>
      </c>
      <c r="K212" s="234">
        <v>75.31</v>
      </c>
      <c r="L212" s="234">
        <v>77.72</v>
      </c>
      <c r="M212" s="234">
        <v>79.39</v>
      </c>
      <c r="N212" s="234">
        <v>81.61</v>
      </c>
      <c r="O212" s="234">
        <v>85.21</v>
      </c>
      <c r="P212" s="234">
        <v>92.54</v>
      </c>
      <c r="Q212" s="234">
        <v>96.23</v>
      </c>
      <c r="R212" s="234">
        <v>99.31</v>
      </c>
      <c r="S212" s="234">
        <v>102.71</v>
      </c>
      <c r="T212" s="234">
        <v>104.97</v>
      </c>
      <c r="U212" s="234">
        <v>108.78</v>
      </c>
    </row>
    <row r="213" spans="2:21">
      <c r="B213" s="234" t="s">
        <v>27</v>
      </c>
      <c r="C213" s="997">
        <v>52.26</v>
      </c>
      <c r="D213" s="234">
        <v>55.49</v>
      </c>
      <c r="E213" s="234">
        <v>58.21</v>
      </c>
      <c r="F213" s="997">
        <v>60.73</v>
      </c>
      <c r="G213" s="349">
        <v>64.23</v>
      </c>
      <c r="H213" s="234">
        <v>69.06</v>
      </c>
      <c r="I213" s="234">
        <v>71.319999999999993</v>
      </c>
      <c r="J213" s="234">
        <v>72.92</v>
      </c>
      <c r="K213" s="234">
        <v>75.42</v>
      </c>
      <c r="L213" s="234">
        <v>77.7</v>
      </c>
      <c r="M213" s="234">
        <v>79.430000000000007</v>
      </c>
      <c r="N213" s="234">
        <v>81.73</v>
      </c>
      <c r="O213" s="234">
        <v>85.37</v>
      </c>
      <c r="P213" s="234">
        <v>93.02</v>
      </c>
      <c r="Q213" s="234">
        <v>96.18</v>
      </c>
      <c r="R213" s="234">
        <v>99.18</v>
      </c>
      <c r="S213" s="234">
        <v>102.94</v>
      </c>
      <c r="T213" s="234">
        <v>104.97</v>
      </c>
      <c r="U213" s="234">
        <v>109.14</v>
      </c>
    </row>
    <row r="214" spans="2:21">
      <c r="B214" s="234" t="s">
        <v>29</v>
      </c>
      <c r="C214" s="997">
        <v>52.42</v>
      </c>
      <c r="D214" s="234">
        <v>55.51</v>
      </c>
      <c r="E214" s="234">
        <v>58.21</v>
      </c>
      <c r="F214" s="997">
        <v>60.96</v>
      </c>
      <c r="G214" s="349">
        <v>64.14</v>
      </c>
      <c r="H214" s="234">
        <v>69.19</v>
      </c>
      <c r="I214" s="234">
        <v>71.349999999999994</v>
      </c>
      <c r="J214" s="234">
        <v>73</v>
      </c>
      <c r="K214" s="234">
        <v>75.39</v>
      </c>
      <c r="L214" s="234">
        <v>77.73</v>
      </c>
      <c r="M214" s="234">
        <v>79.5</v>
      </c>
      <c r="N214" s="234">
        <v>81.900000000000006</v>
      </c>
      <c r="O214" s="234">
        <v>85.78</v>
      </c>
      <c r="P214" s="234">
        <v>92.73</v>
      </c>
      <c r="Q214" s="234">
        <v>96.32</v>
      </c>
      <c r="R214" s="234">
        <v>99.3</v>
      </c>
      <c r="S214" s="234">
        <v>103.03</v>
      </c>
      <c r="T214" s="234">
        <v>104.96</v>
      </c>
      <c r="U214" s="234">
        <v>109.62</v>
      </c>
    </row>
    <row r="215" spans="2:21">
      <c r="B215" s="234" t="s">
        <v>31</v>
      </c>
      <c r="C215" s="997">
        <v>52.53</v>
      </c>
      <c r="D215" s="234">
        <v>55.67</v>
      </c>
      <c r="E215" s="234">
        <v>58.46</v>
      </c>
      <c r="F215" s="997">
        <v>61.14</v>
      </c>
      <c r="G215" s="349">
        <v>64.2</v>
      </c>
      <c r="H215" s="234">
        <v>69.06</v>
      </c>
      <c r="I215" s="234">
        <v>71.28</v>
      </c>
      <c r="J215" s="234">
        <v>72.900000000000006</v>
      </c>
      <c r="K215" s="234">
        <v>75.62</v>
      </c>
      <c r="L215" s="234">
        <v>77.959999999999994</v>
      </c>
      <c r="M215" s="234">
        <v>79.73</v>
      </c>
      <c r="N215" s="234">
        <v>82.01</v>
      </c>
      <c r="O215" s="234">
        <v>86.39</v>
      </c>
      <c r="P215" s="234">
        <v>92.68</v>
      </c>
      <c r="Q215" s="234">
        <v>96.36</v>
      </c>
      <c r="R215" s="234">
        <v>99.47</v>
      </c>
      <c r="S215" s="234">
        <v>103.26</v>
      </c>
      <c r="T215" s="234">
        <v>105.29</v>
      </c>
    </row>
    <row r="216" spans="2:21">
      <c r="B216" s="234" t="s">
        <v>94</v>
      </c>
      <c r="C216" s="997">
        <v>52.56</v>
      </c>
      <c r="D216" s="234">
        <v>55.66</v>
      </c>
      <c r="E216" s="234">
        <v>58.6</v>
      </c>
      <c r="F216" s="997">
        <v>61.05</v>
      </c>
      <c r="G216" s="349">
        <v>64.2</v>
      </c>
      <c r="H216" s="234">
        <v>69.3</v>
      </c>
      <c r="I216" s="234">
        <v>71.19</v>
      </c>
      <c r="J216" s="234">
        <v>72.84</v>
      </c>
      <c r="K216" s="234">
        <v>75.77</v>
      </c>
      <c r="L216" s="234">
        <v>78.08</v>
      </c>
      <c r="M216" s="234">
        <v>79.52</v>
      </c>
      <c r="N216" s="234">
        <v>82.14</v>
      </c>
      <c r="O216" s="234">
        <v>86.98</v>
      </c>
      <c r="P216" s="234">
        <v>92.62</v>
      </c>
      <c r="Q216" s="234">
        <v>96.37</v>
      </c>
      <c r="R216" s="234">
        <v>99.59</v>
      </c>
      <c r="S216" s="234">
        <v>103.43</v>
      </c>
      <c r="T216" s="234">
        <v>105.23</v>
      </c>
    </row>
    <row r="217" spans="2:21">
      <c r="B217" s="234" t="s">
        <v>34</v>
      </c>
      <c r="C217" s="997">
        <v>52.75</v>
      </c>
      <c r="D217" s="234">
        <v>55.82</v>
      </c>
      <c r="E217" s="234">
        <v>58.66</v>
      </c>
      <c r="F217" s="997">
        <v>61.19</v>
      </c>
      <c r="G217" s="349">
        <v>64.510000000000005</v>
      </c>
      <c r="H217" s="234">
        <v>69.489999999999995</v>
      </c>
      <c r="I217" s="234">
        <v>71.14</v>
      </c>
      <c r="J217" s="234">
        <v>72.98</v>
      </c>
      <c r="K217" s="234">
        <v>75.87</v>
      </c>
      <c r="L217" s="234">
        <v>77.98</v>
      </c>
      <c r="M217" s="234">
        <v>79.349999999999994</v>
      </c>
      <c r="N217" s="234">
        <v>82.25</v>
      </c>
      <c r="O217" s="234">
        <v>87.51</v>
      </c>
      <c r="P217" s="234">
        <v>92.73</v>
      </c>
      <c r="Q217" s="234">
        <v>96.55</v>
      </c>
      <c r="R217" s="234">
        <v>99.7</v>
      </c>
      <c r="S217" s="234">
        <v>103.54</v>
      </c>
      <c r="T217" s="234">
        <v>105.08</v>
      </c>
    </row>
    <row r="218" spans="2:21">
      <c r="B218" s="234" t="s">
        <v>35</v>
      </c>
      <c r="C218" s="997">
        <v>53.07</v>
      </c>
      <c r="D218" s="234">
        <v>55.99</v>
      </c>
      <c r="E218" s="234">
        <v>58.7</v>
      </c>
      <c r="F218" s="997">
        <v>61.33</v>
      </c>
      <c r="G218" s="349">
        <v>64.819999999999993</v>
      </c>
      <c r="H218" s="1427">
        <v>69.8</v>
      </c>
      <c r="I218" s="234">
        <v>71.2</v>
      </c>
      <c r="J218" s="234">
        <v>73.45</v>
      </c>
      <c r="K218" s="234">
        <v>76.19</v>
      </c>
      <c r="L218" s="234">
        <v>78.05</v>
      </c>
      <c r="M218" s="234">
        <v>79.56</v>
      </c>
      <c r="N218" s="234">
        <v>82.47</v>
      </c>
      <c r="O218" s="234">
        <v>88.05</v>
      </c>
      <c r="P218" s="234">
        <v>93.11</v>
      </c>
      <c r="Q218" s="234">
        <v>96.92</v>
      </c>
      <c r="R218" s="234">
        <v>100</v>
      </c>
      <c r="S218" s="234">
        <v>103.8</v>
      </c>
      <c r="T218" s="234">
        <v>105.48</v>
      </c>
    </row>
    <row r="221" spans="2:21">
      <c r="B221" s="234" t="s">
        <v>900</v>
      </c>
    </row>
    <row r="222" spans="2:21">
      <c r="B222" s="234" t="s">
        <v>901</v>
      </c>
    </row>
    <row r="223" spans="2:21">
      <c r="B223" s="234" t="s">
        <v>902</v>
      </c>
    </row>
  </sheetData>
  <mergeCells count="2">
    <mergeCell ref="B163:D163"/>
    <mergeCell ref="B68:H68"/>
  </mergeCells>
  <pageMargins left="0.7" right="0.7" top="0.75" bottom="0.75" header="0.3" footer="0.3"/>
  <pageSetup paperSize="135" scale="14" fitToHeight="0"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78D2C-39FF-47A2-90CD-53DD78D46A6E}">
  <sheetPr codeName="Hoja80"/>
  <dimension ref="A1:J229"/>
  <sheetViews>
    <sheetView topLeftCell="A178" workbookViewId="0">
      <selection activeCell="D184" sqref="D184"/>
    </sheetView>
  </sheetViews>
  <sheetFormatPr defaultColWidth="11.42578125" defaultRowHeight="11.25"/>
  <cols>
    <col min="1" max="1" width="3" style="234" customWidth="1"/>
    <col min="2" max="2" width="21.5703125" style="234" customWidth="1"/>
    <col min="3" max="3" width="22.7109375" style="997" customWidth="1"/>
    <col min="4" max="4" width="18.7109375" style="234" customWidth="1"/>
    <col min="5" max="5" width="14.42578125" style="234" customWidth="1"/>
    <col min="6" max="6" width="14.7109375" style="997" customWidth="1"/>
    <col min="7" max="7" width="15.42578125" style="349" customWidth="1"/>
    <col min="8" max="8" width="15.5703125" style="234" customWidth="1"/>
    <col min="9" max="9" width="18.7109375" style="234" customWidth="1"/>
    <col min="10" max="10" width="15" style="234" customWidth="1"/>
    <col min="11" max="11" width="16.85546875" style="234" customWidth="1"/>
    <col min="12" max="13" width="11.42578125" style="234"/>
    <col min="14" max="14" width="14" style="234" customWidth="1"/>
    <col min="15" max="15" width="13.28515625" style="234" customWidth="1"/>
    <col min="16" max="256" width="11.42578125" style="234"/>
    <col min="257" max="257" width="3" style="234" customWidth="1"/>
    <col min="258" max="258" width="21.5703125" style="234" customWidth="1"/>
    <col min="259" max="259" width="22.7109375" style="234" customWidth="1"/>
    <col min="260" max="260" width="18.7109375" style="234" customWidth="1"/>
    <col min="261" max="261" width="14.42578125" style="234" customWidth="1"/>
    <col min="262" max="262" width="14.7109375" style="234" customWidth="1"/>
    <col min="263" max="263" width="15.42578125" style="234" customWidth="1"/>
    <col min="264" max="264" width="15.5703125" style="234" customWidth="1"/>
    <col min="265" max="265" width="18.7109375" style="234" customWidth="1"/>
    <col min="266" max="266" width="15" style="234" customWidth="1"/>
    <col min="267" max="267" width="16.85546875" style="234" customWidth="1"/>
    <col min="268" max="269" width="11.42578125" style="234"/>
    <col min="270" max="270" width="14" style="234" customWidth="1"/>
    <col min="271" max="271" width="13.28515625" style="234" customWidth="1"/>
    <col min="272" max="512" width="11.42578125" style="234"/>
    <col min="513" max="513" width="3" style="234" customWidth="1"/>
    <col min="514" max="514" width="21.5703125" style="234" customWidth="1"/>
    <col min="515" max="515" width="22.7109375" style="234" customWidth="1"/>
    <col min="516" max="516" width="18.7109375" style="234" customWidth="1"/>
    <col min="517" max="517" width="14.42578125" style="234" customWidth="1"/>
    <col min="518" max="518" width="14.7109375" style="234" customWidth="1"/>
    <col min="519" max="519" width="15.42578125" style="234" customWidth="1"/>
    <col min="520" max="520" width="15.5703125" style="234" customWidth="1"/>
    <col min="521" max="521" width="18.7109375" style="234" customWidth="1"/>
    <col min="522" max="522" width="15" style="234" customWidth="1"/>
    <col min="523" max="523" width="16.85546875" style="234" customWidth="1"/>
    <col min="524" max="525" width="11.42578125" style="234"/>
    <col min="526" max="526" width="14" style="234" customWidth="1"/>
    <col min="527" max="527" width="13.28515625" style="234" customWidth="1"/>
    <col min="528" max="768" width="11.42578125" style="234"/>
    <col min="769" max="769" width="3" style="234" customWidth="1"/>
    <col min="770" max="770" width="21.5703125" style="234" customWidth="1"/>
    <col min="771" max="771" width="22.7109375" style="234" customWidth="1"/>
    <col min="772" max="772" width="18.7109375" style="234" customWidth="1"/>
    <col min="773" max="773" width="14.42578125" style="234" customWidth="1"/>
    <col min="774" max="774" width="14.7109375" style="234" customWidth="1"/>
    <col min="775" max="775" width="15.42578125" style="234" customWidth="1"/>
    <col min="776" max="776" width="15.5703125" style="234" customWidth="1"/>
    <col min="777" max="777" width="18.7109375" style="234" customWidth="1"/>
    <col min="778" max="778" width="15" style="234" customWidth="1"/>
    <col min="779" max="779" width="16.85546875" style="234" customWidth="1"/>
    <col min="780" max="781" width="11.42578125" style="234"/>
    <col min="782" max="782" width="14" style="234" customWidth="1"/>
    <col min="783" max="783" width="13.28515625" style="234" customWidth="1"/>
    <col min="784" max="1024" width="11.42578125" style="234"/>
    <col min="1025" max="1025" width="3" style="234" customWidth="1"/>
    <col min="1026" max="1026" width="21.5703125" style="234" customWidth="1"/>
    <col min="1027" max="1027" width="22.7109375" style="234" customWidth="1"/>
    <col min="1028" max="1028" width="18.7109375" style="234" customWidth="1"/>
    <col min="1029" max="1029" width="14.42578125" style="234" customWidth="1"/>
    <col min="1030" max="1030" width="14.7109375" style="234" customWidth="1"/>
    <col min="1031" max="1031" width="15.42578125" style="234" customWidth="1"/>
    <col min="1032" max="1032" width="15.5703125" style="234" customWidth="1"/>
    <col min="1033" max="1033" width="18.7109375" style="234" customWidth="1"/>
    <col min="1034" max="1034" width="15" style="234" customWidth="1"/>
    <col min="1035" max="1035" width="16.85546875" style="234" customWidth="1"/>
    <col min="1036" max="1037" width="11.42578125" style="234"/>
    <col min="1038" max="1038" width="14" style="234" customWidth="1"/>
    <col min="1039" max="1039" width="13.28515625" style="234" customWidth="1"/>
    <col min="1040" max="1280" width="11.42578125" style="234"/>
    <col min="1281" max="1281" width="3" style="234" customWidth="1"/>
    <col min="1282" max="1282" width="21.5703125" style="234" customWidth="1"/>
    <col min="1283" max="1283" width="22.7109375" style="234" customWidth="1"/>
    <col min="1284" max="1284" width="18.7109375" style="234" customWidth="1"/>
    <col min="1285" max="1285" width="14.42578125" style="234" customWidth="1"/>
    <col min="1286" max="1286" width="14.7109375" style="234" customWidth="1"/>
    <col min="1287" max="1287" width="15.42578125" style="234" customWidth="1"/>
    <col min="1288" max="1288" width="15.5703125" style="234" customWidth="1"/>
    <col min="1289" max="1289" width="18.7109375" style="234" customWidth="1"/>
    <col min="1290" max="1290" width="15" style="234" customWidth="1"/>
    <col min="1291" max="1291" width="16.85546875" style="234" customWidth="1"/>
    <col min="1292" max="1293" width="11.42578125" style="234"/>
    <col min="1294" max="1294" width="14" style="234" customWidth="1"/>
    <col min="1295" max="1295" width="13.28515625" style="234" customWidth="1"/>
    <col min="1296" max="1536" width="11.42578125" style="234"/>
    <col min="1537" max="1537" width="3" style="234" customWidth="1"/>
    <col min="1538" max="1538" width="21.5703125" style="234" customWidth="1"/>
    <col min="1539" max="1539" width="22.7109375" style="234" customWidth="1"/>
    <col min="1540" max="1540" width="18.7109375" style="234" customWidth="1"/>
    <col min="1541" max="1541" width="14.42578125" style="234" customWidth="1"/>
    <col min="1542" max="1542" width="14.7109375" style="234" customWidth="1"/>
    <col min="1543" max="1543" width="15.42578125" style="234" customWidth="1"/>
    <col min="1544" max="1544" width="15.5703125" style="234" customWidth="1"/>
    <col min="1545" max="1545" width="18.7109375" style="234" customWidth="1"/>
    <col min="1546" max="1546" width="15" style="234" customWidth="1"/>
    <col min="1547" max="1547" width="16.85546875" style="234" customWidth="1"/>
    <col min="1548" max="1549" width="11.42578125" style="234"/>
    <col min="1550" max="1550" width="14" style="234" customWidth="1"/>
    <col min="1551" max="1551" width="13.28515625" style="234" customWidth="1"/>
    <col min="1552" max="1792" width="11.42578125" style="234"/>
    <col min="1793" max="1793" width="3" style="234" customWidth="1"/>
    <col min="1794" max="1794" width="21.5703125" style="234" customWidth="1"/>
    <col min="1795" max="1795" width="22.7109375" style="234" customWidth="1"/>
    <col min="1796" max="1796" width="18.7109375" style="234" customWidth="1"/>
    <col min="1797" max="1797" width="14.42578125" style="234" customWidth="1"/>
    <col min="1798" max="1798" width="14.7109375" style="234" customWidth="1"/>
    <col min="1799" max="1799" width="15.42578125" style="234" customWidth="1"/>
    <col min="1800" max="1800" width="15.5703125" style="234" customWidth="1"/>
    <col min="1801" max="1801" width="18.7109375" style="234" customWidth="1"/>
    <col min="1802" max="1802" width="15" style="234" customWidth="1"/>
    <col min="1803" max="1803" width="16.85546875" style="234" customWidth="1"/>
    <col min="1804" max="1805" width="11.42578125" style="234"/>
    <col min="1806" max="1806" width="14" style="234" customWidth="1"/>
    <col min="1807" max="1807" width="13.28515625" style="234" customWidth="1"/>
    <col min="1808" max="2048" width="11.42578125" style="234"/>
    <col min="2049" max="2049" width="3" style="234" customWidth="1"/>
    <col min="2050" max="2050" width="21.5703125" style="234" customWidth="1"/>
    <col min="2051" max="2051" width="22.7109375" style="234" customWidth="1"/>
    <col min="2052" max="2052" width="18.7109375" style="234" customWidth="1"/>
    <col min="2053" max="2053" width="14.42578125" style="234" customWidth="1"/>
    <col min="2054" max="2054" width="14.7109375" style="234" customWidth="1"/>
    <col min="2055" max="2055" width="15.42578125" style="234" customWidth="1"/>
    <col min="2056" max="2056" width="15.5703125" style="234" customWidth="1"/>
    <col min="2057" max="2057" width="18.7109375" style="234" customWidth="1"/>
    <col min="2058" max="2058" width="15" style="234" customWidth="1"/>
    <col min="2059" max="2059" width="16.85546875" style="234" customWidth="1"/>
    <col min="2060" max="2061" width="11.42578125" style="234"/>
    <col min="2062" max="2062" width="14" style="234" customWidth="1"/>
    <col min="2063" max="2063" width="13.28515625" style="234" customWidth="1"/>
    <col min="2064" max="2304" width="11.42578125" style="234"/>
    <col min="2305" max="2305" width="3" style="234" customWidth="1"/>
    <col min="2306" max="2306" width="21.5703125" style="234" customWidth="1"/>
    <col min="2307" max="2307" width="22.7109375" style="234" customWidth="1"/>
    <col min="2308" max="2308" width="18.7109375" style="234" customWidth="1"/>
    <col min="2309" max="2309" width="14.42578125" style="234" customWidth="1"/>
    <col min="2310" max="2310" width="14.7109375" style="234" customWidth="1"/>
    <col min="2311" max="2311" width="15.42578125" style="234" customWidth="1"/>
    <col min="2312" max="2312" width="15.5703125" style="234" customWidth="1"/>
    <col min="2313" max="2313" width="18.7109375" style="234" customWidth="1"/>
    <col min="2314" max="2314" width="15" style="234" customWidth="1"/>
    <col min="2315" max="2315" width="16.85546875" style="234" customWidth="1"/>
    <col min="2316" max="2317" width="11.42578125" style="234"/>
    <col min="2318" max="2318" width="14" style="234" customWidth="1"/>
    <col min="2319" max="2319" width="13.28515625" style="234" customWidth="1"/>
    <col min="2320" max="2560" width="11.42578125" style="234"/>
    <col min="2561" max="2561" width="3" style="234" customWidth="1"/>
    <col min="2562" max="2562" width="21.5703125" style="234" customWidth="1"/>
    <col min="2563" max="2563" width="22.7109375" style="234" customWidth="1"/>
    <col min="2564" max="2564" width="18.7109375" style="234" customWidth="1"/>
    <col min="2565" max="2565" width="14.42578125" style="234" customWidth="1"/>
    <col min="2566" max="2566" width="14.7109375" style="234" customWidth="1"/>
    <col min="2567" max="2567" width="15.42578125" style="234" customWidth="1"/>
    <col min="2568" max="2568" width="15.5703125" style="234" customWidth="1"/>
    <col min="2569" max="2569" width="18.7109375" style="234" customWidth="1"/>
    <col min="2570" max="2570" width="15" style="234" customWidth="1"/>
    <col min="2571" max="2571" width="16.85546875" style="234" customWidth="1"/>
    <col min="2572" max="2573" width="11.42578125" style="234"/>
    <col min="2574" max="2574" width="14" style="234" customWidth="1"/>
    <col min="2575" max="2575" width="13.28515625" style="234" customWidth="1"/>
    <col min="2576" max="2816" width="11.42578125" style="234"/>
    <col min="2817" max="2817" width="3" style="234" customWidth="1"/>
    <col min="2818" max="2818" width="21.5703125" style="234" customWidth="1"/>
    <col min="2819" max="2819" width="22.7109375" style="234" customWidth="1"/>
    <col min="2820" max="2820" width="18.7109375" style="234" customWidth="1"/>
    <col min="2821" max="2821" width="14.42578125" style="234" customWidth="1"/>
    <col min="2822" max="2822" width="14.7109375" style="234" customWidth="1"/>
    <col min="2823" max="2823" width="15.42578125" style="234" customWidth="1"/>
    <col min="2824" max="2824" width="15.5703125" style="234" customWidth="1"/>
    <col min="2825" max="2825" width="18.7109375" style="234" customWidth="1"/>
    <col min="2826" max="2826" width="15" style="234" customWidth="1"/>
    <col min="2827" max="2827" width="16.85546875" style="234" customWidth="1"/>
    <col min="2828" max="2829" width="11.42578125" style="234"/>
    <col min="2830" max="2830" width="14" style="234" customWidth="1"/>
    <col min="2831" max="2831" width="13.28515625" style="234" customWidth="1"/>
    <col min="2832" max="3072" width="11.42578125" style="234"/>
    <col min="3073" max="3073" width="3" style="234" customWidth="1"/>
    <col min="3074" max="3074" width="21.5703125" style="234" customWidth="1"/>
    <col min="3075" max="3075" width="22.7109375" style="234" customWidth="1"/>
    <col min="3076" max="3076" width="18.7109375" style="234" customWidth="1"/>
    <col min="3077" max="3077" width="14.42578125" style="234" customWidth="1"/>
    <col min="3078" max="3078" width="14.7109375" style="234" customWidth="1"/>
    <col min="3079" max="3079" width="15.42578125" style="234" customWidth="1"/>
    <col min="3080" max="3080" width="15.5703125" style="234" customWidth="1"/>
    <col min="3081" max="3081" width="18.7109375" style="234" customWidth="1"/>
    <col min="3082" max="3082" width="15" style="234" customWidth="1"/>
    <col min="3083" max="3083" width="16.85546875" style="234" customWidth="1"/>
    <col min="3084" max="3085" width="11.42578125" style="234"/>
    <col min="3086" max="3086" width="14" style="234" customWidth="1"/>
    <col min="3087" max="3087" width="13.28515625" style="234" customWidth="1"/>
    <col min="3088" max="3328" width="11.42578125" style="234"/>
    <col min="3329" max="3329" width="3" style="234" customWidth="1"/>
    <col min="3330" max="3330" width="21.5703125" style="234" customWidth="1"/>
    <col min="3331" max="3331" width="22.7109375" style="234" customWidth="1"/>
    <col min="3332" max="3332" width="18.7109375" style="234" customWidth="1"/>
    <col min="3333" max="3333" width="14.42578125" style="234" customWidth="1"/>
    <col min="3334" max="3334" width="14.7109375" style="234" customWidth="1"/>
    <col min="3335" max="3335" width="15.42578125" style="234" customWidth="1"/>
    <col min="3336" max="3336" width="15.5703125" style="234" customWidth="1"/>
    <col min="3337" max="3337" width="18.7109375" style="234" customWidth="1"/>
    <col min="3338" max="3338" width="15" style="234" customWidth="1"/>
    <col min="3339" max="3339" width="16.85546875" style="234" customWidth="1"/>
    <col min="3340" max="3341" width="11.42578125" style="234"/>
    <col min="3342" max="3342" width="14" style="234" customWidth="1"/>
    <col min="3343" max="3343" width="13.28515625" style="234" customWidth="1"/>
    <col min="3344" max="3584" width="11.42578125" style="234"/>
    <col min="3585" max="3585" width="3" style="234" customWidth="1"/>
    <col min="3586" max="3586" width="21.5703125" style="234" customWidth="1"/>
    <col min="3587" max="3587" width="22.7109375" style="234" customWidth="1"/>
    <col min="3588" max="3588" width="18.7109375" style="234" customWidth="1"/>
    <col min="3589" max="3589" width="14.42578125" style="234" customWidth="1"/>
    <col min="3590" max="3590" width="14.7109375" style="234" customWidth="1"/>
    <col min="3591" max="3591" width="15.42578125" style="234" customWidth="1"/>
    <col min="3592" max="3592" width="15.5703125" style="234" customWidth="1"/>
    <col min="3593" max="3593" width="18.7109375" style="234" customWidth="1"/>
    <col min="3594" max="3594" width="15" style="234" customWidth="1"/>
    <col min="3595" max="3595" width="16.85546875" style="234" customWidth="1"/>
    <col min="3596" max="3597" width="11.42578125" style="234"/>
    <col min="3598" max="3598" width="14" style="234" customWidth="1"/>
    <col min="3599" max="3599" width="13.28515625" style="234" customWidth="1"/>
    <col min="3600" max="3840" width="11.42578125" style="234"/>
    <col min="3841" max="3841" width="3" style="234" customWidth="1"/>
    <col min="3842" max="3842" width="21.5703125" style="234" customWidth="1"/>
    <col min="3843" max="3843" width="22.7109375" style="234" customWidth="1"/>
    <col min="3844" max="3844" width="18.7109375" style="234" customWidth="1"/>
    <col min="3845" max="3845" width="14.42578125" style="234" customWidth="1"/>
    <col min="3846" max="3846" width="14.7109375" style="234" customWidth="1"/>
    <col min="3847" max="3847" width="15.42578125" style="234" customWidth="1"/>
    <col min="3848" max="3848" width="15.5703125" style="234" customWidth="1"/>
    <col min="3849" max="3849" width="18.7109375" style="234" customWidth="1"/>
    <col min="3850" max="3850" width="15" style="234" customWidth="1"/>
    <col min="3851" max="3851" width="16.85546875" style="234" customWidth="1"/>
    <col min="3852" max="3853" width="11.42578125" style="234"/>
    <col min="3854" max="3854" width="14" style="234" customWidth="1"/>
    <col min="3855" max="3855" width="13.28515625" style="234" customWidth="1"/>
    <col min="3856" max="4096" width="11.42578125" style="234"/>
    <col min="4097" max="4097" width="3" style="234" customWidth="1"/>
    <col min="4098" max="4098" width="21.5703125" style="234" customWidth="1"/>
    <col min="4099" max="4099" width="22.7109375" style="234" customWidth="1"/>
    <col min="4100" max="4100" width="18.7109375" style="234" customWidth="1"/>
    <col min="4101" max="4101" width="14.42578125" style="234" customWidth="1"/>
    <col min="4102" max="4102" width="14.7109375" style="234" customWidth="1"/>
    <col min="4103" max="4103" width="15.42578125" style="234" customWidth="1"/>
    <col min="4104" max="4104" width="15.5703125" style="234" customWidth="1"/>
    <col min="4105" max="4105" width="18.7109375" style="234" customWidth="1"/>
    <col min="4106" max="4106" width="15" style="234" customWidth="1"/>
    <col min="4107" max="4107" width="16.85546875" style="234" customWidth="1"/>
    <col min="4108" max="4109" width="11.42578125" style="234"/>
    <col min="4110" max="4110" width="14" style="234" customWidth="1"/>
    <col min="4111" max="4111" width="13.28515625" style="234" customWidth="1"/>
    <col min="4112" max="4352" width="11.42578125" style="234"/>
    <col min="4353" max="4353" width="3" style="234" customWidth="1"/>
    <col min="4354" max="4354" width="21.5703125" style="234" customWidth="1"/>
    <col min="4355" max="4355" width="22.7109375" style="234" customWidth="1"/>
    <col min="4356" max="4356" width="18.7109375" style="234" customWidth="1"/>
    <col min="4357" max="4357" width="14.42578125" style="234" customWidth="1"/>
    <col min="4358" max="4358" width="14.7109375" style="234" customWidth="1"/>
    <col min="4359" max="4359" width="15.42578125" style="234" customWidth="1"/>
    <col min="4360" max="4360" width="15.5703125" style="234" customWidth="1"/>
    <col min="4361" max="4361" width="18.7109375" style="234" customWidth="1"/>
    <col min="4362" max="4362" width="15" style="234" customWidth="1"/>
    <col min="4363" max="4363" width="16.85546875" style="234" customWidth="1"/>
    <col min="4364" max="4365" width="11.42578125" style="234"/>
    <col min="4366" max="4366" width="14" style="234" customWidth="1"/>
    <col min="4367" max="4367" width="13.28515625" style="234" customWidth="1"/>
    <col min="4368" max="4608" width="11.42578125" style="234"/>
    <col min="4609" max="4609" width="3" style="234" customWidth="1"/>
    <col min="4610" max="4610" width="21.5703125" style="234" customWidth="1"/>
    <col min="4611" max="4611" width="22.7109375" style="234" customWidth="1"/>
    <col min="4612" max="4612" width="18.7109375" style="234" customWidth="1"/>
    <col min="4613" max="4613" width="14.42578125" style="234" customWidth="1"/>
    <col min="4614" max="4614" width="14.7109375" style="234" customWidth="1"/>
    <col min="4615" max="4615" width="15.42578125" style="234" customWidth="1"/>
    <col min="4616" max="4616" width="15.5703125" style="234" customWidth="1"/>
    <col min="4617" max="4617" width="18.7109375" style="234" customWidth="1"/>
    <col min="4618" max="4618" width="15" style="234" customWidth="1"/>
    <col min="4619" max="4619" width="16.85546875" style="234" customWidth="1"/>
    <col min="4620" max="4621" width="11.42578125" style="234"/>
    <col min="4622" max="4622" width="14" style="234" customWidth="1"/>
    <col min="4623" max="4623" width="13.28515625" style="234" customWidth="1"/>
    <col min="4624" max="4864" width="11.42578125" style="234"/>
    <col min="4865" max="4865" width="3" style="234" customWidth="1"/>
    <col min="4866" max="4866" width="21.5703125" style="234" customWidth="1"/>
    <col min="4867" max="4867" width="22.7109375" style="234" customWidth="1"/>
    <col min="4868" max="4868" width="18.7109375" style="234" customWidth="1"/>
    <col min="4869" max="4869" width="14.42578125" style="234" customWidth="1"/>
    <col min="4870" max="4870" width="14.7109375" style="234" customWidth="1"/>
    <col min="4871" max="4871" width="15.42578125" style="234" customWidth="1"/>
    <col min="4872" max="4872" width="15.5703125" style="234" customWidth="1"/>
    <col min="4873" max="4873" width="18.7109375" style="234" customWidth="1"/>
    <col min="4874" max="4874" width="15" style="234" customWidth="1"/>
    <col min="4875" max="4875" width="16.85546875" style="234" customWidth="1"/>
    <col min="4876" max="4877" width="11.42578125" style="234"/>
    <col min="4878" max="4878" width="14" style="234" customWidth="1"/>
    <col min="4879" max="4879" width="13.28515625" style="234" customWidth="1"/>
    <col min="4880" max="5120" width="11.42578125" style="234"/>
    <col min="5121" max="5121" width="3" style="234" customWidth="1"/>
    <col min="5122" max="5122" width="21.5703125" style="234" customWidth="1"/>
    <col min="5123" max="5123" width="22.7109375" style="234" customWidth="1"/>
    <col min="5124" max="5124" width="18.7109375" style="234" customWidth="1"/>
    <col min="5125" max="5125" width="14.42578125" style="234" customWidth="1"/>
    <col min="5126" max="5126" width="14.7109375" style="234" customWidth="1"/>
    <col min="5127" max="5127" width="15.42578125" style="234" customWidth="1"/>
    <col min="5128" max="5128" width="15.5703125" style="234" customWidth="1"/>
    <col min="5129" max="5129" width="18.7109375" style="234" customWidth="1"/>
    <col min="5130" max="5130" width="15" style="234" customWidth="1"/>
    <col min="5131" max="5131" width="16.85546875" style="234" customWidth="1"/>
    <col min="5132" max="5133" width="11.42578125" style="234"/>
    <col min="5134" max="5134" width="14" style="234" customWidth="1"/>
    <col min="5135" max="5135" width="13.28515625" style="234" customWidth="1"/>
    <col min="5136" max="5376" width="11.42578125" style="234"/>
    <col min="5377" max="5377" width="3" style="234" customWidth="1"/>
    <col min="5378" max="5378" width="21.5703125" style="234" customWidth="1"/>
    <col min="5379" max="5379" width="22.7109375" style="234" customWidth="1"/>
    <col min="5380" max="5380" width="18.7109375" style="234" customWidth="1"/>
    <col min="5381" max="5381" width="14.42578125" style="234" customWidth="1"/>
    <col min="5382" max="5382" width="14.7109375" style="234" customWidth="1"/>
    <col min="5383" max="5383" width="15.42578125" style="234" customWidth="1"/>
    <col min="5384" max="5384" width="15.5703125" style="234" customWidth="1"/>
    <col min="5385" max="5385" width="18.7109375" style="234" customWidth="1"/>
    <col min="5386" max="5386" width="15" style="234" customWidth="1"/>
    <col min="5387" max="5387" width="16.85546875" style="234" customWidth="1"/>
    <col min="5388" max="5389" width="11.42578125" style="234"/>
    <col min="5390" max="5390" width="14" style="234" customWidth="1"/>
    <col min="5391" max="5391" width="13.28515625" style="234" customWidth="1"/>
    <col min="5392" max="5632" width="11.42578125" style="234"/>
    <col min="5633" max="5633" width="3" style="234" customWidth="1"/>
    <col min="5634" max="5634" width="21.5703125" style="234" customWidth="1"/>
    <col min="5635" max="5635" width="22.7109375" style="234" customWidth="1"/>
    <col min="5636" max="5636" width="18.7109375" style="234" customWidth="1"/>
    <col min="5637" max="5637" width="14.42578125" style="234" customWidth="1"/>
    <col min="5638" max="5638" width="14.7109375" style="234" customWidth="1"/>
    <col min="5639" max="5639" width="15.42578125" style="234" customWidth="1"/>
    <col min="5640" max="5640" width="15.5703125" style="234" customWidth="1"/>
    <col min="5641" max="5641" width="18.7109375" style="234" customWidth="1"/>
    <col min="5642" max="5642" width="15" style="234" customWidth="1"/>
    <col min="5643" max="5643" width="16.85546875" style="234" customWidth="1"/>
    <col min="5644" max="5645" width="11.42578125" style="234"/>
    <col min="5646" max="5646" width="14" style="234" customWidth="1"/>
    <col min="5647" max="5647" width="13.28515625" style="234" customWidth="1"/>
    <col min="5648" max="5888" width="11.42578125" style="234"/>
    <col min="5889" max="5889" width="3" style="234" customWidth="1"/>
    <col min="5890" max="5890" width="21.5703125" style="234" customWidth="1"/>
    <col min="5891" max="5891" width="22.7109375" style="234" customWidth="1"/>
    <col min="5892" max="5892" width="18.7109375" style="234" customWidth="1"/>
    <col min="5893" max="5893" width="14.42578125" style="234" customWidth="1"/>
    <col min="5894" max="5894" width="14.7109375" style="234" customWidth="1"/>
    <col min="5895" max="5895" width="15.42578125" style="234" customWidth="1"/>
    <col min="5896" max="5896" width="15.5703125" style="234" customWidth="1"/>
    <col min="5897" max="5897" width="18.7109375" style="234" customWidth="1"/>
    <col min="5898" max="5898" width="15" style="234" customWidth="1"/>
    <col min="5899" max="5899" width="16.85546875" style="234" customWidth="1"/>
    <col min="5900" max="5901" width="11.42578125" style="234"/>
    <col min="5902" max="5902" width="14" style="234" customWidth="1"/>
    <col min="5903" max="5903" width="13.28515625" style="234" customWidth="1"/>
    <col min="5904" max="6144" width="11.42578125" style="234"/>
    <col min="6145" max="6145" width="3" style="234" customWidth="1"/>
    <col min="6146" max="6146" width="21.5703125" style="234" customWidth="1"/>
    <col min="6147" max="6147" width="22.7109375" style="234" customWidth="1"/>
    <col min="6148" max="6148" width="18.7109375" style="234" customWidth="1"/>
    <col min="6149" max="6149" width="14.42578125" style="234" customWidth="1"/>
    <col min="6150" max="6150" width="14.7109375" style="234" customWidth="1"/>
    <col min="6151" max="6151" width="15.42578125" style="234" customWidth="1"/>
    <col min="6152" max="6152" width="15.5703125" style="234" customWidth="1"/>
    <col min="6153" max="6153" width="18.7109375" style="234" customWidth="1"/>
    <col min="6154" max="6154" width="15" style="234" customWidth="1"/>
    <col min="6155" max="6155" width="16.85546875" style="234" customWidth="1"/>
    <col min="6156" max="6157" width="11.42578125" style="234"/>
    <col min="6158" max="6158" width="14" style="234" customWidth="1"/>
    <col min="6159" max="6159" width="13.28515625" style="234" customWidth="1"/>
    <col min="6160" max="6400" width="11.42578125" style="234"/>
    <col min="6401" max="6401" width="3" style="234" customWidth="1"/>
    <col min="6402" max="6402" width="21.5703125" style="234" customWidth="1"/>
    <col min="6403" max="6403" width="22.7109375" style="234" customWidth="1"/>
    <col min="6404" max="6404" width="18.7109375" style="234" customWidth="1"/>
    <col min="6405" max="6405" width="14.42578125" style="234" customWidth="1"/>
    <col min="6406" max="6406" width="14.7109375" style="234" customWidth="1"/>
    <col min="6407" max="6407" width="15.42578125" style="234" customWidth="1"/>
    <col min="6408" max="6408" width="15.5703125" style="234" customWidth="1"/>
    <col min="6409" max="6409" width="18.7109375" style="234" customWidth="1"/>
    <col min="6410" max="6410" width="15" style="234" customWidth="1"/>
    <col min="6411" max="6411" width="16.85546875" style="234" customWidth="1"/>
    <col min="6412" max="6413" width="11.42578125" style="234"/>
    <col min="6414" max="6414" width="14" style="234" customWidth="1"/>
    <col min="6415" max="6415" width="13.28515625" style="234" customWidth="1"/>
    <col min="6416" max="6656" width="11.42578125" style="234"/>
    <col min="6657" max="6657" width="3" style="234" customWidth="1"/>
    <col min="6658" max="6658" width="21.5703125" style="234" customWidth="1"/>
    <col min="6659" max="6659" width="22.7109375" style="234" customWidth="1"/>
    <col min="6660" max="6660" width="18.7109375" style="234" customWidth="1"/>
    <col min="6661" max="6661" width="14.42578125" style="234" customWidth="1"/>
    <col min="6662" max="6662" width="14.7109375" style="234" customWidth="1"/>
    <col min="6663" max="6663" width="15.42578125" style="234" customWidth="1"/>
    <col min="6664" max="6664" width="15.5703125" style="234" customWidth="1"/>
    <col min="6665" max="6665" width="18.7109375" style="234" customWidth="1"/>
    <col min="6666" max="6666" width="15" style="234" customWidth="1"/>
    <col min="6667" max="6667" width="16.85546875" style="234" customWidth="1"/>
    <col min="6668" max="6669" width="11.42578125" style="234"/>
    <col min="6670" max="6670" width="14" style="234" customWidth="1"/>
    <col min="6671" max="6671" width="13.28515625" style="234" customWidth="1"/>
    <col min="6672" max="6912" width="11.42578125" style="234"/>
    <col min="6913" max="6913" width="3" style="234" customWidth="1"/>
    <col min="6914" max="6914" width="21.5703125" style="234" customWidth="1"/>
    <col min="6915" max="6915" width="22.7109375" style="234" customWidth="1"/>
    <col min="6916" max="6916" width="18.7109375" style="234" customWidth="1"/>
    <col min="6917" max="6917" width="14.42578125" style="234" customWidth="1"/>
    <col min="6918" max="6918" width="14.7109375" style="234" customWidth="1"/>
    <col min="6919" max="6919" width="15.42578125" style="234" customWidth="1"/>
    <col min="6920" max="6920" width="15.5703125" style="234" customWidth="1"/>
    <col min="6921" max="6921" width="18.7109375" style="234" customWidth="1"/>
    <col min="6922" max="6922" width="15" style="234" customWidth="1"/>
    <col min="6923" max="6923" width="16.85546875" style="234" customWidth="1"/>
    <col min="6924" max="6925" width="11.42578125" style="234"/>
    <col min="6926" max="6926" width="14" style="234" customWidth="1"/>
    <col min="6927" max="6927" width="13.28515625" style="234" customWidth="1"/>
    <col min="6928" max="7168" width="11.42578125" style="234"/>
    <col min="7169" max="7169" width="3" style="234" customWidth="1"/>
    <col min="7170" max="7170" width="21.5703125" style="234" customWidth="1"/>
    <col min="7171" max="7171" width="22.7109375" style="234" customWidth="1"/>
    <col min="7172" max="7172" width="18.7109375" style="234" customWidth="1"/>
    <col min="7173" max="7173" width="14.42578125" style="234" customWidth="1"/>
    <col min="7174" max="7174" width="14.7109375" style="234" customWidth="1"/>
    <col min="7175" max="7175" width="15.42578125" style="234" customWidth="1"/>
    <col min="7176" max="7176" width="15.5703125" style="234" customWidth="1"/>
    <col min="7177" max="7177" width="18.7109375" style="234" customWidth="1"/>
    <col min="7178" max="7178" width="15" style="234" customWidth="1"/>
    <col min="7179" max="7179" width="16.85546875" style="234" customWidth="1"/>
    <col min="7180" max="7181" width="11.42578125" style="234"/>
    <col min="7182" max="7182" width="14" style="234" customWidth="1"/>
    <col min="7183" max="7183" width="13.28515625" style="234" customWidth="1"/>
    <col min="7184" max="7424" width="11.42578125" style="234"/>
    <col min="7425" max="7425" width="3" style="234" customWidth="1"/>
    <col min="7426" max="7426" width="21.5703125" style="234" customWidth="1"/>
    <col min="7427" max="7427" width="22.7109375" style="234" customWidth="1"/>
    <col min="7428" max="7428" width="18.7109375" style="234" customWidth="1"/>
    <col min="7429" max="7429" width="14.42578125" style="234" customWidth="1"/>
    <col min="7430" max="7430" width="14.7109375" style="234" customWidth="1"/>
    <col min="7431" max="7431" width="15.42578125" style="234" customWidth="1"/>
    <col min="7432" max="7432" width="15.5703125" style="234" customWidth="1"/>
    <col min="7433" max="7433" width="18.7109375" style="234" customWidth="1"/>
    <col min="7434" max="7434" width="15" style="234" customWidth="1"/>
    <col min="7435" max="7435" width="16.85546875" style="234" customWidth="1"/>
    <col min="7436" max="7437" width="11.42578125" style="234"/>
    <col min="7438" max="7438" width="14" style="234" customWidth="1"/>
    <col min="7439" max="7439" width="13.28515625" style="234" customWidth="1"/>
    <col min="7440" max="7680" width="11.42578125" style="234"/>
    <col min="7681" max="7681" width="3" style="234" customWidth="1"/>
    <col min="7682" max="7682" width="21.5703125" style="234" customWidth="1"/>
    <col min="7683" max="7683" width="22.7109375" style="234" customWidth="1"/>
    <col min="7684" max="7684" width="18.7109375" style="234" customWidth="1"/>
    <col min="7685" max="7685" width="14.42578125" style="234" customWidth="1"/>
    <col min="7686" max="7686" width="14.7109375" style="234" customWidth="1"/>
    <col min="7687" max="7687" width="15.42578125" style="234" customWidth="1"/>
    <col min="7688" max="7688" width="15.5703125" style="234" customWidth="1"/>
    <col min="7689" max="7689" width="18.7109375" style="234" customWidth="1"/>
    <col min="7690" max="7690" width="15" style="234" customWidth="1"/>
    <col min="7691" max="7691" width="16.85546875" style="234" customWidth="1"/>
    <col min="7692" max="7693" width="11.42578125" style="234"/>
    <col min="7694" max="7694" width="14" style="234" customWidth="1"/>
    <col min="7695" max="7695" width="13.28515625" style="234" customWidth="1"/>
    <col min="7696" max="7936" width="11.42578125" style="234"/>
    <col min="7937" max="7937" width="3" style="234" customWidth="1"/>
    <col min="7938" max="7938" width="21.5703125" style="234" customWidth="1"/>
    <col min="7939" max="7939" width="22.7109375" style="234" customWidth="1"/>
    <col min="7940" max="7940" width="18.7109375" style="234" customWidth="1"/>
    <col min="7941" max="7941" width="14.42578125" style="234" customWidth="1"/>
    <col min="7942" max="7942" width="14.7109375" style="234" customWidth="1"/>
    <col min="7943" max="7943" width="15.42578125" style="234" customWidth="1"/>
    <col min="7944" max="7944" width="15.5703125" style="234" customWidth="1"/>
    <col min="7945" max="7945" width="18.7109375" style="234" customWidth="1"/>
    <col min="7946" max="7946" width="15" style="234" customWidth="1"/>
    <col min="7947" max="7947" width="16.85546875" style="234" customWidth="1"/>
    <col min="7948" max="7949" width="11.42578125" style="234"/>
    <col min="7950" max="7950" width="14" style="234" customWidth="1"/>
    <col min="7951" max="7951" width="13.28515625" style="234" customWidth="1"/>
    <col min="7952" max="8192" width="11.42578125" style="234"/>
    <col min="8193" max="8193" width="3" style="234" customWidth="1"/>
    <col min="8194" max="8194" width="21.5703125" style="234" customWidth="1"/>
    <col min="8195" max="8195" width="22.7109375" style="234" customWidth="1"/>
    <col min="8196" max="8196" width="18.7109375" style="234" customWidth="1"/>
    <col min="8197" max="8197" width="14.42578125" style="234" customWidth="1"/>
    <col min="8198" max="8198" width="14.7109375" style="234" customWidth="1"/>
    <col min="8199" max="8199" width="15.42578125" style="234" customWidth="1"/>
    <col min="8200" max="8200" width="15.5703125" style="234" customWidth="1"/>
    <col min="8201" max="8201" width="18.7109375" style="234" customWidth="1"/>
    <col min="8202" max="8202" width="15" style="234" customWidth="1"/>
    <col min="8203" max="8203" width="16.85546875" style="234" customWidth="1"/>
    <col min="8204" max="8205" width="11.42578125" style="234"/>
    <col min="8206" max="8206" width="14" style="234" customWidth="1"/>
    <col min="8207" max="8207" width="13.28515625" style="234" customWidth="1"/>
    <col min="8208" max="8448" width="11.42578125" style="234"/>
    <col min="8449" max="8449" width="3" style="234" customWidth="1"/>
    <col min="8450" max="8450" width="21.5703125" style="234" customWidth="1"/>
    <col min="8451" max="8451" width="22.7109375" style="234" customWidth="1"/>
    <col min="8452" max="8452" width="18.7109375" style="234" customWidth="1"/>
    <col min="8453" max="8453" width="14.42578125" style="234" customWidth="1"/>
    <col min="8454" max="8454" width="14.7109375" style="234" customWidth="1"/>
    <col min="8455" max="8455" width="15.42578125" style="234" customWidth="1"/>
    <col min="8456" max="8456" width="15.5703125" style="234" customWidth="1"/>
    <col min="8457" max="8457" width="18.7109375" style="234" customWidth="1"/>
    <col min="8458" max="8458" width="15" style="234" customWidth="1"/>
    <col min="8459" max="8459" width="16.85546875" style="234" customWidth="1"/>
    <col min="8460" max="8461" width="11.42578125" style="234"/>
    <col min="8462" max="8462" width="14" style="234" customWidth="1"/>
    <col min="8463" max="8463" width="13.28515625" style="234" customWidth="1"/>
    <col min="8464" max="8704" width="11.42578125" style="234"/>
    <col min="8705" max="8705" width="3" style="234" customWidth="1"/>
    <col min="8706" max="8706" width="21.5703125" style="234" customWidth="1"/>
    <col min="8707" max="8707" width="22.7109375" style="234" customWidth="1"/>
    <col min="8708" max="8708" width="18.7109375" style="234" customWidth="1"/>
    <col min="8709" max="8709" width="14.42578125" style="234" customWidth="1"/>
    <col min="8710" max="8710" width="14.7109375" style="234" customWidth="1"/>
    <col min="8711" max="8711" width="15.42578125" style="234" customWidth="1"/>
    <col min="8712" max="8712" width="15.5703125" style="234" customWidth="1"/>
    <col min="8713" max="8713" width="18.7109375" style="234" customWidth="1"/>
    <col min="8714" max="8714" width="15" style="234" customWidth="1"/>
    <col min="8715" max="8715" width="16.85546875" style="234" customWidth="1"/>
    <col min="8716" max="8717" width="11.42578125" style="234"/>
    <col min="8718" max="8718" width="14" style="234" customWidth="1"/>
    <col min="8719" max="8719" width="13.28515625" style="234" customWidth="1"/>
    <col min="8720" max="8960" width="11.42578125" style="234"/>
    <col min="8961" max="8961" width="3" style="234" customWidth="1"/>
    <col min="8962" max="8962" width="21.5703125" style="234" customWidth="1"/>
    <col min="8963" max="8963" width="22.7109375" style="234" customWidth="1"/>
    <col min="8964" max="8964" width="18.7109375" style="234" customWidth="1"/>
    <col min="8965" max="8965" width="14.42578125" style="234" customWidth="1"/>
    <col min="8966" max="8966" width="14.7109375" style="234" customWidth="1"/>
    <col min="8967" max="8967" width="15.42578125" style="234" customWidth="1"/>
    <col min="8968" max="8968" width="15.5703125" style="234" customWidth="1"/>
    <col min="8969" max="8969" width="18.7109375" style="234" customWidth="1"/>
    <col min="8970" max="8970" width="15" style="234" customWidth="1"/>
    <col min="8971" max="8971" width="16.85546875" style="234" customWidth="1"/>
    <col min="8972" max="8973" width="11.42578125" style="234"/>
    <col min="8974" max="8974" width="14" style="234" customWidth="1"/>
    <col min="8975" max="8975" width="13.28515625" style="234" customWidth="1"/>
    <col min="8976" max="9216" width="11.42578125" style="234"/>
    <col min="9217" max="9217" width="3" style="234" customWidth="1"/>
    <col min="9218" max="9218" width="21.5703125" style="234" customWidth="1"/>
    <col min="9219" max="9219" width="22.7109375" style="234" customWidth="1"/>
    <col min="9220" max="9220" width="18.7109375" style="234" customWidth="1"/>
    <col min="9221" max="9221" width="14.42578125" style="234" customWidth="1"/>
    <col min="9222" max="9222" width="14.7109375" style="234" customWidth="1"/>
    <col min="9223" max="9223" width="15.42578125" style="234" customWidth="1"/>
    <col min="9224" max="9224" width="15.5703125" style="234" customWidth="1"/>
    <col min="9225" max="9225" width="18.7109375" style="234" customWidth="1"/>
    <col min="9226" max="9226" width="15" style="234" customWidth="1"/>
    <col min="9227" max="9227" width="16.85546875" style="234" customWidth="1"/>
    <col min="9228" max="9229" width="11.42578125" style="234"/>
    <col min="9230" max="9230" width="14" style="234" customWidth="1"/>
    <col min="9231" max="9231" width="13.28515625" style="234" customWidth="1"/>
    <col min="9232" max="9472" width="11.42578125" style="234"/>
    <col min="9473" max="9473" width="3" style="234" customWidth="1"/>
    <col min="9474" max="9474" width="21.5703125" style="234" customWidth="1"/>
    <col min="9475" max="9475" width="22.7109375" style="234" customWidth="1"/>
    <col min="9476" max="9476" width="18.7109375" style="234" customWidth="1"/>
    <col min="9477" max="9477" width="14.42578125" style="234" customWidth="1"/>
    <col min="9478" max="9478" width="14.7109375" style="234" customWidth="1"/>
    <col min="9479" max="9479" width="15.42578125" style="234" customWidth="1"/>
    <col min="9480" max="9480" width="15.5703125" style="234" customWidth="1"/>
    <col min="9481" max="9481" width="18.7109375" style="234" customWidth="1"/>
    <col min="9482" max="9482" width="15" style="234" customWidth="1"/>
    <col min="9483" max="9483" width="16.85546875" style="234" customWidth="1"/>
    <col min="9484" max="9485" width="11.42578125" style="234"/>
    <col min="9486" max="9486" width="14" style="234" customWidth="1"/>
    <col min="9487" max="9487" width="13.28515625" style="234" customWidth="1"/>
    <col min="9488" max="9728" width="11.42578125" style="234"/>
    <col min="9729" max="9729" width="3" style="234" customWidth="1"/>
    <col min="9730" max="9730" width="21.5703125" style="234" customWidth="1"/>
    <col min="9731" max="9731" width="22.7109375" style="234" customWidth="1"/>
    <col min="9732" max="9732" width="18.7109375" style="234" customWidth="1"/>
    <col min="9733" max="9733" width="14.42578125" style="234" customWidth="1"/>
    <col min="9734" max="9734" width="14.7109375" style="234" customWidth="1"/>
    <col min="9735" max="9735" width="15.42578125" style="234" customWidth="1"/>
    <col min="9736" max="9736" width="15.5703125" style="234" customWidth="1"/>
    <col min="9737" max="9737" width="18.7109375" style="234" customWidth="1"/>
    <col min="9738" max="9738" width="15" style="234" customWidth="1"/>
    <col min="9739" max="9739" width="16.85546875" style="234" customWidth="1"/>
    <col min="9740" max="9741" width="11.42578125" style="234"/>
    <col min="9742" max="9742" width="14" style="234" customWidth="1"/>
    <col min="9743" max="9743" width="13.28515625" style="234" customWidth="1"/>
    <col min="9744" max="9984" width="11.42578125" style="234"/>
    <col min="9985" max="9985" width="3" style="234" customWidth="1"/>
    <col min="9986" max="9986" width="21.5703125" style="234" customWidth="1"/>
    <col min="9987" max="9987" width="22.7109375" style="234" customWidth="1"/>
    <col min="9988" max="9988" width="18.7109375" style="234" customWidth="1"/>
    <col min="9989" max="9989" width="14.42578125" style="234" customWidth="1"/>
    <col min="9990" max="9990" width="14.7109375" style="234" customWidth="1"/>
    <col min="9991" max="9991" width="15.42578125" style="234" customWidth="1"/>
    <col min="9992" max="9992" width="15.5703125" style="234" customWidth="1"/>
    <col min="9993" max="9993" width="18.7109375" style="234" customWidth="1"/>
    <col min="9994" max="9994" width="15" style="234" customWidth="1"/>
    <col min="9995" max="9995" width="16.85546875" style="234" customWidth="1"/>
    <col min="9996" max="9997" width="11.42578125" style="234"/>
    <col min="9998" max="9998" width="14" style="234" customWidth="1"/>
    <col min="9999" max="9999" width="13.28515625" style="234" customWidth="1"/>
    <col min="10000" max="10240" width="11.42578125" style="234"/>
    <col min="10241" max="10241" width="3" style="234" customWidth="1"/>
    <col min="10242" max="10242" width="21.5703125" style="234" customWidth="1"/>
    <col min="10243" max="10243" width="22.7109375" style="234" customWidth="1"/>
    <col min="10244" max="10244" width="18.7109375" style="234" customWidth="1"/>
    <col min="10245" max="10245" width="14.42578125" style="234" customWidth="1"/>
    <col min="10246" max="10246" width="14.7109375" style="234" customWidth="1"/>
    <col min="10247" max="10247" width="15.42578125" style="234" customWidth="1"/>
    <col min="10248" max="10248" width="15.5703125" style="234" customWidth="1"/>
    <col min="10249" max="10249" width="18.7109375" style="234" customWidth="1"/>
    <col min="10250" max="10250" width="15" style="234" customWidth="1"/>
    <col min="10251" max="10251" width="16.85546875" style="234" customWidth="1"/>
    <col min="10252" max="10253" width="11.42578125" style="234"/>
    <col min="10254" max="10254" width="14" style="234" customWidth="1"/>
    <col min="10255" max="10255" width="13.28515625" style="234" customWidth="1"/>
    <col min="10256" max="10496" width="11.42578125" style="234"/>
    <col min="10497" max="10497" width="3" style="234" customWidth="1"/>
    <col min="10498" max="10498" width="21.5703125" style="234" customWidth="1"/>
    <col min="10499" max="10499" width="22.7109375" style="234" customWidth="1"/>
    <col min="10500" max="10500" width="18.7109375" style="234" customWidth="1"/>
    <col min="10501" max="10501" width="14.42578125" style="234" customWidth="1"/>
    <col min="10502" max="10502" width="14.7109375" style="234" customWidth="1"/>
    <col min="10503" max="10503" width="15.42578125" style="234" customWidth="1"/>
    <col min="10504" max="10504" width="15.5703125" style="234" customWidth="1"/>
    <col min="10505" max="10505" width="18.7109375" style="234" customWidth="1"/>
    <col min="10506" max="10506" width="15" style="234" customWidth="1"/>
    <col min="10507" max="10507" width="16.85546875" style="234" customWidth="1"/>
    <col min="10508" max="10509" width="11.42578125" style="234"/>
    <col min="10510" max="10510" width="14" style="234" customWidth="1"/>
    <col min="10511" max="10511" width="13.28515625" style="234" customWidth="1"/>
    <col min="10512" max="10752" width="11.42578125" style="234"/>
    <col min="10753" max="10753" width="3" style="234" customWidth="1"/>
    <col min="10754" max="10754" width="21.5703125" style="234" customWidth="1"/>
    <col min="10755" max="10755" width="22.7109375" style="234" customWidth="1"/>
    <col min="10756" max="10756" width="18.7109375" style="234" customWidth="1"/>
    <col min="10757" max="10757" width="14.42578125" style="234" customWidth="1"/>
    <col min="10758" max="10758" width="14.7109375" style="234" customWidth="1"/>
    <col min="10759" max="10759" width="15.42578125" style="234" customWidth="1"/>
    <col min="10760" max="10760" width="15.5703125" style="234" customWidth="1"/>
    <col min="10761" max="10761" width="18.7109375" style="234" customWidth="1"/>
    <col min="10762" max="10762" width="15" style="234" customWidth="1"/>
    <col min="10763" max="10763" width="16.85546875" style="234" customWidth="1"/>
    <col min="10764" max="10765" width="11.42578125" style="234"/>
    <col min="10766" max="10766" width="14" style="234" customWidth="1"/>
    <col min="10767" max="10767" width="13.28515625" style="234" customWidth="1"/>
    <col min="10768" max="11008" width="11.42578125" style="234"/>
    <col min="11009" max="11009" width="3" style="234" customWidth="1"/>
    <col min="11010" max="11010" width="21.5703125" style="234" customWidth="1"/>
    <col min="11011" max="11011" width="22.7109375" style="234" customWidth="1"/>
    <col min="11012" max="11012" width="18.7109375" style="234" customWidth="1"/>
    <col min="11013" max="11013" width="14.42578125" style="234" customWidth="1"/>
    <col min="11014" max="11014" width="14.7109375" style="234" customWidth="1"/>
    <col min="11015" max="11015" width="15.42578125" style="234" customWidth="1"/>
    <col min="11016" max="11016" width="15.5703125" style="234" customWidth="1"/>
    <col min="11017" max="11017" width="18.7109375" style="234" customWidth="1"/>
    <col min="11018" max="11018" width="15" style="234" customWidth="1"/>
    <col min="11019" max="11019" width="16.85546875" style="234" customWidth="1"/>
    <col min="11020" max="11021" width="11.42578125" style="234"/>
    <col min="11022" max="11022" width="14" style="234" customWidth="1"/>
    <col min="11023" max="11023" width="13.28515625" style="234" customWidth="1"/>
    <col min="11024" max="11264" width="11.42578125" style="234"/>
    <col min="11265" max="11265" width="3" style="234" customWidth="1"/>
    <col min="11266" max="11266" width="21.5703125" style="234" customWidth="1"/>
    <col min="11267" max="11267" width="22.7109375" style="234" customWidth="1"/>
    <col min="11268" max="11268" width="18.7109375" style="234" customWidth="1"/>
    <col min="11269" max="11269" width="14.42578125" style="234" customWidth="1"/>
    <col min="11270" max="11270" width="14.7109375" style="234" customWidth="1"/>
    <col min="11271" max="11271" width="15.42578125" style="234" customWidth="1"/>
    <col min="11272" max="11272" width="15.5703125" style="234" customWidth="1"/>
    <col min="11273" max="11273" width="18.7109375" style="234" customWidth="1"/>
    <col min="11274" max="11274" width="15" style="234" customWidth="1"/>
    <col min="11275" max="11275" width="16.85546875" style="234" customWidth="1"/>
    <col min="11276" max="11277" width="11.42578125" style="234"/>
    <col min="11278" max="11278" width="14" style="234" customWidth="1"/>
    <col min="11279" max="11279" width="13.28515625" style="234" customWidth="1"/>
    <col min="11280" max="11520" width="11.42578125" style="234"/>
    <col min="11521" max="11521" width="3" style="234" customWidth="1"/>
    <col min="11522" max="11522" width="21.5703125" style="234" customWidth="1"/>
    <col min="11523" max="11523" width="22.7109375" style="234" customWidth="1"/>
    <col min="11524" max="11524" width="18.7109375" style="234" customWidth="1"/>
    <col min="11525" max="11525" width="14.42578125" style="234" customWidth="1"/>
    <col min="11526" max="11526" width="14.7109375" style="234" customWidth="1"/>
    <col min="11527" max="11527" width="15.42578125" style="234" customWidth="1"/>
    <col min="11528" max="11528" width="15.5703125" style="234" customWidth="1"/>
    <col min="11529" max="11529" width="18.7109375" style="234" customWidth="1"/>
    <col min="11530" max="11530" width="15" style="234" customWidth="1"/>
    <col min="11531" max="11531" width="16.85546875" style="234" customWidth="1"/>
    <col min="11532" max="11533" width="11.42578125" style="234"/>
    <col min="11534" max="11534" width="14" style="234" customWidth="1"/>
    <col min="11535" max="11535" width="13.28515625" style="234" customWidth="1"/>
    <col min="11536" max="11776" width="11.42578125" style="234"/>
    <col min="11777" max="11777" width="3" style="234" customWidth="1"/>
    <col min="11778" max="11778" width="21.5703125" style="234" customWidth="1"/>
    <col min="11779" max="11779" width="22.7109375" style="234" customWidth="1"/>
    <col min="11780" max="11780" width="18.7109375" style="234" customWidth="1"/>
    <col min="11781" max="11781" width="14.42578125" style="234" customWidth="1"/>
    <col min="11782" max="11782" width="14.7109375" style="234" customWidth="1"/>
    <col min="11783" max="11783" width="15.42578125" style="234" customWidth="1"/>
    <col min="11784" max="11784" width="15.5703125" style="234" customWidth="1"/>
    <col min="11785" max="11785" width="18.7109375" style="234" customWidth="1"/>
    <col min="11786" max="11786" width="15" style="234" customWidth="1"/>
    <col min="11787" max="11787" width="16.85546875" style="234" customWidth="1"/>
    <col min="11788" max="11789" width="11.42578125" style="234"/>
    <col min="11790" max="11790" width="14" style="234" customWidth="1"/>
    <col min="11791" max="11791" width="13.28515625" style="234" customWidth="1"/>
    <col min="11792" max="12032" width="11.42578125" style="234"/>
    <col min="12033" max="12033" width="3" style="234" customWidth="1"/>
    <col min="12034" max="12034" width="21.5703125" style="234" customWidth="1"/>
    <col min="12035" max="12035" width="22.7109375" style="234" customWidth="1"/>
    <col min="12036" max="12036" width="18.7109375" style="234" customWidth="1"/>
    <col min="12037" max="12037" width="14.42578125" style="234" customWidth="1"/>
    <col min="12038" max="12038" width="14.7109375" style="234" customWidth="1"/>
    <col min="12039" max="12039" width="15.42578125" style="234" customWidth="1"/>
    <col min="12040" max="12040" width="15.5703125" style="234" customWidth="1"/>
    <col min="12041" max="12041" width="18.7109375" style="234" customWidth="1"/>
    <col min="12042" max="12042" width="15" style="234" customWidth="1"/>
    <col min="12043" max="12043" width="16.85546875" style="234" customWidth="1"/>
    <col min="12044" max="12045" width="11.42578125" style="234"/>
    <col min="12046" max="12046" width="14" style="234" customWidth="1"/>
    <col min="12047" max="12047" width="13.28515625" style="234" customWidth="1"/>
    <col min="12048" max="12288" width="11.42578125" style="234"/>
    <col min="12289" max="12289" width="3" style="234" customWidth="1"/>
    <col min="12290" max="12290" width="21.5703125" style="234" customWidth="1"/>
    <col min="12291" max="12291" width="22.7109375" style="234" customWidth="1"/>
    <col min="12292" max="12292" width="18.7109375" style="234" customWidth="1"/>
    <col min="12293" max="12293" width="14.42578125" style="234" customWidth="1"/>
    <col min="12294" max="12294" width="14.7109375" style="234" customWidth="1"/>
    <col min="12295" max="12295" width="15.42578125" style="234" customWidth="1"/>
    <col min="12296" max="12296" width="15.5703125" style="234" customWidth="1"/>
    <col min="12297" max="12297" width="18.7109375" style="234" customWidth="1"/>
    <col min="12298" max="12298" width="15" style="234" customWidth="1"/>
    <col min="12299" max="12299" width="16.85546875" style="234" customWidth="1"/>
    <col min="12300" max="12301" width="11.42578125" style="234"/>
    <col min="12302" max="12302" width="14" style="234" customWidth="1"/>
    <col min="12303" max="12303" width="13.28515625" style="234" customWidth="1"/>
    <col min="12304" max="12544" width="11.42578125" style="234"/>
    <col min="12545" max="12545" width="3" style="234" customWidth="1"/>
    <col min="12546" max="12546" width="21.5703125" style="234" customWidth="1"/>
    <col min="12547" max="12547" width="22.7109375" style="234" customWidth="1"/>
    <col min="12548" max="12548" width="18.7109375" style="234" customWidth="1"/>
    <col min="12549" max="12549" width="14.42578125" style="234" customWidth="1"/>
    <col min="12550" max="12550" width="14.7109375" style="234" customWidth="1"/>
    <col min="12551" max="12551" width="15.42578125" style="234" customWidth="1"/>
    <col min="12552" max="12552" width="15.5703125" style="234" customWidth="1"/>
    <col min="12553" max="12553" width="18.7109375" style="234" customWidth="1"/>
    <col min="12554" max="12554" width="15" style="234" customWidth="1"/>
    <col min="12555" max="12555" width="16.85546875" style="234" customWidth="1"/>
    <col min="12556" max="12557" width="11.42578125" style="234"/>
    <col min="12558" max="12558" width="14" style="234" customWidth="1"/>
    <col min="12559" max="12559" width="13.28515625" style="234" customWidth="1"/>
    <col min="12560" max="12800" width="11.42578125" style="234"/>
    <col min="12801" max="12801" width="3" style="234" customWidth="1"/>
    <col min="12802" max="12802" width="21.5703125" style="234" customWidth="1"/>
    <col min="12803" max="12803" width="22.7109375" style="234" customWidth="1"/>
    <col min="12804" max="12804" width="18.7109375" style="234" customWidth="1"/>
    <col min="12805" max="12805" width="14.42578125" style="234" customWidth="1"/>
    <col min="12806" max="12806" width="14.7109375" style="234" customWidth="1"/>
    <col min="12807" max="12807" width="15.42578125" style="234" customWidth="1"/>
    <col min="12808" max="12808" width="15.5703125" style="234" customWidth="1"/>
    <col min="12809" max="12809" width="18.7109375" style="234" customWidth="1"/>
    <col min="12810" max="12810" width="15" style="234" customWidth="1"/>
    <col min="12811" max="12811" width="16.85546875" style="234" customWidth="1"/>
    <col min="12812" max="12813" width="11.42578125" style="234"/>
    <col min="12814" max="12814" width="14" style="234" customWidth="1"/>
    <col min="12815" max="12815" width="13.28515625" style="234" customWidth="1"/>
    <col min="12816" max="13056" width="11.42578125" style="234"/>
    <col min="13057" max="13057" width="3" style="234" customWidth="1"/>
    <col min="13058" max="13058" width="21.5703125" style="234" customWidth="1"/>
    <col min="13059" max="13059" width="22.7109375" style="234" customWidth="1"/>
    <col min="13060" max="13060" width="18.7109375" style="234" customWidth="1"/>
    <col min="13061" max="13061" width="14.42578125" style="234" customWidth="1"/>
    <col min="13062" max="13062" width="14.7109375" style="234" customWidth="1"/>
    <col min="13063" max="13063" width="15.42578125" style="234" customWidth="1"/>
    <col min="13064" max="13064" width="15.5703125" style="234" customWidth="1"/>
    <col min="13065" max="13065" width="18.7109375" style="234" customWidth="1"/>
    <col min="13066" max="13066" width="15" style="234" customWidth="1"/>
    <col min="13067" max="13067" width="16.85546875" style="234" customWidth="1"/>
    <col min="13068" max="13069" width="11.42578125" style="234"/>
    <col min="13070" max="13070" width="14" style="234" customWidth="1"/>
    <col min="13071" max="13071" width="13.28515625" style="234" customWidth="1"/>
    <col min="13072" max="13312" width="11.42578125" style="234"/>
    <col min="13313" max="13313" width="3" style="234" customWidth="1"/>
    <col min="13314" max="13314" width="21.5703125" style="234" customWidth="1"/>
    <col min="13315" max="13315" width="22.7109375" style="234" customWidth="1"/>
    <col min="13316" max="13316" width="18.7109375" style="234" customWidth="1"/>
    <col min="13317" max="13317" width="14.42578125" style="234" customWidth="1"/>
    <col min="13318" max="13318" width="14.7109375" style="234" customWidth="1"/>
    <col min="13319" max="13319" width="15.42578125" style="234" customWidth="1"/>
    <col min="13320" max="13320" width="15.5703125" style="234" customWidth="1"/>
    <col min="13321" max="13321" width="18.7109375" style="234" customWidth="1"/>
    <col min="13322" max="13322" width="15" style="234" customWidth="1"/>
    <col min="13323" max="13323" width="16.85546875" style="234" customWidth="1"/>
    <col min="13324" max="13325" width="11.42578125" style="234"/>
    <col min="13326" max="13326" width="14" style="234" customWidth="1"/>
    <col min="13327" max="13327" width="13.28515625" style="234" customWidth="1"/>
    <col min="13328" max="13568" width="11.42578125" style="234"/>
    <col min="13569" max="13569" width="3" style="234" customWidth="1"/>
    <col min="13570" max="13570" width="21.5703125" style="234" customWidth="1"/>
    <col min="13571" max="13571" width="22.7109375" style="234" customWidth="1"/>
    <col min="13572" max="13572" width="18.7109375" style="234" customWidth="1"/>
    <col min="13573" max="13573" width="14.42578125" style="234" customWidth="1"/>
    <col min="13574" max="13574" width="14.7109375" style="234" customWidth="1"/>
    <col min="13575" max="13575" width="15.42578125" style="234" customWidth="1"/>
    <col min="13576" max="13576" width="15.5703125" style="234" customWidth="1"/>
    <col min="13577" max="13577" width="18.7109375" style="234" customWidth="1"/>
    <col min="13578" max="13578" width="15" style="234" customWidth="1"/>
    <col min="13579" max="13579" width="16.85546875" style="234" customWidth="1"/>
    <col min="13580" max="13581" width="11.42578125" style="234"/>
    <col min="13582" max="13582" width="14" style="234" customWidth="1"/>
    <col min="13583" max="13583" width="13.28515625" style="234" customWidth="1"/>
    <col min="13584" max="13824" width="11.42578125" style="234"/>
    <col min="13825" max="13825" width="3" style="234" customWidth="1"/>
    <col min="13826" max="13826" width="21.5703125" style="234" customWidth="1"/>
    <col min="13827" max="13827" width="22.7109375" style="234" customWidth="1"/>
    <col min="13828" max="13828" width="18.7109375" style="234" customWidth="1"/>
    <col min="13829" max="13829" width="14.42578125" style="234" customWidth="1"/>
    <col min="13830" max="13830" width="14.7109375" style="234" customWidth="1"/>
    <col min="13831" max="13831" width="15.42578125" style="234" customWidth="1"/>
    <col min="13832" max="13832" width="15.5703125" style="234" customWidth="1"/>
    <col min="13833" max="13833" width="18.7109375" style="234" customWidth="1"/>
    <col min="13834" max="13834" width="15" style="234" customWidth="1"/>
    <col min="13835" max="13835" width="16.85546875" style="234" customWidth="1"/>
    <col min="13836" max="13837" width="11.42578125" style="234"/>
    <col min="13838" max="13838" width="14" style="234" customWidth="1"/>
    <col min="13839" max="13839" width="13.28515625" style="234" customWidth="1"/>
    <col min="13840" max="14080" width="11.42578125" style="234"/>
    <col min="14081" max="14081" width="3" style="234" customWidth="1"/>
    <col min="14082" max="14082" width="21.5703125" style="234" customWidth="1"/>
    <col min="14083" max="14083" width="22.7109375" style="234" customWidth="1"/>
    <col min="14084" max="14084" width="18.7109375" style="234" customWidth="1"/>
    <col min="14085" max="14085" width="14.42578125" style="234" customWidth="1"/>
    <col min="14086" max="14086" width="14.7109375" style="234" customWidth="1"/>
    <col min="14087" max="14087" width="15.42578125" style="234" customWidth="1"/>
    <col min="14088" max="14088" width="15.5703125" style="234" customWidth="1"/>
    <col min="14089" max="14089" width="18.7109375" style="234" customWidth="1"/>
    <col min="14090" max="14090" width="15" style="234" customWidth="1"/>
    <col min="14091" max="14091" width="16.85546875" style="234" customWidth="1"/>
    <col min="14092" max="14093" width="11.42578125" style="234"/>
    <col min="14094" max="14094" width="14" style="234" customWidth="1"/>
    <col min="14095" max="14095" width="13.28515625" style="234" customWidth="1"/>
    <col min="14096" max="14336" width="11.42578125" style="234"/>
    <col min="14337" max="14337" width="3" style="234" customWidth="1"/>
    <col min="14338" max="14338" width="21.5703125" style="234" customWidth="1"/>
    <col min="14339" max="14339" width="22.7109375" style="234" customWidth="1"/>
    <col min="14340" max="14340" width="18.7109375" style="234" customWidth="1"/>
    <col min="14341" max="14341" width="14.42578125" style="234" customWidth="1"/>
    <col min="14342" max="14342" width="14.7109375" style="234" customWidth="1"/>
    <col min="14343" max="14343" width="15.42578125" style="234" customWidth="1"/>
    <col min="14344" max="14344" width="15.5703125" style="234" customWidth="1"/>
    <col min="14345" max="14345" width="18.7109375" style="234" customWidth="1"/>
    <col min="14346" max="14346" width="15" style="234" customWidth="1"/>
    <col min="14347" max="14347" width="16.85546875" style="234" customWidth="1"/>
    <col min="14348" max="14349" width="11.42578125" style="234"/>
    <col min="14350" max="14350" width="14" style="234" customWidth="1"/>
    <col min="14351" max="14351" width="13.28515625" style="234" customWidth="1"/>
    <col min="14352" max="14592" width="11.42578125" style="234"/>
    <col min="14593" max="14593" width="3" style="234" customWidth="1"/>
    <col min="14594" max="14594" width="21.5703125" style="234" customWidth="1"/>
    <col min="14595" max="14595" width="22.7109375" style="234" customWidth="1"/>
    <col min="14596" max="14596" width="18.7109375" style="234" customWidth="1"/>
    <col min="14597" max="14597" width="14.42578125" style="234" customWidth="1"/>
    <col min="14598" max="14598" width="14.7109375" style="234" customWidth="1"/>
    <col min="14599" max="14599" width="15.42578125" style="234" customWidth="1"/>
    <col min="14600" max="14600" width="15.5703125" style="234" customWidth="1"/>
    <col min="14601" max="14601" width="18.7109375" style="234" customWidth="1"/>
    <col min="14602" max="14602" width="15" style="234" customWidth="1"/>
    <col min="14603" max="14603" width="16.85546875" style="234" customWidth="1"/>
    <col min="14604" max="14605" width="11.42578125" style="234"/>
    <col min="14606" max="14606" width="14" style="234" customWidth="1"/>
    <col min="14607" max="14607" width="13.28515625" style="234" customWidth="1"/>
    <col min="14608" max="14848" width="11.42578125" style="234"/>
    <col min="14849" max="14849" width="3" style="234" customWidth="1"/>
    <col min="14850" max="14850" width="21.5703125" style="234" customWidth="1"/>
    <col min="14851" max="14851" width="22.7109375" style="234" customWidth="1"/>
    <col min="14852" max="14852" width="18.7109375" style="234" customWidth="1"/>
    <col min="14853" max="14853" width="14.42578125" style="234" customWidth="1"/>
    <col min="14854" max="14854" width="14.7109375" style="234" customWidth="1"/>
    <col min="14855" max="14855" width="15.42578125" style="234" customWidth="1"/>
    <col min="14856" max="14856" width="15.5703125" style="234" customWidth="1"/>
    <col min="14857" max="14857" width="18.7109375" style="234" customWidth="1"/>
    <col min="14858" max="14858" width="15" style="234" customWidth="1"/>
    <col min="14859" max="14859" width="16.85546875" style="234" customWidth="1"/>
    <col min="14860" max="14861" width="11.42578125" style="234"/>
    <col min="14862" max="14862" width="14" style="234" customWidth="1"/>
    <col min="14863" max="14863" width="13.28515625" style="234" customWidth="1"/>
    <col min="14864" max="15104" width="11.42578125" style="234"/>
    <col min="15105" max="15105" width="3" style="234" customWidth="1"/>
    <col min="15106" max="15106" width="21.5703125" style="234" customWidth="1"/>
    <col min="15107" max="15107" width="22.7109375" style="234" customWidth="1"/>
    <col min="15108" max="15108" width="18.7109375" style="234" customWidth="1"/>
    <col min="15109" max="15109" width="14.42578125" style="234" customWidth="1"/>
    <col min="15110" max="15110" width="14.7109375" style="234" customWidth="1"/>
    <col min="15111" max="15111" width="15.42578125" style="234" customWidth="1"/>
    <col min="15112" max="15112" width="15.5703125" style="234" customWidth="1"/>
    <col min="15113" max="15113" width="18.7109375" style="234" customWidth="1"/>
    <col min="15114" max="15114" width="15" style="234" customWidth="1"/>
    <col min="15115" max="15115" width="16.85546875" style="234" customWidth="1"/>
    <col min="15116" max="15117" width="11.42578125" style="234"/>
    <col min="15118" max="15118" width="14" style="234" customWidth="1"/>
    <col min="15119" max="15119" width="13.28515625" style="234" customWidth="1"/>
    <col min="15120" max="15360" width="11.42578125" style="234"/>
    <col min="15361" max="15361" width="3" style="234" customWidth="1"/>
    <col min="15362" max="15362" width="21.5703125" style="234" customWidth="1"/>
    <col min="15363" max="15363" width="22.7109375" style="234" customWidth="1"/>
    <col min="15364" max="15364" width="18.7109375" style="234" customWidth="1"/>
    <col min="15365" max="15365" width="14.42578125" style="234" customWidth="1"/>
    <col min="15366" max="15366" width="14.7109375" style="234" customWidth="1"/>
    <col min="15367" max="15367" width="15.42578125" style="234" customWidth="1"/>
    <col min="15368" max="15368" width="15.5703125" style="234" customWidth="1"/>
    <col min="15369" max="15369" width="18.7109375" style="234" customWidth="1"/>
    <col min="15370" max="15370" width="15" style="234" customWidth="1"/>
    <col min="15371" max="15371" width="16.85546875" style="234" customWidth="1"/>
    <col min="15372" max="15373" width="11.42578125" style="234"/>
    <col min="15374" max="15374" width="14" style="234" customWidth="1"/>
    <col min="15375" max="15375" width="13.28515625" style="234" customWidth="1"/>
    <col min="15376" max="15616" width="11.42578125" style="234"/>
    <col min="15617" max="15617" width="3" style="234" customWidth="1"/>
    <col min="15618" max="15618" width="21.5703125" style="234" customWidth="1"/>
    <col min="15619" max="15619" width="22.7109375" style="234" customWidth="1"/>
    <col min="15620" max="15620" width="18.7109375" style="234" customWidth="1"/>
    <col min="15621" max="15621" width="14.42578125" style="234" customWidth="1"/>
    <col min="15622" max="15622" width="14.7109375" style="234" customWidth="1"/>
    <col min="15623" max="15623" width="15.42578125" style="234" customWidth="1"/>
    <col min="15624" max="15624" width="15.5703125" style="234" customWidth="1"/>
    <col min="15625" max="15625" width="18.7109375" style="234" customWidth="1"/>
    <col min="15626" max="15626" width="15" style="234" customWidth="1"/>
    <col min="15627" max="15627" width="16.85546875" style="234" customWidth="1"/>
    <col min="15628" max="15629" width="11.42578125" style="234"/>
    <col min="15630" max="15630" width="14" style="234" customWidth="1"/>
    <col min="15631" max="15631" width="13.28515625" style="234" customWidth="1"/>
    <col min="15632" max="15872" width="11.42578125" style="234"/>
    <col min="15873" max="15873" width="3" style="234" customWidth="1"/>
    <col min="15874" max="15874" width="21.5703125" style="234" customWidth="1"/>
    <col min="15875" max="15875" width="22.7109375" style="234" customWidth="1"/>
    <col min="15876" max="15876" width="18.7109375" style="234" customWidth="1"/>
    <col min="15877" max="15877" width="14.42578125" style="234" customWidth="1"/>
    <col min="15878" max="15878" width="14.7109375" style="234" customWidth="1"/>
    <col min="15879" max="15879" width="15.42578125" style="234" customWidth="1"/>
    <col min="15880" max="15880" width="15.5703125" style="234" customWidth="1"/>
    <col min="15881" max="15881" width="18.7109375" style="234" customWidth="1"/>
    <col min="15882" max="15882" width="15" style="234" customWidth="1"/>
    <col min="15883" max="15883" width="16.85546875" style="234" customWidth="1"/>
    <col min="15884" max="15885" width="11.42578125" style="234"/>
    <col min="15886" max="15886" width="14" style="234" customWidth="1"/>
    <col min="15887" max="15887" width="13.28515625" style="234" customWidth="1"/>
    <col min="15888" max="16128" width="11.42578125" style="234"/>
    <col min="16129" max="16129" width="3" style="234" customWidth="1"/>
    <col min="16130" max="16130" width="21.5703125" style="234" customWidth="1"/>
    <col min="16131" max="16131" width="22.7109375" style="234" customWidth="1"/>
    <col min="16132" max="16132" width="18.7109375" style="234" customWidth="1"/>
    <col min="16133" max="16133" width="14.42578125" style="234" customWidth="1"/>
    <col min="16134" max="16134" width="14.7109375" style="234" customWidth="1"/>
    <col min="16135" max="16135" width="15.42578125" style="234" customWidth="1"/>
    <col min="16136" max="16136" width="15.5703125" style="234" customWidth="1"/>
    <col min="16137" max="16137" width="18.7109375" style="234" customWidth="1"/>
    <col min="16138" max="16138" width="15" style="234" customWidth="1"/>
    <col min="16139" max="16139" width="16.85546875" style="234" customWidth="1"/>
    <col min="16140" max="16141" width="11.42578125" style="234"/>
    <col min="16142" max="16142" width="14" style="234" customWidth="1"/>
    <col min="16143" max="16143" width="13.28515625" style="234" customWidth="1"/>
    <col min="16144" max="16384" width="11.42578125" style="234"/>
  </cols>
  <sheetData>
    <row r="1" spans="1:9" ht="12.75">
      <c r="A1" s="814"/>
      <c r="B1" s="1201" t="s">
        <v>538</v>
      </c>
      <c r="C1" s="1945" t="s">
        <v>849</v>
      </c>
      <c r="D1" s="814"/>
      <c r="E1" s="814"/>
      <c r="F1" s="979"/>
      <c r="G1" s="1059"/>
      <c r="H1" s="814"/>
      <c r="I1" s="814"/>
    </row>
    <row r="2" spans="1:9" ht="12.75">
      <c r="A2" s="814"/>
      <c r="B2" s="726" t="s">
        <v>67</v>
      </c>
      <c r="C2" s="812">
        <v>3437000</v>
      </c>
      <c r="D2" s="814"/>
      <c r="E2" s="814"/>
      <c r="F2" s="979"/>
      <c r="G2" s="1059"/>
      <c r="H2" s="814"/>
      <c r="I2" s="814"/>
    </row>
    <row r="3" spans="1:9" ht="25.5" customHeight="1">
      <c r="A3" s="814"/>
      <c r="B3" s="924" t="s">
        <v>850</v>
      </c>
      <c r="C3" s="1060" t="s">
        <v>851</v>
      </c>
      <c r="D3" s="814"/>
      <c r="E3" s="814"/>
      <c r="F3" s="979"/>
      <c r="G3" s="1059"/>
      <c r="H3" s="814"/>
      <c r="I3" s="814"/>
    </row>
    <row r="4" spans="1:9" ht="12.75">
      <c r="A4" s="814"/>
      <c r="B4" s="726" t="s">
        <v>124</v>
      </c>
      <c r="C4" s="1061" t="s">
        <v>852</v>
      </c>
      <c r="D4" s="814"/>
      <c r="E4" s="814"/>
      <c r="F4" s="979"/>
      <c r="G4" s="1059"/>
      <c r="H4" s="814"/>
      <c r="I4" s="814"/>
    </row>
    <row r="5" spans="1:9" ht="12.75">
      <c r="A5" s="814"/>
      <c r="B5" s="726" t="s">
        <v>541</v>
      </c>
      <c r="C5" s="800">
        <v>35882</v>
      </c>
      <c r="D5" s="814"/>
      <c r="E5" s="814"/>
      <c r="F5" s="979"/>
      <c r="G5" s="1059"/>
      <c r="H5" s="814"/>
      <c r="I5" s="814"/>
    </row>
    <row r="6" spans="1:9" ht="12.75">
      <c r="A6" s="814"/>
      <c r="B6" s="726" t="s">
        <v>40</v>
      </c>
      <c r="C6" s="800">
        <v>36890</v>
      </c>
      <c r="D6" s="814"/>
      <c r="E6" s="814"/>
      <c r="F6" s="979"/>
      <c r="G6" s="1059"/>
      <c r="H6" s="814"/>
      <c r="I6" s="814"/>
    </row>
    <row r="7" spans="1:9" ht="12.75">
      <c r="A7" s="814"/>
      <c r="B7" s="726" t="s">
        <v>677</v>
      </c>
      <c r="C7" s="1420" t="s">
        <v>853</v>
      </c>
      <c r="D7" s="814"/>
      <c r="E7" s="814"/>
      <c r="F7" s="979"/>
      <c r="G7" s="1059"/>
      <c r="H7" s="814"/>
      <c r="I7" s="814"/>
    </row>
    <row r="8" spans="1:9" ht="12.75">
      <c r="A8" s="814"/>
      <c r="B8" s="726" t="s">
        <v>4</v>
      </c>
      <c r="C8" s="800">
        <v>41873</v>
      </c>
      <c r="D8" s="814"/>
      <c r="E8" s="814"/>
      <c r="F8" s="979"/>
      <c r="G8" s="1059"/>
      <c r="H8" s="814"/>
      <c r="I8" s="814"/>
    </row>
    <row r="9" spans="1:9" ht="12.75">
      <c r="A9" s="814"/>
      <c r="B9" s="726" t="s">
        <v>290</v>
      </c>
      <c r="C9" s="800">
        <v>42443</v>
      </c>
      <c r="D9" s="814"/>
      <c r="E9" s="814"/>
      <c r="F9" s="979"/>
      <c r="G9" s="1059"/>
      <c r="H9" s="814"/>
      <c r="I9" s="814"/>
    </row>
    <row r="10" spans="1:9" ht="12.75">
      <c r="A10" s="814"/>
      <c r="B10" s="1113" t="s">
        <v>675</v>
      </c>
      <c r="C10" s="1946" t="s">
        <v>854</v>
      </c>
      <c r="D10" s="814"/>
      <c r="E10" s="1063"/>
      <c r="F10" s="979"/>
      <c r="G10" s="1059"/>
      <c r="H10" s="814"/>
      <c r="I10" s="814"/>
    </row>
    <row r="11" spans="1:9" ht="12.75">
      <c r="A11" s="814"/>
      <c r="B11" s="741">
        <v>1998</v>
      </c>
      <c r="C11" s="812">
        <v>246179</v>
      </c>
      <c r="D11" s="1063"/>
      <c r="E11" s="1063"/>
      <c r="F11" s="979"/>
      <c r="G11" s="1059"/>
      <c r="H11" s="814"/>
      <c r="I11" s="814"/>
    </row>
    <row r="12" spans="1:9" ht="12.75">
      <c r="A12" s="814"/>
      <c r="B12" s="741">
        <v>1999</v>
      </c>
      <c r="C12" s="812">
        <v>303253</v>
      </c>
      <c r="D12" s="1063"/>
      <c r="E12" s="1063"/>
      <c r="F12" s="979"/>
      <c r="G12" s="1059"/>
      <c r="H12" s="814"/>
      <c r="I12" s="814"/>
    </row>
    <row r="13" spans="1:9" ht="12.75">
      <c r="A13" s="814"/>
      <c r="B13" s="741">
        <v>2000</v>
      </c>
      <c r="C13" s="812">
        <v>305753</v>
      </c>
      <c r="D13" s="1063"/>
      <c r="E13" s="1063"/>
      <c r="F13" s="979"/>
      <c r="G13" s="1059"/>
      <c r="H13" s="814"/>
      <c r="I13" s="814"/>
    </row>
    <row r="14" spans="1:9" ht="12.75">
      <c r="A14" s="814"/>
      <c r="B14" s="923" t="s">
        <v>855</v>
      </c>
      <c r="C14" s="923" t="s">
        <v>10</v>
      </c>
      <c r="D14" s="970" t="s">
        <v>856</v>
      </c>
      <c r="E14" s="814"/>
      <c r="F14" s="979"/>
      <c r="G14" s="1059"/>
      <c r="H14" s="814"/>
      <c r="I14" s="814"/>
    </row>
    <row r="15" spans="1:9" ht="12.75">
      <c r="A15" s="814"/>
      <c r="B15" s="1064">
        <v>35883</v>
      </c>
      <c r="C15" s="1065">
        <v>36160</v>
      </c>
      <c r="D15" s="741">
        <v>272</v>
      </c>
      <c r="E15" s="814"/>
      <c r="F15" s="814"/>
      <c r="G15" s="1059"/>
      <c r="H15" s="1947"/>
      <c r="I15" s="814"/>
    </row>
    <row r="16" spans="1:9" ht="12.75">
      <c r="A16" s="814"/>
      <c r="B16" s="1064">
        <v>36161</v>
      </c>
      <c r="C16" s="1065">
        <v>36525</v>
      </c>
      <c r="D16" s="741">
        <v>360</v>
      </c>
      <c r="E16" s="814"/>
      <c r="F16" s="979"/>
      <c r="G16" s="1059"/>
      <c r="H16" s="1947"/>
      <c r="I16" s="1948"/>
    </row>
    <row r="17" spans="1:10" ht="12.75">
      <c r="A17" s="814"/>
      <c r="B17" s="1064">
        <v>36526</v>
      </c>
      <c r="C17" s="1064">
        <v>36891</v>
      </c>
      <c r="D17" s="741">
        <v>360</v>
      </c>
      <c r="E17" s="814"/>
      <c r="F17" s="979"/>
      <c r="G17" s="1059"/>
      <c r="H17" s="814"/>
      <c r="I17" s="814"/>
    </row>
    <row r="18" spans="1:10" s="1431" customFormat="1" ht="30.75" customHeight="1">
      <c r="A18" s="1428"/>
      <c r="B18" s="923" t="s">
        <v>857</v>
      </c>
      <c r="C18" s="1949" t="s">
        <v>858</v>
      </c>
      <c r="D18" s="1950" t="s">
        <v>857</v>
      </c>
      <c r="E18" s="1949" t="s">
        <v>859</v>
      </c>
      <c r="F18" s="1950" t="s">
        <v>860</v>
      </c>
      <c r="G18" s="1949" t="s">
        <v>861</v>
      </c>
      <c r="H18" s="1950" t="s">
        <v>862</v>
      </c>
      <c r="I18" s="1428"/>
    </row>
    <row r="19" spans="1:10" ht="12.75">
      <c r="A19" s="814"/>
      <c r="B19" s="741" t="s">
        <v>863</v>
      </c>
      <c r="C19" s="1061">
        <f>+C11*0.5</f>
        <v>123089.5</v>
      </c>
      <c r="D19" s="1061">
        <f>+C19/12</f>
        <v>10257.458333333334</v>
      </c>
      <c r="E19" s="1061">
        <f>+C12*0.5</f>
        <v>151626.5</v>
      </c>
      <c r="F19" s="1061">
        <f>+E19/12</f>
        <v>12635.541666666666</v>
      </c>
      <c r="G19" s="1066">
        <f>+C13*0.5</f>
        <v>152876.5</v>
      </c>
      <c r="H19" s="1061">
        <f>+G19/12</f>
        <v>12739.708333333334</v>
      </c>
      <c r="I19" s="814"/>
    </row>
    <row r="20" spans="1:10" ht="12.75">
      <c r="A20" s="814"/>
      <c r="B20" s="741" t="s">
        <v>20</v>
      </c>
      <c r="C20" s="1061">
        <f>+(C11+D19)/30*20</f>
        <v>170957.63888888891</v>
      </c>
      <c r="D20" s="1061">
        <f>+C20/12</f>
        <v>14246.469907407409</v>
      </c>
      <c r="E20" s="1061">
        <f>+(C12+F19)/30*20</f>
        <v>210592.36111111112</v>
      </c>
      <c r="F20" s="1061">
        <f>+E20/12</f>
        <v>17549.363425925927</v>
      </c>
      <c r="G20" s="1066">
        <f>+(C13+H19)/30*20</f>
        <v>212328.47222222222</v>
      </c>
      <c r="H20" s="1061">
        <f>+G20/12</f>
        <v>17694.03935185185</v>
      </c>
      <c r="I20" s="814"/>
    </row>
    <row r="21" spans="1:10" ht="12.75">
      <c r="A21" s="814"/>
      <c r="B21" s="741" t="s">
        <v>864</v>
      </c>
      <c r="C21" s="1061">
        <f>+C11*0.35</f>
        <v>86162.65</v>
      </c>
      <c r="D21" s="1061">
        <f>+C21/12</f>
        <v>7180.2208333333328</v>
      </c>
      <c r="E21" s="1061">
        <f>+C12*0.35</f>
        <v>106138.54999999999</v>
      </c>
      <c r="F21" s="1061">
        <f>+E21/12</f>
        <v>8844.8791666666657</v>
      </c>
      <c r="G21" s="1066">
        <f>+C13*0.35</f>
        <v>107013.54999999999</v>
      </c>
      <c r="H21" s="1061">
        <f>+G21/12</f>
        <v>8917.7958333333318</v>
      </c>
      <c r="I21" s="814"/>
    </row>
    <row r="22" spans="1:10" ht="12.75">
      <c r="A22" s="814"/>
      <c r="B22" s="741" t="s">
        <v>865</v>
      </c>
      <c r="C22" s="1061">
        <f>+(C11+D19+D20)/360*D15</f>
        <v>204515.99022633742</v>
      </c>
      <c r="D22" s="1061"/>
      <c r="E22" s="1061">
        <f>+(C12+F19+F20)/360*360</f>
        <v>333437.90509259258</v>
      </c>
      <c r="F22" s="1061"/>
      <c r="G22" s="1066">
        <f>+(C13+H19+H20)/360*360</f>
        <v>336186.74768518517</v>
      </c>
      <c r="H22" s="1061"/>
      <c r="I22" s="814"/>
    </row>
    <row r="23" spans="1:10" ht="12.75">
      <c r="A23" s="814"/>
      <c r="B23" s="900" t="s">
        <v>866</v>
      </c>
      <c r="C23" s="979"/>
      <c r="D23" s="814"/>
      <c r="E23" s="814"/>
      <c r="F23" s="979"/>
      <c r="G23" s="1059"/>
      <c r="H23" s="814"/>
      <c r="I23" s="814"/>
      <c r="J23" s="814"/>
    </row>
    <row r="24" spans="1:10" ht="24.75" hidden="1" customHeight="1">
      <c r="A24" s="814"/>
      <c r="B24" s="923" t="s">
        <v>56</v>
      </c>
      <c r="C24" s="1951" t="s">
        <v>867</v>
      </c>
      <c r="D24" s="1434" t="s">
        <v>868</v>
      </c>
      <c r="E24" s="1434" t="s">
        <v>869</v>
      </c>
      <c r="F24" s="1435" t="s">
        <v>870</v>
      </c>
      <c r="G24" s="1435" t="s">
        <v>871</v>
      </c>
      <c r="H24" s="1435" t="s">
        <v>872</v>
      </c>
      <c r="I24" s="1432" t="s">
        <v>316</v>
      </c>
      <c r="J24" s="814"/>
    </row>
    <row r="25" spans="1:10" ht="12.75" hidden="1">
      <c r="A25" s="814"/>
      <c r="B25" s="741" t="s">
        <v>30</v>
      </c>
      <c r="C25" s="1952">
        <f>+($C$11*$D$15)/360</f>
        <v>186001.91111111111</v>
      </c>
      <c r="D25" s="1952">
        <f>+(C12*D16)/360</f>
        <v>303253</v>
      </c>
      <c r="E25" s="1952">
        <f>+(C13*D17)/360</f>
        <v>305753</v>
      </c>
      <c r="F25" s="1061" t="e">
        <f>(C25*$R$209/$H$209)*N225/H229</f>
        <v>#DIV/0!</v>
      </c>
      <c r="G25" s="1066" t="e">
        <f>(D25*$R$209/$I$209)*N225/H229</f>
        <v>#DIV/0!</v>
      </c>
      <c r="H25" s="1061" t="e">
        <f>(E25*$R$209/$J$209)*N225/H229</f>
        <v>#DIV/0!</v>
      </c>
      <c r="I25" s="741"/>
      <c r="J25" s="814"/>
    </row>
    <row r="26" spans="1:10" ht="12.75" hidden="1">
      <c r="A26" s="814"/>
      <c r="B26" s="741" t="s">
        <v>873</v>
      </c>
      <c r="C26" s="1952">
        <f>+(C25*360*0.12)/360</f>
        <v>22320.229333333333</v>
      </c>
      <c r="D26" s="1952">
        <f>+(D25*360*0.12)/360</f>
        <v>36390.36</v>
      </c>
      <c r="E26" s="1952">
        <f>+(E25*360*0.12)/360</f>
        <v>36690.36</v>
      </c>
      <c r="F26" s="1952" t="e">
        <f>(C26*$R$209/$H$209)*N225/H229</f>
        <v>#DIV/0!</v>
      </c>
      <c r="G26" s="1953" t="e">
        <f>(D26*$R$209/$I$209)*N225/H229</f>
        <v>#DIV/0!</v>
      </c>
      <c r="H26" s="1061" t="e">
        <f>(E26*$R$209/$J$209)*N225/H229</f>
        <v>#DIV/0!</v>
      </c>
      <c r="I26" s="741"/>
      <c r="J26" s="814"/>
    </row>
    <row r="27" spans="1:10" ht="12.75" hidden="1">
      <c r="A27" s="814"/>
      <c r="B27" s="741" t="s">
        <v>874</v>
      </c>
      <c r="C27" s="1952">
        <f>(20700/30)*D15</f>
        <v>187680</v>
      </c>
      <c r="D27" s="1952">
        <f>24012*12</f>
        <v>288144</v>
      </c>
      <c r="E27" s="1952">
        <f>26413*12</f>
        <v>316956</v>
      </c>
      <c r="F27" s="1952" t="e">
        <f>(C27*$R$209/$H$209)*N225/H229</f>
        <v>#DIV/0!</v>
      </c>
      <c r="G27" s="1953" t="e">
        <f>(D27*$R$209/$I$209)*N225/H229</f>
        <v>#DIV/0!</v>
      </c>
      <c r="H27" s="1061" t="e">
        <f>(E27*$R$209/$J$209)*N225/H229</f>
        <v>#DIV/0!</v>
      </c>
      <c r="I27" s="741"/>
      <c r="J27" s="814"/>
    </row>
    <row r="28" spans="1:10" ht="12.75" hidden="1">
      <c r="A28" s="814"/>
      <c r="B28" s="741" t="s">
        <v>875</v>
      </c>
      <c r="C28" s="1954">
        <v>80400</v>
      </c>
      <c r="D28" s="1954">
        <v>96480</v>
      </c>
      <c r="E28" s="1954">
        <v>1240586</v>
      </c>
      <c r="F28" s="1952" t="e">
        <f>+(C28*$R$209/$H$209)*N225/H229</f>
        <v>#DIV/0!</v>
      </c>
      <c r="G28" s="1953">
        <v>171463</v>
      </c>
      <c r="H28" s="1061">
        <v>238263</v>
      </c>
      <c r="I28" s="741"/>
      <c r="J28" s="814"/>
    </row>
    <row r="29" spans="1:10" ht="12.75" hidden="1">
      <c r="A29" s="814"/>
      <c r="B29" s="741" t="s">
        <v>865</v>
      </c>
      <c r="C29" s="1952">
        <f>+C22</f>
        <v>204515.99022633742</v>
      </c>
      <c r="D29" s="1952">
        <f>+E22</f>
        <v>333437.90509259258</v>
      </c>
      <c r="E29" s="1952">
        <f>+G22</f>
        <v>336186.74768518517</v>
      </c>
      <c r="F29" s="1952" t="e">
        <f>(C29*$R$209/$H$209)*N225/H229</f>
        <v>#DIV/0!</v>
      </c>
      <c r="G29" s="1953" t="e">
        <f>(D29*$R$209/$I$209)*N225/H229</f>
        <v>#DIV/0!</v>
      </c>
      <c r="H29" s="1061" t="e">
        <f>(E29*$R$209/$J$209)*N225/H229</f>
        <v>#DIV/0!</v>
      </c>
      <c r="I29" s="741"/>
      <c r="J29" s="814"/>
    </row>
    <row r="30" spans="1:10" ht="12.75" hidden="1">
      <c r="A30" s="814"/>
      <c r="B30" s="741" t="s">
        <v>104</v>
      </c>
      <c r="C30" s="1952">
        <f>+(C11*D15)/720</f>
        <v>93000.955555555556</v>
      </c>
      <c r="D30" s="1952">
        <f>+(C12*D16)/720</f>
        <v>151626.5</v>
      </c>
      <c r="E30" s="1952">
        <f>+(C13*D17)/720</f>
        <v>152876.5</v>
      </c>
      <c r="F30" s="1952" t="e">
        <f>(C30*$R$209/$H$209)*N225/H229</f>
        <v>#DIV/0!</v>
      </c>
      <c r="G30" s="1953" t="e">
        <f>(D30*$R$209/$I$209)*N225/H229</f>
        <v>#DIV/0!</v>
      </c>
      <c r="H30" s="1061" t="e">
        <f>(E30*$R$209/$J$209)*N225/H229</f>
        <v>#DIV/0!</v>
      </c>
      <c r="I30" s="741"/>
      <c r="J30" s="814"/>
    </row>
    <row r="31" spans="1:10" ht="12.75" hidden="1">
      <c r="A31" s="814"/>
      <c r="B31" s="741" t="s">
        <v>876</v>
      </c>
      <c r="C31" s="1952">
        <f>+C20</f>
        <v>170957.63888888891</v>
      </c>
      <c r="D31" s="1952">
        <f>+E20</f>
        <v>210592.36111111112</v>
      </c>
      <c r="E31" s="1952">
        <f>+G20</f>
        <v>212328.47222222222</v>
      </c>
      <c r="F31" s="1061" t="e">
        <f>(C31*$R$209/$H$209)*N225/H229</f>
        <v>#DIV/0!</v>
      </c>
      <c r="G31" s="1066" t="e">
        <f>(D31*$R$209/$I$209)*N225/H229</f>
        <v>#DIV/0!</v>
      </c>
      <c r="H31" s="1061" t="e">
        <f>(E31*$R$209/$J$209)*N225/H229</f>
        <v>#DIV/0!</v>
      </c>
      <c r="I31" s="741"/>
      <c r="J31" s="814"/>
    </row>
    <row r="32" spans="1:10" ht="12.75" hidden="1" customHeight="1">
      <c r="A32" s="814"/>
      <c r="B32" s="726" t="s">
        <v>97</v>
      </c>
      <c r="C32" s="1069">
        <f t="shared" ref="C32:H32" si="0">SUM(C25:C31)</f>
        <v>944876.72511522623</v>
      </c>
      <c r="D32" s="1069">
        <f t="shared" si="0"/>
        <v>1419924.1262037037</v>
      </c>
      <c r="E32" s="1069">
        <f t="shared" si="0"/>
        <v>2601377.0799074071</v>
      </c>
      <c r="F32" s="1070" t="e">
        <f t="shared" si="0"/>
        <v>#DIV/0!</v>
      </c>
      <c r="G32" s="1071" t="e">
        <f t="shared" si="0"/>
        <v>#DIV/0!</v>
      </c>
      <c r="H32" s="1070" t="e">
        <f t="shared" si="0"/>
        <v>#DIV/0!</v>
      </c>
      <c r="I32" s="1070" t="e">
        <f>SUM(F32:H32)</f>
        <v>#DIV/0!</v>
      </c>
      <c r="J32" s="814"/>
    </row>
    <row r="33" spans="1:10" ht="12.75">
      <c r="A33" s="814"/>
      <c r="B33" s="1034"/>
      <c r="C33" s="1113" t="s">
        <v>315</v>
      </c>
      <c r="D33" s="814"/>
      <c r="E33" s="814"/>
      <c r="F33" s="979"/>
      <c r="G33" s="1059"/>
      <c r="H33" s="814"/>
      <c r="I33" s="814"/>
      <c r="J33" s="814"/>
    </row>
    <row r="34" spans="1:10" ht="12.75">
      <c r="A34" s="814"/>
      <c r="B34" s="1136" t="s">
        <v>76</v>
      </c>
      <c r="C34" s="1035">
        <v>81.900000000000006</v>
      </c>
      <c r="D34" s="814"/>
      <c r="E34" s="814"/>
      <c r="F34" s="979"/>
      <c r="G34" s="1059"/>
      <c r="H34" s="814"/>
      <c r="I34" s="814"/>
      <c r="J34" s="814"/>
    </row>
    <row r="35" spans="1:10" ht="12.75">
      <c r="A35" s="814"/>
      <c r="B35" s="1113" t="s">
        <v>11</v>
      </c>
      <c r="C35" s="1955" t="s">
        <v>877</v>
      </c>
      <c r="D35" s="1956" t="s">
        <v>76</v>
      </c>
      <c r="E35" s="1956" t="s">
        <v>77</v>
      </c>
      <c r="F35" s="761" t="s">
        <v>878</v>
      </c>
      <c r="G35" s="1059"/>
      <c r="H35" s="814"/>
      <c r="I35" s="814"/>
      <c r="J35" s="814"/>
    </row>
    <row r="36" spans="1:10" ht="12.75">
      <c r="A36" s="814"/>
      <c r="B36" s="741"/>
      <c r="C36" s="1957"/>
      <c r="D36" s="1958"/>
      <c r="E36" s="1958"/>
      <c r="F36" s="1422"/>
      <c r="G36" s="814"/>
      <c r="H36" s="814"/>
      <c r="I36" s="814"/>
      <c r="J36" s="814"/>
    </row>
    <row r="37" spans="1:10" ht="12.75">
      <c r="A37" s="814"/>
      <c r="B37" s="741" t="s">
        <v>30</v>
      </c>
      <c r="C37" s="1957">
        <f>+($C$11*$D$15)/360</f>
        <v>186001.91111111111</v>
      </c>
      <c r="D37" s="1959">
        <v>36.42</v>
      </c>
      <c r="E37" s="1958">
        <f t="shared" ref="E37:E43" si="1">+$C$34/D37</f>
        <v>2.2487644151565074</v>
      </c>
      <c r="F37" s="1422">
        <f>ROUND(C37*E37,0)</f>
        <v>418274</v>
      </c>
      <c r="G37" s="814"/>
      <c r="H37" s="814"/>
      <c r="I37" s="814"/>
      <c r="J37" s="814"/>
    </row>
    <row r="38" spans="1:10" ht="12.75">
      <c r="A38" s="814"/>
      <c r="B38" s="741" t="s">
        <v>873</v>
      </c>
      <c r="C38" s="1957">
        <f>+(C37*360*0.12)/360</f>
        <v>22320.229333333333</v>
      </c>
      <c r="D38" s="1959">
        <v>36.42</v>
      </c>
      <c r="E38" s="1958">
        <f t="shared" si="1"/>
        <v>2.2487644151565074</v>
      </c>
      <c r="F38" s="1422">
        <f t="shared" ref="F38:F43" si="2">ROUND(C38*E38,0)</f>
        <v>50193</v>
      </c>
      <c r="G38" s="814"/>
      <c r="H38" s="814"/>
      <c r="I38" s="814"/>
      <c r="J38" s="814"/>
    </row>
    <row r="39" spans="1:10" ht="12.75">
      <c r="A39" s="814"/>
      <c r="B39" s="741" t="s">
        <v>874</v>
      </c>
      <c r="C39" s="1957">
        <f>(20700/30)*D15</f>
        <v>187680</v>
      </c>
      <c r="D39" s="1959">
        <v>36.42</v>
      </c>
      <c r="E39" s="1958">
        <f t="shared" si="1"/>
        <v>2.2487644151565074</v>
      </c>
      <c r="F39" s="1422">
        <f t="shared" si="2"/>
        <v>422048</v>
      </c>
      <c r="G39" s="814"/>
      <c r="H39" s="814"/>
      <c r="I39" s="814"/>
      <c r="J39" s="814"/>
    </row>
    <row r="40" spans="1:10" ht="12.75">
      <c r="A40" s="814"/>
      <c r="B40" s="741" t="s">
        <v>875</v>
      </c>
      <c r="C40" s="1957">
        <v>170725</v>
      </c>
      <c r="D40" s="1959">
        <v>36.42</v>
      </c>
      <c r="E40" s="1958">
        <f t="shared" si="1"/>
        <v>2.2487644151565074</v>
      </c>
      <c r="F40" s="1422">
        <f t="shared" si="2"/>
        <v>383920</v>
      </c>
      <c r="G40" s="814"/>
      <c r="H40" s="814"/>
      <c r="I40" s="1960"/>
      <c r="J40" s="814"/>
    </row>
    <row r="41" spans="1:10" ht="12.75">
      <c r="A41" s="814"/>
      <c r="B41" s="741" t="s">
        <v>865</v>
      </c>
      <c r="C41" s="1957">
        <f>+C22</f>
        <v>204515.99022633742</v>
      </c>
      <c r="D41" s="1959">
        <v>36.42</v>
      </c>
      <c r="E41" s="1958">
        <f t="shared" si="1"/>
        <v>2.2487644151565074</v>
      </c>
      <c r="F41" s="1422">
        <f t="shared" si="2"/>
        <v>459908</v>
      </c>
      <c r="G41" s="814"/>
      <c r="H41" s="814"/>
      <c r="I41" s="814"/>
      <c r="J41" s="814"/>
    </row>
    <row r="42" spans="1:10" ht="12.75">
      <c r="A42" s="814"/>
      <c r="B42" s="741" t="s">
        <v>104</v>
      </c>
      <c r="C42" s="1957">
        <f>+(C11*D15)/720</f>
        <v>93000.955555555556</v>
      </c>
      <c r="D42" s="1959">
        <v>36.42</v>
      </c>
      <c r="E42" s="1958">
        <f t="shared" si="1"/>
        <v>2.2487644151565074</v>
      </c>
      <c r="F42" s="1422">
        <f t="shared" si="2"/>
        <v>209137</v>
      </c>
      <c r="G42" s="814"/>
      <c r="H42" s="814"/>
      <c r="I42" s="814"/>
      <c r="J42" s="814"/>
    </row>
    <row r="43" spans="1:10" ht="13.5" thickBot="1">
      <c r="A43" s="814"/>
      <c r="B43" s="1040" t="s">
        <v>876</v>
      </c>
      <c r="C43" s="1957">
        <f>+C31</f>
        <v>170957.63888888891</v>
      </c>
      <c r="D43" s="1959">
        <v>36.42</v>
      </c>
      <c r="E43" s="1958">
        <f t="shared" si="1"/>
        <v>2.2487644151565074</v>
      </c>
      <c r="F43" s="1422">
        <f t="shared" si="2"/>
        <v>384443</v>
      </c>
      <c r="G43" s="814"/>
      <c r="H43" s="814"/>
      <c r="I43" s="814"/>
      <c r="J43" s="814"/>
    </row>
    <row r="44" spans="1:10" ht="13.5" thickTop="1">
      <c r="A44" s="814"/>
      <c r="B44" s="801" t="s">
        <v>880</v>
      </c>
      <c r="C44" s="1957"/>
      <c r="D44" s="1959"/>
      <c r="E44" s="1961" t="s">
        <v>97</v>
      </c>
      <c r="F44" s="1962">
        <f>SUM(F37:F43)</f>
        <v>2327923</v>
      </c>
      <c r="G44" s="814"/>
      <c r="H44" s="814"/>
      <c r="I44" s="814"/>
      <c r="J44" s="814"/>
    </row>
    <row r="45" spans="1:10" ht="12.75">
      <c r="A45" s="814"/>
      <c r="B45" s="1034"/>
      <c r="C45" s="1963" t="str">
        <f>+C33</f>
        <v xml:space="preserve">IPC </v>
      </c>
      <c r="D45" s="814"/>
      <c r="E45" s="814"/>
      <c r="F45" s="979"/>
      <c r="G45" s="1059"/>
      <c r="H45" s="814"/>
      <c r="I45" s="814"/>
      <c r="J45" s="814"/>
    </row>
    <row r="46" spans="1:10" ht="12.75">
      <c r="A46" s="814"/>
      <c r="B46" s="1072" t="s">
        <v>76</v>
      </c>
      <c r="C46" s="1035">
        <f>+C34</f>
        <v>81.900000000000006</v>
      </c>
      <c r="D46" s="814"/>
      <c r="E46" s="814"/>
      <c r="F46" s="979"/>
      <c r="G46" s="1059"/>
      <c r="H46" s="814"/>
      <c r="I46" s="814"/>
      <c r="J46" s="814"/>
    </row>
    <row r="47" spans="1:10" ht="12.75">
      <c r="A47" s="814"/>
      <c r="B47" s="735" t="s">
        <v>11</v>
      </c>
      <c r="C47" s="734" t="s">
        <v>881</v>
      </c>
      <c r="D47" s="735" t="s">
        <v>76</v>
      </c>
      <c r="E47" s="735" t="s">
        <v>77</v>
      </c>
      <c r="F47" s="734" t="s">
        <v>878</v>
      </c>
      <c r="G47" s="1351"/>
      <c r="H47" s="1351"/>
      <c r="I47" s="814"/>
      <c r="J47" s="814"/>
    </row>
    <row r="48" spans="1:10" ht="12.75">
      <c r="A48" s="814"/>
      <c r="B48" s="1958" t="s">
        <v>30</v>
      </c>
      <c r="C48" s="1957">
        <f>+($C$12*$D$16)/360</f>
        <v>303253</v>
      </c>
      <c r="D48" s="1959">
        <v>39.79</v>
      </c>
      <c r="E48" s="1958">
        <f t="shared" ref="E48:E54" si="3">+$C$34/D48</f>
        <v>2.0583061070620761</v>
      </c>
      <c r="F48" s="1422">
        <f>ROUND(C48*E48,0)</f>
        <v>624188</v>
      </c>
      <c r="G48" s="1351"/>
      <c r="H48" s="1351"/>
      <c r="I48" s="814"/>
      <c r="J48" s="814"/>
    </row>
    <row r="49" spans="1:10" ht="12.75">
      <c r="A49" s="814"/>
      <c r="B49" s="1958" t="s">
        <v>873</v>
      </c>
      <c r="C49" s="1957">
        <f>+(C48*360*0.12)/360</f>
        <v>36390.36</v>
      </c>
      <c r="D49" s="1959">
        <v>39.79</v>
      </c>
      <c r="E49" s="1958">
        <f t="shared" si="3"/>
        <v>2.0583061070620761</v>
      </c>
      <c r="F49" s="1422">
        <f t="shared" ref="F49:F54" si="4">ROUND(C49*E49,0)</f>
        <v>74903</v>
      </c>
      <c r="G49" s="1351"/>
      <c r="H49" s="1351"/>
      <c r="I49" s="814"/>
      <c r="J49" s="814"/>
    </row>
    <row r="50" spans="1:10" ht="12.75">
      <c r="A50" s="814"/>
      <c r="B50" s="1958" t="s">
        <v>874</v>
      </c>
      <c r="C50" s="1957">
        <f>24012*12</f>
        <v>288144</v>
      </c>
      <c r="D50" s="1959">
        <v>39.79</v>
      </c>
      <c r="E50" s="1958">
        <f t="shared" si="3"/>
        <v>2.0583061070620761</v>
      </c>
      <c r="F50" s="1422">
        <f t="shared" si="4"/>
        <v>593089</v>
      </c>
      <c r="G50" s="1351"/>
      <c r="H50" s="1351"/>
      <c r="I50" s="814"/>
      <c r="J50" s="814"/>
    </row>
    <row r="51" spans="1:10" ht="12.75">
      <c r="A51" s="814"/>
      <c r="B51" s="1958" t="s">
        <v>875</v>
      </c>
      <c r="C51" s="1957">
        <f>21451*12</f>
        <v>257412</v>
      </c>
      <c r="D51" s="1959">
        <v>39.79</v>
      </c>
      <c r="E51" s="1958">
        <f t="shared" si="3"/>
        <v>2.0583061070620761</v>
      </c>
      <c r="F51" s="1422">
        <f t="shared" si="4"/>
        <v>529833</v>
      </c>
      <c r="G51" s="1351"/>
      <c r="H51" s="1351"/>
      <c r="I51" s="814"/>
      <c r="J51" s="814"/>
    </row>
    <row r="52" spans="1:10" ht="12.75">
      <c r="A52" s="814"/>
      <c r="B52" s="1958" t="s">
        <v>865</v>
      </c>
      <c r="C52" s="1957">
        <f>+E22</f>
        <v>333437.90509259258</v>
      </c>
      <c r="D52" s="1959">
        <v>39.79</v>
      </c>
      <c r="E52" s="1958">
        <f t="shared" si="3"/>
        <v>2.0583061070620761</v>
      </c>
      <c r="F52" s="1422">
        <f t="shared" si="4"/>
        <v>686317</v>
      </c>
      <c r="G52" s="1351"/>
      <c r="H52" s="1351"/>
      <c r="I52" s="814"/>
      <c r="J52" s="814"/>
    </row>
    <row r="53" spans="1:10" ht="12.75">
      <c r="A53" s="814"/>
      <c r="B53" s="1958" t="s">
        <v>104</v>
      </c>
      <c r="C53" s="1957">
        <f>+(C12*D16)/720</f>
        <v>151626.5</v>
      </c>
      <c r="D53" s="1959">
        <v>39.79</v>
      </c>
      <c r="E53" s="1958">
        <f t="shared" si="3"/>
        <v>2.0583061070620761</v>
      </c>
      <c r="F53" s="1422">
        <f t="shared" si="4"/>
        <v>312094</v>
      </c>
      <c r="G53" s="1351"/>
      <c r="H53" s="1351"/>
      <c r="I53" s="814"/>
      <c r="J53" s="814"/>
    </row>
    <row r="54" spans="1:10" ht="13.5" thickBot="1">
      <c r="A54" s="814"/>
      <c r="B54" s="1964" t="s">
        <v>876</v>
      </c>
      <c r="C54" s="1965">
        <f>+E20</f>
        <v>210592.36111111112</v>
      </c>
      <c r="D54" s="1959">
        <v>39.79</v>
      </c>
      <c r="E54" s="1958">
        <f t="shared" si="3"/>
        <v>2.0583061070620761</v>
      </c>
      <c r="F54" s="1422">
        <f t="shared" si="4"/>
        <v>433464</v>
      </c>
      <c r="G54" s="1351"/>
      <c r="H54" s="1351"/>
      <c r="I54" s="814"/>
      <c r="J54" s="814"/>
    </row>
    <row r="55" spans="1:10" ht="13.5" thickTop="1">
      <c r="A55" s="814"/>
      <c r="B55" s="801" t="s">
        <v>882</v>
      </c>
      <c r="C55" s="1041">
        <f>SUM(C48:C54)</f>
        <v>1580856.1262037037</v>
      </c>
      <c r="D55" s="1042"/>
      <c r="E55" s="1961" t="s">
        <v>97</v>
      </c>
      <c r="F55" s="1962">
        <f>SUM(F48:F54)</f>
        <v>3253888</v>
      </c>
      <c r="G55" s="1351"/>
      <c r="H55" s="1351"/>
      <c r="I55" s="1118"/>
      <c r="J55" s="814"/>
    </row>
    <row r="56" spans="1:10" ht="12.75">
      <c r="A56" s="814"/>
      <c r="B56" s="1072" t="s">
        <v>883</v>
      </c>
      <c r="C56" s="1035">
        <f>+C34</f>
        <v>81.900000000000006</v>
      </c>
      <c r="D56" s="814"/>
      <c r="E56" s="814"/>
      <c r="F56" s="979"/>
      <c r="G56" s="1351"/>
      <c r="H56" s="1351"/>
      <c r="I56" s="814"/>
      <c r="J56" s="814"/>
    </row>
    <row r="57" spans="1:10" ht="12.75">
      <c r="A57" s="814"/>
      <c r="B57" s="1966" t="s">
        <v>11</v>
      </c>
      <c r="C57" s="1967" t="s">
        <v>884</v>
      </c>
      <c r="D57" s="1966" t="s">
        <v>76</v>
      </c>
      <c r="E57" s="1966" t="s">
        <v>77</v>
      </c>
      <c r="F57" s="1968" t="s">
        <v>878</v>
      </c>
      <c r="G57" s="1351"/>
      <c r="H57" s="814"/>
      <c r="I57" s="814"/>
      <c r="J57" s="814"/>
    </row>
    <row r="58" spans="1:10" ht="12.75">
      <c r="A58" s="814"/>
      <c r="B58" s="1958" t="s">
        <v>30</v>
      </c>
      <c r="C58" s="1957">
        <v>305753</v>
      </c>
      <c r="D58" s="1959">
        <v>43.27</v>
      </c>
      <c r="E58" s="1958">
        <f>+$C$34/D58</f>
        <v>1.8927663508204298</v>
      </c>
      <c r="F58" s="1969">
        <f>ROUND(C58*E58,0)</f>
        <v>578719</v>
      </c>
      <c r="G58" s="1351"/>
      <c r="H58" s="1351"/>
      <c r="I58" s="814"/>
      <c r="J58" s="814"/>
    </row>
    <row r="59" spans="1:10" ht="12.75">
      <c r="A59" s="814"/>
      <c r="B59" s="1958" t="s">
        <v>873</v>
      </c>
      <c r="C59" s="1957">
        <v>36690.36</v>
      </c>
      <c r="D59" s="1959">
        <v>43.27</v>
      </c>
      <c r="E59" s="1958">
        <f t="shared" ref="E59:E64" si="5">+$C$34/D59</f>
        <v>1.8927663508204298</v>
      </c>
      <c r="F59" s="1969">
        <f t="shared" ref="F59:F64" si="6">ROUND(C59*E59,0)</f>
        <v>69446</v>
      </c>
      <c r="G59" s="1351"/>
      <c r="H59" s="1351"/>
      <c r="I59" s="814"/>
      <c r="J59" s="814"/>
    </row>
    <row r="60" spans="1:10" ht="12.75">
      <c r="A60" s="814"/>
      <c r="B60" s="1958" t="s">
        <v>874</v>
      </c>
      <c r="C60" s="1957">
        <v>316956</v>
      </c>
      <c r="D60" s="1959">
        <v>43.27</v>
      </c>
      <c r="E60" s="1958">
        <f t="shared" si="5"/>
        <v>1.8927663508204298</v>
      </c>
      <c r="F60" s="1969">
        <f t="shared" si="6"/>
        <v>599924</v>
      </c>
      <c r="G60" s="1351"/>
      <c r="H60" s="1351"/>
      <c r="I60" s="814"/>
      <c r="J60" s="814"/>
    </row>
    <row r="61" spans="1:10" ht="12.75">
      <c r="A61" s="814"/>
      <c r="B61" s="1958" t="s">
        <v>875</v>
      </c>
      <c r="C61" s="1957">
        <v>281172</v>
      </c>
      <c r="D61" s="1959">
        <v>43.27</v>
      </c>
      <c r="E61" s="1958">
        <f t="shared" si="5"/>
        <v>1.8927663508204298</v>
      </c>
      <c r="F61" s="1969">
        <f t="shared" si="6"/>
        <v>532193</v>
      </c>
      <c r="G61" s="1351"/>
      <c r="H61" s="1351"/>
      <c r="I61" s="814"/>
      <c r="J61" s="814"/>
    </row>
    <row r="62" spans="1:10" ht="12.75">
      <c r="A62" s="814"/>
      <c r="B62" s="1958" t="s">
        <v>865</v>
      </c>
      <c r="C62" s="1957">
        <v>336186.74768518517</v>
      </c>
      <c r="D62" s="1959">
        <v>43.27</v>
      </c>
      <c r="E62" s="1958">
        <f t="shared" si="5"/>
        <v>1.8927663508204298</v>
      </c>
      <c r="F62" s="1969">
        <f t="shared" si="6"/>
        <v>636323</v>
      </c>
      <c r="G62" s="1970"/>
      <c r="H62" s="1351"/>
      <c r="I62" s="814"/>
      <c r="J62" s="814"/>
    </row>
    <row r="63" spans="1:10" ht="12.75">
      <c r="A63" s="814"/>
      <c r="B63" s="1958" t="s">
        <v>104</v>
      </c>
      <c r="C63" s="1957">
        <v>152876.5</v>
      </c>
      <c r="D63" s="1959">
        <v>43.27</v>
      </c>
      <c r="E63" s="1958">
        <f t="shared" si="5"/>
        <v>1.8927663508204298</v>
      </c>
      <c r="F63" s="1969">
        <f t="shared" si="6"/>
        <v>289359</v>
      </c>
      <c r="G63" s="1970"/>
      <c r="H63" s="1351"/>
      <c r="I63" s="814"/>
      <c r="J63" s="814"/>
    </row>
    <row r="64" spans="1:10" ht="13.5" thickBot="1">
      <c r="A64" s="814"/>
      <c r="B64" s="1964" t="s">
        <v>876</v>
      </c>
      <c r="C64" s="1965">
        <v>212328.47222222222</v>
      </c>
      <c r="D64" s="1959">
        <v>43.27</v>
      </c>
      <c r="E64" s="1958">
        <f t="shared" si="5"/>
        <v>1.8927663508204298</v>
      </c>
      <c r="F64" s="1969">
        <f t="shared" si="6"/>
        <v>401888</v>
      </c>
      <c r="G64" s="1970"/>
      <c r="H64" s="1351"/>
      <c r="I64" s="814"/>
      <c r="J64" s="814"/>
    </row>
    <row r="65" spans="1:10" ht="14.25" thickTop="1" thickBot="1">
      <c r="A65" s="814"/>
      <c r="B65" s="1971" t="s">
        <v>885</v>
      </c>
      <c r="C65" s="1972">
        <f>SUM(C58:C64)</f>
        <v>1641963.0799074073</v>
      </c>
      <c r="D65" s="1973"/>
      <c r="E65" s="1974"/>
      <c r="F65" s="1975">
        <f>SUM(F58:F64)</f>
        <v>3107852</v>
      </c>
      <c r="G65" s="1976"/>
      <c r="H65" s="1351"/>
      <c r="I65" s="814"/>
      <c r="J65" s="814"/>
    </row>
    <row r="66" spans="1:10" ht="14.25" thickTop="1" thickBot="1">
      <c r="A66" s="814"/>
      <c r="B66" s="1977" t="s">
        <v>886</v>
      </c>
      <c r="C66" s="1978"/>
      <c r="D66" s="1979"/>
      <c r="E66" s="1980"/>
      <c r="F66" s="1981">
        <f>+F44+F55+F65</f>
        <v>8689663</v>
      </c>
      <c r="G66" s="1982"/>
      <c r="H66" s="1118"/>
      <c r="I66" s="814"/>
      <c r="J66" s="814"/>
    </row>
    <row r="67" spans="1:10" ht="13.5" thickTop="1">
      <c r="A67" s="814"/>
      <c r="B67" s="900" t="s">
        <v>198</v>
      </c>
      <c r="C67" s="1075">
        <f>+F66</f>
        <v>8689663</v>
      </c>
      <c r="D67" s="1052"/>
      <c r="E67" s="814"/>
      <c r="F67" s="1051"/>
      <c r="G67" s="1059"/>
      <c r="H67" s="814"/>
      <c r="I67" s="814"/>
      <c r="J67" s="814"/>
    </row>
    <row r="68" spans="1:10" ht="12.75">
      <c r="A68" s="814"/>
      <c r="B68" s="1983" t="s">
        <v>160</v>
      </c>
      <c r="C68" s="1983"/>
      <c r="D68" s="1983"/>
      <c r="E68" s="1983"/>
      <c r="F68" s="1983"/>
      <c r="G68" s="1983"/>
      <c r="H68" s="1983"/>
      <c r="I68" s="814"/>
      <c r="J68" s="814"/>
    </row>
    <row r="69" spans="1:10" ht="12.75">
      <c r="A69" s="741"/>
      <c r="B69" s="1113" t="s">
        <v>887</v>
      </c>
      <c r="C69" s="1113" t="s">
        <v>10</v>
      </c>
      <c r="D69" s="1113" t="s">
        <v>320</v>
      </c>
      <c r="E69" s="1113" t="s">
        <v>321</v>
      </c>
      <c r="F69" s="1113" t="s">
        <v>88</v>
      </c>
      <c r="G69" s="1113" t="s">
        <v>86</v>
      </c>
      <c r="H69" s="1113" t="s">
        <v>97</v>
      </c>
      <c r="I69" s="814"/>
      <c r="J69" s="814"/>
    </row>
    <row r="70" spans="1:10" ht="12.75">
      <c r="A70" s="1132">
        <v>1</v>
      </c>
      <c r="B70" s="800">
        <v>41874</v>
      </c>
      <c r="C70" s="800">
        <v>41882</v>
      </c>
      <c r="D70" s="1984">
        <v>0.1933</v>
      </c>
      <c r="E70" s="1984">
        <f>+D70*1.5</f>
        <v>0.28994999999999999</v>
      </c>
      <c r="F70" s="909">
        <f>((1+E70)^(1/365))-1</f>
        <v>6.9778706056067286E-4</v>
      </c>
      <c r="G70" s="1054">
        <f>_xlfn.DAYS(C70,B70)+1</f>
        <v>9</v>
      </c>
      <c r="H70" s="812">
        <f>ROUND(F70*G70*$C$67,0)</f>
        <v>54572</v>
      </c>
      <c r="I70" s="814"/>
      <c r="J70" s="814"/>
    </row>
    <row r="71" spans="1:10" ht="12.75">
      <c r="A71" s="741">
        <v>2</v>
      </c>
      <c r="B71" s="800">
        <v>41883</v>
      </c>
      <c r="C71" s="1073">
        <v>41912</v>
      </c>
      <c r="D71" s="1985">
        <v>0.1933</v>
      </c>
      <c r="E71" s="1984">
        <f t="shared" ref="E71:E76" si="7">+D71*1.5</f>
        <v>0.28994999999999999</v>
      </c>
      <c r="F71" s="909">
        <f t="shared" ref="F71:F76" si="8">((1+E71)^(1/365))-1</f>
        <v>6.9778706056067286E-4</v>
      </c>
      <c r="G71" s="1054">
        <f t="shared" ref="G71:G134" si="9">_xlfn.DAYS(C71,B71)+1</f>
        <v>30</v>
      </c>
      <c r="H71" s="812">
        <f t="shared" ref="H71:H76" si="10">ROUND(F71*G71*$C$67,0)</f>
        <v>181906</v>
      </c>
      <c r="I71" s="814"/>
      <c r="J71" s="814"/>
    </row>
    <row r="72" spans="1:10" ht="12.75">
      <c r="A72" s="1132">
        <v>3</v>
      </c>
      <c r="B72" s="800">
        <v>41913</v>
      </c>
      <c r="C72" s="800">
        <v>41943</v>
      </c>
      <c r="D72" s="1985">
        <v>0.19170000000000001</v>
      </c>
      <c r="E72" s="1984">
        <f t="shared" si="7"/>
        <v>0.28755000000000003</v>
      </c>
      <c r="F72" s="909">
        <f t="shared" si="8"/>
        <v>6.9268140331879557E-4</v>
      </c>
      <c r="G72" s="1054">
        <f t="shared" si="9"/>
        <v>31</v>
      </c>
      <c r="H72" s="812">
        <f t="shared" si="10"/>
        <v>186594</v>
      </c>
      <c r="I72" s="814"/>
      <c r="J72" s="814"/>
    </row>
    <row r="73" spans="1:10" ht="12.75">
      <c r="A73" s="741">
        <v>4</v>
      </c>
      <c r="B73" s="800">
        <v>41944</v>
      </c>
      <c r="C73" s="1073">
        <v>41973</v>
      </c>
      <c r="D73" s="1985">
        <v>0.19170000000000001</v>
      </c>
      <c r="E73" s="1984">
        <f t="shared" si="7"/>
        <v>0.28755000000000003</v>
      </c>
      <c r="F73" s="909">
        <f t="shared" si="8"/>
        <v>6.9268140331879557E-4</v>
      </c>
      <c r="G73" s="1054">
        <f t="shared" si="9"/>
        <v>30</v>
      </c>
      <c r="H73" s="812">
        <f t="shared" si="10"/>
        <v>180575</v>
      </c>
      <c r="I73" s="814"/>
      <c r="J73" s="814"/>
    </row>
    <row r="74" spans="1:10" ht="12.75">
      <c r="A74" s="1132">
        <v>5</v>
      </c>
      <c r="B74" s="800">
        <v>41974</v>
      </c>
      <c r="C74" s="800">
        <v>42004</v>
      </c>
      <c r="D74" s="1985">
        <v>0.19170000000000001</v>
      </c>
      <c r="E74" s="1984">
        <f t="shared" si="7"/>
        <v>0.28755000000000003</v>
      </c>
      <c r="F74" s="909">
        <f t="shared" si="8"/>
        <v>6.9268140331879557E-4</v>
      </c>
      <c r="G74" s="1054">
        <f t="shared" si="9"/>
        <v>31</v>
      </c>
      <c r="H74" s="812">
        <f t="shared" si="10"/>
        <v>186594</v>
      </c>
      <c r="I74" s="814"/>
      <c r="J74" s="814"/>
    </row>
    <row r="75" spans="1:10" ht="12.75">
      <c r="A75" s="741">
        <v>6</v>
      </c>
      <c r="B75" s="800">
        <v>42005</v>
      </c>
      <c r="C75" s="1073">
        <v>42035</v>
      </c>
      <c r="D75" s="1985">
        <v>0.19209999999999999</v>
      </c>
      <c r="E75" s="1984">
        <f t="shared" si="7"/>
        <v>0.28815000000000002</v>
      </c>
      <c r="F75" s="909">
        <f t="shared" si="8"/>
        <v>6.9395870684818561E-4</v>
      </c>
      <c r="G75" s="1054">
        <f t="shared" si="9"/>
        <v>31</v>
      </c>
      <c r="H75" s="812">
        <f t="shared" si="10"/>
        <v>186938</v>
      </c>
      <c r="I75" s="814"/>
      <c r="J75" s="814"/>
    </row>
    <row r="76" spans="1:10" ht="12.75">
      <c r="A76" s="1132">
        <v>7</v>
      </c>
      <c r="B76" s="800">
        <v>42036</v>
      </c>
      <c r="C76" s="800">
        <v>42058</v>
      </c>
      <c r="D76" s="1985">
        <v>0.19209999999999999</v>
      </c>
      <c r="E76" s="1984">
        <f t="shared" si="7"/>
        <v>0.28815000000000002</v>
      </c>
      <c r="F76" s="909">
        <f t="shared" si="8"/>
        <v>6.9395870684818561E-4</v>
      </c>
      <c r="G76" s="1054">
        <f t="shared" si="9"/>
        <v>23</v>
      </c>
      <c r="H76" s="812">
        <f t="shared" si="10"/>
        <v>138696</v>
      </c>
      <c r="I76" s="814"/>
      <c r="J76" s="814"/>
    </row>
    <row r="77" spans="1:10" ht="12.75">
      <c r="A77" s="1132"/>
      <c r="B77" s="800" t="s">
        <v>888</v>
      </c>
      <c r="C77" s="800"/>
      <c r="D77" s="1985"/>
      <c r="E77" s="1984"/>
      <c r="F77" s="909"/>
      <c r="G77" s="1054"/>
      <c r="H77" s="812"/>
      <c r="I77" s="814"/>
      <c r="J77" s="814"/>
    </row>
    <row r="78" spans="1:10" ht="12.75">
      <c r="A78" s="741">
        <v>8</v>
      </c>
      <c r="B78" s="800">
        <v>42059</v>
      </c>
      <c r="C78" s="800">
        <v>42063</v>
      </c>
      <c r="D78" s="1985">
        <v>0.19209999999999999</v>
      </c>
      <c r="E78" s="1984">
        <v>0</v>
      </c>
      <c r="F78" s="909">
        <f>((1+E78)^(1/365))-1</f>
        <v>0</v>
      </c>
      <c r="G78" s="1054">
        <f t="shared" si="9"/>
        <v>5</v>
      </c>
      <c r="H78" s="812">
        <v>0</v>
      </c>
      <c r="I78" s="814"/>
      <c r="J78" s="814"/>
    </row>
    <row r="79" spans="1:10" ht="12.75">
      <c r="A79" s="1132">
        <v>9</v>
      </c>
      <c r="B79" s="800">
        <v>42064</v>
      </c>
      <c r="C79" s="1073">
        <v>42094</v>
      </c>
      <c r="D79" s="1985">
        <v>0.19209999999999999</v>
      </c>
      <c r="E79" s="1984">
        <v>0</v>
      </c>
      <c r="F79" s="909">
        <v>0</v>
      </c>
      <c r="G79" s="1054">
        <f t="shared" si="9"/>
        <v>31</v>
      </c>
      <c r="H79" s="812">
        <v>0</v>
      </c>
      <c r="I79" s="814"/>
      <c r="J79" s="814"/>
    </row>
    <row r="80" spans="1:10" ht="12.75">
      <c r="A80" s="741">
        <v>10</v>
      </c>
      <c r="B80" s="800">
        <v>42095</v>
      </c>
      <c r="C80" s="800">
        <v>42124</v>
      </c>
      <c r="D80" s="1985">
        <v>0.19370000000000001</v>
      </c>
      <c r="E80" s="1985">
        <v>0</v>
      </c>
      <c r="F80" s="909">
        <v>0</v>
      </c>
      <c r="G80" s="1054">
        <f t="shared" si="9"/>
        <v>30</v>
      </c>
      <c r="H80" s="812">
        <v>0</v>
      </c>
      <c r="I80" s="814"/>
      <c r="J80" s="814"/>
    </row>
    <row r="81" spans="1:10" ht="12.75">
      <c r="A81" s="1132">
        <v>11</v>
      </c>
      <c r="B81" s="800">
        <v>42125</v>
      </c>
      <c r="C81" s="1073">
        <v>42155</v>
      </c>
      <c r="D81" s="1985">
        <v>0.19370000000000001</v>
      </c>
      <c r="E81" s="1985">
        <v>0</v>
      </c>
      <c r="F81" s="909">
        <v>0</v>
      </c>
      <c r="G81" s="1054">
        <f t="shared" si="9"/>
        <v>31</v>
      </c>
      <c r="H81" s="812">
        <v>0</v>
      </c>
      <c r="I81" s="814"/>
      <c r="J81" s="814"/>
    </row>
    <row r="82" spans="1:10" ht="12.75">
      <c r="A82" s="1132">
        <v>12</v>
      </c>
      <c r="B82" s="800">
        <v>42156</v>
      </c>
      <c r="C82" s="800">
        <v>42185</v>
      </c>
      <c r="D82" s="1985">
        <v>0.19370000000000001</v>
      </c>
      <c r="E82" s="1985">
        <v>0</v>
      </c>
      <c r="F82" s="909">
        <v>0</v>
      </c>
      <c r="G82" s="1054">
        <f t="shared" si="9"/>
        <v>30</v>
      </c>
      <c r="H82" s="812">
        <v>0</v>
      </c>
      <c r="I82" s="814"/>
      <c r="J82" s="814"/>
    </row>
    <row r="83" spans="1:10" ht="12.75">
      <c r="A83" s="741">
        <v>13</v>
      </c>
      <c r="B83" s="800">
        <v>42186</v>
      </c>
      <c r="C83" s="1073">
        <v>42216</v>
      </c>
      <c r="D83" s="1985">
        <v>0.19259999999999999</v>
      </c>
      <c r="E83" s="1985">
        <v>0</v>
      </c>
      <c r="F83" s="909">
        <v>0</v>
      </c>
      <c r="G83" s="1054">
        <f t="shared" si="9"/>
        <v>31</v>
      </c>
      <c r="H83" s="812">
        <v>0</v>
      </c>
      <c r="I83" s="814"/>
      <c r="J83" s="814"/>
    </row>
    <row r="84" spans="1:10" ht="12.75">
      <c r="A84" s="1132">
        <v>14</v>
      </c>
      <c r="B84" s="800">
        <v>42217</v>
      </c>
      <c r="C84" s="800">
        <v>42247</v>
      </c>
      <c r="D84" s="1985">
        <v>0.19259999999999999</v>
      </c>
      <c r="E84" s="1985">
        <v>0</v>
      </c>
      <c r="F84" s="909">
        <v>0</v>
      </c>
      <c r="G84" s="1054">
        <f t="shared" si="9"/>
        <v>31</v>
      </c>
      <c r="H84" s="812">
        <v>0</v>
      </c>
      <c r="I84" s="814"/>
      <c r="J84" s="814"/>
    </row>
    <row r="85" spans="1:10" ht="12.75">
      <c r="A85" s="741">
        <v>15</v>
      </c>
      <c r="B85" s="800">
        <v>42248</v>
      </c>
      <c r="C85" s="1073">
        <v>42277</v>
      </c>
      <c r="D85" s="1985">
        <v>0.19259999999999999</v>
      </c>
      <c r="E85" s="1985">
        <v>0</v>
      </c>
      <c r="F85" s="909">
        <v>0</v>
      </c>
      <c r="G85" s="1054">
        <f t="shared" si="9"/>
        <v>30</v>
      </c>
      <c r="H85" s="812">
        <v>0</v>
      </c>
      <c r="I85" s="814"/>
      <c r="J85" s="814"/>
    </row>
    <row r="86" spans="1:10" ht="12.75">
      <c r="A86" s="1132">
        <v>16</v>
      </c>
      <c r="B86" s="800">
        <v>42278</v>
      </c>
      <c r="C86" s="800">
        <v>42308</v>
      </c>
      <c r="D86" s="1985">
        <v>0.1933</v>
      </c>
      <c r="E86" s="1985">
        <v>0</v>
      </c>
      <c r="F86" s="909">
        <v>0</v>
      </c>
      <c r="G86" s="1054">
        <f t="shared" si="9"/>
        <v>31</v>
      </c>
      <c r="H86" s="812">
        <v>0</v>
      </c>
      <c r="I86" s="814"/>
      <c r="J86" s="814"/>
    </row>
    <row r="87" spans="1:10" ht="12.75">
      <c r="A87" s="741">
        <v>17</v>
      </c>
      <c r="B87" s="815">
        <v>42309</v>
      </c>
      <c r="C87" s="1074">
        <v>42338</v>
      </c>
      <c r="D87" s="1985">
        <v>0.1933</v>
      </c>
      <c r="E87" s="1985">
        <v>0</v>
      </c>
      <c r="F87" s="909">
        <v>0</v>
      </c>
      <c r="G87" s="1054">
        <f t="shared" si="9"/>
        <v>30</v>
      </c>
      <c r="H87" s="812">
        <v>0</v>
      </c>
      <c r="I87" s="814"/>
      <c r="J87" s="814"/>
    </row>
    <row r="88" spans="1:10" ht="12.75">
      <c r="A88" s="1132">
        <v>18</v>
      </c>
      <c r="B88" s="800">
        <v>42339</v>
      </c>
      <c r="C88" s="800">
        <v>42369</v>
      </c>
      <c r="D88" s="1984">
        <v>0.1933</v>
      </c>
      <c r="E88" s="1984">
        <v>0</v>
      </c>
      <c r="F88" s="909">
        <v>0</v>
      </c>
      <c r="G88" s="1054">
        <f t="shared" si="9"/>
        <v>31</v>
      </c>
      <c r="H88" s="812">
        <v>0</v>
      </c>
      <c r="I88" s="814"/>
      <c r="J88" s="814"/>
    </row>
    <row r="89" spans="1:10" ht="12.75">
      <c r="A89" s="741">
        <v>19</v>
      </c>
      <c r="B89" s="800">
        <v>42370</v>
      </c>
      <c r="C89" s="1073">
        <v>42400</v>
      </c>
      <c r="D89" s="1984">
        <v>0.1968</v>
      </c>
      <c r="E89" s="1984">
        <v>0</v>
      </c>
      <c r="F89" s="909">
        <v>0</v>
      </c>
      <c r="G89" s="1054">
        <f t="shared" si="9"/>
        <v>31</v>
      </c>
      <c r="H89" s="812">
        <v>0</v>
      </c>
      <c r="I89" s="814"/>
      <c r="J89" s="814"/>
    </row>
    <row r="90" spans="1:10" ht="12.75">
      <c r="A90" s="1132">
        <v>20</v>
      </c>
      <c r="B90" s="804">
        <v>42401</v>
      </c>
      <c r="C90" s="804">
        <v>42429</v>
      </c>
      <c r="D90" s="1986">
        <v>0.1968</v>
      </c>
      <c r="E90" s="1986">
        <f t="shared" ref="E90:E154" si="11">+D90*1.5</f>
        <v>0.29520000000000002</v>
      </c>
      <c r="F90" s="909">
        <v>0</v>
      </c>
      <c r="G90" s="1054">
        <f t="shared" si="9"/>
        <v>29</v>
      </c>
      <c r="H90" s="812">
        <v>0</v>
      </c>
      <c r="I90" s="814"/>
    </row>
    <row r="91" spans="1:10" ht="12.75">
      <c r="A91" s="741">
        <v>21</v>
      </c>
      <c r="B91" s="804">
        <v>42430</v>
      </c>
      <c r="C91" s="804">
        <v>42443</v>
      </c>
      <c r="D91" s="1985">
        <v>0.1968</v>
      </c>
      <c r="E91" s="1985">
        <f t="shared" si="11"/>
        <v>0.29520000000000002</v>
      </c>
      <c r="F91" s="909">
        <v>0</v>
      </c>
      <c r="G91" s="1054">
        <f t="shared" si="9"/>
        <v>14</v>
      </c>
      <c r="H91" s="812">
        <v>0</v>
      </c>
      <c r="I91" s="814"/>
    </row>
    <row r="92" spans="1:10" ht="12.75">
      <c r="A92" s="1132">
        <v>22</v>
      </c>
      <c r="B92" s="800">
        <v>42444</v>
      </c>
      <c r="C92" s="1073">
        <v>42460</v>
      </c>
      <c r="D92" s="1985">
        <v>0.1968</v>
      </c>
      <c r="E92" s="1985">
        <f t="shared" si="11"/>
        <v>0.29520000000000002</v>
      </c>
      <c r="F92" s="1057">
        <f t="shared" ref="F92:F155" si="12">((1+E92)^(1/365))-1</f>
        <v>7.0892273793354832E-4</v>
      </c>
      <c r="G92" s="1054">
        <f t="shared" si="9"/>
        <v>17</v>
      </c>
      <c r="H92" s="812">
        <f t="shared" ref="H92:H155" si="13">ROUND(F92*G92*$C$67,0)</f>
        <v>104725</v>
      </c>
      <c r="I92" s="814"/>
    </row>
    <row r="93" spans="1:10" ht="12.75">
      <c r="A93" s="1132">
        <v>23</v>
      </c>
      <c r="B93" s="800">
        <v>42461</v>
      </c>
      <c r="C93" s="800">
        <v>42490</v>
      </c>
      <c r="D93" s="1985">
        <v>0.2054</v>
      </c>
      <c r="E93" s="1985">
        <f t="shared" si="11"/>
        <v>0.30809999999999998</v>
      </c>
      <c r="F93" s="1057">
        <f t="shared" si="12"/>
        <v>7.3609462782320279E-4</v>
      </c>
      <c r="G93" s="1054">
        <f t="shared" si="9"/>
        <v>30</v>
      </c>
      <c r="H93" s="812">
        <f t="shared" si="13"/>
        <v>191892</v>
      </c>
      <c r="I93" s="814"/>
    </row>
    <row r="94" spans="1:10" ht="12.75">
      <c r="A94" s="741">
        <v>24</v>
      </c>
      <c r="B94" s="800">
        <v>42491</v>
      </c>
      <c r="C94" s="1073">
        <v>42521</v>
      </c>
      <c r="D94" s="1985">
        <v>0.2054</v>
      </c>
      <c r="E94" s="1985">
        <f t="shared" si="11"/>
        <v>0.30809999999999998</v>
      </c>
      <c r="F94" s="1057">
        <f t="shared" si="12"/>
        <v>7.3609462782320279E-4</v>
      </c>
      <c r="G94" s="1054">
        <f t="shared" si="9"/>
        <v>31</v>
      </c>
      <c r="H94" s="812">
        <f t="shared" si="13"/>
        <v>198289</v>
      </c>
      <c r="I94" s="814"/>
    </row>
    <row r="95" spans="1:10" ht="12.75">
      <c r="A95" s="1132">
        <v>25</v>
      </c>
      <c r="B95" s="800">
        <v>42522</v>
      </c>
      <c r="C95" s="800">
        <v>42551</v>
      </c>
      <c r="D95" s="1985">
        <v>0.2054</v>
      </c>
      <c r="E95" s="1985">
        <f t="shared" si="11"/>
        <v>0.30809999999999998</v>
      </c>
      <c r="F95" s="1057">
        <f t="shared" si="12"/>
        <v>7.3609462782320279E-4</v>
      </c>
      <c r="G95" s="1054">
        <f t="shared" si="9"/>
        <v>30</v>
      </c>
      <c r="H95" s="812">
        <f t="shared" si="13"/>
        <v>191892</v>
      </c>
      <c r="I95" s="814"/>
    </row>
    <row r="96" spans="1:10" ht="12.75">
      <c r="A96" s="741">
        <v>26</v>
      </c>
      <c r="B96" s="800">
        <v>42552</v>
      </c>
      <c r="C96" s="1073">
        <v>42582</v>
      </c>
      <c r="D96" s="1985">
        <v>0.21340000000000001</v>
      </c>
      <c r="E96" s="1985">
        <f t="shared" si="11"/>
        <v>0.3201</v>
      </c>
      <c r="F96" s="1057">
        <f t="shared" si="12"/>
        <v>7.6113195596128058E-4</v>
      </c>
      <c r="G96" s="1054">
        <f t="shared" si="9"/>
        <v>31</v>
      </c>
      <c r="H96" s="812">
        <f t="shared" si="13"/>
        <v>205033</v>
      </c>
      <c r="I96" s="814"/>
    </row>
    <row r="97" spans="1:9" ht="12.75">
      <c r="A97" s="1132">
        <v>27</v>
      </c>
      <c r="B97" s="800">
        <v>42583</v>
      </c>
      <c r="C97" s="800">
        <v>42613</v>
      </c>
      <c r="D97" s="1985">
        <v>0.21340000000000001</v>
      </c>
      <c r="E97" s="1985">
        <f t="shared" si="11"/>
        <v>0.3201</v>
      </c>
      <c r="F97" s="1057">
        <f t="shared" si="12"/>
        <v>7.6113195596128058E-4</v>
      </c>
      <c r="G97" s="1054">
        <f t="shared" si="9"/>
        <v>31</v>
      </c>
      <c r="H97" s="812">
        <f t="shared" si="13"/>
        <v>205033</v>
      </c>
      <c r="I97" s="814"/>
    </row>
    <row r="98" spans="1:9" ht="12.75">
      <c r="A98" s="741">
        <v>28</v>
      </c>
      <c r="B98" s="800">
        <v>42614</v>
      </c>
      <c r="C98" s="1073">
        <v>42643</v>
      </c>
      <c r="D98" s="1985">
        <v>0.21340000000000001</v>
      </c>
      <c r="E98" s="1985">
        <f t="shared" si="11"/>
        <v>0.3201</v>
      </c>
      <c r="F98" s="1057">
        <f t="shared" si="12"/>
        <v>7.6113195596128058E-4</v>
      </c>
      <c r="G98" s="1054">
        <f t="shared" si="9"/>
        <v>30</v>
      </c>
      <c r="H98" s="812">
        <f t="shared" si="13"/>
        <v>198419</v>
      </c>
      <c r="I98" s="814"/>
    </row>
    <row r="99" spans="1:9" ht="12.75">
      <c r="A99" s="1132">
        <v>29</v>
      </c>
      <c r="B99" s="800">
        <v>42644</v>
      </c>
      <c r="C99" s="800">
        <v>42674</v>
      </c>
      <c r="D99" s="1985">
        <v>0.21990000000000001</v>
      </c>
      <c r="E99" s="1985">
        <f t="shared" si="11"/>
        <v>0.32985000000000003</v>
      </c>
      <c r="F99" s="1057">
        <f t="shared" si="12"/>
        <v>7.8130822380240161E-4</v>
      </c>
      <c r="G99" s="1054">
        <f t="shared" si="9"/>
        <v>31</v>
      </c>
      <c r="H99" s="812">
        <f t="shared" si="13"/>
        <v>210468</v>
      </c>
      <c r="I99" s="814"/>
    </row>
    <row r="100" spans="1:9" ht="12.75">
      <c r="A100" s="741">
        <v>30</v>
      </c>
      <c r="B100" s="800">
        <v>42675</v>
      </c>
      <c r="C100" s="1073">
        <v>42704</v>
      </c>
      <c r="D100" s="1985">
        <v>0.21990000000000001</v>
      </c>
      <c r="E100" s="1985">
        <f t="shared" si="11"/>
        <v>0.32985000000000003</v>
      </c>
      <c r="F100" s="1057">
        <f t="shared" si="12"/>
        <v>7.8130822380240161E-4</v>
      </c>
      <c r="G100" s="1054">
        <f t="shared" si="9"/>
        <v>30</v>
      </c>
      <c r="H100" s="812">
        <f t="shared" si="13"/>
        <v>203679</v>
      </c>
      <c r="I100" s="814"/>
    </row>
    <row r="101" spans="1:9" ht="12.75">
      <c r="A101" s="1132">
        <v>31</v>
      </c>
      <c r="B101" s="800">
        <v>42705</v>
      </c>
      <c r="C101" s="800">
        <v>42735</v>
      </c>
      <c r="D101" s="1985">
        <v>0.21990000000000001</v>
      </c>
      <c r="E101" s="1985">
        <f t="shared" si="11"/>
        <v>0.32985000000000003</v>
      </c>
      <c r="F101" s="1057">
        <f t="shared" si="12"/>
        <v>7.8130822380240161E-4</v>
      </c>
      <c r="G101" s="1054">
        <f t="shared" si="9"/>
        <v>31</v>
      </c>
      <c r="H101" s="812">
        <f t="shared" si="13"/>
        <v>210468</v>
      </c>
      <c r="I101" s="814"/>
    </row>
    <row r="102" spans="1:9" ht="12.75">
      <c r="A102" s="741">
        <v>32</v>
      </c>
      <c r="B102" s="800">
        <v>42736</v>
      </c>
      <c r="C102" s="1073">
        <v>42766</v>
      </c>
      <c r="D102" s="1985">
        <v>0.22339999999999999</v>
      </c>
      <c r="E102" s="1985">
        <f t="shared" si="11"/>
        <v>0.33509999999999995</v>
      </c>
      <c r="F102" s="1057">
        <f t="shared" si="12"/>
        <v>7.9211135028089963E-4</v>
      </c>
      <c r="G102" s="1054">
        <f t="shared" si="9"/>
        <v>31</v>
      </c>
      <c r="H102" s="812">
        <f t="shared" si="13"/>
        <v>213379</v>
      </c>
      <c r="I102" s="814"/>
    </row>
    <row r="103" spans="1:9" ht="12.75">
      <c r="A103" s="1132">
        <v>33</v>
      </c>
      <c r="B103" s="800">
        <v>42767</v>
      </c>
      <c r="C103" s="1073">
        <v>42794</v>
      </c>
      <c r="D103" s="1985">
        <v>0.22339999999999999</v>
      </c>
      <c r="E103" s="1985">
        <f t="shared" si="11"/>
        <v>0.33509999999999995</v>
      </c>
      <c r="F103" s="1057">
        <f t="shared" si="12"/>
        <v>7.9211135028089963E-4</v>
      </c>
      <c r="G103" s="1054">
        <f t="shared" si="9"/>
        <v>28</v>
      </c>
      <c r="H103" s="812">
        <f t="shared" si="13"/>
        <v>192729</v>
      </c>
      <c r="I103" s="814"/>
    </row>
    <row r="104" spans="1:9" ht="12.75">
      <c r="A104" s="1132">
        <v>34</v>
      </c>
      <c r="B104" s="800">
        <v>42795</v>
      </c>
      <c r="C104" s="800">
        <v>42825</v>
      </c>
      <c r="D104" s="1985">
        <v>0.22339999999999999</v>
      </c>
      <c r="E104" s="1985">
        <f t="shared" si="11"/>
        <v>0.33509999999999995</v>
      </c>
      <c r="F104" s="1057">
        <f t="shared" si="12"/>
        <v>7.9211135028089963E-4</v>
      </c>
      <c r="G104" s="1054">
        <f t="shared" si="9"/>
        <v>31</v>
      </c>
      <c r="H104" s="812">
        <f t="shared" si="13"/>
        <v>213379</v>
      </c>
      <c r="I104" s="814"/>
    </row>
    <row r="105" spans="1:9" ht="12.75">
      <c r="A105" s="741">
        <v>35</v>
      </c>
      <c r="B105" s="800">
        <v>42826</v>
      </c>
      <c r="C105" s="1073">
        <v>42855</v>
      </c>
      <c r="D105" s="1985">
        <v>0.2233</v>
      </c>
      <c r="E105" s="1985">
        <f t="shared" si="11"/>
        <v>0.33494999999999997</v>
      </c>
      <c r="F105" s="1057">
        <f t="shared" si="12"/>
        <v>7.9180327787309324E-4</v>
      </c>
      <c r="G105" s="1054">
        <f t="shared" si="9"/>
        <v>30</v>
      </c>
      <c r="H105" s="812">
        <f t="shared" si="13"/>
        <v>206415</v>
      </c>
      <c r="I105" s="814"/>
    </row>
    <row r="106" spans="1:9" ht="12.75">
      <c r="A106" s="1132">
        <v>36</v>
      </c>
      <c r="B106" s="800">
        <v>42856</v>
      </c>
      <c r="C106" s="1073">
        <v>42886</v>
      </c>
      <c r="D106" s="1985">
        <v>0.2233</v>
      </c>
      <c r="E106" s="1985">
        <f t="shared" si="11"/>
        <v>0.33494999999999997</v>
      </c>
      <c r="F106" s="1057">
        <f t="shared" si="12"/>
        <v>7.9180327787309324E-4</v>
      </c>
      <c r="G106" s="1054">
        <f t="shared" si="9"/>
        <v>31</v>
      </c>
      <c r="H106" s="812">
        <f t="shared" si="13"/>
        <v>213296</v>
      </c>
      <c r="I106" s="814"/>
    </row>
    <row r="107" spans="1:9" ht="12.75">
      <c r="A107" s="741">
        <v>37</v>
      </c>
      <c r="B107" s="800">
        <v>42887</v>
      </c>
      <c r="C107" s="800">
        <v>42916</v>
      </c>
      <c r="D107" s="1985">
        <v>0.2233</v>
      </c>
      <c r="E107" s="1985">
        <f t="shared" si="11"/>
        <v>0.33494999999999997</v>
      </c>
      <c r="F107" s="1057">
        <f t="shared" si="12"/>
        <v>7.9180327787309324E-4</v>
      </c>
      <c r="G107" s="1054">
        <f t="shared" si="9"/>
        <v>30</v>
      </c>
      <c r="H107" s="812">
        <f t="shared" si="13"/>
        <v>206415</v>
      </c>
      <c r="I107" s="814"/>
    </row>
    <row r="108" spans="1:9" ht="12.75">
      <c r="A108" s="1132">
        <v>38</v>
      </c>
      <c r="B108" s="800">
        <v>42917</v>
      </c>
      <c r="C108" s="1073">
        <v>42947</v>
      </c>
      <c r="D108" s="1985">
        <v>0.2198</v>
      </c>
      <c r="E108" s="1985">
        <f t="shared" si="11"/>
        <v>0.32969999999999999</v>
      </c>
      <c r="F108" s="1057">
        <f t="shared" si="12"/>
        <v>7.8099893845218205E-4</v>
      </c>
      <c r="G108" s="1054">
        <f t="shared" si="9"/>
        <v>31</v>
      </c>
      <c r="H108" s="812">
        <f t="shared" si="13"/>
        <v>210385</v>
      </c>
      <c r="I108" s="814"/>
    </row>
    <row r="109" spans="1:9" ht="12.75">
      <c r="A109" s="741">
        <v>39</v>
      </c>
      <c r="B109" s="800">
        <v>42948</v>
      </c>
      <c r="C109" s="1073">
        <v>42978</v>
      </c>
      <c r="D109" s="1985">
        <v>0.2198</v>
      </c>
      <c r="E109" s="1985">
        <f t="shared" si="11"/>
        <v>0.32969999999999999</v>
      </c>
      <c r="F109" s="1057">
        <f t="shared" si="12"/>
        <v>7.8099893845218205E-4</v>
      </c>
      <c r="G109" s="1054">
        <f t="shared" si="9"/>
        <v>31</v>
      </c>
      <c r="H109" s="812">
        <f t="shared" si="13"/>
        <v>210385</v>
      </c>
      <c r="I109" s="814"/>
    </row>
    <row r="110" spans="1:9" ht="12.75">
      <c r="A110" s="1132">
        <v>40</v>
      </c>
      <c r="B110" s="800">
        <v>42979</v>
      </c>
      <c r="C110" s="800">
        <v>43008</v>
      </c>
      <c r="D110" s="1985">
        <v>0.21479999999999999</v>
      </c>
      <c r="E110" s="1985">
        <f t="shared" si="11"/>
        <v>0.32219999999999999</v>
      </c>
      <c r="F110" s="1057">
        <f t="shared" si="12"/>
        <v>7.6549014202820231E-4</v>
      </c>
      <c r="G110" s="1054">
        <f t="shared" si="9"/>
        <v>30</v>
      </c>
      <c r="H110" s="812">
        <f t="shared" si="13"/>
        <v>199556</v>
      </c>
      <c r="I110" s="814"/>
    </row>
    <row r="111" spans="1:9" ht="12.75">
      <c r="A111" s="741">
        <v>41</v>
      </c>
      <c r="B111" s="800">
        <v>43009</v>
      </c>
      <c r="C111" s="1073">
        <v>43039</v>
      </c>
      <c r="D111" s="1985">
        <v>0.21149999999999999</v>
      </c>
      <c r="E111" s="1985">
        <f t="shared" si="11"/>
        <v>0.31724999999999998</v>
      </c>
      <c r="F111" s="1057">
        <f t="shared" si="12"/>
        <v>7.5520620308799913E-4</v>
      </c>
      <c r="G111" s="1054">
        <f t="shared" si="9"/>
        <v>31</v>
      </c>
      <c r="H111" s="812">
        <f t="shared" si="13"/>
        <v>203437</v>
      </c>
      <c r="I111" s="814"/>
    </row>
    <row r="112" spans="1:9" ht="12.75">
      <c r="A112" s="1132">
        <v>42</v>
      </c>
      <c r="B112" s="800">
        <v>43040</v>
      </c>
      <c r="C112" s="1073">
        <v>43069</v>
      </c>
      <c r="D112" s="1985">
        <v>0.20960000000000001</v>
      </c>
      <c r="E112" s="1985">
        <f t="shared" si="11"/>
        <v>0.31440000000000001</v>
      </c>
      <c r="F112" s="1057">
        <f t="shared" si="12"/>
        <v>7.4926765057248268E-4</v>
      </c>
      <c r="G112" s="1054">
        <f t="shared" si="9"/>
        <v>30</v>
      </c>
      <c r="H112" s="812">
        <f t="shared" si="13"/>
        <v>195327</v>
      </c>
      <c r="I112" s="814"/>
    </row>
    <row r="113" spans="1:9" ht="12.75">
      <c r="A113" s="741">
        <v>43</v>
      </c>
      <c r="B113" s="800">
        <v>43070</v>
      </c>
      <c r="C113" s="800">
        <v>43100</v>
      </c>
      <c r="D113" s="1985">
        <v>0.2077</v>
      </c>
      <c r="E113" s="1985">
        <f t="shared" si="11"/>
        <v>0.31154999999999999</v>
      </c>
      <c r="F113" s="1057">
        <f t="shared" si="12"/>
        <v>7.4331624292400811E-4</v>
      </c>
      <c r="G113" s="1054">
        <f t="shared" si="9"/>
        <v>31</v>
      </c>
      <c r="H113" s="812">
        <f t="shared" si="13"/>
        <v>200234</v>
      </c>
      <c r="I113" s="814"/>
    </row>
    <row r="114" spans="1:9" ht="12.75">
      <c r="A114" s="1132">
        <v>44</v>
      </c>
      <c r="B114" s="800">
        <v>43101</v>
      </c>
      <c r="C114" s="1073">
        <v>43131</v>
      </c>
      <c r="D114" s="1985">
        <v>0.2069</v>
      </c>
      <c r="E114" s="1985">
        <f t="shared" si="11"/>
        <v>0.31035000000000001</v>
      </c>
      <c r="F114" s="1057">
        <f t="shared" si="12"/>
        <v>7.4080652774299871E-4</v>
      </c>
      <c r="G114" s="1054">
        <f t="shared" si="9"/>
        <v>31</v>
      </c>
      <c r="H114" s="812">
        <f t="shared" si="13"/>
        <v>199558</v>
      </c>
      <c r="I114" s="814"/>
    </row>
    <row r="115" spans="1:9" ht="12.75">
      <c r="A115" s="1132">
        <v>45</v>
      </c>
      <c r="B115" s="800">
        <v>43132</v>
      </c>
      <c r="C115" s="1073">
        <v>43159</v>
      </c>
      <c r="D115" s="1985">
        <v>0.21010000000000001</v>
      </c>
      <c r="E115" s="1985">
        <f t="shared" si="11"/>
        <v>0.31515000000000004</v>
      </c>
      <c r="F115" s="1057">
        <f t="shared" si="12"/>
        <v>7.5083167162115494E-4</v>
      </c>
      <c r="G115" s="1054">
        <f t="shared" si="9"/>
        <v>28</v>
      </c>
      <c r="H115" s="812">
        <f t="shared" si="13"/>
        <v>182685</v>
      </c>
      <c r="I115" s="814"/>
    </row>
    <row r="116" spans="1:9" ht="12.75">
      <c r="A116" s="741">
        <v>46</v>
      </c>
      <c r="B116" s="800">
        <v>43160</v>
      </c>
      <c r="C116" s="800">
        <v>43190</v>
      </c>
      <c r="D116" s="1985">
        <v>0.20680000000000001</v>
      </c>
      <c r="E116" s="1985">
        <f t="shared" si="11"/>
        <v>0.31020000000000003</v>
      </c>
      <c r="F116" s="1057">
        <f t="shared" si="12"/>
        <v>7.4049265219700011E-4</v>
      </c>
      <c r="G116" s="1054">
        <f t="shared" si="9"/>
        <v>31</v>
      </c>
      <c r="H116" s="812">
        <f t="shared" si="13"/>
        <v>199474</v>
      </c>
      <c r="I116" s="814"/>
    </row>
    <row r="117" spans="1:9" ht="12.75">
      <c r="A117" s="1132">
        <v>47</v>
      </c>
      <c r="B117" s="800">
        <v>43191</v>
      </c>
      <c r="C117" s="1073">
        <v>43220</v>
      </c>
      <c r="D117" s="1985">
        <v>0.20480000000000001</v>
      </c>
      <c r="E117" s="1985">
        <f t="shared" si="11"/>
        <v>0.30720000000000003</v>
      </c>
      <c r="F117" s="1057">
        <f t="shared" si="12"/>
        <v>7.34207604366377E-4</v>
      </c>
      <c r="G117" s="1054">
        <f t="shared" si="9"/>
        <v>30</v>
      </c>
      <c r="H117" s="812">
        <f t="shared" si="13"/>
        <v>191400</v>
      </c>
      <c r="I117" s="814"/>
    </row>
    <row r="118" spans="1:9" ht="12.75">
      <c r="A118" s="741">
        <v>48</v>
      </c>
      <c r="B118" s="800">
        <v>43221</v>
      </c>
      <c r="C118" s="1073">
        <v>43251</v>
      </c>
      <c r="D118" s="1985">
        <v>0.2044</v>
      </c>
      <c r="E118" s="1985">
        <f t="shared" si="11"/>
        <v>0.30659999999999998</v>
      </c>
      <c r="F118" s="1057">
        <f t="shared" si="12"/>
        <v>7.3294886878794152E-4</v>
      </c>
      <c r="G118" s="1054">
        <f t="shared" si="9"/>
        <v>31</v>
      </c>
      <c r="H118" s="812">
        <f t="shared" si="13"/>
        <v>197441</v>
      </c>
      <c r="I118" s="814"/>
    </row>
    <row r="119" spans="1:9" ht="12.75">
      <c r="A119" s="1132">
        <v>49</v>
      </c>
      <c r="B119" s="800">
        <v>43252</v>
      </c>
      <c r="C119" s="800">
        <v>43281</v>
      </c>
      <c r="D119" s="1985">
        <v>0.20280000000000001</v>
      </c>
      <c r="E119" s="1985">
        <f t="shared" si="11"/>
        <v>0.30420000000000003</v>
      </c>
      <c r="F119" s="1057">
        <f t="shared" si="12"/>
        <v>7.2790815549184096E-4</v>
      </c>
      <c r="G119" s="1054">
        <f t="shared" si="9"/>
        <v>30</v>
      </c>
      <c r="H119" s="812">
        <f t="shared" si="13"/>
        <v>189758</v>
      </c>
      <c r="I119" s="814"/>
    </row>
    <row r="120" spans="1:9" ht="12.75">
      <c r="A120" s="741">
        <v>50</v>
      </c>
      <c r="B120" s="800">
        <v>43282</v>
      </c>
      <c r="C120" s="1073">
        <v>43312</v>
      </c>
      <c r="D120" s="1985">
        <v>0.20030000000000001</v>
      </c>
      <c r="E120" s="1985">
        <f t="shared" si="11"/>
        <v>0.30044999999999999</v>
      </c>
      <c r="F120" s="1057">
        <f t="shared" si="12"/>
        <v>7.2001349197825526E-4</v>
      </c>
      <c r="G120" s="1054">
        <f t="shared" si="9"/>
        <v>31</v>
      </c>
      <c r="H120" s="812">
        <f t="shared" si="13"/>
        <v>193957</v>
      </c>
      <c r="I120" s="814"/>
    </row>
    <row r="121" spans="1:9" ht="12.75">
      <c r="A121" s="1132">
        <v>51</v>
      </c>
      <c r="B121" s="800">
        <v>43313</v>
      </c>
      <c r="C121" s="1073">
        <v>43343</v>
      </c>
      <c r="D121" s="1985">
        <v>0.19939999999999999</v>
      </c>
      <c r="E121" s="1985">
        <f>+D121*1.5</f>
        <v>0.29909999999999998</v>
      </c>
      <c r="F121" s="1057">
        <f t="shared" si="12"/>
        <v>7.1716585429704161E-4</v>
      </c>
      <c r="G121" s="1054">
        <f t="shared" si="9"/>
        <v>31</v>
      </c>
      <c r="H121" s="812">
        <f t="shared" si="13"/>
        <v>193190</v>
      </c>
      <c r="I121" s="814"/>
    </row>
    <row r="122" spans="1:9" ht="12.75">
      <c r="A122" s="741">
        <v>52</v>
      </c>
      <c r="B122" s="800">
        <v>43344</v>
      </c>
      <c r="C122" s="800">
        <v>43373</v>
      </c>
      <c r="D122" s="1985">
        <v>0.1981</v>
      </c>
      <c r="E122" s="1985">
        <f t="shared" si="11"/>
        <v>0.29715000000000003</v>
      </c>
      <c r="F122" s="1057">
        <f t="shared" si="12"/>
        <v>7.1304738558919389E-4</v>
      </c>
      <c r="G122" s="1054">
        <f t="shared" si="9"/>
        <v>30</v>
      </c>
      <c r="H122" s="812">
        <f t="shared" si="13"/>
        <v>185884</v>
      </c>
      <c r="I122" s="814"/>
    </row>
    <row r="123" spans="1:9" ht="12.75">
      <c r="A123" s="1132">
        <v>53</v>
      </c>
      <c r="B123" s="800">
        <v>43374</v>
      </c>
      <c r="C123" s="1073">
        <v>43404</v>
      </c>
      <c r="D123" s="1985">
        <v>0.1963</v>
      </c>
      <c r="E123" s="1985">
        <f t="shared" si="11"/>
        <v>0.29444999999999999</v>
      </c>
      <c r="F123" s="1057">
        <f t="shared" si="12"/>
        <v>7.073346857742191E-4</v>
      </c>
      <c r="G123" s="1054">
        <f t="shared" si="9"/>
        <v>31</v>
      </c>
      <c r="H123" s="812">
        <f t="shared" si="13"/>
        <v>190542</v>
      </c>
      <c r="I123" s="814"/>
    </row>
    <row r="124" spans="1:9" ht="12.75">
      <c r="A124" s="741">
        <v>54</v>
      </c>
      <c r="B124" s="800">
        <v>43405</v>
      </c>
      <c r="C124" s="1073">
        <v>43434</v>
      </c>
      <c r="D124" s="1985">
        <v>0.19489999999999999</v>
      </c>
      <c r="E124" s="1985">
        <f t="shared" si="11"/>
        <v>0.29235</v>
      </c>
      <c r="F124" s="1057">
        <f t="shared" si="12"/>
        <v>7.0288325333756063E-4</v>
      </c>
      <c r="G124" s="1054">
        <f t="shared" si="9"/>
        <v>30</v>
      </c>
      <c r="H124" s="812">
        <f t="shared" si="13"/>
        <v>183235</v>
      </c>
      <c r="I124" s="814"/>
    </row>
    <row r="125" spans="1:9" ht="12.75">
      <c r="A125" s="1132">
        <v>55</v>
      </c>
      <c r="B125" s="800">
        <v>43435</v>
      </c>
      <c r="C125" s="800">
        <v>43465</v>
      </c>
      <c r="D125" s="1985">
        <v>0.19400000000000001</v>
      </c>
      <c r="E125" s="1985">
        <f t="shared" si="11"/>
        <v>0.29100000000000004</v>
      </c>
      <c r="F125" s="1057">
        <f t="shared" si="12"/>
        <v>7.0001780740103214E-4</v>
      </c>
      <c r="G125" s="1054">
        <f t="shared" si="9"/>
        <v>31</v>
      </c>
      <c r="H125" s="812">
        <f t="shared" si="13"/>
        <v>188570</v>
      </c>
      <c r="I125" s="814"/>
    </row>
    <row r="126" spans="1:9" ht="12.75">
      <c r="A126" s="1132">
        <v>56</v>
      </c>
      <c r="B126" s="800">
        <v>43466</v>
      </c>
      <c r="C126" s="1073">
        <v>43496</v>
      </c>
      <c r="D126" s="1985">
        <v>0.19159999999999999</v>
      </c>
      <c r="E126" s="1985">
        <f t="shared" si="11"/>
        <v>0.28739999999999999</v>
      </c>
      <c r="F126" s="1057">
        <f t="shared" si="12"/>
        <v>6.9236198468725085E-4</v>
      </c>
      <c r="G126" s="1054">
        <f t="shared" si="9"/>
        <v>31</v>
      </c>
      <c r="H126" s="812">
        <f t="shared" si="13"/>
        <v>186508</v>
      </c>
      <c r="I126" s="814"/>
    </row>
    <row r="127" spans="1:9" ht="12.75">
      <c r="A127" s="741">
        <v>57</v>
      </c>
      <c r="B127" s="800">
        <v>43497</v>
      </c>
      <c r="C127" s="1073">
        <v>43524</v>
      </c>
      <c r="D127" s="1985">
        <v>0.19700000000000001</v>
      </c>
      <c r="E127" s="1985">
        <f t="shared" si="11"/>
        <v>0.29549999999999998</v>
      </c>
      <c r="F127" s="1057">
        <f t="shared" si="12"/>
        <v>7.0955770203506852E-4</v>
      </c>
      <c r="G127" s="1054">
        <f t="shared" si="9"/>
        <v>28</v>
      </c>
      <c r="H127" s="812">
        <f t="shared" si="13"/>
        <v>172643</v>
      </c>
      <c r="I127" s="814"/>
    </row>
    <row r="128" spans="1:9" ht="12.75">
      <c r="A128" s="1132">
        <v>58</v>
      </c>
      <c r="B128" s="800">
        <v>43525</v>
      </c>
      <c r="C128" s="1073">
        <v>43555</v>
      </c>
      <c r="D128" s="1985">
        <v>0.19370000000000001</v>
      </c>
      <c r="E128" s="1985">
        <f t="shared" si="11"/>
        <v>0.29055000000000003</v>
      </c>
      <c r="F128" s="1057">
        <f t="shared" si="12"/>
        <v>6.9906199467517638E-4</v>
      </c>
      <c r="G128" s="1054">
        <f t="shared" si="9"/>
        <v>31</v>
      </c>
      <c r="H128" s="812">
        <f t="shared" si="13"/>
        <v>188313</v>
      </c>
      <c r="I128" s="814"/>
    </row>
    <row r="129" spans="1:9" ht="12.75">
      <c r="A129" s="741">
        <v>59</v>
      </c>
      <c r="B129" s="800">
        <v>43556</v>
      </c>
      <c r="C129" s="800">
        <v>43585</v>
      </c>
      <c r="D129" s="1985">
        <v>0.19320000000000001</v>
      </c>
      <c r="E129" s="1985">
        <f t="shared" si="11"/>
        <v>0.2898</v>
      </c>
      <c r="F129" s="1057">
        <f t="shared" si="12"/>
        <v>6.9746823462724095E-4</v>
      </c>
      <c r="G129" s="1054">
        <f t="shared" si="9"/>
        <v>30</v>
      </c>
      <c r="H129" s="812">
        <f t="shared" si="13"/>
        <v>181823</v>
      </c>
      <c r="I129" s="814"/>
    </row>
    <row r="130" spans="1:9" ht="12.75">
      <c r="A130" s="1132">
        <v>60</v>
      </c>
      <c r="B130" s="800">
        <v>43586</v>
      </c>
      <c r="C130" s="1073">
        <v>43616</v>
      </c>
      <c r="D130" s="1985">
        <v>0.19339999999999999</v>
      </c>
      <c r="E130" s="1985">
        <f t="shared" si="11"/>
        <v>0.29009999999999997</v>
      </c>
      <c r="F130" s="1057">
        <f t="shared" si="12"/>
        <v>6.9810584952367805E-4</v>
      </c>
      <c r="G130" s="1054">
        <f t="shared" si="9"/>
        <v>31</v>
      </c>
      <c r="H130" s="812">
        <f t="shared" si="13"/>
        <v>188055</v>
      </c>
      <c r="I130" s="814"/>
    </row>
    <row r="131" spans="1:9" ht="12.75">
      <c r="A131" s="741">
        <v>61</v>
      </c>
      <c r="B131" s="800">
        <v>43617</v>
      </c>
      <c r="C131" s="1073">
        <v>43646</v>
      </c>
      <c r="D131" s="1985">
        <v>0.193</v>
      </c>
      <c r="E131" s="1985">
        <f t="shared" si="11"/>
        <v>0.28949999999999998</v>
      </c>
      <c r="F131" s="1057">
        <f t="shared" si="12"/>
        <v>6.9683047181468005E-4</v>
      </c>
      <c r="G131" s="1054">
        <f t="shared" si="9"/>
        <v>30</v>
      </c>
      <c r="H131" s="812">
        <f t="shared" si="13"/>
        <v>181657</v>
      </c>
      <c r="I131" s="814"/>
    </row>
    <row r="132" spans="1:9" ht="12.75">
      <c r="A132" s="1132">
        <v>62</v>
      </c>
      <c r="B132" s="800">
        <v>43647</v>
      </c>
      <c r="C132" s="1073">
        <v>43677</v>
      </c>
      <c r="D132" s="1985">
        <v>0.1928</v>
      </c>
      <c r="E132" s="1985">
        <f t="shared" si="11"/>
        <v>0.28920000000000001</v>
      </c>
      <c r="F132" s="1057">
        <f t="shared" si="12"/>
        <v>6.9619256101671745E-4</v>
      </c>
      <c r="G132" s="1054">
        <f t="shared" si="9"/>
        <v>31</v>
      </c>
      <c r="H132" s="812">
        <f t="shared" si="13"/>
        <v>187540</v>
      </c>
      <c r="I132" s="814"/>
    </row>
    <row r="133" spans="1:9" ht="12.75">
      <c r="A133" s="741">
        <v>63</v>
      </c>
      <c r="B133" s="800">
        <v>43678</v>
      </c>
      <c r="C133" s="800">
        <v>43708</v>
      </c>
      <c r="D133" s="1985">
        <v>0.19320000000000001</v>
      </c>
      <c r="E133" s="1985">
        <f t="shared" si="11"/>
        <v>0.2898</v>
      </c>
      <c r="F133" s="1057">
        <f t="shared" si="12"/>
        <v>6.9746823462724095E-4</v>
      </c>
      <c r="G133" s="1054">
        <f t="shared" si="9"/>
        <v>31</v>
      </c>
      <c r="H133" s="812">
        <f t="shared" si="13"/>
        <v>187884</v>
      </c>
      <c r="I133" s="814"/>
    </row>
    <row r="134" spans="1:9" ht="12.75">
      <c r="A134" s="1132">
        <v>64</v>
      </c>
      <c r="B134" s="800">
        <v>43709</v>
      </c>
      <c r="C134" s="1073">
        <v>43738</v>
      </c>
      <c r="D134" s="1985">
        <v>0.19320000000000001</v>
      </c>
      <c r="E134" s="1985">
        <f t="shared" si="11"/>
        <v>0.2898</v>
      </c>
      <c r="F134" s="1057">
        <f t="shared" si="12"/>
        <v>6.9746823462724095E-4</v>
      </c>
      <c r="G134" s="1054">
        <f t="shared" si="9"/>
        <v>30</v>
      </c>
      <c r="H134" s="812">
        <f t="shared" si="13"/>
        <v>181823</v>
      </c>
      <c r="I134" s="814"/>
    </row>
    <row r="135" spans="1:9" ht="12.75">
      <c r="A135" s="741">
        <v>65</v>
      </c>
      <c r="B135" s="800">
        <v>43739</v>
      </c>
      <c r="C135" s="1073">
        <v>43769</v>
      </c>
      <c r="D135" s="1985">
        <v>0.191</v>
      </c>
      <c r="E135" s="1985">
        <f t="shared" si="11"/>
        <v>0.28649999999999998</v>
      </c>
      <c r="F135" s="1057">
        <f t="shared" si="12"/>
        <v>6.9044469314105683E-4</v>
      </c>
      <c r="G135" s="1054">
        <f t="shared" ref="G135:G161" si="14">_xlfn.DAYS(C135,B135)+1</f>
        <v>31</v>
      </c>
      <c r="H135" s="812">
        <f t="shared" si="13"/>
        <v>185992</v>
      </c>
      <c r="I135" s="814"/>
    </row>
    <row r="136" spans="1:9" ht="12.75">
      <c r="A136" s="1132">
        <v>66</v>
      </c>
      <c r="B136" s="800">
        <v>43770</v>
      </c>
      <c r="C136" s="1073">
        <v>43799</v>
      </c>
      <c r="D136" s="1985">
        <v>0.1903</v>
      </c>
      <c r="E136" s="1985">
        <f t="shared" si="11"/>
        <v>0.28544999999999998</v>
      </c>
      <c r="F136" s="1057">
        <f t="shared" si="12"/>
        <v>6.8820616169262827E-4</v>
      </c>
      <c r="G136" s="1054">
        <f t="shared" si="14"/>
        <v>30</v>
      </c>
      <c r="H136" s="812">
        <f t="shared" si="13"/>
        <v>179408</v>
      </c>
      <c r="I136" s="814"/>
    </row>
    <row r="137" spans="1:9" ht="12.75">
      <c r="A137" s="1132">
        <v>67</v>
      </c>
      <c r="B137" s="800">
        <v>43800</v>
      </c>
      <c r="C137" s="800">
        <v>43830</v>
      </c>
      <c r="D137" s="1985">
        <v>0.18909999999999999</v>
      </c>
      <c r="E137" s="1985">
        <f t="shared" si="11"/>
        <v>0.28364999999999996</v>
      </c>
      <c r="F137" s="1057">
        <f t="shared" si="12"/>
        <v>6.8436443340047504E-4</v>
      </c>
      <c r="G137" s="1054">
        <f t="shared" si="14"/>
        <v>31</v>
      </c>
      <c r="H137" s="812">
        <f t="shared" si="13"/>
        <v>184354</v>
      </c>
      <c r="I137" s="814"/>
    </row>
    <row r="138" spans="1:9" ht="12.75">
      <c r="A138" s="741">
        <v>68</v>
      </c>
      <c r="B138" s="800">
        <v>43831</v>
      </c>
      <c r="C138" s="1073">
        <v>43861</v>
      </c>
      <c r="D138" s="1985">
        <v>0.18770000000000001</v>
      </c>
      <c r="E138" s="1985">
        <f t="shared" si="11"/>
        <v>0.28155000000000002</v>
      </c>
      <c r="F138" s="1057">
        <f t="shared" si="12"/>
        <v>6.7987562124560696E-4</v>
      </c>
      <c r="G138" s="1054">
        <f t="shared" si="14"/>
        <v>31</v>
      </c>
      <c r="H138" s="812">
        <f t="shared" si="13"/>
        <v>183145</v>
      </c>
      <c r="I138" s="814"/>
    </row>
    <row r="139" spans="1:9" ht="12.75">
      <c r="A139" s="1132">
        <v>69</v>
      </c>
      <c r="B139" s="800">
        <v>43862</v>
      </c>
      <c r="C139" s="800">
        <v>43890</v>
      </c>
      <c r="D139" s="1985">
        <v>0.19059999999999999</v>
      </c>
      <c r="E139" s="1985">
        <f t="shared" si="11"/>
        <v>0.28589999999999999</v>
      </c>
      <c r="F139" s="1057">
        <f t="shared" si="12"/>
        <v>6.8916575551658532E-4</v>
      </c>
      <c r="G139" s="1054">
        <f t="shared" si="14"/>
        <v>29</v>
      </c>
      <c r="H139" s="812">
        <f t="shared" si="13"/>
        <v>173670</v>
      </c>
      <c r="I139" s="814"/>
    </row>
    <row r="140" spans="1:9" ht="12.75">
      <c r="A140" s="741">
        <v>70</v>
      </c>
      <c r="B140" s="800">
        <v>43891</v>
      </c>
      <c r="C140" s="1073">
        <v>43921</v>
      </c>
      <c r="D140" s="1985">
        <v>0.1895</v>
      </c>
      <c r="E140" s="1985">
        <f t="shared" si="11"/>
        <v>0.28425</v>
      </c>
      <c r="F140" s="1057">
        <f t="shared" si="12"/>
        <v>6.8564560609574166E-4</v>
      </c>
      <c r="G140" s="1054">
        <f t="shared" si="14"/>
        <v>31</v>
      </c>
      <c r="H140" s="812">
        <f t="shared" si="13"/>
        <v>184699</v>
      </c>
      <c r="I140" s="814"/>
    </row>
    <row r="141" spans="1:9" ht="12.75">
      <c r="A141" s="1132">
        <v>71</v>
      </c>
      <c r="B141" s="800">
        <v>43922</v>
      </c>
      <c r="C141" s="1073">
        <v>43951</v>
      </c>
      <c r="D141" s="1985">
        <v>0.18690000000000001</v>
      </c>
      <c r="E141" s="1985">
        <f t="shared" si="11"/>
        <v>0.28034999999999999</v>
      </c>
      <c r="F141" s="1057">
        <f t="shared" si="12"/>
        <v>6.7730729113191224E-4</v>
      </c>
      <c r="G141" s="1054">
        <f t="shared" si="14"/>
        <v>30</v>
      </c>
      <c r="H141" s="812">
        <f t="shared" si="13"/>
        <v>176567</v>
      </c>
      <c r="I141" s="814"/>
    </row>
    <row r="142" spans="1:9" ht="12.75">
      <c r="A142" s="741">
        <v>72</v>
      </c>
      <c r="B142" s="800">
        <v>43952</v>
      </c>
      <c r="C142" s="1073">
        <v>43982</v>
      </c>
      <c r="D142" s="1985">
        <v>0.18190000000000001</v>
      </c>
      <c r="E142" s="1985">
        <f t="shared" si="11"/>
        <v>0.27285000000000004</v>
      </c>
      <c r="F142" s="1057">
        <f t="shared" si="12"/>
        <v>6.6120063584418354E-4</v>
      </c>
      <c r="G142" s="1054">
        <f t="shared" si="14"/>
        <v>31</v>
      </c>
      <c r="H142" s="812">
        <f t="shared" si="13"/>
        <v>178114</v>
      </c>
      <c r="I142" s="814"/>
    </row>
    <row r="143" spans="1:9" ht="12.75">
      <c r="A143" s="1132">
        <v>73</v>
      </c>
      <c r="B143" s="800">
        <v>43983</v>
      </c>
      <c r="C143" s="800">
        <v>44012</v>
      </c>
      <c r="D143" s="1985">
        <v>0.1812</v>
      </c>
      <c r="E143" s="1985">
        <f t="shared" si="11"/>
        <v>0.27179999999999999</v>
      </c>
      <c r="F143" s="1057">
        <f t="shared" si="12"/>
        <v>6.5893815469997286E-4</v>
      </c>
      <c r="G143" s="1054">
        <f t="shared" si="14"/>
        <v>30</v>
      </c>
      <c r="H143" s="812">
        <f t="shared" si="13"/>
        <v>171779</v>
      </c>
      <c r="I143" s="814"/>
    </row>
    <row r="144" spans="1:9" ht="12.75">
      <c r="A144" s="741">
        <v>74</v>
      </c>
      <c r="B144" s="800">
        <v>44013</v>
      </c>
      <c r="C144" s="1073">
        <v>44043</v>
      </c>
      <c r="D144" s="1985">
        <v>0.1812</v>
      </c>
      <c r="E144" s="1985">
        <f t="shared" si="11"/>
        <v>0.27179999999999999</v>
      </c>
      <c r="F144" s="1057">
        <f t="shared" si="12"/>
        <v>6.5893815469997286E-4</v>
      </c>
      <c r="G144" s="1054">
        <f t="shared" si="14"/>
        <v>31</v>
      </c>
      <c r="H144" s="812">
        <f t="shared" si="13"/>
        <v>177504</v>
      </c>
      <c r="I144" s="814"/>
    </row>
    <row r="145" spans="1:9" ht="12.75">
      <c r="A145" s="1132">
        <v>75</v>
      </c>
      <c r="B145" s="800">
        <v>44044</v>
      </c>
      <c r="C145" s="800">
        <v>44074</v>
      </c>
      <c r="D145" s="1985">
        <v>0.18290000000000001</v>
      </c>
      <c r="E145" s="1985">
        <f t="shared" si="11"/>
        <v>0.27434999999999998</v>
      </c>
      <c r="F145" s="1057">
        <f t="shared" si="12"/>
        <v>6.6442952514544906E-4</v>
      </c>
      <c r="G145" s="1054">
        <f t="shared" si="14"/>
        <v>31</v>
      </c>
      <c r="H145" s="812">
        <f t="shared" si="13"/>
        <v>178984</v>
      </c>
      <c r="I145" s="814"/>
    </row>
    <row r="146" spans="1:9" ht="12.75">
      <c r="A146" s="741">
        <v>76</v>
      </c>
      <c r="B146" s="800">
        <v>44075</v>
      </c>
      <c r="C146" s="1073">
        <v>44104</v>
      </c>
      <c r="D146" s="1985">
        <v>0.1835</v>
      </c>
      <c r="E146" s="1985">
        <f t="shared" si="11"/>
        <v>0.27524999999999999</v>
      </c>
      <c r="F146" s="1057">
        <f t="shared" si="12"/>
        <v>6.6636503991857055E-4</v>
      </c>
      <c r="G146" s="1054">
        <f t="shared" si="14"/>
        <v>30</v>
      </c>
      <c r="H146" s="812">
        <f t="shared" si="13"/>
        <v>173715</v>
      </c>
      <c r="I146" s="814"/>
    </row>
    <row r="147" spans="1:9" ht="12.75">
      <c r="A147" s="1132">
        <v>77</v>
      </c>
      <c r="B147" s="800">
        <v>44105</v>
      </c>
      <c r="C147" s="1073">
        <v>44135</v>
      </c>
      <c r="D147" s="1985">
        <v>0.18090000000000001</v>
      </c>
      <c r="E147" s="1985">
        <f t="shared" si="11"/>
        <v>0.27134999999999998</v>
      </c>
      <c r="F147" s="1057">
        <f t="shared" si="12"/>
        <v>6.5796794962613703E-4</v>
      </c>
      <c r="G147" s="1054">
        <f t="shared" si="14"/>
        <v>31</v>
      </c>
      <c r="H147" s="812">
        <f t="shared" si="13"/>
        <v>177243</v>
      </c>
      <c r="I147" s="814"/>
    </row>
    <row r="148" spans="1:9" ht="12.75">
      <c r="A148" s="1132">
        <v>78</v>
      </c>
      <c r="B148" s="800">
        <v>44136</v>
      </c>
      <c r="C148" s="1073">
        <v>44165</v>
      </c>
      <c r="D148" s="1985">
        <v>0.1784</v>
      </c>
      <c r="E148" s="1985">
        <f t="shared" si="11"/>
        <v>0.2676</v>
      </c>
      <c r="F148" s="1057">
        <f t="shared" si="12"/>
        <v>6.4986956374091243E-4</v>
      </c>
      <c r="G148" s="1054">
        <f t="shared" si="14"/>
        <v>30</v>
      </c>
      <c r="H148" s="812">
        <f t="shared" si="13"/>
        <v>169414</v>
      </c>
      <c r="I148" s="814"/>
    </row>
    <row r="149" spans="1:9" ht="12.75">
      <c r="A149" s="741">
        <v>79</v>
      </c>
      <c r="B149" s="800">
        <v>44166</v>
      </c>
      <c r="C149" s="800">
        <v>44196</v>
      </c>
      <c r="D149" s="1985">
        <v>0.17460000000000001</v>
      </c>
      <c r="E149" s="1985">
        <f t="shared" si="11"/>
        <v>0.26190000000000002</v>
      </c>
      <c r="F149" s="1057">
        <f t="shared" si="12"/>
        <v>6.3751414410861962E-4</v>
      </c>
      <c r="G149" s="1054">
        <f t="shared" si="14"/>
        <v>31</v>
      </c>
      <c r="H149" s="812">
        <f t="shared" si="13"/>
        <v>171733</v>
      </c>
      <c r="I149" s="814"/>
    </row>
    <row r="150" spans="1:9" ht="12.75">
      <c r="A150" s="1132">
        <v>80</v>
      </c>
      <c r="B150" s="800">
        <v>44197</v>
      </c>
      <c r="C150" s="1073">
        <v>44227</v>
      </c>
      <c r="D150" s="1985">
        <v>0.17319999999999999</v>
      </c>
      <c r="E150" s="1985">
        <f t="shared" si="11"/>
        <v>0.25979999999999998</v>
      </c>
      <c r="F150" s="1057">
        <f t="shared" si="12"/>
        <v>6.3294811266723094E-4</v>
      </c>
      <c r="G150" s="1054">
        <f t="shared" si="14"/>
        <v>31</v>
      </c>
      <c r="H150" s="812">
        <f t="shared" si="13"/>
        <v>170503</v>
      </c>
      <c r="I150" s="814"/>
    </row>
    <row r="151" spans="1:9" ht="12.75">
      <c r="A151" s="741">
        <v>81</v>
      </c>
      <c r="B151" s="800">
        <v>44228</v>
      </c>
      <c r="C151" s="800">
        <v>44255</v>
      </c>
      <c r="D151" s="1985">
        <v>0.1754</v>
      </c>
      <c r="E151" s="1985">
        <f t="shared" si="11"/>
        <v>0.2631</v>
      </c>
      <c r="F151" s="1057">
        <f t="shared" si="12"/>
        <v>6.4011990387169426E-4</v>
      </c>
      <c r="G151" s="1054">
        <f t="shared" si="14"/>
        <v>28</v>
      </c>
      <c r="H151" s="812">
        <f t="shared" si="13"/>
        <v>155748</v>
      </c>
      <c r="I151" s="814"/>
    </row>
    <row r="152" spans="1:9" ht="12.75">
      <c r="A152" s="1132">
        <v>82</v>
      </c>
      <c r="B152" s="800">
        <v>44256</v>
      </c>
      <c r="C152" s="800">
        <v>44286</v>
      </c>
      <c r="D152" s="1985">
        <v>0.1741</v>
      </c>
      <c r="E152" s="1985">
        <f t="shared" si="11"/>
        <v>0.26114999999999999</v>
      </c>
      <c r="F152" s="1057">
        <f t="shared" si="12"/>
        <v>6.3588428907812578E-4</v>
      </c>
      <c r="G152" s="1054">
        <f t="shared" si="14"/>
        <v>31</v>
      </c>
      <c r="H152" s="812">
        <f t="shared" si="13"/>
        <v>171294</v>
      </c>
      <c r="I152" s="814"/>
    </row>
    <row r="153" spans="1:9" ht="12.75">
      <c r="A153" s="741">
        <v>83</v>
      </c>
      <c r="B153" s="800">
        <v>44287</v>
      </c>
      <c r="C153" s="1073">
        <v>44316</v>
      </c>
      <c r="D153" s="1985">
        <v>0.1731</v>
      </c>
      <c r="E153" s="1985">
        <f t="shared" si="11"/>
        <v>0.25964999999999999</v>
      </c>
      <c r="F153" s="1057">
        <f t="shared" si="12"/>
        <v>6.326216771728177E-4</v>
      </c>
      <c r="G153" s="1054">
        <f t="shared" si="14"/>
        <v>30</v>
      </c>
      <c r="H153" s="812">
        <f t="shared" si="13"/>
        <v>164918</v>
      </c>
      <c r="I153" s="814"/>
    </row>
    <row r="154" spans="1:9" ht="12.75">
      <c r="A154" s="1132">
        <v>84</v>
      </c>
      <c r="B154" s="800">
        <v>44317</v>
      </c>
      <c r="C154" s="1073">
        <v>44347</v>
      </c>
      <c r="D154" s="1984">
        <v>0.17219999999999999</v>
      </c>
      <c r="E154" s="1984">
        <f t="shared" si="11"/>
        <v>0.25829999999999997</v>
      </c>
      <c r="F154" s="1057">
        <f t="shared" si="12"/>
        <v>6.2968201205726437E-4</v>
      </c>
      <c r="G154" s="1054">
        <f t="shared" si="14"/>
        <v>31</v>
      </c>
      <c r="H154" s="812">
        <f t="shared" si="13"/>
        <v>169623</v>
      </c>
      <c r="I154" s="814"/>
    </row>
    <row r="155" spans="1:9" ht="12.75">
      <c r="A155" s="741">
        <v>85</v>
      </c>
      <c r="B155" s="800">
        <v>44348</v>
      </c>
      <c r="C155" s="800">
        <v>44377</v>
      </c>
      <c r="D155" s="1984">
        <v>0.1721</v>
      </c>
      <c r="E155" s="1984">
        <f t="shared" ref="E155:E161" si="15">+D155*1.5</f>
        <v>0.25814999999999999</v>
      </c>
      <c r="F155" s="1057">
        <f t="shared" si="12"/>
        <v>6.2935518846773952E-4</v>
      </c>
      <c r="G155" s="1054">
        <f t="shared" si="14"/>
        <v>30</v>
      </c>
      <c r="H155" s="812">
        <f t="shared" si="13"/>
        <v>164067</v>
      </c>
      <c r="I155" s="814"/>
    </row>
    <row r="156" spans="1:9" ht="12.75">
      <c r="A156" s="1132">
        <v>86</v>
      </c>
      <c r="B156" s="800">
        <v>44378</v>
      </c>
      <c r="C156" s="800">
        <v>44408</v>
      </c>
      <c r="D156" s="1984">
        <v>0.17180000000000001</v>
      </c>
      <c r="E156" s="1984">
        <f t="shared" si="15"/>
        <v>0.25770000000000004</v>
      </c>
      <c r="F156" s="909">
        <f t="shared" ref="F156:F161" si="16">((1+E156)^(1/365))-1</f>
        <v>6.2837448450037137E-4</v>
      </c>
      <c r="G156" s="1054">
        <f t="shared" si="14"/>
        <v>31</v>
      </c>
      <c r="H156" s="812">
        <f t="shared" ref="H156:H161" si="17">ROUND(F156*G156*$C$67,0)</f>
        <v>169271</v>
      </c>
      <c r="I156" s="814"/>
    </row>
    <row r="157" spans="1:9" ht="12.75">
      <c r="A157" s="741">
        <v>87</v>
      </c>
      <c r="B157" s="800">
        <v>44409</v>
      </c>
      <c r="C157" s="800">
        <v>44439</v>
      </c>
      <c r="D157" s="1984">
        <v>0.1724</v>
      </c>
      <c r="E157" s="1984">
        <f t="shared" si="15"/>
        <v>0.2586</v>
      </c>
      <c r="F157" s="909">
        <f t="shared" si="16"/>
        <v>6.3033554269220637E-4</v>
      </c>
      <c r="G157" s="1054">
        <f t="shared" si="14"/>
        <v>31</v>
      </c>
      <c r="H157" s="812">
        <f t="shared" si="17"/>
        <v>169800</v>
      </c>
      <c r="I157" s="814"/>
    </row>
    <row r="158" spans="1:9" ht="12.75">
      <c r="A158" s="1132">
        <v>88</v>
      </c>
      <c r="B158" s="800">
        <v>44440</v>
      </c>
      <c r="C158" s="800">
        <v>44469</v>
      </c>
      <c r="D158" s="1984">
        <v>0.1719</v>
      </c>
      <c r="E158" s="1984">
        <f t="shared" si="15"/>
        <v>0.25785000000000002</v>
      </c>
      <c r="F158" s="909">
        <f t="shared" si="16"/>
        <v>6.2870142469861889E-4</v>
      </c>
      <c r="G158" s="1054">
        <f t="shared" si="14"/>
        <v>30</v>
      </c>
      <c r="H158" s="812">
        <f t="shared" si="17"/>
        <v>163896</v>
      </c>
      <c r="I158" s="814"/>
    </row>
    <row r="159" spans="1:9" ht="12.75">
      <c r="A159" s="741">
        <v>89</v>
      </c>
      <c r="B159" s="800">
        <v>44470</v>
      </c>
      <c r="C159" s="800">
        <v>44500</v>
      </c>
      <c r="D159" s="1984">
        <v>0.17080000000000001</v>
      </c>
      <c r="E159" s="1984">
        <f t="shared" si="15"/>
        <v>0.25619999999999998</v>
      </c>
      <c r="F159" s="909">
        <f t="shared" si="16"/>
        <v>6.2510294214179751E-4</v>
      </c>
      <c r="G159" s="1054">
        <f t="shared" si="14"/>
        <v>31</v>
      </c>
      <c r="H159" s="812">
        <f t="shared" si="17"/>
        <v>168390</v>
      </c>
      <c r="I159" s="814"/>
    </row>
    <row r="160" spans="1:9" ht="12.75">
      <c r="A160" s="1132">
        <v>90</v>
      </c>
      <c r="B160" s="800">
        <v>44501</v>
      </c>
      <c r="C160" s="800">
        <v>44530</v>
      </c>
      <c r="D160" s="1984">
        <v>0.17269999999999999</v>
      </c>
      <c r="E160" s="1984">
        <f t="shared" si="15"/>
        <v>0.25905</v>
      </c>
      <c r="F160" s="909">
        <f t="shared" si="16"/>
        <v>6.3131554742335005E-4</v>
      </c>
      <c r="G160" s="1054">
        <f t="shared" si="14"/>
        <v>30</v>
      </c>
      <c r="H160" s="812">
        <f t="shared" si="17"/>
        <v>164578</v>
      </c>
      <c r="I160" s="814"/>
    </row>
    <row r="161" spans="1:9" ht="12.75">
      <c r="A161" s="741">
        <v>91</v>
      </c>
      <c r="B161" s="800">
        <v>44531</v>
      </c>
      <c r="C161" s="800">
        <v>44550</v>
      </c>
      <c r="D161" s="1984">
        <v>0.17460000000000001</v>
      </c>
      <c r="E161" s="1984">
        <f t="shared" si="15"/>
        <v>0.26190000000000002</v>
      </c>
      <c r="F161" s="909">
        <f t="shared" si="16"/>
        <v>6.3751414410861962E-4</v>
      </c>
      <c r="G161" s="1054">
        <f t="shared" si="14"/>
        <v>20</v>
      </c>
      <c r="H161" s="812">
        <f t="shared" si="17"/>
        <v>110796</v>
      </c>
    </row>
    <row r="162" spans="1:9" ht="26.25" customHeight="1" thickBot="1">
      <c r="A162" s="814"/>
      <c r="B162" s="979"/>
      <c r="C162" s="814"/>
      <c r="D162" s="814"/>
      <c r="E162" s="979"/>
      <c r="F162" s="814"/>
      <c r="G162" s="1058" t="s">
        <v>162</v>
      </c>
      <c r="H162" s="812">
        <f>SUM(H70:H161)</f>
        <v>14061855</v>
      </c>
    </row>
    <row r="163" spans="1:9" ht="13.5" thickTop="1">
      <c r="A163" s="814"/>
      <c r="B163" s="1987" t="s">
        <v>55</v>
      </c>
      <c r="C163" s="1988"/>
      <c r="D163" s="927"/>
      <c r="E163" s="814"/>
      <c r="F163" s="814"/>
      <c r="G163" s="1059"/>
      <c r="H163" s="814"/>
    </row>
    <row r="164" spans="1:9" ht="12.75">
      <c r="A164" s="814"/>
      <c r="B164" s="726" t="s">
        <v>56</v>
      </c>
      <c r="C164" s="726" t="s">
        <v>163</v>
      </c>
      <c r="D164" s="927"/>
      <c r="E164" s="814"/>
      <c r="F164" s="814"/>
    </row>
    <row r="165" spans="1:9" ht="12.75">
      <c r="A165" s="814"/>
      <c r="B165" s="741" t="s">
        <v>133</v>
      </c>
      <c r="C165" s="857">
        <f>+C67</f>
        <v>8689663</v>
      </c>
      <c r="D165" s="927"/>
      <c r="E165" s="814"/>
      <c r="F165" s="814"/>
    </row>
    <row r="166" spans="1:9" ht="12.75">
      <c r="A166" s="814"/>
      <c r="B166" s="741" t="s">
        <v>134</v>
      </c>
      <c r="C166" s="858">
        <f>+H162</f>
        <v>14061855</v>
      </c>
      <c r="D166" s="927"/>
      <c r="E166" s="814"/>
      <c r="F166" s="814"/>
    </row>
    <row r="167" spans="1:9" ht="13.5" thickBot="1">
      <c r="A167" s="814"/>
      <c r="B167" s="817" t="s">
        <v>61</v>
      </c>
      <c r="C167" s="859">
        <f>SUM(C165:C166)</f>
        <v>22751518</v>
      </c>
      <c r="D167" s="927"/>
      <c r="E167" s="927"/>
      <c r="F167" s="814"/>
    </row>
    <row r="168" spans="1:9" ht="13.5" thickTop="1">
      <c r="A168" s="814"/>
      <c r="B168" s="1989" t="s">
        <v>62</v>
      </c>
      <c r="C168" s="1990"/>
      <c r="D168" s="927"/>
      <c r="E168" s="814"/>
      <c r="F168" s="814"/>
      <c r="I168" s="814"/>
    </row>
    <row r="169" spans="1:9" ht="6.75" customHeight="1">
      <c r="A169" s="814"/>
      <c r="B169" s="1980"/>
      <c r="C169" s="1991"/>
      <c r="D169" s="814"/>
      <c r="E169" s="814"/>
      <c r="F169" s="814"/>
      <c r="I169" s="814"/>
    </row>
    <row r="170" spans="1:9" ht="12.75">
      <c r="A170" s="814"/>
      <c r="B170" s="1980"/>
      <c r="C170" s="1991"/>
      <c r="D170" s="814"/>
      <c r="E170" s="814"/>
      <c r="F170" s="979"/>
      <c r="G170" s="1059"/>
      <c r="H170" s="814"/>
      <c r="I170" s="814"/>
    </row>
    <row r="171" spans="1:9" ht="12.75">
      <c r="A171" s="814"/>
      <c r="B171" s="1989" t="s">
        <v>63</v>
      </c>
      <c r="C171" s="1991"/>
      <c r="D171" s="814"/>
      <c r="E171" s="814"/>
      <c r="F171" s="979"/>
      <c r="G171" s="1059"/>
      <c r="H171" s="814"/>
      <c r="I171" s="814"/>
    </row>
    <row r="172" spans="1:9" ht="12.75">
      <c r="A172" s="814"/>
      <c r="B172" s="1989" t="s">
        <v>64</v>
      </c>
      <c r="C172" s="1991"/>
      <c r="D172" s="814"/>
      <c r="E172" s="814"/>
      <c r="F172" s="979"/>
      <c r="G172" s="1059"/>
      <c r="H172" s="814"/>
      <c r="I172" s="814"/>
    </row>
    <row r="173" spans="1:9" ht="12.75">
      <c r="A173" s="814"/>
      <c r="B173" s="1989" t="s">
        <v>65</v>
      </c>
      <c r="C173" s="1991"/>
      <c r="D173" s="814"/>
      <c r="E173" s="814"/>
      <c r="F173" s="979"/>
      <c r="G173" s="1059"/>
      <c r="H173" s="814"/>
      <c r="I173" s="814"/>
    </row>
    <row r="174" spans="1:9" ht="12.75">
      <c r="A174" s="814"/>
      <c r="B174" s="1989"/>
      <c r="C174" s="1991"/>
      <c r="D174" s="814"/>
      <c r="E174" s="814"/>
      <c r="F174" s="979"/>
      <c r="G174" s="1059"/>
      <c r="H174" s="814"/>
      <c r="I174" s="814"/>
    </row>
    <row r="175" spans="1:9">
      <c r="B175" s="354" t="s">
        <v>903</v>
      </c>
      <c r="C175" s="233"/>
    </row>
    <row r="176" spans="1:9" ht="13.5">
      <c r="B176" s="219" t="s">
        <v>904</v>
      </c>
      <c r="C176" s="1992">
        <f>+C165</f>
        <v>8689663</v>
      </c>
      <c r="D176" s="1944" t="s">
        <v>320</v>
      </c>
      <c r="E176" s="1113" t="s">
        <v>321</v>
      </c>
      <c r="F176" s="1113" t="s">
        <v>88</v>
      </c>
      <c r="G176" s="1113" t="s">
        <v>86</v>
      </c>
      <c r="H176" s="1113" t="s">
        <v>97</v>
      </c>
    </row>
    <row r="177" spans="2:9" ht="12.75">
      <c r="B177" s="800">
        <v>44551</v>
      </c>
      <c r="C177" s="800">
        <v>44561</v>
      </c>
      <c r="D177" s="1984">
        <v>0.17460000000000001</v>
      </c>
      <c r="E177" s="1984">
        <f>+D177*1.5</f>
        <v>0.26190000000000002</v>
      </c>
      <c r="F177" s="909">
        <f>((1+E177)^(1/365))-1</f>
        <v>6.3751414410861962E-4</v>
      </c>
      <c r="G177" s="1054">
        <f t="shared" ref="G177:G184" si="18">_xlfn.DAYS(C177,B177)+1</f>
        <v>11</v>
      </c>
      <c r="H177" s="812">
        <f>ROUND(F177*G177*$C$67,0)</f>
        <v>60938</v>
      </c>
    </row>
    <row r="178" spans="2:9" ht="12.75">
      <c r="B178" s="800">
        <v>44562</v>
      </c>
      <c r="C178" s="800">
        <v>44592</v>
      </c>
      <c r="D178" s="1120">
        <v>0.17660000000000001</v>
      </c>
      <c r="E178" s="1984">
        <f t="shared" ref="E178:E184" si="19">+D178*1.5</f>
        <v>0.26490000000000002</v>
      </c>
      <c r="F178" s="909">
        <f t="shared" ref="F178:F184" si="20">((1+E178)^(1/365))-1</f>
        <v>6.4402391816376081E-4</v>
      </c>
      <c r="G178" s="1054">
        <f t="shared" si="18"/>
        <v>31</v>
      </c>
      <c r="H178" s="812">
        <f t="shared" ref="H178:H184" si="21">ROUND(F178*G178*$C$67,0)</f>
        <v>173487</v>
      </c>
    </row>
    <row r="179" spans="2:9" ht="12.75">
      <c r="B179" s="800">
        <v>44593</v>
      </c>
      <c r="C179" s="800">
        <v>44620</v>
      </c>
      <c r="D179" s="1120">
        <v>0.183</v>
      </c>
      <c r="E179" s="1984">
        <f t="shared" si="19"/>
        <v>0.27449999999999997</v>
      </c>
      <c r="F179" s="909">
        <f t="shared" si="20"/>
        <v>6.6475220558892545E-4</v>
      </c>
      <c r="G179" s="1054">
        <f t="shared" si="18"/>
        <v>28</v>
      </c>
      <c r="H179" s="812">
        <f t="shared" si="21"/>
        <v>161741</v>
      </c>
    </row>
    <row r="180" spans="2:9" ht="12.75">
      <c r="B180" s="800">
        <v>44621</v>
      </c>
      <c r="C180" s="800">
        <v>44651</v>
      </c>
      <c r="D180" s="1120">
        <v>0.1847</v>
      </c>
      <c r="E180" s="1984">
        <f t="shared" si="19"/>
        <v>0.27705000000000002</v>
      </c>
      <c r="F180" s="909">
        <f t="shared" si="20"/>
        <v>6.7023198611315671E-4</v>
      </c>
      <c r="G180" s="1054">
        <f t="shared" si="18"/>
        <v>31</v>
      </c>
      <c r="H180" s="812">
        <f t="shared" si="21"/>
        <v>180547</v>
      </c>
    </row>
    <row r="181" spans="2:9" ht="12.75">
      <c r="B181" s="800">
        <v>44652</v>
      </c>
      <c r="C181" s="800">
        <v>44681</v>
      </c>
      <c r="D181" s="1120">
        <v>0.1905</v>
      </c>
      <c r="E181" s="1984">
        <f t="shared" si="19"/>
        <v>0.28575</v>
      </c>
      <c r="F181" s="909">
        <f t="shared" si="20"/>
        <v>6.8884592812357148E-4</v>
      </c>
      <c r="G181" s="1054">
        <f t="shared" si="18"/>
        <v>30</v>
      </c>
      <c r="H181" s="812">
        <f t="shared" si="21"/>
        <v>179575</v>
      </c>
    </row>
    <row r="182" spans="2:9" ht="12.75">
      <c r="B182" s="800">
        <v>44682</v>
      </c>
      <c r="C182" s="800">
        <v>44712</v>
      </c>
      <c r="D182" s="1120">
        <v>0.1971</v>
      </c>
      <c r="E182" s="1984">
        <f t="shared" si="19"/>
        <v>0.29564999999999997</v>
      </c>
      <c r="F182" s="909">
        <f t="shared" si="20"/>
        <v>7.0987512909947981E-4</v>
      </c>
      <c r="G182" s="1054">
        <f t="shared" si="18"/>
        <v>31</v>
      </c>
      <c r="H182" s="812">
        <f t="shared" si="21"/>
        <v>191226</v>
      </c>
    </row>
    <row r="183" spans="2:9" ht="12.75">
      <c r="B183" s="800">
        <v>44713</v>
      </c>
      <c r="C183" s="800">
        <v>44742</v>
      </c>
      <c r="D183" s="1120">
        <v>0.20399999999999999</v>
      </c>
      <c r="E183" s="1984">
        <f t="shared" si="19"/>
        <v>0.30599999999999999</v>
      </c>
      <c r="F183" s="909">
        <f t="shared" si="20"/>
        <v>7.3168955664093538E-4</v>
      </c>
      <c r="G183" s="1054">
        <f t="shared" si="18"/>
        <v>30</v>
      </c>
      <c r="H183" s="812">
        <f t="shared" si="21"/>
        <v>190744</v>
      </c>
    </row>
    <row r="184" spans="2:9" ht="12.75">
      <c r="B184" s="800">
        <v>44743</v>
      </c>
      <c r="C184" s="800">
        <v>44773</v>
      </c>
      <c r="D184" s="1120" t="s">
        <v>210</v>
      </c>
      <c r="E184" s="1984" t="e">
        <f t="shared" si="19"/>
        <v>#VALUE!</v>
      </c>
      <c r="F184" s="909" t="e">
        <f t="shared" si="20"/>
        <v>#VALUE!</v>
      </c>
      <c r="G184" s="1054">
        <f t="shared" si="18"/>
        <v>31</v>
      </c>
      <c r="H184" s="812" t="e">
        <f t="shared" si="21"/>
        <v>#VALUE!</v>
      </c>
    </row>
    <row r="185" spans="2:9">
      <c r="F185" s="1993" t="s">
        <v>93</v>
      </c>
      <c r="G185" s="1994"/>
      <c r="H185" s="1995" t="e">
        <f>SUM(H177:H184)</f>
        <v>#VALUE!</v>
      </c>
    </row>
    <row r="187" spans="2:9" ht="15" customHeight="1"/>
    <row r="188" spans="2:9" ht="13.5" customHeight="1">
      <c r="D188" s="1996" t="s">
        <v>905</v>
      </c>
      <c r="E188" s="1996"/>
      <c r="F188" s="1997"/>
      <c r="G188" s="1996" t="s">
        <v>906</v>
      </c>
      <c r="H188" s="1996"/>
      <c r="I188" s="1998"/>
    </row>
    <row r="189" spans="2:9" ht="25.5">
      <c r="D189" s="1999" t="s">
        <v>56</v>
      </c>
      <c r="E189" s="1999" t="s">
        <v>163</v>
      </c>
      <c r="F189" s="1997"/>
      <c r="G189" s="1999" t="s">
        <v>56</v>
      </c>
      <c r="H189" s="2000" t="s">
        <v>163</v>
      </c>
      <c r="I189" s="2001" t="s">
        <v>606</v>
      </c>
    </row>
    <row r="190" spans="2:9" ht="25.5">
      <c r="D190" s="2002" t="s">
        <v>133</v>
      </c>
      <c r="E190" s="2003">
        <v>10562035.614856331</v>
      </c>
      <c r="F190" s="1997"/>
      <c r="G190" s="2002" t="s">
        <v>133</v>
      </c>
      <c r="H190" s="2003">
        <f>+C165</f>
        <v>8689663</v>
      </c>
      <c r="I190" s="2004">
        <f>+H190-E190</f>
        <v>-1872372.6148563307</v>
      </c>
    </row>
    <row r="191" spans="2:9" ht="26.25" thickBot="1">
      <c r="D191" s="2005" t="s">
        <v>134</v>
      </c>
      <c r="E191" s="2006">
        <v>17091783.058718421</v>
      </c>
      <c r="F191" s="1997"/>
      <c r="G191" s="2005" t="s">
        <v>134</v>
      </c>
      <c r="H191" s="2006" t="e">
        <f>+H162+H185</f>
        <v>#VALUE!</v>
      </c>
      <c r="I191" s="2004" t="e">
        <f>+H191-E191</f>
        <v>#VALUE!</v>
      </c>
    </row>
    <row r="192" spans="2:9" ht="13.5" thickTop="1">
      <c r="D192" s="2007" t="s">
        <v>61</v>
      </c>
      <c r="E192" s="2003">
        <v>27653818.673574753</v>
      </c>
      <c r="F192" s="1997"/>
      <c r="G192" s="2007" t="s">
        <v>61</v>
      </c>
      <c r="H192" s="2003" t="e">
        <f>SUM(H190:H191)</f>
        <v>#VALUE!</v>
      </c>
      <c r="I192" s="2004" t="e">
        <f>SUM(I190:I191)</f>
        <v>#VALUE!</v>
      </c>
    </row>
    <row r="193" spans="5:9">
      <c r="E193" s="2008"/>
    </row>
    <row r="194" spans="5:9">
      <c r="E194" s="2008"/>
      <c r="I194" s="2009"/>
    </row>
    <row r="195" spans="5:9">
      <c r="E195" s="2008"/>
    </row>
    <row r="198" spans="5:9">
      <c r="F198" s="234"/>
    </row>
    <row r="199" spans="5:9">
      <c r="F199" s="234"/>
    </row>
    <row r="200" spans="5:9">
      <c r="F200" s="234"/>
    </row>
    <row r="201" spans="5:9">
      <c r="F201" s="234"/>
    </row>
    <row r="202" spans="5:9">
      <c r="F202" s="234"/>
    </row>
    <row r="203" spans="5:9">
      <c r="F203" s="234"/>
    </row>
    <row r="204" spans="5:9">
      <c r="F204" s="234"/>
    </row>
    <row r="205" spans="5:9">
      <c r="F205" s="234"/>
    </row>
    <row r="206" spans="5:9">
      <c r="F206" s="234"/>
    </row>
    <row r="207" spans="5:9">
      <c r="F207" s="234"/>
    </row>
    <row r="208" spans="5:9">
      <c r="F208" s="234"/>
    </row>
    <row r="209" spans="6:10">
      <c r="F209" s="234"/>
      <c r="H209" s="2010"/>
      <c r="I209" s="2011"/>
      <c r="J209" s="2012"/>
    </row>
    <row r="229" spans="8:8">
      <c r="H229" s="2013"/>
    </row>
  </sheetData>
  <pageMargins left="0.7" right="0.7" top="0.75" bottom="0.75" header="0.3" footer="0.3"/>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57"/>
  <dimension ref="A3:R31"/>
  <sheetViews>
    <sheetView topLeftCell="A18" workbookViewId="0">
      <selection activeCell="D19" sqref="D19"/>
    </sheetView>
  </sheetViews>
  <sheetFormatPr defaultColWidth="9.140625" defaultRowHeight="11.25"/>
  <cols>
    <col min="1" max="1" width="17" style="147" customWidth="1"/>
    <col min="2" max="2" width="18" style="147" customWidth="1"/>
    <col min="3" max="3" width="12.7109375" style="147" customWidth="1"/>
    <col min="4" max="4" width="14.7109375" style="147" customWidth="1"/>
    <col min="5" max="5" width="6.42578125" style="147" customWidth="1"/>
    <col min="6" max="6" width="7.7109375" style="147" customWidth="1"/>
    <col min="7" max="7" width="11.42578125" style="147" customWidth="1"/>
    <col min="8" max="8" width="10" style="147" customWidth="1"/>
    <col min="9" max="9" width="14.5703125" style="147" customWidth="1"/>
    <col min="10" max="10" width="16.5703125" style="147" bestFit="1" customWidth="1"/>
    <col min="11" max="11" width="11.42578125" style="147" customWidth="1"/>
    <col min="12" max="12" width="12.5703125" style="147" bestFit="1" customWidth="1"/>
    <col min="13" max="258" width="11.42578125" style="147" customWidth="1"/>
    <col min="259" max="16384" width="9.140625" style="147"/>
  </cols>
  <sheetData>
    <row r="3" spans="1:18" ht="22.5">
      <c r="A3" s="192" t="s">
        <v>508</v>
      </c>
      <c r="B3" s="370" t="s">
        <v>907</v>
      </c>
    </row>
    <row r="4" spans="1:18" ht="33.75">
      <c r="A4" s="1444" t="s">
        <v>219</v>
      </c>
      <c r="B4" s="1444" t="s">
        <v>226</v>
      </c>
    </row>
    <row r="5" spans="1:18">
      <c r="A5" s="370" t="s">
        <v>908</v>
      </c>
      <c r="B5" s="159">
        <v>290786219</v>
      </c>
    </row>
    <row r="6" spans="1:18">
      <c r="A6" s="370" t="s">
        <v>909</v>
      </c>
      <c r="B6" s="159">
        <v>195614971</v>
      </c>
    </row>
    <row r="8" spans="1:18" ht="22.5">
      <c r="A8" s="1444" t="s">
        <v>910</v>
      </c>
      <c r="B8" s="16">
        <v>43211</v>
      </c>
    </row>
    <row r="9" spans="1:18" ht="45">
      <c r="A9" s="401" t="s">
        <v>911</v>
      </c>
      <c r="B9" s="401" t="s">
        <v>912</v>
      </c>
      <c r="C9" s="401" t="s">
        <v>227</v>
      </c>
      <c r="D9" s="397" t="s">
        <v>228</v>
      </c>
      <c r="E9" s="397" t="s">
        <v>229</v>
      </c>
      <c r="F9" s="397" t="s">
        <v>230</v>
      </c>
      <c r="G9" s="397" t="s">
        <v>231</v>
      </c>
      <c r="H9" s="397" t="s">
        <v>232</v>
      </c>
      <c r="I9" s="401" t="s">
        <v>233</v>
      </c>
    </row>
    <row r="10" spans="1:18">
      <c r="A10" s="16">
        <v>43211</v>
      </c>
      <c r="B10" s="16">
        <v>43465</v>
      </c>
      <c r="C10" s="1017">
        <f>+B5</f>
        <v>290786219</v>
      </c>
      <c r="D10" s="1016">
        <v>4.0899999999999999E-2</v>
      </c>
      <c r="E10" s="370">
        <v>8.4600000000000009</v>
      </c>
      <c r="F10" s="1016">
        <v>2.8899999999999999E-2</v>
      </c>
      <c r="G10" s="1017">
        <f>(((C10*F10)/12*E10))+C10</f>
        <v>296710842.8190155</v>
      </c>
      <c r="H10" s="1016">
        <v>8.4599999999999995E-2</v>
      </c>
      <c r="I10" s="159">
        <f>+G10*H10</f>
        <v>25101737.302488711</v>
      </c>
    </row>
    <row r="11" spans="1:18">
      <c r="A11" s="16">
        <v>43466</v>
      </c>
      <c r="B11" s="16">
        <v>43830</v>
      </c>
      <c r="C11" s="1017">
        <f>+G10</f>
        <v>296710842.8190155</v>
      </c>
      <c r="D11" s="1016">
        <v>3.1800000000000002E-2</v>
      </c>
      <c r="E11" s="370">
        <v>12</v>
      </c>
      <c r="F11" s="1016">
        <v>3.1800000000000002E-2</v>
      </c>
      <c r="G11" s="1017">
        <f>(((C11*F11)/12*E11))+C11</f>
        <v>306146247.62066019</v>
      </c>
      <c r="H11" s="1441">
        <v>0.12</v>
      </c>
      <c r="I11" s="159">
        <f>+G11*H11</f>
        <v>36737549.714479223</v>
      </c>
    </row>
    <row r="12" spans="1:18">
      <c r="A12" s="16">
        <v>43831</v>
      </c>
      <c r="B12" s="16">
        <v>44196</v>
      </c>
      <c r="C12" s="1017">
        <f>+G11</f>
        <v>306146247.62066019</v>
      </c>
      <c r="D12" s="1016">
        <v>3.7999999999999999E-2</v>
      </c>
      <c r="E12" s="370">
        <v>12</v>
      </c>
      <c r="F12" s="1016">
        <v>3.7999999999999999E-2</v>
      </c>
      <c r="G12" s="1017">
        <f>(((C12*F12)/12*E12))+C12</f>
        <v>317779805.03024524</v>
      </c>
      <c r="H12" s="1441">
        <v>0.12</v>
      </c>
      <c r="I12" s="159">
        <f>+G12*H12</f>
        <v>38133576.603629425</v>
      </c>
    </row>
    <row r="13" spans="1:18">
      <c r="A13" s="16">
        <v>44197</v>
      </c>
      <c r="B13" s="16">
        <v>44557</v>
      </c>
      <c r="C13" s="1017">
        <f>+G12</f>
        <v>317779805.03024524</v>
      </c>
      <c r="D13" s="1016">
        <v>1.61E-2</v>
      </c>
      <c r="E13" s="370">
        <v>12</v>
      </c>
      <c r="F13" s="1016">
        <v>1.44E-2</v>
      </c>
      <c r="G13" s="1017">
        <f>(((C13*F13)/12*E13))+C13</f>
        <v>322355834.22268075</v>
      </c>
      <c r="H13" s="1441">
        <v>0.12</v>
      </c>
      <c r="I13" s="159">
        <f>+G13*H13</f>
        <v>38682700.106721692</v>
      </c>
    </row>
    <row r="14" spans="1:18">
      <c r="G14" s="68" t="s">
        <v>913</v>
      </c>
      <c r="H14" s="370"/>
      <c r="I14" s="159">
        <f>SUM(I10:I13)</f>
        <v>138655563.72731906</v>
      </c>
      <c r="L14" s="147" t="s">
        <v>914</v>
      </c>
    </row>
    <row r="15" spans="1:18">
      <c r="M15" s="147">
        <v>30</v>
      </c>
      <c r="N15" s="147">
        <v>1</v>
      </c>
    </row>
    <row r="16" spans="1:18">
      <c r="M16" s="147">
        <f>_xlfn.DAYS(B10,A10)</f>
        <v>254</v>
      </c>
      <c r="P16" s="488">
        <v>224725470</v>
      </c>
      <c r="Q16" s="1442">
        <v>1.0999999999999999E-2</v>
      </c>
      <c r="R16" s="488">
        <f>+P16*0.011</f>
        <v>2471980.17</v>
      </c>
    </row>
    <row r="17" spans="1:18">
      <c r="N17" s="147">
        <f>+M16*N15/M15</f>
        <v>8.4666666666666668</v>
      </c>
      <c r="P17" s="147">
        <v>233107730</v>
      </c>
      <c r="Q17" s="147">
        <v>12</v>
      </c>
      <c r="R17" s="488">
        <f>+P17*12%</f>
        <v>27972927.599999998</v>
      </c>
    </row>
    <row r="18" spans="1:18">
      <c r="A18" s="2724" t="s">
        <v>55</v>
      </c>
      <c r="B18" s="2725"/>
    </row>
    <row r="19" spans="1:18">
      <c r="A19" s="148" t="s">
        <v>56</v>
      </c>
      <c r="B19" s="68" t="s">
        <v>163</v>
      </c>
    </row>
    <row r="20" spans="1:18" ht="37.5" customHeight="1">
      <c r="A20" s="192" t="s">
        <v>283</v>
      </c>
      <c r="B20" s="159">
        <f>+G13</f>
        <v>322355834.22268075</v>
      </c>
      <c r="M20" s="147">
        <v>12</v>
      </c>
      <c r="N20" s="147">
        <v>4.09</v>
      </c>
    </row>
    <row r="21" spans="1:18" ht="47.25" customHeight="1">
      <c r="A21" s="192" t="s">
        <v>915</v>
      </c>
      <c r="B21" s="1508">
        <f>+B6</f>
        <v>195614971</v>
      </c>
      <c r="M21" s="147">
        <f>+N17</f>
        <v>8.4666666666666668</v>
      </c>
    </row>
    <row r="22" spans="1:18" ht="22.5">
      <c r="A22" s="192" t="s">
        <v>916</v>
      </c>
      <c r="B22" s="159">
        <f>+I14</f>
        <v>138655563.72731906</v>
      </c>
      <c r="D22" s="1500">
        <v>97533371</v>
      </c>
      <c r="N22" s="1440">
        <f>+M21*N20/M20</f>
        <v>2.8857222222222223</v>
      </c>
    </row>
    <row r="23" spans="1:18" ht="22.5">
      <c r="A23" s="192" t="s">
        <v>348</v>
      </c>
      <c r="B23" s="159">
        <v>2240940</v>
      </c>
      <c r="D23" s="1500">
        <f>+D22*2</f>
        <v>195066742</v>
      </c>
      <c r="N23" s="1440"/>
    </row>
    <row r="24" spans="1:18">
      <c r="A24" s="1443" t="s">
        <v>61</v>
      </c>
      <c r="B24" s="1028">
        <f>SUM(B20:B23)</f>
        <v>658867308.94999981</v>
      </c>
    </row>
    <row r="25" spans="1:18">
      <c r="L25" s="147">
        <v>12</v>
      </c>
      <c r="M25" s="147">
        <v>3.17</v>
      </c>
    </row>
    <row r="26" spans="1:18" ht="12.75">
      <c r="A26" s="719" t="s">
        <v>62</v>
      </c>
      <c r="B26" s="791"/>
      <c r="L26" s="147">
        <v>1.1000000000000001</v>
      </c>
      <c r="M26" s="1440">
        <f>+L26*M25/L25</f>
        <v>0.29058333333333336</v>
      </c>
    </row>
    <row r="27" spans="1:18" ht="12.75">
      <c r="A27" s="911"/>
      <c r="B27" s="791"/>
    </row>
    <row r="28" spans="1:18" ht="12.75">
      <c r="A28" s="911"/>
      <c r="B28" s="791"/>
    </row>
    <row r="29" spans="1:18" ht="12.75">
      <c r="A29" s="719" t="s">
        <v>63</v>
      </c>
      <c r="B29" s="791"/>
    </row>
    <row r="30" spans="1:18" ht="12.75">
      <c r="A30" s="719" t="s">
        <v>64</v>
      </c>
      <c r="B30" s="791"/>
    </row>
    <row r="31" spans="1:18" ht="12.75">
      <c r="A31" s="719" t="s">
        <v>65</v>
      </c>
      <c r="B31" s="791"/>
    </row>
  </sheetData>
  <mergeCells count="1">
    <mergeCell ref="A18:B18"/>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D01A0-84B8-4980-850D-4B51BDC6A002}">
  <sheetPr codeName="Hoja42"/>
  <dimension ref="A2:W188"/>
  <sheetViews>
    <sheetView topLeftCell="A10" workbookViewId="0">
      <selection activeCell="G34" sqref="G33:G34"/>
    </sheetView>
  </sheetViews>
  <sheetFormatPr defaultColWidth="11.42578125" defaultRowHeight="12.75"/>
  <cols>
    <col min="1" max="1" width="2.85546875" style="791" customWidth="1"/>
    <col min="2" max="2" width="22.28515625" style="791" customWidth="1"/>
    <col min="3" max="3" width="14.7109375" style="791" customWidth="1"/>
    <col min="4" max="4" width="10.28515625" style="791" customWidth="1"/>
    <col min="5" max="5" width="12" style="791" customWidth="1"/>
    <col min="6" max="6" width="12.5703125" style="791" customWidth="1"/>
    <col min="7" max="7" width="12.42578125" style="791" customWidth="1"/>
    <col min="8" max="8" width="11.42578125" style="791"/>
    <col min="9" max="9" width="14.85546875" style="791" bestFit="1" customWidth="1"/>
    <col min="10" max="16384" width="11.42578125" style="791"/>
  </cols>
  <sheetData>
    <row r="2" spans="2:6">
      <c r="B2" s="728" t="s">
        <v>508</v>
      </c>
      <c r="C2" s="737" t="s">
        <v>917</v>
      </c>
    </row>
    <row r="3" spans="2:6">
      <c r="B3" s="728" t="s">
        <v>238</v>
      </c>
      <c r="C3" s="737"/>
    </row>
    <row r="4" spans="2:6">
      <c r="B4" s="728" t="s">
        <v>4</v>
      </c>
      <c r="C4" s="724">
        <v>43241</v>
      </c>
    </row>
    <row r="5" spans="2:6">
      <c r="B5" s="1471" t="s">
        <v>918</v>
      </c>
      <c r="C5" s="908">
        <v>43643</v>
      </c>
    </row>
    <row r="6" spans="2:6">
      <c r="B6" s="1471" t="s">
        <v>291</v>
      </c>
      <c r="C6" s="908" t="s">
        <v>919</v>
      </c>
    </row>
    <row r="7" spans="2:6">
      <c r="B7" s="1471" t="s">
        <v>920</v>
      </c>
      <c r="C7" s="908" t="s">
        <v>851</v>
      </c>
    </row>
    <row r="8" spans="2:6">
      <c r="B8" s="1471" t="s">
        <v>351</v>
      </c>
      <c r="C8" s="908" t="s">
        <v>921</v>
      </c>
    </row>
    <row r="9" spans="2:6">
      <c r="B9" s="888" t="s">
        <v>72</v>
      </c>
      <c r="C9" s="1446" t="s">
        <v>460</v>
      </c>
      <c r="D9" s="1446" t="s">
        <v>459</v>
      </c>
      <c r="E9" s="1167"/>
    </row>
    <row r="10" spans="2:6">
      <c r="B10" s="912" t="s">
        <v>922</v>
      </c>
      <c r="C10" s="850">
        <f>1054000+210800</f>
        <v>1264800</v>
      </c>
      <c r="D10" s="850">
        <f>1243720+248744</f>
        <v>1492464</v>
      </c>
      <c r="E10" s="851"/>
    </row>
    <row r="11" spans="2:6" ht="25.5">
      <c r="B11" s="1078" t="s">
        <v>464</v>
      </c>
      <c r="C11" s="850">
        <v>606900</v>
      </c>
      <c r="D11" s="850">
        <v>716142</v>
      </c>
      <c r="E11" s="1170"/>
      <c r="F11" s="982"/>
    </row>
    <row r="12" spans="2:6">
      <c r="B12" s="1447" t="s">
        <v>923</v>
      </c>
      <c r="C12" s="929">
        <f>+C10*0.2</f>
        <v>252960</v>
      </c>
      <c r="D12" s="737"/>
      <c r="E12" s="851"/>
      <c r="F12" s="982"/>
    </row>
    <row r="13" spans="2:6">
      <c r="B13" s="1448" t="s">
        <v>924</v>
      </c>
      <c r="C13" s="737"/>
      <c r="D13" s="929">
        <f>+D10*0.2</f>
        <v>298492.79999999999</v>
      </c>
      <c r="E13" s="851"/>
    </row>
    <row r="14" spans="2:6">
      <c r="B14" s="888" t="s">
        <v>465</v>
      </c>
      <c r="C14" s="850">
        <f>+C10-C11+C12</f>
        <v>910860</v>
      </c>
      <c r="D14" s="850">
        <f>+D10-D11+D13</f>
        <v>1074814.8</v>
      </c>
      <c r="E14" s="851"/>
    </row>
    <row r="15" spans="2:6">
      <c r="C15" s="851"/>
      <c r="D15" s="851"/>
      <c r="E15" s="851"/>
    </row>
    <row r="16" spans="2:6" ht="25.5">
      <c r="B16" s="1141" t="s">
        <v>925</v>
      </c>
      <c r="C16" s="1449">
        <v>99.16</v>
      </c>
      <c r="D16" s="851"/>
      <c r="E16" s="851"/>
    </row>
    <row r="17" spans="2:9">
      <c r="B17" s="1194" t="s">
        <v>469</v>
      </c>
      <c r="C17" s="1469"/>
      <c r="D17" s="922" t="s">
        <v>926</v>
      </c>
      <c r="E17" s="1470" t="s">
        <v>77</v>
      </c>
      <c r="F17" s="922" t="s">
        <v>878</v>
      </c>
    </row>
    <row r="18" spans="2:9">
      <c r="B18" s="737" t="s">
        <v>472</v>
      </c>
      <c r="C18" s="850">
        <f>+C31</f>
        <v>1084984</v>
      </c>
      <c r="D18" s="737">
        <v>21.8</v>
      </c>
      <c r="E18" s="735">
        <f t="shared" ref="E18:E23" si="0">+$C$16/D18</f>
        <v>4.5486238532110086</v>
      </c>
      <c r="F18" s="929">
        <f t="shared" ref="F18:F23" si="1">+C18*E18</f>
        <v>4935184.1027522925</v>
      </c>
    </row>
    <row r="19" spans="2:9">
      <c r="B19" s="737" t="s">
        <v>927</v>
      </c>
      <c r="C19" s="895">
        <f>+C32</f>
        <v>130198.08</v>
      </c>
      <c r="D19" s="737">
        <v>21.8</v>
      </c>
      <c r="E19" s="735">
        <f t="shared" si="0"/>
        <v>4.5486238532110086</v>
      </c>
      <c r="F19" s="929">
        <f t="shared" si="1"/>
        <v>592222.09233027522</v>
      </c>
    </row>
    <row r="20" spans="2:9">
      <c r="B20" s="737" t="s">
        <v>477</v>
      </c>
      <c r="C20" s="850">
        <f>+(C14*360)/360</f>
        <v>910860</v>
      </c>
      <c r="D20" s="737">
        <v>21.8</v>
      </c>
      <c r="E20" s="735">
        <f t="shared" si="0"/>
        <v>4.5486238532110086</v>
      </c>
      <c r="F20" s="929">
        <f t="shared" si="1"/>
        <v>4143159.5229357793</v>
      </c>
    </row>
    <row r="21" spans="2:9">
      <c r="B21" s="737" t="s">
        <v>480</v>
      </c>
      <c r="C21" s="850">
        <f>+C30</f>
        <v>1001524.2777777779</v>
      </c>
      <c r="D21" s="737">
        <v>21.8</v>
      </c>
      <c r="E21" s="735">
        <f t="shared" si="0"/>
        <v>4.5486238532110086</v>
      </c>
      <c r="F21" s="929">
        <f t="shared" si="1"/>
        <v>4555557.2194699282</v>
      </c>
    </row>
    <row r="22" spans="2:9">
      <c r="B22" s="737" t="s">
        <v>482</v>
      </c>
      <c r="C22" s="850">
        <f>+C29</f>
        <v>664168.4</v>
      </c>
      <c r="D22" s="737">
        <v>21.8</v>
      </c>
      <c r="E22" s="735">
        <f t="shared" si="0"/>
        <v>4.5486238532110086</v>
      </c>
      <c r="F22" s="929">
        <f t="shared" si="1"/>
        <v>3021052.2267889907</v>
      </c>
    </row>
    <row r="23" spans="2:9">
      <c r="B23" s="737" t="s">
        <v>485</v>
      </c>
      <c r="C23" s="850">
        <f>+C27</f>
        <v>632541.33333333326</v>
      </c>
      <c r="D23" s="737">
        <v>21.8</v>
      </c>
      <c r="E23" s="735">
        <f t="shared" si="0"/>
        <v>4.5486238532110086</v>
      </c>
      <c r="F23" s="929">
        <f t="shared" si="1"/>
        <v>2877192.5969418953</v>
      </c>
    </row>
    <row r="24" spans="2:9">
      <c r="B24" s="728" t="s">
        <v>928</v>
      </c>
      <c r="C24" s="895">
        <f>SUM(C18:C23)</f>
        <v>4424276.0911111115</v>
      </c>
      <c r="D24" s="737"/>
      <c r="E24" s="735"/>
      <c r="F24" s="1450">
        <f>SUM(F18:F23)</f>
        <v>20124367.761219162</v>
      </c>
    </row>
    <row r="25" spans="2:9">
      <c r="B25" s="848" t="s">
        <v>929</v>
      </c>
      <c r="C25" s="879"/>
      <c r="I25" s="1170"/>
    </row>
    <row r="26" spans="2:9">
      <c r="B26" s="737" t="s">
        <v>930</v>
      </c>
      <c r="C26" s="850">
        <f>+C14*50%</f>
        <v>455430</v>
      </c>
      <c r="D26" s="850">
        <f>+C26/12</f>
        <v>37952.5</v>
      </c>
      <c r="I26" s="1170"/>
    </row>
    <row r="27" spans="2:9">
      <c r="B27" s="737" t="s">
        <v>931</v>
      </c>
      <c r="C27" s="850">
        <f>+INT(C14+D26)/30*20</f>
        <v>632541.33333333326</v>
      </c>
      <c r="D27" s="850">
        <f>+C27/12</f>
        <v>52711.777777777774</v>
      </c>
      <c r="I27" s="1170"/>
    </row>
    <row r="28" spans="2:9">
      <c r="B28" s="737" t="s">
        <v>932</v>
      </c>
      <c r="C28" s="850">
        <f>+C17/30*2</f>
        <v>0</v>
      </c>
      <c r="D28" s="850">
        <v>0</v>
      </c>
      <c r="I28" s="1170"/>
    </row>
    <row r="29" spans="2:9">
      <c r="B29" s="737" t="s">
        <v>22</v>
      </c>
      <c r="C29" s="850">
        <f>+INT(C14+D26)/30*21</f>
        <v>664168.4</v>
      </c>
      <c r="D29" s="850">
        <v>0</v>
      </c>
      <c r="I29" s="1170"/>
    </row>
    <row r="30" spans="2:9">
      <c r="B30" s="737" t="s">
        <v>478</v>
      </c>
      <c r="C30" s="850">
        <f>+(C14+D26+D27)/360*360</f>
        <v>1001524.2777777779</v>
      </c>
      <c r="D30" s="850">
        <f>+C30/12</f>
        <v>83460.356481481489</v>
      </c>
      <c r="I30" s="1170"/>
    </row>
    <row r="31" spans="2:9">
      <c r="B31" s="737" t="s">
        <v>490</v>
      </c>
      <c r="C31" s="850">
        <f>+INT(C14+D26+D27+D30)/360*360</f>
        <v>1084984</v>
      </c>
      <c r="D31" s="850">
        <v>0</v>
      </c>
      <c r="I31" s="1170"/>
    </row>
    <row r="32" spans="2:9">
      <c r="B32" s="737" t="s">
        <v>575</v>
      </c>
      <c r="C32" s="850">
        <f>(C31*0.12/360)*360</f>
        <v>130198.08</v>
      </c>
      <c r="D32" s="850">
        <v>0</v>
      </c>
      <c r="I32" s="1170"/>
    </row>
    <row r="33" spans="2:12">
      <c r="B33" s="728" t="s">
        <v>489</v>
      </c>
      <c r="C33" s="737"/>
      <c r="D33" s="922" t="s">
        <v>933</v>
      </c>
      <c r="E33" s="1470" t="s">
        <v>77</v>
      </c>
      <c r="F33" s="922" t="s">
        <v>878</v>
      </c>
    </row>
    <row r="34" spans="2:12">
      <c r="B34" s="737" t="s">
        <v>472</v>
      </c>
      <c r="C34" s="850">
        <f>+C47</f>
        <v>1280281</v>
      </c>
      <c r="D34" s="737">
        <v>26.52</v>
      </c>
      <c r="E34" s="735">
        <f t="shared" ref="E34:E39" si="2">+$C$16/D34</f>
        <v>3.7390648567119156</v>
      </c>
      <c r="F34" s="929">
        <f t="shared" ref="F34:F39" si="3">+C34*E34</f>
        <v>4787053.6938159876</v>
      </c>
      <c r="L34" s="737"/>
    </row>
    <row r="35" spans="2:12">
      <c r="B35" s="737" t="s">
        <v>927</v>
      </c>
      <c r="C35" s="895">
        <f>+C48</f>
        <v>153633.72</v>
      </c>
      <c r="D35" s="737">
        <v>26.52</v>
      </c>
      <c r="E35" s="735">
        <f t="shared" si="2"/>
        <v>3.7390648567119156</v>
      </c>
      <c r="F35" s="929">
        <f t="shared" si="3"/>
        <v>574446.44325791858</v>
      </c>
      <c r="L35" s="737"/>
    </row>
    <row r="36" spans="2:12">
      <c r="B36" s="737" t="s">
        <v>477</v>
      </c>
      <c r="C36" s="850">
        <f>+(D14*360)/360</f>
        <v>1074814.8</v>
      </c>
      <c r="D36" s="737">
        <v>26.52</v>
      </c>
      <c r="E36" s="735">
        <f t="shared" si="2"/>
        <v>3.7390648567119156</v>
      </c>
      <c r="F36" s="929">
        <f t="shared" si="3"/>
        <v>4018802.2461538464</v>
      </c>
      <c r="L36" s="737"/>
    </row>
    <row r="37" spans="2:12">
      <c r="B37" s="737" t="s">
        <v>480</v>
      </c>
      <c r="C37" s="895">
        <f>+C46</f>
        <v>1181798.638888889</v>
      </c>
      <c r="D37" s="737">
        <v>26.52</v>
      </c>
      <c r="E37" s="735">
        <f t="shared" si="2"/>
        <v>3.7390648567119156</v>
      </c>
      <c r="F37" s="929">
        <f t="shared" si="3"/>
        <v>4418821.7583794203</v>
      </c>
      <c r="L37" s="737"/>
    </row>
    <row r="38" spans="2:12">
      <c r="B38" s="737" t="s">
        <v>482</v>
      </c>
      <c r="C38" s="850">
        <f>+C45</f>
        <v>783718.6</v>
      </c>
      <c r="D38" s="737">
        <v>26.52</v>
      </c>
      <c r="E38" s="735">
        <f t="shared" si="2"/>
        <v>3.7390648567119156</v>
      </c>
      <c r="F38" s="929">
        <f t="shared" si="3"/>
        <v>2930374.6748114629</v>
      </c>
      <c r="L38" s="737"/>
    </row>
    <row r="39" spans="2:12">
      <c r="B39" s="737" t="s">
        <v>485</v>
      </c>
      <c r="C39" s="895">
        <f>+C43</f>
        <v>746398.66666666674</v>
      </c>
      <c r="D39" s="737">
        <v>26.52</v>
      </c>
      <c r="E39" s="735">
        <f t="shared" si="2"/>
        <v>3.7390648567119156</v>
      </c>
      <c r="F39" s="929">
        <f t="shared" si="3"/>
        <v>2790833.0236299653</v>
      </c>
      <c r="L39" s="737"/>
    </row>
    <row r="40" spans="2:12">
      <c r="B40" s="728" t="s">
        <v>488</v>
      </c>
      <c r="C40" s="895">
        <f>SUM(C34:C39)</f>
        <v>5220645.4255555561</v>
      </c>
      <c r="D40" s="737"/>
      <c r="E40" s="735"/>
      <c r="F40" s="1450">
        <f>SUM(F34:F39)</f>
        <v>19520331.840048604</v>
      </c>
      <c r="L40" s="737"/>
    </row>
    <row r="41" spans="2:12">
      <c r="B41" s="848" t="s">
        <v>934</v>
      </c>
      <c r="L41" s="737"/>
    </row>
    <row r="42" spans="2:12">
      <c r="B42" s="737" t="s">
        <v>930</v>
      </c>
      <c r="C42" s="850">
        <f>+D14*50%</f>
        <v>537407.4</v>
      </c>
      <c r="D42" s="850">
        <f>+C42/12</f>
        <v>44783.950000000004</v>
      </c>
    </row>
    <row r="43" spans="2:12">
      <c r="B43" s="737" t="s">
        <v>931</v>
      </c>
      <c r="C43" s="850">
        <f>+INT(D14+D42)/30*20</f>
        <v>746398.66666666674</v>
      </c>
      <c r="D43" s="850">
        <f>+C43/12</f>
        <v>62199.888888888898</v>
      </c>
    </row>
    <row r="44" spans="2:12">
      <c r="B44" s="737" t="s">
        <v>932</v>
      </c>
      <c r="C44" s="850">
        <f>+D14/30*2</f>
        <v>71654.320000000007</v>
      </c>
      <c r="D44" s="850">
        <v>0</v>
      </c>
    </row>
    <row r="45" spans="2:12">
      <c r="B45" s="737" t="s">
        <v>22</v>
      </c>
      <c r="C45" s="850">
        <f>+INT(D14+D42)/30*21</f>
        <v>783718.6</v>
      </c>
      <c r="D45" s="850">
        <v>0</v>
      </c>
    </row>
    <row r="46" spans="2:12">
      <c r="B46" s="737" t="s">
        <v>478</v>
      </c>
      <c r="C46" s="850">
        <f>+(D14+D42+D43)/360*360</f>
        <v>1181798.638888889</v>
      </c>
      <c r="D46" s="850">
        <f>+C46/12</f>
        <v>98483.219907407416</v>
      </c>
    </row>
    <row r="47" spans="2:12">
      <c r="B47" s="737" t="s">
        <v>490</v>
      </c>
      <c r="C47" s="850">
        <f>+INT(D14+D42+D43+D46)/360*360</f>
        <v>1280281</v>
      </c>
      <c r="D47" s="850">
        <v>0</v>
      </c>
    </row>
    <row r="48" spans="2:12">
      <c r="B48" s="737" t="s">
        <v>575</v>
      </c>
      <c r="C48" s="850">
        <f>(C47*0.12/360)*360</f>
        <v>153633.72</v>
      </c>
      <c r="D48" s="850">
        <v>0</v>
      </c>
    </row>
    <row r="49" spans="2:9">
      <c r="B49" s="848" t="s">
        <v>493</v>
      </c>
    </row>
    <row r="50" spans="2:9">
      <c r="B50" s="737" t="s">
        <v>494</v>
      </c>
      <c r="C50" s="724">
        <v>34971</v>
      </c>
    </row>
    <row r="51" spans="2:9">
      <c r="B51" s="737" t="s">
        <v>495</v>
      </c>
      <c r="C51" s="724">
        <v>35064</v>
      </c>
    </row>
    <row r="52" spans="2:9">
      <c r="B52" s="737" t="s">
        <v>496</v>
      </c>
      <c r="C52" s="737">
        <f>_xlfn.DAYS(C51,C50)</f>
        <v>93</v>
      </c>
    </row>
    <row r="54" spans="2:9" ht="25.5">
      <c r="B54" s="902" t="s">
        <v>935</v>
      </c>
      <c r="C54" s="732">
        <v>99.16</v>
      </c>
    </row>
    <row r="55" spans="2:9">
      <c r="B55" s="733" t="s">
        <v>840</v>
      </c>
      <c r="C55" s="734" t="s">
        <v>499</v>
      </c>
      <c r="D55" s="735" t="s">
        <v>76</v>
      </c>
      <c r="E55" s="735" t="s">
        <v>77</v>
      </c>
      <c r="F55" s="734" t="s">
        <v>57</v>
      </c>
    </row>
    <row r="56" spans="2:9">
      <c r="B56" s="737" t="s">
        <v>31</v>
      </c>
      <c r="C56" s="736">
        <f>(C14/30)*1</f>
        <v>30362</v>
      </c>
      <c r="D56" s="1349">
        <v>21.24</v>
      </c>
      <c r="E56" s="737">
        <f>+$C$54/D56</f>
        <v>4.6685499058380415</v>
      </c>
      <c r="F56" s="1451">
        <f>+C56*E56</f>
        <v>141746.51224105462</v>
      </c>
      <c r="G56" s="925"/>
      <c r="H56" s="982"/>
    </row>
    <row r="57" spans="2:9">
      <c r="B57" s="737" t="s">
        <v>936</v>
      </c>
      <c r="C57" s="736">
        <f>+C14</f>
        <v>910860</v>
      </c>
      <c r="D57" s="1349">
        <v>21.43</v>
      </c>
      <c r="E57" s="737">
        <f>+$C$54/D57</f>
        <v>4.6271581894540361</v>
      </c>
      <c r="F57" s="1451">
        <f>+C57*E57</f>
        <v>4214693.3084461037</v>
      </c>
      <c r="G57" s="925"/>
      <c r="H57" s="982"/>
    </row>
    <row r="58" spans="2:9">
      <c r="B58" s="737" t="s">
        <v>34</v>
      </c>
      <c r="C58" s="736">
        <f>+$C$14</f>
        <v>910860</v>
      </c>
      <c r="D58" s="1452">
        <v>21.6</v>
      </c>
      <c r="E58" s="737">
        <f>+$C$54/D58</f>
        <v>4.5907407407407401</v>
      </c>
      <c r="F58" s="1451">
        <f>+C58*E58</f>
        <v>4181522.1111111105</v>
      </c>
      <c r="G58" s="925"/>
      <c r="H58" s="982"/>
    </row>
    <row r="59" spans="2:9">
      <c r="B59" s="737" t="s">
        <v>841</v>
      </c>
      <c r="C59" s="736">
        <f>+$C$14</f>
        <v>910860</v>
      </c>
      <c r="D59" s="1452">
        <v>21.8</v>
      </c>
      <c r="E59" s="737">
        <f>+$C$54/D59</f>
        <v>4.5486238532110086</v>
      </c>
      <c r="F59" s="1451">
        <f>+C59*E59</f>
        <v>4143159.5229357793</v>
      </c>
      <c r="G59" s="925"/>
      <c r="H59" s="982"/>
    </row>
    <row r="60" spans="2:9">
      <c r="E60" s="728" t="s">
        <v>61</v>
      </c>
      <c r="F60" s="930">
        <f>SUM(F56:F59)</f>
        <v>12681121.454734048</v>
      </c>
      <c r="G60" s="982"/>
      <c r="H60" s="982"/>
      <c r="I60" s="879"/>
    </row>
    <row r="61" spans="2:9">
      <c r="F61" s="982"/>
    </row>
    <row r="62" spans="2:9">
      <c r="B62" s="733" t="s">
        <v>501</v>
      </c>
      <c r="C62" s="734" t="s">
        <v>502</v>
      </c>
      <c r="D62" s="735" t="s">
        <v>76</v>
      </c>
      <c r="E62" s="735" t="s">
        <v>77</v>
      </c>
      <c r="F62" s="1451" t="s">
        <v>57</v>
      </c>
    </row>
    <row r="63" spans="2:9">
      <c r="B63" s="738" t="s">
        <v>16</v>
      </c>
      <c r="C63" s="736">
        <f t="shared" ref="C63:C73" si="4">+$D$14</f>
        <v>1074814.8</v>
      </c>
      <c r="D63" s="741">
        <v>22.35</v>
      </c>
      <c r="E63" s="737">
        <f>+$C$54/D63</f>
        <v>4.4366890380313198</v>
      </c>
      <c r="F63" s="929">
        <f>+C63*E63</f>
        <v>4768619.0410738252</v>
      </c>
    </row>
    <row r="64" spans="2:9">
      <c r="B64" s="738" t="s">
        <v>17</v>
      </c>
      <c r="C64" s="736">
        <f t="shared" si="4"/>
        <v>1074814.8</v>
      </c>
      <c r="D64" s="741">
        <v>23.25</v>
      </c>
      <c r="E64" s="737">
        <f t="shared" ref="E64:E74" si="5">+$C$54/D64</f>
        <v>4.2649462365591395</v>
      </c>
      <c r="F64" s="929">
        <f t="shared" ref="F64:F74" si="6">+C64*E64</f>
        <v>4584027.336258064</v>
      </c>
    </row>
    <row r="65" spans="2:6">
      <c r="B65" s="738" t="s">
        <v>19</v>
      </c>
      <c r="C65" s="736">
        <f t="shared" si="4"/>
        <v>1074814.8</v>
      </c>
      <c r="D65" s="741">
        <v>23.74</v>
      </c>
      <c r="E65" s="737">
        <f t="shared" si="5"/>
        <v>4.1769165964616679</v>
      </c>
      <c r="F65" s="929">
        <f t="shared" si="6"/>
        <v>4489411.7762426287</v>
      </c>
    </row>
    <row r="66" spans="2:6">
      <c r="B66" s="738" t="s">
        <v>21</v>
      </c>
      <c r="C66" s="736">
        <f t="shared" si="4"/>
        <v>1074814.8</v>
      </c>
      <c r="D66" s="741">
        <v>24.21</v>
      </c>
      <c r="E66" s="737">
        <f t="shared" si="5"/>
        <v>4.0958281701776125</v>
      </c>
      <c r="F66" s="929">
        <f t="shared" si="6"/>
        <v>4402256.7355638165</v>
      </c>
    </row>
    <row r="67" spans="2:6">
      <c r="B67" s="738" t="s">
        <v>23</v>
      </c>
      <c r="C67" s="736">
        <f t="shared" si="4"/>
        <v>1074814.8</v>
      </c>
      <c r="D67" s="741">
        <v>24.58</v>
      </c>
      <c r="E67" s="737">
        <f t="shared" si="5"/>
        <v>4.0341741253051264</v>
      </c>
      <c r="F67" s="929">
        <f t="shared" si="6"/>
        <v>4335990.0556550045</v>
      </c>
    </row>
    <row r="68" spans="2:6">
      <c r="B68" s="738" t="s">
        <v>25</v>
      </c>
      <c r="C68" s="736">
        <f t="shared" si="4"/>
        <v>1074814.8</v>
      </c>
      <c r="D68" s="741">
        <v>24.87</v>
      </c>
      <c r="E68" s="737">
        <f t="shared" si="5"/>
        <v>3.9871330920788095</v>
      </c>
      <c r="F68" s="929">
        <f t="shared" si="6"/>
        <v>4285429.6569360672</v>
      </c>
    </row>
    <row r="69" spans="2:6">
      <c r="B69" s="738" t="s">
        <v>27</v>
      </c>
      <c r="C69" s="736">
        <f t="shared" si="4"/>
        <v>1074814.8</v>
      </c>
      <c r="D69" s="741">
        <v>25.24</v>
      </c>
      <c r="E69" s="737">
        <f t="shared" si="5"/>
        <v>3.9286846275752776</v>
      </c>
      <c r="F69" s="929">
        <f t="shared" si="6"/>
        <v>4222608.3822503965</v>
      </c>
    </row>
    <row r="70" spans="2:6">
      <c r="B70" s="738" t="s">
        <v>29</v>
      </c>
      <c r="C70" s="736">
        <f t="shared" si="4"/>
        <v>1074814.8</v>
      </c>
      <c r="D70" s="741">
        <v>25.52</v>
      </c>
      <c r="E70" s="737">
        <f t="shared" si="5"/>
        <v>3.8855799373040751</v>
      </c>
      <c r="F70" s="929">
        <f t="shared" si="6"/>
        <v>4176278.8231974924</v>
      </c>
    </row>
    <row r="71" spans="2:6">
      <c r="B71" s="738" t="s">
        <v>31</v>
      </c>
      <c r="C71" s="736">
        <f t="shared" si="4"/>
        <v>1074814.8</v>
      </c>
      <c r="D71" s="741">
        <v>25.82</v>
      </c>
      <c r="E71" s="737">
        <f t="shared" si="5"/>
        <v>3.8404337722695585</v>
      </c>
      <c r="F71" s="929">
        <f t="shared" si="6"/>
        <v>4127755.0568551514</v>
      </c>
    </row>
    <row r="72" spans="2:6">
      <c r="B72" s="738" t="s">
        <v>33</v>
      </c>
      <c r="C72" s="736">
        <f t="shared" si="4"/>
        <v>1074814.8</v>
      </c>
      <c r="D72" s="741">
        <v>26.12</v>
      </c>
      <c r="E72" s="737">
        <f t="shared" si="5"/>
        <v>3.7963246554364467</v>
      </c>
      <c r="F72" s="929">
        <f t="shared" si="6"/>
        <v>4080345.9252679935</v>
      </c>
    </row>
    <row r="73" spans="2:6">
      <c r="B73" s="738" t="s">
        <v>34</v>
      </c>
      <c r="C73" s="736">
        <f t="shared" si="4"/>
        <v>1074814.8</v>
      </c>
      <c r="D73" s="741">
        <v>26.33</v>
      </c>
      <c r="E73" s="737">
        <f t="shared" si="5"/>
        <v>3.7660463349791113</v>
      </c>
      <c r="F73" s="929">
        <f t="shared" si="6"/>
        <v>4047802.3383213067</v>
      </c>
    </row>
    <row r="74" spans="2:6">
      <c r="B74" s="738" t="s">
        <v>35</v>
      </c>
      <c r="C74" s="736">
        <f>+$D$14/30*27</f>
        <v>967333.32000000007</v>
      </c>
      <c r="D74" s="741">
        <v>26.52</v>
      </c>
      <c r="E74" s="737">
        <f t="shared" si="5"/>
        <v>3.7390648567119156</v>
      </c>
      <c r="F74" s="929">
        <f t="shared" si="6"/>
        <v>3616922.021538462</v>
      </c>
    </row>
    <row r="75" spans="2:6">
      <c r="B75" s="738"/>
      <c r="C75" s="736"/>
      <c r="D75" s="737"/>
      <c r="E75" s="728" t="s">
        <v>61</v>
      </c>
      <c r="F75" s="930">
        <f>SUM(F63:F74)</f>
        <v>51137447.149160199</v>
      </c>
    </row>
    <row r="78" spans="2:6">
      <c r="B78" s="900" t="s">
        <v>317</v>
      </c>
    </row>
    <row r="79" spans="2:6">
      <c r="B79" s="900" t="s">
        <v>180</v>
      </c>
      <c r="C79" s="724">
        <v>43241</v>
      </c>
    </row>
    <row r="80" spans="2:6">
      <c r="B80" s="900" t="s">
        <v>129</v>
      </c>
      <c r="C80" s="868">
        <f>+F24+F40+F60+F75</f>
        <v>103463268.20516202</v>
      </c>
      <c r="D80" s="868"/>
      <c r="E80" s="1170"/>
    </row>
    <row r="81" spans="1:8">
      <c r="B81" s="2604" t="s">
        <v>160</v>
      </c>
      <c r="C81" s="2681"/>
      <c r="D81" s="2681"/>
      <c r="E81" s="2681"/>
      <c r="F81" s="2681"/>
      <c r="G81" s="2681"/>
      <c r="H81" s="2605"/>
    </row>
    <row r="82" spans="1:8" ht="24" customHeight="1">
      <c r="A82" s="791">
        <v>1</v>
      </c>
      <c r="B82" s="1453" t="s">
        <v>206</v>
      </c>
      <c r="C82" s="1453" t="s">
        <v>10</v>
      </c>
      <c r="D82" s="1000" t="s">
        <v>320</v>
      </c>
      <c r="E82" s="1454" t="s">
        <v>59</v>
      </c>
      <c r="F82" s="1455" t="s">
        <v>43</v>
      </c>
      <c r="G82" s="1456" t="s">
        <v>279</v>
      </c>
      <c r="H82" s="1457" t="s">
        <v>253</v>
      </c>
    </row>
    <row r="83" spans="1:8">
      <c r="A83" s="791">
        <v>2</v>
      </c>
      <c r="B83" s="724">
        <v>43242</v>
      </c>
      <c r="C83" s="724">
        <v>43251</v>
      </c>
      <c r="D83" s="796">
        <v>0.2044</v>
      </c>
      <c r="E83" s="796">
        <f t="shared" ref="E83:E126" si="7">+D83*1.5</f>
        <v>0.30659999999999998</v>
      </c>
      <c r="F83" s="897">
        <f>((1+E83)^(1/365)-1)</f>
        <v>7.3294886878794152E-4</v>
      </c>
      <c r="G83" s="1176">
        <f t="shared" ref="G83:G126" si="8">_xlfn.DAYS(C83,B83)+1</f>
        <v>10</v>
      </c>
      <c r="H83" s="895">
        <f>$C$80*G83*F83</f>
        <v>758332.85392076906</v>
      </c>
    </row>
    <row r="84" spans="1:8">
      <c r="A84" s="791">
        <v>3</v>
      </c>
      <c r="B84" s="724">
        <v>43252</v>
      </c>
      <c r="C84" s="724">
        <v>43281</v>
      </c>
      <c r="D84" s="796">
        <v>0.20280000000000001</v>
      </c>
      <c r="E84" s="796">
        <f t="shared" si="7"/>
        <v>0.30420000000000003</v>
      </c>
      <c r="F84" s="897">
        <f t="shared" ref="F84:F126" si="9">((1+E84)^(1/365)-1)</f>
        <v>7.2790815549184096E-4</v>
      </c>
      <c r="G84" s="1176">
        <f t="shared" si="8"/>
        <v>30</v>
      </c>
      <c r="H84" s="895">
        <f t="shared" ref="H84:H126" si="10">$C$80*G84*F84</f>
        <v>2259352.7016113135</v>
      </c>
    </row>
    <row r="85" spans="1:8">
      <c r="A85" s="791">
        <v>4</v>
      </c>
      <c r="B85" s="724">
        <v>43282</v>
      </c>
      <c r="C85" s="724">
        <v>43312</v>
      </c>
      <c r="D85" s="796">
        <v>0.20030000000000001</v>
      </c>
      <c r="E85" s="796">
        <f t="shared" si="7"/>
        <v>0.30044999999999999</v>
      </c>
      <c r="F85" s="897">
        <f t="shared" si="9"/>
        <v>7.2001349197825526E-4</v>
      </c>
      <c r="G85" s="1176">
        <f t="shared" si="8"/>
        <v>31</v>
      </c>
      <c r="H85" s="895">
        <f t="shared" si="10"/>
        <v>2309343.4199883263</v>
      </c>
    </row>
    <row r="86" spans="1:8">
      <c r="A86" s="791">
        <v>5</v>
      </c>
      <c r="B86" s="724">
        <v>43313</v>
      </c>
      <c r="C86" s="724">
        <v>43343</v>
      </c>
      <c r="D86" s="796">
        <v>0.19939999999999999</v>
      </c>
      <c r="E86" s="796">
        <f t="shared" si="7"/>
        <v>0.29909999999999998</v>
      </c>
      <c r="F86" s="897">
        <f t="shared" si="9"/>
        <v>7.1716585429704161E-4</v>
      </c>
      <c r="G86" s="1176">
        <f t="shared" si="8"/>
        <v>31</v>
      </c>
      <c r="H86" s="895">
        <f t="shared" si="10"/>
        <v>2300210.0170522877</v>
      </c>
    </row>
    <row r="87" spans="1:8">
      <c r="A87" s="791">
        <v>6</v>
      </c>
      <c r="B87" s="724">
        <v>43344</v>
      </c>
      <c r="C87" s="724">
        <v>43373</v>
      </c>
      <c r="D87" s="796">
        <v>0.1981</v>
      </c>
      <c r="E87" s="796">
        <f t="shared" si="7"/>
        <v>0.29715000000000003</v>
      </c>
      <c r="F87" s="897">
        <f t="shared" si="9"/>
        <v>7.1304738558919389E-4</v>
      </c>
      <c r="G87" s="1176">
        <f t="shared" si="8"/>
        <v>30</v>
      </c>
      <c r="H87" s="895">
        <f t="shared" si="10"/>
        <v>2213226.3869461305</v>
      </c>
    </row>
    <row r="88" spans="1:8">
      <c r="A88" s="791">
        <v>7</v>
      </c>
      <c r="B88" s="724">
        <v>43374</v>
      </c>
      <c r="C88" s="724">
        <v>43404</v>
      </c>
      <c r="D88" s="796">
        <v>0.1963</v>
      </c>
      <c r="E88" s="796">
        <f t="shared" si="7"/>
        <v>0.29444999999999999</v>
      </c>
      <c r="F88" s="897">
        <f t="shared" si="9"/>
        <v>7.073346857742191E-4</v>
      </c>
      <c r="G88" s="1176">
        <f t="shared" si="8"/>
        <v>31</v>
      </c>
      <c r="H88" s="895">
        <f t="shared" si="10"/>
        <v>2268677.9074572329</v>
      </c>
    </row>
    <row r="89" spans="1:8">
      <c r="A89" s="791">
        <v>8</v>
      </c>
      <c r="B89" s="724">
        <v>43405</v>
      </c>
      <c r="C89" s="724">
        <v>43434</v>
      </c>
      <c r="D89" s="796">
        <v>0.19489999999999999</v>
      </c>
      <c r="E89" s="796">
        <f t="shared" si="7"/>
        <v>0.29235</v>
      </c>
      <c r="F89" s="897">
        <f t="shared" si="9"/>
        <v>7.0288325333756063E-4</v>
      </c>
      <c r="G89" s="1176">
        <f t="shared" si="8"/>
        <v>30</v>
      </c>
      <c r="H89" s="895">
        <f t="shared" si="10"/>
        <v>2181677.9567094264</v>
      </c>
    </row>
    <row r="90" spans="1:8">
      <c r="A90" s="791">
        <v>9</v>
      </c>
      <c r="B90" s="724">
        <v>43435</v>
      </c>
      <c r="C90" s="724">
        <v>43465</v>
      </c>
      <c r="D90" s="796">
        <v>0.19400000000000001</v>
      </c>
      <c r="E90" s="796">
        <f t="shared" si="7"/>
        <v>0.29100000000000004</v>
      </c>
      <c r="F90" s="897">
        <f t="shared" si="9"/>
        <v>7.0001780740103214E-4</v>
      </c>
      <c r="G90" s="1176">
        <f t="shared" si="8"/>
        <v>31</v>
      </c>
      <c r="H90" s="895">
        <f t="shared" si="10"/>
        <v>2245210.0348211955</v>
      </c>
    </row>
    <row r="91" spans="1:8">
      <c r="A91" s="791">
        <v>10</v>
      </c>
      <c r="B91" s="724">
        <v>43466</v>
      </c>
      <c r="C91" s="724">
        <v>43496</v>
      </c>
      <c r="D91" s="796">
        <v>0.19159999999999999</v>
      </c>
      <c r="E91" s="796">
        <f t="shared" si="7"/>
        <v>0.28739999999999999</v>
      </c>
      <c r="F91" s="897">
        <f t="shared" si="9"/>
        <v>6.9236198468725085E-4</v>
      </c>
      <c r="G91" s="1176">
        <f t="shared" si="8"/>
        <v>31</v>
      </c>
      <c r="H91" s="895">
        <f t="shared" si="10"/>
        <v>2220655.0452194149</v>
      </c>
    </row>
    <row r="92" spans="1:8">
      <c r="A92" s="791">
        <v>11</v>
      </c>
      <c r="B92" s="724">
        <v>43497</v>
      </c>
      <c r="C92" s="724">
        <v>43524</v>
      </c>
      <c r="D92" s="796">
        <v>0.19700000000000001</v>
      </c>
      <c r="E92" s="796">
        <f t="shared" si="7"/>
        <v>0.29549999999999998</v>
      </c>
      <c r="F92" s="897">
        <f t="shared" si="9"/>
        <v>7.0955770203506852E-4</v>
      </c>
      <c r="G92" s="1176">
        <f t="shared" si="8"/>
        <v>28</v>
      </c>
      <c r="H92" s="895">
        <f t="shared" si="10"/>
        <v>2055568.4473153963</v>
      </c>
    </row>
    <row r="93" spans="1:8">
      <c r="A93" s="791">
        <v>12</v>
      </c>
      <c r="B93" s="724">
        <v>43525</v>
      </c>
      <c r="C93" s="724">
        <v>43555</v>
      </c>
      <c r="D93" s="796">
        <v>0.19370000000000001</v>
      </c>
      <c r="E93" s="796">
        <f t="shared" si="7"/>
        <v>0.29055000000000003</v>
      </c>
      <c r="F93" s="897">
        <f t="shared" si="9"/>
        <v>6.9906199467517638E-4</v>
      </c>
      <c r="G93" s="1176">
        <f t="shared" si="8"/>
        <v>31</v>
      </c>
      <c r="H93" s="895">
        <f t="shared" si="10"/>
        <v>2242144.3980605127</v>
      </c>
    </row>
    <row r="94" spans="1:8">
      <c r="A94" s="791">
        <v>13</v>
      </c>
      <c r="B94" s="724">
        <v>43556</v>
      </c>
      <c r="C94" s="724">
        <v>43585</v>
      </c>
      <c r="D94" s="796">
        <v>0.19320000000000001</v>
      </c>
      <c r="E94" s="796">
        <f t="shared" si="7"/>
        <v>0.2898</v>
      </c>
      <c r="F94" s="897">
        <f t="shared" si="9"/>
        <v>6.9746823462724095E-4</v>
      </c>
      <c r="G94" s="1176">
        <f t="shared" si="8"/>
        <v>30</v>
      </c>
      <c r="H94" s="895">
        <f t="shared" si="10"/>
        <v>2164870.2907145731</v>
      </c>
    </row>
    <row r="95" spans="1:8">
      <c r="A95" s="791">
        <v>14</v>
      </c>
      <c r="B95" s="724">
        <v>43586</v>
      </c>
      <c r="C95" s="724">
        <v>43616</v>
      </c>
      <c r="D95" s="796">
        <v>0.19339999999999999</v>
      </c>
      <c r="E95" s="796">
        <f t="shared" si="7"/>
        <v>0.29009999999999997</v>
      </c>
      <c r="F95" s="897">
        <f t="shared" si="9"/>
        <v>6.9810584952367805E-4</v>
      </c>
      <c r="G95" s="1176">
        <f t="shared" si="8"/>
        <v>31</v>
      </c>
      <c r="H95" s="895">
        <f t="shared" si="10"/>
        <v>2239077.6950906841</v>
      </c>
    </row>
    <row r="96" spans="1:8">
      <c r="A96" s="791">
        <v>15</v>
      </c>
      <c r="B96" s="724">
        <v>43617</v>
      </c>
      <c r="C96" s="724">
        <v>43646</v>
      </c>
      <c r="D96" s="796">
        <v>0.193</v>
      </c>
      <c r="E96" s="796">
        <f t="shared" si="7"/>
        <v>0.28949999999999998</v>
      </c>
      <c r="F96" s="897">
        <f t="shared" si="9"/>
        <v>6.9683047181468005E-4</v>
      </c>
      <c r="G96" s="1176">
        <f t="shared" si="8"/>
        <v>30</v>
      </c>
      <c r="H96" s="895">
        <f t="shared" si="10"/>
        <v>2162890.7399667548</v>
      </c>
    </row>
    <row r="97" spans="1:8">
      <c r="A97" s="791">
        <v>16</v>
      </c>
      <c r="B97" s="724">
        <v>43647</v>
      </c>
      <c r="C97" s="724">
        <v>43677</v>
      </c>
      <c r="D97" s="796">
        <v>0.1928</v>
      </c>
      <c r="E97" s="796">
        <f t="shared" si="7"/>
        <v>0.28920000000000001</v>
      </c>
      <c r="F97" s="897">
        <f t="shared" si="9"/>
        <v>6.9619256101671745E-4</v>
      </c>
      <c r="G97" s="1176">
        <f t="shared" si="8"/>
        <v>31</v>
      </c>
      <c r="H97" s="895">
        <f t="shared" si="10"/>
        <v>2232941.087550249</v>
      </c>
    </row>
    <row r="98" spans="1:8">
      <c r="A98" s="791">
        <v>17</v>
      </c>
      <c r="B98" s="724">
        <v>43678</v>
      </c>
      <c r="C98" s="724">
        <v>43708</v>
      </c>
      <c r="D98" s="796">
        <v>0.19320000000000001</v>
      </c>
      <c r="E98" s="796">
        <f t="shared" si="7"/>
        <v>0.2898</v>
      </c>
      <c r="F98" s="897">
        <f t="shared" si="9"/>
        <v>6.9746823462724095E-4</v>
      </c>
      <c r="G98" s="1176">
        <f t="shared" si="8"/>
        <v>31</v>
      </c>
      <c r="H98" s="895">
        <f t="shared" si="10"/>
        <v>2237032.633738392</v>
      </c>
    </row>
    <row r="99" spans="1:8">
      <c r="A99" s="791">
        <v>18</v>
      </c>
      <c r="B99" s="724">
        <v>43709</v>
      </c>
      <c r="C99" s="724">
        <v>43738</v>
      </c>
      <c r="D99" s="796">
        <v>0.19320000000000001</v>
      </c>
      <c r="E99" s="796">
        <f t="shared" si="7"/>
        <v>0.2898</v>
      </c>
      <c r="F99" s="897">
        <f t="shared" si="9"/>
        <v>6.9746823462724095E-4</v>
      </c>
      <c r="G99" s="1176">
        <f t="shared" si="8"/>
        <v>30</v>
      </c>
      <c r="H99" s="895">
        <f t="shared" si="10"/>
        <v>2164870.2907145731</v>
      </c>
    </row>
    <row r="100" spans="1:8">
      <c r="A100" s="791">
        <v>19</v>
      </c>
      <c r="B100" s="724">
        <v>43739</v>
      </c>
      <c r="C100" s="724">
        <v>43769</v>
      </c>
      <c r="D100" s="796">
        <v>0.191</v>
      </c>
      <c r="E100" s="796">
        <f t="shared" si="7"/>
        <v>0.28649999999999998</v>
      </c>
      <c r="F100" s="897">
        <f t="shared" si="9"/>
        <v>6.9044469314105683E-4</v>
      </c>
      <c r="G100" s="1176">
        <f t="shared" si="8"/>
        <v>31</v>
      </c>
      <c r="H100" s="895">
        <f t="shared" si="10"/>
        <v>2214505.5984858023</v>
      </c>
    </row>
    <row r="101" spans="1:8">
      <c r="A101" s="791">
        <v>20</v>
      </c>
      <c r="B101" s="724">
        <v>43770</v>
      </c>
      <c r="C101" s="724">
        <v>43799</v>
      </c>
      <c r="D101" s="796">
        <v>0.1903</v>
      </c>
      <c r="E101" s="796">
        <f t="shared" si="7"/>
        <v>0.28544999999999998</v>
      </c>
      <c r="F101" s="897">
        <f t="shared" si="9"/>
        <v>6.8820616169262827E-4</v>
      </c>
      <c r="G101" s="1176">
        <f t="shared" si="8"/>
        <v>30</v>
      </c>
      <c r="H101" s="895">
        <f t="shared" si="10"/>
        <v>2136121.7606294849</v>
      </c>
    </row>
    <row r="102" spans="1:8">
      <c r="A102" s="791">
        <v>21</v>
      </c>
      <c r="B102" s="724">
        <v>43800</v>
      </c>
      <c r="C102" s="724">
        <v>43830</v>
      </c>
      <c r="D102" s="796">
        <v>0.18909999999999999</v>
      </c>
      <c r="E102" s="796">
        <f t="shared" si="7"/>
        <v>0.28364999999999996</v>
      </c>
      <c r="F102" s="897">
        <f t="shared" si="9"/>
        <v>6.8436443340047504E-4</v>
      </c>
      <c r="G102" s="1176">
        <f t="shared" si="8"/>
        <v>31</v>
      </c>
      <c r="H102" s="895">
        <f t="shared" si="10"/>
        <v>2195004.0086125997</v>
      </c>
    </row>
    <row r="103" spans="1:8">
      <c r="A103" s="791">
        <v>22</v>
      </c>
      <c r="B103" s="724">
        <v>43831</v>
      </c>
      <c r="C103" s="724">
        <v>43861</v>
      </c>
      <c r="D103" s="796">
        <v>0.18770000000000001</v>
      </c>
      <c r="E103" s="796">
        <f t="shared" si="7"/>
        <v>0.28155000000000002</v>
      </c>
      <c r="F103" s="897">
        <f t="shared" si="9"/>
        <v>6.7987562124560696E-4</v>
      </c>
      <c r="G103" s="1176">
        <f t="shared" si="8"/>
        <v>31</v>
      </c>
      <c r="H103" s="895">
        <f t="shared" si="10"/>
        <v>2180606.7661596467</v>
      </c>
    </row>
    <row r="104" spans="1:8">
      <c r="A104" s="791">
        <v>23</v>
      </c>
      <c r="B104" s="724">
        <v>43862</v>
      </c>
      <c r="C104" s="724">
        <v>43890</v>
      </c>
      <c r="D104" s="796">
        <v>0.19059999999999999</v>
      </c>
      <c r="E104" s="796">
        <f t="shared" si="7"/>
        <v>0.28589999999999999</v>
      </c>
      <c r="F104" s="897">
        <f t="shared" si="9"/>
        <v>6.8916575551658532E-4</v>
      </c>
      <c r="G104" s="1176">
        <f t="shared" si="8"/>
        <v>29</v>
      </c>
      <c r="H104" s="895">
        <f t="shared" si="10"/>
        <v>2067796.9006239418</v>
      </c>
    </row>
    <row r="105" spans="1:8">
      <c r="A105" s="791">
        <v>24</v>
      </c>
      <c r="B105" s="724">
        <v>43891</v>
      </c>
      <c r="C105" s="724">
        <v>43921</v>
      </c>
      <c r="D105" s="796">
        <v>0.1895</v>
      </c>
      <c r="E105" s="796">
        <f t="shared" si="7"/>
        <v>0.28425</v>
      </c>
      <c r="F105" s="897">
        <f t="shared" si="9"/>
        <v>6.8564560609574166E-4</v>
      </c>
      <c r="G105" s="1176">
        <f t="shared" si="8"/>
        <v>31</v>
      </c>
      <c r="H105" s="895">
        <f t="shared" si="10"/>
        <v>2199113.1923524123</v>
      </c>
    </row>
    <row r="106" spans="1:8">
      <c r="A106" s="791">
        <v>25</v>
      </c>
      <c r="B106" s="724">
        <v>43922</v>
      </c>
      <c r="C106" s="724">
        <v>43951</v>
      </c>
      <c r="D106" s="796">
        <v>0.18690000000000001</v>
      </c>
      <c r="E106" s="796">
        <f t="shared" si="7"/>
        <v>0.28034999999999999</v>
      </c>
      <c r="F106" s="897">
        <f t="shared" si="9"/>
        <v>6.7730729113191224E-4</v>
      </c>
      <c r="G106" s="1176">
        <f t="shared" si="8"/>
        <v>30</v>
      </c>
      <c r="H106" s="895">
        <f t="shared" si="10"/>
        <v>2102292.7775907838</v>
      </c>
    </row>
    <row r="107" spans="1:8">
      <c r="A107" s="791">
        <v>26</v>
      </c>
      <c r="B107" s="724">
        <v>43952</v>
      </c>
      <c r="C107" s="724">
        <v>43982</v>
      </c>
      <c r="D107" s="796">
        <v>0.18190000000000001</v>
      </c>
      <c r="E107" s="796">
        <f t="shared" si="7"/>
        <v>0.27285000000000004</v>
      </c>
      <c r="F107" s="897">
        <f t="shared" si="9"/>
        <v>6.6120063584418354E-4</v>
      </c>
      <c r="G107" s="1176">
        <f t="shared" si="8"/>
        <v>31</v>
      </c>
      <c r="H107" s="895">
        <f t="shared" si="10"/>
        <v>2120709.3404368833</v>
      </c>
    </row>
    <row r="108" spans="1:8">
      <c r="A108" s="791">
        <v>27</v>
      </c>
      <c r="B108" s="724">
        <v>43983</v>
      </c>
      <c r="C108" s="724">
        <v>44012</v>
      </c>
      <c r="D108" s="796">
        <v>0.1812</v>
      </c>
      <c r="E108" s="796">
        <f t="shared" si="7"/>
        <v>0.27179999999999999</v>
      </c>
      <c r="F108" s="897">
        <f t="shared" si="9"/>
        <v>6.5893815469997286E-4</v>
      </c>
      <c r="G108" s="1176">
        <f t="shared" si="8"/>
        <v>30</v>
      </c>
      <c r="H108" s="895">
        <f t="shared" si="10"/>
        <v>2045276.8509101348</v>
      </c>
    </row>
    <row r="109" spans="1:8">
      <c r="A109" s="791">
        <v>28</v>
      </c>
      <c r="B109" s="724">
        <v>44013</v>
      </c>
      <c r="C109" s="724">
        <v>44043</v>
      </c>
      <c r="D109" s="796">
        <v>0.1812</v>
      </c>
      <c r="E109" s="796">
        <f t="shared" si="7"/>
        <v>0.27179999999999999</v>
      </c>
      <c r="F109" s="897">
        <f t="shared" si="9"/>
        <v>6.5893815469997286E-4</v>
      </c>
      <c r="G109" s="1176">
        <f t="shared" si="8"/>
        <v>31</v>
      </c>
      <c r="H109" s="895">
        <f t="shared" si="10"/>
        <v>2113452.7459404729</v>
      </c>
    </row>
    <row r="110" spans="1:8">
      <c r="A110" s="791">
        <v>29</v>
      </c>
      <c r="B110" s="724">
        <v>44044</v>
      </c>
      <c r="C110" s="724">
        <v>44074</v>
      </c>
      <c r="D110" s="796">
        <v>0.18290000000000001</v>
      </c>
      <c r="E110" s="796">
        <f t="shared" si="7"/>
        <v>0.27434999999999998</v>
      </c>
      <c r="F110" s="897">
        <f t="shared" si="9"/>
        <v>6.6442952514544906E-4</v>
      </c>
      <c r="G110" s="1176">
        <f t="shared" si="8"/>
        <v>31</v>
      </c>
      <c r="H110" s="895">
        <f t="shared" si="10"/>
        <v>2131065.5550701129</v>
      </c>
    </row>
    <row r="111" spans="1:8">
      <c r="A111" s="791">
        <v>30</v>
      </c>
      <c r="B111" s="724">
        <v>44075</v>
      </c>
      <c r="C111" s="724">
        <v>44104</v>
      </c>
      <c r="D111" s="796">
        <v>0.1835</v>
      </c>
      <c r="E111" s="796">
        <f t="shared" si="7"/>
        <v>0.27524999999999999</v>
      </c>
      <c r="F111" s="897">
        <f t="shared" si="9"/>
        <v>6.6636503991857055E-4</v>
      </c>
      <c r="G111" s="1176">
        <f t="shared" si="8"/>
        <v>30</v>
      </c>
      <c r="H111" s="895">
        <f t="shared" si="10"/>
        <v>2068329.1454291567</v>
      </c>
    </row>
    <row r="112" spans="1:8">
      <c r="A112" s="791">
        <v>31</v>
      </c>
      <c r="B112" s="724">
        <v>44105</v>
      </c>
      <c r="C112" s="724">
        <v>44135</v>
      </c>
      <c r="D112" s="796">
        <v>0.18090000000000001</v>
      </c>
      <c r="E112" s="796">
        <f t="shared" si="7"/>
        <v>0.27134999999999998</v>
      </c>
      <c r="F112" s="897">
        <f t="shared" si="9"/>
        <v>6.5796794962613703E-4</v>
      </c>
      <c r="G112" s="1176">
        <f t="shared" si="8"/>
        <v>31</v>
      </c>
      <c r="H112" s="895">
        <f t="shared" si="10"/>
        <v>2110340.9477196559</v>
      </c>
    </row>
    <row r="113" spans="1:9">
      <c r="A113" s="791">
        <v>32</v>
      </c>
      <c r="B113" s="724">
        <v>44136</v>
      </c>
      <c r="C113" s="724">
        <v>44165</v>
      </c>
      <c r="D113" s="796">
        <v>0.1784</v>
      </c>
      <c r="E113" s="796">
        <f t="shared" si="7"/>
        <v>0.2676</v>
      </c>
      <c r="F113" s="897">
        <f t="shared" si="9"/>
        <v>6.4986956374091243E-4</v>
      </c>
      <c r="G113" s="1176">
        <f t="shared" si="8"/>
        <v>30</v>
      </c>
      <c r="H113" s="895">
        <f t="shared" si="10"/>
        <v>2017128.8691509296</v>
      </c>
    </row>
    <row r="114" spans="1:9">
      <c r="A114" s="791">
        <v>33</v>
      </c>
      <c r="B114" s="724">
        <v>44166</v>
      </c>
      <c r="C114" s="724">
        <v>44196</v>
      </c>
      <c r="D114" s="796">
        <v>0.17460000000000001</v>
      </c>
      <c r="E114" s="796">
        <f t="shared" si="7"/>
        <v>0.26190000000000002</v>
      </c>
      <c r="F114" s="897">
        <f t="shared" si="9"/>
        <v>6.3751414410861962E-4</v>
      </c>
      <c r="G114" s="1176">
        <f t="shared" si="8"/>
        <v>31</v>
      </c>
      <c r="H114" s="895">
        <f t="shared" si="10"/>
        <v>2044738.203171327</v>
      </c>
    </row>
    <row r="115" spans="1:9">
      <c r="A115" s="791">
        <v>34</v>
      </c>
      <c r="B115" s="724">
        <v>44197</v>
      </c>
      <c r="C115" s="724">
        <v>44227</v>
      </c>
      <c r="D115" s="796">
        <v>0.17319999999999999</v>
      </c>
      <c r="E115" s="796">
        <f t="shared" si="7"/>
        <v>0.25979999999999998</v>
      </c>
      <c r="F115" s="897">
        <f t="shared" si="9"/>
        <v>6.3294811266723094E-4</v>
      </c>
      <c r="G115" s="1176">
        <f t="shared" si="8"/>
        <v>31</v>
      </c>
      <c r="H115" s="895">
        <f t="shared" si="10"/>
        <v>2030093.2905660656</v>
      </c>
    </row>
    <row r="116" spans="1:9">
      <c r="A116" s="791">
        <v>35</v>
      </c>
      <c r="B116" s="724">
        <v>44228</v>
      </c>
      <c r="C116" s="724">
        <v>44255</v>
      </c>
      <c r="D116" s="796">
        <v>0.1754</v>
      </c>
      <c r="E116" s="796">
        <f t="shared" si="7"/>
        <v>0.2631</v>
      </c>
      <c r="F116" s="897">
        <f t="shared" si="9"/>
        <v>6.4011990387169426E-4</v>
      </c>
      <c r="G116" s="1176">
        <f t="shared" si="8"/>
        <v>28</v>
      </c>
      <c r="H116" s="895">
        <f t="shared" si="10"/>
        <v>1854409.1243367097</v>
      </c>
    </row>
    <row r="117" spans="1:9">
      <c r="A117" s="791">
        <v>36</v>
      </c>
      <c r="B117" s="724">
        <v>44256</v>
      </c>
      <c r="C117" s="724">
        <v>44286</v>
      </c>
      <c r="D117" s="796">
        <v>0.1741</v>
      </c>
      <c r="E117" s="796">
        <f t="shared" si="7"/>
        <v>0.26114999999999999</v>
      </c>
      <c r="F117" s="897">
        <f t="shared" si="9"/>
        <v>6.3588428907812578E-4</v>
      </c>
      <c r="G117" s="1176">
        <f t="shared" si="8"/>
        <v>31</v>
      </c>
      <c r="H117" s="895">
        <f t="shared" si="10"/>
        <v>2039510.669198506</v>
      </c>
    </row>
    <row r="118" spans="1:9">
      <c r="A118" s="791">
        <v>37</v>
      </c>
      <c r="B118" s="724">
        <v>44287</v>
      </c>
      <c r="C118" s="724">
        <v>44316</v>
      </c>
      <c r="D118" s="796">
        <v>0.1731</v>
      </c>
      <c r="E118" s="796">
        <f t="shared" si="7"/>
        <v>0.25964999999999999</v>
      </c>
      <c r="F118" s="897">
        <f t="shared" si="9"/>
        <v>6.326216771728177E-4</v>
      </c>
      <c r="G118" s="1176">
        <f t="shared" si="8"/>
        <v>30</v>
      </c>
      <c r="H118" s="895">
        <f t="shared" si="10"/>
        <v>1963593.1877319198</v>
      </c>
    </row>
    <row r="119" spans="1:9">
      <c r="A119" s="791">
        <v>38</v>
      </c>
      <c r="B119" s="724">
        <v>44317</v>
      </c>
      <c r="C119" s="724">
        <v>44347</v>
      </c>
      <c r="D119" s="796">
        <v>0.17219999999999999</v>
      </c>
      <c r="E119" s="796">
        <f t="shared" si="7"/>
        <v>0.25829999999999997</v>
      </c>
      <c r="F119" s="897">
        <f t="shared" si="9"/>
        <v>6.2968201205726437E-4</v>
      </c>
      <c r="G119" s="1176">
        <f t="shared" si="8"/>
        <v>31</v>
      </c>
      <c r="H119" s="895">
        <f t="shared" si="10"/>
        <v>2019617.725820851</v>
      </c>
    </row>
    <row r="120" spans="1:9">
      <c r="A120" s="791">
        <v>39</v>
      </c>
      <c r="B120" s="724">
        <v>44348</v>
      </c>
      <c r="C120" s="724">
        <v>44377</v>
      </c>
      <c r="D120" s="796">
        <v>0.1721</v>
      </c>
      <c r="E120" s="796">
        <f t="shared" si="7"/>
        <v>0.25814999999999999</v>
      </c>
      <c r="F120" s="897">
        <f t="shared" si="9"/>
        <v>6.2935518846773952E-4</v>
      </c>
      <c r="G120" s="1176">
        <f t="shared" si="8"/>
        <v>30</v>
      </c>
      <c r="H120" s="895">
        <f t="shared" si="10"/>
        <v>1953454.3398224406</v>
      </c>
    </row>
    <row r="121" spans="1:9">
      <c r="A121" s="791">
        <v>40</v>
      </c>
      <c r="B121" s="724">
        <v>44378</v>
      </c>
      <c r="C121" s="724">
        <v>44408</v>
      </c>
      <c r="D121" s="796">
        <v>0.17180000000000001</v>
      </c>
      <c r="E121" s="796">
        <f t="shared" si="7"/>
        <v>0.25770000000000004</v>
      </c>
      <c r="F121" s="897">
        <f t="shared" si="9"/>
        <v>6.2837448450037137E-4</v>
      </c>
      <c r="G121" s="1176">
        <f t="shared" si="8"/>
        <v>31</v>
      </c>
      <c r="H121" s="895">
        <f t="shared" si="10"/>
        <v>2015424.0125174127</v>
      </c>
    </row>
    <row r="122" spans="1:9">
      <c r="A122" s="791">
        <v>41</v>
      </c>
      <c r="B122" s="724">
        <v>44409</v>
      </c>
      <c r="C122" s="724">
        <v>44439</v>
      </c>
      <c r="D122" s="796">
        <v>0.1724</v>
      </c>
      <c r="E122" s="796">
        <f t="shared" si="7"/>
        <v>0.2586</v>
      </c>
      <c r="F122" s="897">
        <f t="shared" si="9"/>
        <v>6.3033554269220637E-4</v>
      </c>
      <c r="G122" s="1176">
        <f t="shared" si="8"/>
        <v>31</v>
      </c>
      <c r="H122" s="895">
        <f t="shared" si="10"/>
        <v>2021713.8346971131</v>
      </c>
    </row>
    <row r="123" spans="1:9">
      <c r="A123" s="791">
        <v>42</v>
      </c>
      <c r="B123" s="724">
        <v>44440</v>
      </c>
      <c r="C123" s="724">
        <v>44469</v>
      </c>
      <c r="D123" s="796">
        <v>0.1719</v>
      </c>
      <c r="E123" s="796">
        <f t="shared" si="7"/>
        <v>0.25785000000000002</v>
      </c>
      <c r="F123" s="897">
        <f t="shared" si="9"/>
        <v>6.2870142469861889E-4</v>
      </c>
      <c r="G123" s="1176">
        <f t="shared" si="8"/>
        <v>30</v>
      </c>
      <c r="H123" s="895">
        <f t="shared" si="10"/>
        <v>1951425.1237368204</v>
      </c>
    </row>
    <row r="124" spans="1:9">
      <c r="A124" s="791">
        <v>43</v>
      </c>
      <c r="B124" s="724">
        <v>44470</v>
      </c>
      <c r="C124" s="724">
        <v>44500</v>
      </c>
      <c r="D124" s="796">
        <v>0.1714</v>
      </c>
      <c r="E124" s="796">
        <f t="shared" si="7"/>
        <v>0.2571</v>
      </c>
      <c r="F124" s="897">
        <f t="shared" si="9"/>
        <v>6.2706633473341711E-4</v>
      </c>
      <c r="G124" s="1176">
        <f t="shared" si="8"/>
        <v>31</v>
      </c>
      <c r="H124" s="895">
        <f t="shared" si="10"/>
        <v>2011228.3035614945</v>
      </c>
    </row>
    <row r="125" spans="1:9">
      <c r="A125" s="791">
        <v>44</v>
      </c>
      <c r="B125" s="724">
        <v>44501</v>
      </c>
      <c r="C125" s="724">
        <v>44530</v>
      </c>
      <c r="D125" s="796">
        <v>0.17269999999999999</v>
      </c>
      <c r="E125" s="796">
        <f t="shared" si="7"/>
        <v>0.25905</v>
      </c>
      <c r="F125" s="897">
        <f t="shared" si="9"/>
        <v>6.3131554742335005E-4</v>
      </c>
      <c r="G125" s="1176">
        <f t="shared" si="8"/>
        <v>30</v>
      </c>
      <c r="H125" s="895">
        <f t="shared" si="10"/>
        <v>1959539.0941545225</v>
      </c>
    </row>
    <row r="126" spans="1:9">
      <c r="A126" s="791">
        <v>45</v>
      </c>
      <c r="B126" s="724">
        <v>44531</v>
      </c>
      <c r="C126" s="724">
        <v>44557</v>
      </c>
      <c r="D126" s="796">
        <v>0.17460000000000001</v>
      </c>
      <c r="E126" s="796">
        <f t="shared" si="7"/>
        <v>0.26190000000000002</v>
      </c>
      <c r="F126" s="897">
        <f t="shared" si="9"/>
        <v>6.3751414410861962E-4</v>
      </c>
      <c r="G126" s="1176">
        <f t="shared" si="8"/>
        <v>27</v>
      </c>
      <c r="H126" s="895">
        <f t="shared" si="10"/>
        <v>1780901.0156653493</v>
      </c>
    </row>
    <row r="127" spans="1:9">
      <c r="D127" s="1343"/>
      <c r="E127" s="1458" t="s">
        <v>338</v>
      </c>
      <c r="F127" s="1459"/>
      <c r="G127" s="1460"/>
      <c r="H127" s="1765">
        <f>SUM(H83:H126)</f>
        <v>91603474.290969789</v>
      </c>
      <c r="I127" s="879"/>
    </row>
    <row r="128" spans="1:9">
      <c r="E128" s="1459"/>
      <c r="F128" s="1459"/>
      <c r="G128" s="1459"/>
      <c r="H128" s="1459"/>
      <c r="I128" s="879"/>
    </row>
    <row r="129" spans="2:9">
      <c r="B129" s="2644" t="s">
        <v>55</v>
      </c>
      <c r="C129" s="2646"/>
      <c r="F129" s="1461"/>
      <c r="G129" s="1461"/>
      <c r="H129" s="1461"/>
      <c r="I129" s="879"/>
    </row>
    <row r="130" spans="2:9">
      <c r="B130" s="789" t="s">
        <v>56</v>
      </c>
      <c r="C130" s="728"/>
      <c r="F130" s="1461"/>
      <c r="G130" s="1461"/>
      <c r="H130" s="1461"/>
      <c r="I130" s="879"/>
    </row>
    <row r="131" spans="2:9">
      <c r="B131" s="845" t="s">
        <v>164</v>
      </c>
      <c r="C131" s="850">
        <f>ROUND(C80,0)</f>
        <v>103463268</v>
      </c>
      <c r="F131" s="1461"/>
      <c r="G131" s="1461"/>
      <c r="H131" s="1461"/>
      <c r="I131" s="879"/>
    </row>
    <row r="132" spans="2:9">
      <c r="B132" s="845" t="s">
        <v>937</v>
      </c>
      <c r="C132" s="952">
        <f>ROUND(H127,0)</f>
        <v>91603474</v>
      </c>
      <c r="F132" s="1461"/>
      <c r="G132" s="1461"/>
      <c r="H132" s="1461"/>
      <c r="I132" s="879"/>
    </row>
    <row r="133" spans="2:9">
      <c r="B133" s="1462" t="s">
        <v>61</v>
      </c>
      <c r="C133" s="1766">
        <f>SUM(C131:C132)</f>
        <v>195066742</v>
      </c>
      <c r="D133" s="982"/>
      <c r="F133" s="1461"/>
      <c r="G133" s="1461"/>
      <c r="H133" s="1461"/>
      <c r="I133" s="879"/>
    </row>
    <row r="134" spans="2:9">
      <c r="B134" s="1463"/>
      <c r="C134" s="1464"/>
      <c r="F134" s="1461"/>
      <c r="G134" s="1461"/>
      <c r="H134" s="1461"/>
      <c r="I134" s="879"/>
    </row>
    <row r="135" spans="2:9">
      <c r="B135" s="719" t="s">
        <v>62</v>
      </c>
      <c r="F135" s="1461"/>
      <c r="G135" s="1461"/>
      <c r="H135" s="1461"/>
      <c r="I135" s="879"/>
    </row>
    <row r="136" spans="2:9">
      <c r="B136" s="911"/>
      <c r="F136" s="1461"/>
      <c r="G136" s="1461"/>
      <c r="H136" s="1461"/>
      <c r="I136" s="879"/>
    </row>
    <row r="137" spans="2:9">
      <c r="B137" s="911"/>
      <c r="F137" s="1461"/>
      <c r="G137" s="1461"/>
      <c r="H137" s="1461"/>
      <c r="I137" s="879"/>
    </row>
    <row r="138" spans="2:9">
      <c r="B138" s="719" t="s">
        <v>63</v>
      </c>
      <c r="F138" s="1461"/>
      <c r="G138" s="1461"/>
      <c r="H138" s="1461"/>
      <c r="I138" s="879"/>
    </row>
    <row r="139" spans="2:9">
      <c r="B139" s="719" t="s">
        <v>64</v>
      </c>
      <c r="F139" s="1461"/>
      <c r="G139" s="1461"/>
      <c r="H139" s="1461"/>
      <c r="I139" s="879"/>
    </row>
    <row r="140" spans="2:9">
      <c r="B140" s="719" t="s">
        <v>65</v>
      </c>
      <c r="F140" s="1461"/>
      <c r="G140" s="1461"/>
      <c r="H140" s="1461"/>
      <c r="I140" s="879"/>
    </row>
    <row r="141" spans="2:9">
      <c r="B141" s="1463"/>
      <c r="C141" s="1464"/>
      <c r="F141" s="1461"/>
      <c r="G141" s="1461"/>
      <c r="H141" s="1461"/>
      <c r="I141" s="879"/>
    </row>
    <row r="142" spans="2:9">
      <c r="B142" s="1463"/>
      <c r="C142" s="1464"/>
      <c r="F142" s="1461"/>
      <c r="G142" s="1461"/>
      <c r="H142" s="1461"/>
      <c r="I142" s="879"/>
    </row>
    <row r="143" spans="2:9">
      <c r="B143" s="1463"/>
      <c r="C143" s="1464"/>
      <c r="F143" s="1461"/>
      <c r="G143" s="1461"/>
      <c r="H143" s="1461"/>
      <c r="I143" s="879"/>
    </row>
    <row r="144" spans="2:9">
      <c r="B144" s="1463"/>
      <c r="C144" s="1464"/>
      <c r="F144" s="1461"/>
      <c r="G144" s="1461"/>
      <c r="H144" s="1461"/>
      <c r="I144" s="879"/>
    </row>
    <row r="145" spans="1:23">
      <c r="B145" s="1463"/>
      <c r="C145" s="1464"/>
      <c r="F145" s="1461"/>
      <c r="G145" s="1461"/>
      <c r="H145" s="1461"/>
      <c r="I145" s="879"/>
    </row>
    <row r="146" spans="1:23">
      <c r="B146" s="1463"/>
      <c r="C146" s="1464"/>
      <c r="F146" s="1461"/>
      <c r="G146" s="1461"/>
      <c r="H146" s="1461"/>
      <c r="I146" s="879"/>
    </row>
    <row r="147" spans="1:23">
      <c r="B147" s="1463"/>
      <c r="C147" s="1464"/>
      <c r="F147" s="1461"/>
      <c r="G147" s="1461"/>
      <c r="H147" s="1461"/>
      <c r="I147" s="879"/>
    </row>
    <row r="148" spans="1:23">
      <c r="B148" s="1463"/>
      <c r="C148" s="1464"/>
      <c r="F148" s="1461"/>
      <c r="G148" s="1461"/>
      <c r="H148" s="1461"/>
      <c r="I148" s="879"/>
    </row>
    <row r="149" spans="1:23">
      <c r="A149" s="848" t="s">
        <v>938</v>
      </c>
    </row>
    <row r="150" spans="1:23">
      <c r="A150" s="791" t="s">
        <v>939</v>
      </c>
    </row>
    <row r="151" spans="1:23">
      <c r="A151" s="814" t="s">
        <v>893</v>
      </c>
      <c r="D151" s="814"/>
      <c r="E151" s="814"/>
      <c r="F151" s="979"/>
      <c r="G151" s="814"/>
      <c r="H151" s="814"/>
      <c r="I151" s="814"/>
      <c r="J151" s="814"/>
      <c r="K151" s="814"/>
      <c r="L151" s="814"/>
      <c r="M151" s="814"/>
      <c r="N151" s="814"/>
      <c r="O151" s="814"/>
      <c r="P151" s="814"/>
      <c r="Q151" s="814"/>
      <c r="R151" s="814"/>
      <c r="S151" s="814"/>
      <c r="T151" s="814"/>
      <c r="U151" s="814"/>
      <c r="V151" s="814"/>
      <c r="W151" s="814"/>
    </row>
    <row r="152" spans="1:23">
      <c r="A152" s="814"/>
      <c r="D152" s="814"/>
      <c r="E152" s="814"/>
      <c r="F152" s="979"/>
      <c r="G152" s="814"/>
      <c r="H152" s="814"/>
      <c r="I152" s="814"/>
      <c r="J152" s="814"/>
      <c r="K152" s="814"/>
      <c r="L152" s="814"/>
      <c r="M152" s="814"/>
      <c r="N152" s="814"/>
      <c r="O152" s="814"/>
      <c r="P152" s="814"/>
      <c r="Q152" s="814"/>
      <c r="R152" s="814" t="s">
        <v>894</v>
      </c>
      <c r="S152" s="814"/>
      <c r="T152" s="814"/>
      <c r="U152" s="814"/>
      <c r="V152" s="814"/>
      <c r="W152" s="814"/>
    </row>
    <row r="153" spans="1:23">
      <c r="A153" s="814" t="s">
        <v>895</v>
      </c>
      <c r="D153" s="814">
        <v>1995</v>
      </c>
      <c r="E153" s="814"/>
      <c r="F153" s="979">
        <v>1996</v>
      </c>
      <c r="G153" s="814">
        <v>1997</v>
      </c>
      <c r="H153" s="814">
        <v>1998</v>
      </c>
      <c r="I153" s="814">
        <v>1999</v>
      </c>
      <c r="J153" s="814">
        <v>2000</v>
      </c>
      <c r="K153" s="814">
        <v>2001</v>
      </c>
      <c r="L153" s="814">
        <v>2002</v>
      </c>
      <c r="M153" s="814">
        <v>2003</v>
      </c>
      <c r="N153" s="814">
        <v>2004</v>
      </c>
      <c r="O153" s="814">
        <v>2005</v>
      </c>
      <c r="P153" s="814">
        <v>2006</v>
      </c>
      <c r="Q153" s="814">
        <v>2007</v>
      </c>
      <c r="R153" s="814">
        <v>2008</v>
      </c>
      <c r="S153" s="814"/>
      <c r="T153" s="814"/>
      <c r="U153" s="814"/>
      <c r="V153" s="814"/>
      <c r="W153" s="814"/>
    </row>
    <row r="154" spans="1:23">
      <c r="A154" s="814" t="s">
        <v>16</v>
      </c>
      <c r="D154" s="814">
        <v>51.0304</v>
      </c>
      <c r="E154" s="814"/>
      <c r="F154" s="814">
        <v>61.363549999999996</v>
      </c>
      <c r="G154" s="814">
        <v>74.017989999999998</v>
      </c>
      <c r="H154" s="814">
        <v>87.223489999999998</v>
      </c>
      <c r="I154" s="814">
        <v>102.20906921</v>
      </c>
      <c r="J154" s="814">
        <v>110.64001808</v>
      </c>
      <c r="K154" s="814">
        <v>120.03575539000001</v>
      </c>
      <c r="L154" s="814">
        <v>128.88810169000001</v>
      </c>
      <c r="M154" s="814">
        <v>138.41844761999999</v>
      </c>
      <c r="N154" s="814">
        <v>146.98315106999999</v>
      </c>
      <c r="O154" s="814">
        <v>154.96504443000001</v>
      </c>
      <c r="P154" s="814">
        <v>162.03629368</v>
      </c>
      <c r="Q154" s="814">
        <v>169.67104361</v>
      </c>
      <c r="R154" s="814">
        <v>179.84629279000001</v>
      </c>
      <c r="S154" s="814"/>
      <c r="T154" s="814"/>
      <c r="U154" s="814"/>
      <c r="V154" s="814"/>
      <c r="W154" s="814"/>
    </row>
    <row r="155" spans="1:23">
      <c r="A155" s="814" t="s">
        <v>17</v>
      </c>
      <c r="B155" s="719" t="s">
        <v>65</v>
      </c>
      <c r="D155" s="814">
        <v>52.83081</v>
      </c>
      <c r="E155" s="814"/>
      <c r="F155" s="814">
        <v>63.824489999999997</v>
      </c>
      <c r="G155" s="814">
        <v>76.326689999999999</v>
      </c>
      <c r="H155" s="814">
        <v>90.088290000000001</v>
      </c>
      <c r="I155" s="814">
        <v>103.94487785</v>
      </c>
      <c r="J155" s="814">
        <v>113.18700803</v>
      </c>
      <c r="K155" s="814">
        <v>122.30791367</v>
      </c>
      <c r="L155" s="814">
        <v>130.50769692</v>
      </c>
      <c r="M155" s="814">
        <v>139.95561814999999</v>
      </c>
      <c r="N155" s="814">
        <v>148.74610769</v>
      </c>
      <c r="O155" s="814">
        <v>156.54950775</v>
      </c>
      <c r="P155" s="814">
        <v>163.10202199</v>
      </c>
      <c r="Q155" s="814">
        <v>171.65960598999999</v>
      </c>
      <c r="R155" s="814">
        <v>182.56343713000001</v>
      </c>
      <c r="S155" s="814"/>
      <c r="T155" s="814"/>
      <c r="U155" s="814"/>
      <c r="V155" s="814"/>
      <c r="W155" s="814"/>
    </row>
    <row r="156" spans="1:23">
      <c r="A156" s="814" t="s">
        <v>19</v>
      </c>
      <c r="B156" s="979">
        <v>36.201889999999999</v>
      </c>
      <c r="C156" s="814">
        <v>44.680540000000001</v>
      </c>
      <c r="D156" s="814">
        <v>54.214770000000001</v>
      </c>
      <c r="E156" s="814"/>
      <c r="F156" s="814">
        <v>65.170699999999997</v>
      </c>
      <c r="G156" s="814">
        <v>77.513120000000001</v>
      </c>
      <c r="H156" s="814">
        <v>92.432209999999998</v>
      </c>
      <c r="I156" s="814">
        <v>104.91983184</v>
      </c>
      <c r="J156" s="814">
        <v>115.12348115</v>
      </c>
      <c r="K156" s="814">
        <v>124.11956954</v>
      </c>
      <c r="L156" s="814">
        <v>131.43211833999999</v>
      </c>
      <c r="M156" s="814">
        <v>141.42112886000001</v>
      </c>
      <c r="N156" s="814">
        <v>150.21019383000001</v>
      </c>
      <c r="O156" s="814">
        <v>157.76043562999999</v>
      </c>
      <c r="P156" s="814">
        <v>164.24755565000001</v>
      </c>
      <c r="Q156" s="814">
        <v>173.74182239999999</v>
      </c>
      <c r="R156" s="814">
        <v>184.03767880000001</v>
      </c>
      <c r="S156" s="814"/>
      <c r="T156" s="814"/>
      <c r="U156" s="814"/>
      <c r="V156" s="814"/>
      <c r="W156" s="814"/>
    </row>
    <row r="157" spans="1:23">
      <c r="A157" s="814" t="s">
        <v>21</v>
      </c>
      <c r="B157" s="979">
        <v>36.905200000000001</v>
      </c>
      <c r="C157" s="814">
        <v>45.741160000000001</v>
      </c>
      <c r="D157" s="814">
        <v>55.426360000000003</v>
      </c>
      <c r="E157" s="814"/>
      <c r="F157" s="814">
        <v>66.459050000000005</v>
      </c>
      <c r="G157" s="814">
        <v>78.771259999999998</v>
      </c>
      <c r="H157" s="814">
        <v>95.117099999999994</v>
      </c>
      <c r="I157" s="814">
        <v>105.74219995</v>
      </c>
      <c r="J157" s="814">
        <v>116.27025052</v>
      </c>
      <c r="K157" s="814">
        <v>125.54388711</v>
      </c>
      <c r="L157" s="814">
        <v>132.63471425</v>
      </c>
      <c r="M157" s="814">
        <v>143.04406840999999</v>
      </c>
      <c r="N157" s="814">
        <v>150.89532851999999</v>
      </c>
      <c r="O157" s="814">
        <v>158.45251657</v>
      </c>
      <c r="P157" s="814">
        <v>164.98300617000001</v>
      </c>
      <c r="Q157" s="814">
        <v>175.30489800000001</v>
      </c>
      <c r="R157" s="814">
        <v>185.3463625</v>
      </c>
      <c r="S157" s="814"/>
      <c r="T157" s="814"/>
      <c r="U157" s="814"/>
      <c r="V157" s="814"/>
      <c r="W157" s="814"/>
    </row>
    <row r="158" spans="1:23">
      <c r="A158" s="814" t="s">
        <v>23</v>
      </c>
      <c r="B158" s="979">
        <v>37.499040000000001</v>
      </c>
      <c r="C158" s="814">
        <v>46.449489999999997</v>
      </c>
      <c r="D158" s="814">
        <v>56.346069999999997</v>
      </c>
      <c r="E158" s="814"/>
      <c r="F158" s="814">
        <v>67.490729999999999</v>
      </c>
      <c r="G158" s="814">
        <v>80.050799999999995</v>
      </c>
      <c r="H158" s="814">
        <v>96.602969999999999</v>
      </c>
      <c r="I158" s="814">
        <v>106.24819869</v>
      </c>
      <c r="J158" s="814">
        <v>116.87634523</v>
      </c>
      <c r="K158" s="814">
        <v>126.06915261</v>
      </c>
      <c r="L158" s="814">
        <v>133.42888375999999</v>
      </c>
      <c r="M158" s="814">
        <v>143.74480954000001</v>
      </c>
      <c r="N158" s="814">
        <v>151.46999435000001</v>
      </c>
      <c r="O158" s="814">
        <v>159.09876929999999</v>
      </c>
      <c r="P158" s="814">
        <v>165.52385724999999</v>
      </c>
      <c r="Q158" s="814">
        <v>175.83009264</v>
      </c>
      <c r="R158" s="814">
        <v>187.07323116000001</v>
      </c>
      <c r="S158" s="814"/>
      <c r="T158" s="814"/>
      <c r="U158" s="814"/>
      <c r="V158" s="814"/>
      <c r="W158" s="814"/>
    </row>
    <row r="159" spans="1:23">
      <c r="A159" s="814" t="s">
        <v>25</v>
      </c>
      <c r="B159" s="979">
        <v>38.079050000000002</v>
      </c>
      <c r="C159" s="814">
        <v>46.87097</v>
      </c>
      <c r="D159" s="814">
        <v>57.026730000000001</v>
      </c>
      <c r="E159" s="814"/>
      <c r="F159" s="814">
        <v>68.264489999999995</v>
      </c>
      <c r="G159" s="814">
        <v>81.013279999999995</v>
      </c>
      <c r="H159" s="814">
        <v>97.783109999999994</v>
      </c>
      <c r="I159" s="814">
        <v>106.54504429000001</v>
      </c>
      <c r="J159" s="814">
        <v>116.85370018</v>
      </c>
      <c r="K159" s="814">
        <v>126.11995761</v>
      </c>
      <c r="L159" s="814">
        <v>134.00106356000001</v>
      </c>
      <c r="M159" s="814">
        <v>143.66621954999999</v>
      </c>
      <c r="N159" s="814">
        <v>152.3840515</v>
      </c>
      <c r="O159" s="814">
        <v>159.73672411999999</v>
      </c>
      <c r="P159" s="814">
        <v>166.02755325000001</v>
      </c>
      <c r="Q159" s="814">
        <v>176.04535290999999</v>
      </c>
      <c r="R159" s="814">
        <v>188.68611719</v>
      </c>
      <c r="S159" s="814"/>
      <c r="T159" s="814"/>
      <c r="U159" s="814"/>
      <c r="V159" s="814"/>
      <c r="W159" s="814"/>
    </row>
    <row r="160" spans="1:23">
      <c r="A160" s="814" t="s">
        <v>27</v>
      </c>
      <c r="B160" s="979">
        <v>38.548340000000003</v>
      </c>
      <c r="C160" s="814">
        <v>47.298740000000002</v>
      </c>
      <c r="D160" s="814">
        <v>57.470849999999999</v>
      </c>
      <c r="E160" s="814"/>
      <c r="F160" s="814">
        <v>69.296170000000004</v>
      </c>
      <c r="G160" s="814">
        <v>81.690160000000006</v>
      </c>
      <c r="H160" s="814">
        <v>98.249880000000005</v>
      </c>
      <c r="I160" s="814">
        <v>106.8774842</v>
      </c>
      <c r="J160" s="814">
        <v>116.80830609</v>
      </c>
      <c r="K160" s="814">
        <v>126.25753127</v>
      </c>
      <c r="L160" s="814">
        <v>134.03133172</v>
      </c>
      <c r="M160" s="814">
        <v>143.4606077</v>
      </c>
      <c r="N160" s="814">
        <v>152.33695084999999</v>
      </c>
      <c r="O160" s="814">
        <v>159.81446317000001</v>
      </c>
      <c r="P160" s="814">
        <v>166.7134284</v>
      </c>
      <c r="Q160" s="814">
        <v>176.33575191</v>
      </c>
      <c r="R160" s="814">
        <v>189.59547752</v>
      </c>
      <c r="S160" s="814"/>
      <c r="T160" s="814"/>
      <c r="U160" s="814"/>
      <c r="V160" s="814"/>
      <c r="W160" s="814"/>
    </row>
    <row r="161" spans="1:23">
      <c r="A161" s="814" t="s">
        <v>29</v>
      </c>
      <c r="B161" s="979">
        <v>39.03398</v>
      </c>
      <c r="C161" s="814">
        <v>47.761740000000003</v>
      </c>
      <c r="D161" s="814">
        <v>57.836970000000001</v>
      </c>
      <c r="E161" s="814"/>
      <c r="F161" s="814">
        <v>70.061120000000003</v>
      </c>
      <c r="G161" s="814">
        <v>82.628739999999993</v>
      </c>
      <c r="H161" s="814">
        <v>98.282589999999999</v>
      </c>
      <c r="I161" s="814">
        <v>107.40664950999999</v>
      </c>
      <c r="J161" s="814">
        <v>117.17699838999999</v>
      </c>
      <c r="K161" s="814">
        <v>126.58658934</v>
      </c>
      <c r="L161" s="814">
        <v>134.15782843</v>
      </c>
      <c r="M161" s="814">
        <v>143.90377190000001</v>
      </c>
      <c r="N161" s="814">
        <v>152.38291136000001</v>
      </c>
      <c r="O161" s="814">
        <v>159.81692122999999</v>
      </c>
      <c r="P161" s="814">
        <v>167.36753210000001</v>
      </c>
      <c r="Q161" s="814">
        <v>176.10036446000001</v>
      </c>
      <c r="R161" s="814">
        <v>189.95817148</v>
      </c>
      <c r="S161" s="814"/>
      <c r="T161" s="814"/>
      <c r="U161" s="814"/>
      <c r="V161" s="814"/>
      <c r="W161" s="814"/>
    </row>
    <row r="162" spans="1:23">
      <c r="A162" s="814" t="s">
        <v>31</v>
      </c>
      <c r="B162" s="979">
        <v>39.474330000000002</v>
      </c>
      <c r="C162" s="814">
        <v>48.28387</v>
      </c>
      <c r="D162" s="814">
        <v>58.325130000000001</v>
      </c>
      <c r="E162" s="814"/>
      <c r="F162" s="814">
        <v>70.895269999999996</v>
      </c>
      <c r="G162" s="814">
        <v>83.669229999999999</v>
      </c>
      <c r="H162" s="814">
        <v>98.566929999999999</v>
      </c>
      <c r="I162" s="814">
        <v>107.76198856000001</v>
      </c>
      <c r="J162" s="814">
        <v>117.67613745</v>
      </c>
      <c r="K162" s="814">
        <v>127.05628197</v>
      </c>
      <c r="L162" s="814">
        <v>134.64109142999999</v>
      </c>
      <c r="M162" s="814">
        <v>144.22053790000001</v>
      </c>
      <c r="N162" s="814">
        <v>152.83431748000001</v>
      </c>
      <c r="O162" s="814">
        <v>160.50063693999999</v>
      </c>
      <c r="P162" s="814">
        <v>167.84652473</v>
      </c>
      <c r="Q162" s="814">
        <v>176.24724653999999</v>
      </c>
      <c r="R162" s="814">
        <v>189.59571632999999</v>
      </c>
      <c r="S162" s="814"/>
      <c r="T162" s="814"/>
      <c r="U162" s="814"/>
      <c r="V162" s="814"/>
      <c r="W162" s="814"/>
    </row>
    <row r="163" spans="1:23">
      <c r="A163" s="814" t="s">
        <v>94</v>
      </c>
      <c r="B163" s="979">
        <v>39.895809999999997</v>
      </c>
      <c r="C163" s="814">
        <v>48.823610000000002</v>
      </c>
      <c r="D163" s="814">
        <v>58.842230000000001</v>
      </c>
      <c r="E163" s="814"/>
      <c r="F163" s="814">
        <v>71.713059999999999</v>
      </c>
      <c r="G163" s="814">
        <v>84.478210000000004</v>
      </c>
      <c r="H163" s="814">
        <v>98.919210000000007</v>
      </c>
      <c r="I163" s="814">
        <v>108.13877069</v>
      </c>
      <c r="J163" s="814">
        <v>117.85621974999999</v>
      </c>
      <c r="K163" s="814">
        <v>127.29165599</v>
      </c>
      <c r="L163" s="814">
        <v>135.39389797000001</v>
      </c>
      <c r="M163" s="814">
        <v>144.3074661</v>
      </c>
      <c r="N163" s="814">
        <v>152.81911744000001</v>
      </c>
      <c r="O163" s="814">
        <v>160.86991824</v>
      </c>
      <c r="P163" s="814">
        <v>167.60381809</v>
      </c>
      <c r="Q163" s="814">
        <v>176.25770635000001</v>
      </c>
      <c r="R163" s="814">
        <v>190.25200333999999</v>
      </c>
      <c r="S163" s="814"/>
      <c r="T163" s="814"/>
      <c r="U163" s="814"/>
      <c r="V163" s="814"/>
      <c r="W163" s="814"/>
    </row>
    <row r="164" spans="1:23">
      <c r="A164" s="814" t="s">
        <v>34</v>
      </c>
      <c r="B164" s="979">
        <v>40.41039</v>
      </c>
      <c r="C164" s="814">
        <v>49.367130000000003</v>
      </c>
      <c r="D164" s="814">
        <v>59.308999999999997</v>
      </c>
      <c r="E164" s="814"/>
      <c r="F164" s="814">
        <v>72.288039999999995</v>
      </c>
      <c r="G164" s="814">
        <v>85.16516</v>
      </c>
      <c r="H164" s="814">
        <v>99.094099999999997</v>
      </c>
      <c r="I164" s="814">
        <v>108.65660080000001</v>
      </c>
      <c r="J164" s="814">
        <v>118.24326372</v>
      </c>
      <c r="K164" s="814">
        <v>127.44043193</v>
      </c>
      <c r="L164" s="814">
        <v>136.44759371999999</v>
      </c>
      <c r="M164" s="814">
        <v>144.81011506999999</v>
      </c>
      <c r="N164" s="814">
        <v>153.24356617000001</v>
      </c>
      <c r="O164" s="814">
        <v>161.05381098999999</v>
      </c>
      <c r="P164" s="814">
        <v>168.00101168</v>
      </c>
      <c r="Q164" s="814">
        <v>177.09335311999999</v>
      </c>
      <c r="R164" s="814">
        <v>190.78283531</v>
      </c>
      <c r="S164" s="814"/>
      <c r="T164" s="814"/>
      <c r="U164" s="814"/>
      <c r="V164" s="814"/>
      <c r="W164" s="814"/>
    </row>
    <row r="165" spans="1:23">
      <c r="A165" s="814" t="s">
        <v>35</v>
      </c>
      <c r="B165" s="979">
        <v>40.869610000000002</v>
      </c>
      <c r="C165" s="814">
        <v>50.104410000000001</v>
      </c>
      <c r="D165" s="814">
        <v>59.857550000000003</v>
      </c>
      <c r="E165" s="814"/>
      <c r="F165" s="814">
        <v>72.811430000000001</v>
      </c>
      <c r="G165" s="814">
        <v>85.687290000000004</v>
      </c>
      <c r="H165" s="1465">
        <v>100</v>
      </c>
      <c r="I165" s="1466">
        <v>109.23169707</v>
      </c>
      <c r="J165" s="1467">
        <v>118.78748418000001</v>
      </c>
      <c r="K165" s="814">
        <v>127.87039523999999</v>
      </c>
      <c r="L165" s="814">
        <v>136.81208273999999</v>
      </c>
      <c r="M165" s="814">
        <v>145.69205986</v>
      </c>
      <c r="N165" s="814">
        <v>153.70151419999999</v>
      </c>
      <c r="O165" s="814">
        <v>161.16357144</v>
      </c>
      <c r="P165" s="814">
        <v>168.38033317</v>
      </c>
      <c r="Q165" s="814">
        <v>177.96801500999999</v>
      </c>
      <c r="R165" s="814">
        <v>191.62663025000001</v>
      </c>
      <c r="S165" s="814"/>
      <c r="T165" s="814"/>
      <c r="U165" s="814"/>
      <c r="V165" s="814"/>
      <c r="W165" s="814"/>
    </row>
    <row r="166" spans="1:23">
      <c r="A166" s="814" t="s">
        <v>896</v>
      </c>
      <c r="B166" s="979"/>
      <c r="C166" s="814"/>
      <c r="D166" s="814"/>
      <c r="E166" s="814"/>
      <c r="F166" s="979"/>
      <c r="G166" s="814"/>
      <c r="H166" s="814"/>
      <c r="I166" s="814"/>
      <c r="J166" s="814"/>
      <c r="K166" s="814"/>
      <c r="L166" s="814"/>
      <c r="M166" s="814"/>
      <c r="N166" s="814"/>
      <c r="O166" s="814"/>
      <c r="P166" s="814"/>
      <c r="Q166" s="814"/>
      <c r="R166" s="814"/>
      <c r="S166" s="814"/>
      <c r="T166" s="814"/>
      <c r="U166" s="814"/>
      <c r="V166" s="814"/>
      <c r="W166" s="814"/>
    </row>
    <row r="167" spans="1:23">
      <c r="A167" s="814" t="s">
        <v>897</v>
      </c>
      <c r="B167" s="979"/>
      <c r="C167" s="814"/>
      <c r="D167" s="814"/>
      <c r="E167" s="814"/>
      <c r="F167" s="979"/>
      <c r="G167" s="814"/>
      <c r="H167" s="814"/>
      <c r="I167" s="814"/>
      <c r="J167" s="814"/>
      <c r="K167" s="814"/>
      <c r="L167" s="814"/>
      <c r="M167" s="814"/>
      <c r="N167" s="814"/>
      <c r="O167" s="814"/>
      <c r="P167" s="814"/>
      <c r="Q167" s="814"/>
      <c r="R167" s="814"/>
      <c r="S167" s="814"/>
      <c r="T167" s="814"/>
      <c r="U167" s="814"/>
      <c r="V167" s="814"/>
      <c r="W167" s="814"/>
    </row>
    <row r="168" spans="1:23">
      <c r="A168" s="814"/>
      <c r="B168" s="979"/>
      <c r="C168" s="814"/>
      <c r="D168" s="814"/>
      <c r="E168" s="814"/>
      <c r="F168" s="979"/>
      <c r="G168" s="814"/>
      <c r="H168" s="814"/>
      <c r="I168" s="814"/>
      <c r="J168" s="814"/>
      <c r="K168" s="814"/>
      <c r="L168" s="814"/>
      <c r="M168" s="814"/>
      <c r="N168" s="814"/>
      <c r="O168" s="814"/>
      <c r="P168" s="814"/>
      <c r="Q168" s="814"/>
      <c r="R168" s="814"/>
      <c r="S168" s="814"/>
      <c r="T168" s="814"/>
      <c r="U168" s="814"/>
      <c r="V168" s="814"/>
      <c r="W168" s="814"/>
    </row>
    <row r="169" spans="1:23">
      <c r="A169" s="814" t="s">
        <v>898</v>
      </c>
      <c r="B169" s="979"/>
      <c r="C169" s="814"/>
      <c r="D169" s="814"/>
      <c r="E169" s="814"/>
      <c r="F169" s="979"/>
      <c r="G169" s="814"/>
      <c r="H169" s="814"/>
      <c r="I169" s="814"/>
      <c r="J169" s="814"/>
      <c r="K169" s="814"/>
      <c r="L169" s="814"/>
      <c r="M169" s="814"/>
      <c r="N169" s="814"/>
      <c r="O169" s="814"/>
      <c r="P169" s="814"/>
      <c r="Q169" s="814"/>
      <c r="R169" s="814"/>
      <c r="S169" s="814"/>
      <c r="T169" s="814"/>
      <c r="U169" s="814"/>
      <c r="V169" s="814"/>
      <c r="W169" s="814"/>
    </row>
    <row r="170" spans="1:23">
      <c r="A170" s="814"/>
      <c r="B170" s="979"/>
      <c r="C170" s="814"/>
      <c r="D170" s="814"/>
      <c r="E170" s="814"/>
      <c r="F170" s="979"/>
      <c r="G170" s="814"/>
      <c r="H170" s="814"/>
      <c r="I170" s="814"/>
      <c r="J170" s="814"/>
      <c r="K170" s="814"/>
      <c r="L170" s="814"/>
      <c r="M170" s="814"/>
      <c r="N170" s="814"/>
      <c r="O170" s="814"/>
      <c r="P170" s="814"/>
      <c r="Q170" s="814"/>
      <c r="R170" s="814"/>
      <c r="S170" s="814"/>
      <c r="T170" s="814"/>
      <c r="U170" s="814"/>
      <c r="V170" s="814"/>
      <c r="W170" s="814"/>
    </row>
    <row r="171" spans="1:23">
      <c r="A171" s="814"/>
      <c r="B171" s="979"/>
      <c r="C171" s="814"/>
      <c r="D171" s="814"/>
      <c r="E171" s="814"/>
      <c r="F171" s="979"/>
      <c r="G171" s="814"/>
      <c r="H171" s="814"/>
      <c r="I171" s="814"/>
      <c r="J171" s="814"/>
      <c r="K171" s="814"/>
      <c r="L171" s="814"/>
      <c r="M171" s="814"/>
      <c r="N171" s="814"/>
      <c r="O171" s="814"/>
      <c r="P171" s="814"/>
      <c r="Q171" s="814"/>
      <c r="R171" s="814"/>
      <c r="S171" s="814"/>
      <c r="T171" s="814"/>
      <c r="U171" s="814"/>
      <c r="V171" s="814"/>
      <c r="W171" s="814"/>
    </row>
    <row r="172" spans="1:23">
      <c r="A172" s="814"/>
      <c r="B172" s="979"/>
      <c r="C172" s="814"/>
      <c r="D172" s="814"/>
      <c r="E172" s="814"/>
      <c r="F172" s="979"/>
      <c r="G172" s="814"/>
      <c r="H172" s="814"/>
      <c r="I172" s="814"/>
      <c r="J172" s="814"/>
      <c r="K172" s="814"/>
      <c r="L172" s="814"/>
      <c r="M172" s="814"/>
      <c r="N172" s="814"/>
      <c r="O172" s="814"/>
      <c r="P172" s="814"/>
      <c r="Q172" s="814"/>
      <c r="R172" s="814"/>
      <c r="S172" s="814"/>
      <c r="T172" s="814"/>
      <c r="U172" s="814" t="s">
        <v>899</v>
      </c>
      <c r="V172" s="814"/>
      <c r="W172" s="814"/>
    </row>
    <row r="173" spans="1:23">
      <c r="A173" s="814" t="s">
        <v>895</v>
      </c>
      <c r="B173" s="979">
        <v>2003</v>
      </c>
      <c r="C173" s="814">
        <v>2004</v>
      </c>
      <c r="D173" s="814">
        <v>2005</v>
      </c>
      <c r="E173" s="814"/>
      <c r="F173" s="979">
        <v>2006</v>
      </c>
      <c r="G173" s="814">
        <v>2007</v>
      </c>
      <c r="H173" s="814">
        <v>2008</v>
      </c>
      <c r="I173" s="814">
        <v>2009</v>
      </c>
      <c r="J173" s="814">
        <v>2010</v>
      </c>
      <c r="K173" s="814">
        <v>2011</v>
      </c>
      <c r="L173" s="814">
        <v>2012</v>
      </c>
      <c r="M173" s="814">
        <v>2013</v>
      </c>
      <c r="N173" s="814">
        <v>2014</v>
      </c>
      <c r="O173" s="814">
        <v>2015</v>
      </c>
      <c r="P173" s="814">
        <v>2016</v>
      </c>
      <c r="Q173" s="814">
        <v>2017</v>
      </c>
      <c r="R173" s="814">
        <v>2018</v>
      </c>
      <c r="S173" s="814">
        <v>2019</v>
      </c>
      <c r="T173" s="814">
        <v>2020</v>
      </c>
      <c r="U173" s="814">
        <v>2021</v>
      </c>
      <c r="V173" s="814"/>
      <c r="W173" s="814"/>
    </row>
    <row r="174" spans="1:23">
      <c r="A174" s="814" t="s">
        <v>16</v>
      </c>
      <c r="B174" s="979">
        <v>50.42</v>
      </c>
      <c r="C174" s="814">
        <v>53.54</v>
      </c>
      <c r="D174" s="814">
        <v>56.45</v>
      </c>
      <c r="E174" s="814"/>
      <c r="F174" s="979">
        <v>59.02</v>
      </c>
      <c r="G174" s="814">
        <v>61.8</v>
      </c>
      <c r="H174" s="814">
        <v>65.510000000000005</v>
      </c>
      <c r="I174" s="814">
        <v>70.209999999999994</v>
      </c>
      <c r="J174" s="814">
        <v>71.69</v>
      </c>
      <c r="K174" s="814">
        <v>74.12</v>
      </c>
      <c r="L174" s="814">
        <v>76.75</v>
      </c>
      <c r="M174" s="814">
        <v>78.28</v>
      </c>
      <c r="N174" s="814">
        <v>79.95</v>
      </c>
      <c r="O174" s="814">
        <v>83</v>
      </c>
      <c r="P174" s="814">
        <v>89.19</v>
      </c>
      <c r="Q174" s="814">
        <v>94.07</v>
      </c>
      <c r="R174" s="814">
        <v>97.53</v>
      </c>
      <c r="S174" s="814">
        <v>100.6</v>
      </c>
      <c r="T174" s="814">
        <v>104.24</v>
      </c>
      <c r="U174" s="814">
        <v>105.91</v>
      </c>
      <c r="V174" s="814"/>
      <c r="W174" s="814"/>
    </row>
    <row r="175" spans="1:23">
      <c r="A175" s="814" t="s">
        <v>17</v>
      </c>
      <c r="B175" s="979">
        <v>50.98</v>
      </c>
      <c r="C175" s="814">
        <v>54.18</v>
      </c>
      <c r="D175" s="814">
        <v>57.02</v>
      </c>
      <c r="E175" s="814"/>
      <c r="F175" s="979">
        <v>59.41</v>
      </c>
      <c r="G175" s="814">
        <v>62.53</v>
      </c>
      <c r="H175" s="814">
        <v>66.5</v>
      </c>
      <c r="I175" s="814">
        <v>70.8</v>
      </c>
      <c r="J175" s="814">
        <v>72.28</v>
      </c>
      <c r="K175" s="814">
        <v>74.569999999999993</v>
      </c>
      <c r="L175" s="814">
        <v>77.22</v>
      </c>
      <c r="M175" s="814">
        <v>78.63</v>
      </c>
      <c r="N175" s="814">
        <v>80.45</v>
      </c>
      <c r="O175" s="814">
        <v>83.96</v>
      </c>
      <c r="P175" s="814">
        <v>90.33</v>
      </c>
      <c r="Q175" s="814">
        <v>95.01</v>
      </c>
      <c r="R175" s="814">
        <v>98.22</v>
      </c>
      <c r="S175" s="814">
        <v>101.18</v>
      </c>
      <c r="T175" s="814">
        <v>104.94</v>
      </c>
      <c r="U175" s="814">
        <v>106.58</v>
      </c>
      <c r="V175" s="814"/>
      <c r="W175" s="814"/>
    </row>
    <row r="176" spans="1:23">
      <c r="A176" s="814" t="s">
        <v>19</v>
      </c>
      <c r="B176" s="979">
        <v>51.51</v>
      </c>
      <c r="C176" s="814">
        <v>54.71</v>
      </c>
      <c r="D176" s="814">
        <v>57.46</v>
      </c>
      <c r="E176" s="814"/>
      <c r="F176" s="979">
        <v>59.83</v>
      </c>
      <c r="G176" s="814">
        <v>63.29</v>
      </c>
      <c r="H176" s="814">
        <v>67.040000000000006</v>
      </c>
      <c r="I176" s="814">
        <v>71.150000000000006</v>
      </c>
      <c r="J176" s="814">
        <v>72.459999999999994</v>
      </c>
      <c r="K176" s="814">
        <v>74.77</v>
      </c>
      <c r="L176" s="814">
        <v>77.31</v>
      </c>
      <c r="M176" s="814">
        <v>78.790000000000006</v>
      </c>
      <c r="N176" s="814">
        <v>80.77</v>
      </c>
      <c r="O176" s="814">
        <v>84.45</v>
      </c>
      <c r="P176" s="814">
        <v>91.18</v>
      </c>
      <c r="Q176" s="814">
        <v>95.46</v>
      </c>
      <c r="R176" s="814">
        <v>98.45</v>
      </c>
      <c r="S176" s="814">
        <v>101.62</v>
      </c>
      <c r="T176" s="814">
        <v>105.53</v>
      </c>
      <c r="U176" s="814">
        <v>107.12</v>
      </c>
      <c r="V176" s="814"/>
      <c r="W176" s="814"/>
    </row>
    <row r="177" spans="1:23">
      <c r="A177" s="814" t="s">
        <v>21</v>
      </c>
      <c r="B177" s="979">
        <v>52.1</v>
      </c>
      <c r="C177" s="814">
        <v>54.96</v>
      </c>
      <c r="D177" s="814">
        <v>57.72</v>
      </c>
      <c r="E177" s="814"/>
      <c r="F177" s="979">
        <v>60.09</v>
      </c>
      <c r="G177" s="814">
        <v>63.85</v>
      </c>
      <c r="H177" s="814">
        <v>67.510000000000005</v>
      </c>
      <c r="I177" s="814">
        <v>71.38</v>
      </c>
      <c r="J177" s="814">
        <v>72.790000000000006</v>
      </c>
      <c r="K177" s="814">
        <v>74.86</v>
      </c>
      <c r="L177" s="814">
        <v>77.42</v>
      </c>
      <c r="M177" s="814">
        <v>78.989999999999995</v>
      </c>
      <c r="N177" s="814">
        <v>81.14</v>
      </c>
      <c r="O177" s="814">
        <v>84.9</v>
      </c>
      <c r="P177" s="814">
        <v>91.63</v>
      </c>
      <c r="Q177" s="814">
        <v>95.91</v>
      </c>
      <c r="R177" s="814">
        <v>98.91</v>
      </c>
      <c r="S177" s="814">
        <v>102.12</v>
      </c>
      <c r="T177" s="814">
        <v>105.7</v>
      </c>
      <c r="U177" s="1468">
        <v>107.76</v>
      </c>
      <c r="V177" s="814"/>
      <c r="W177" s="814"/>
    </row>
    <row r="178" spans="1:23">
      <c r="A178" s="814" t="s">
        <v>23</v>
      </c>
      <c r="B178" s="979">
        <v>52.36</v>
      </c>
      <c r="C178" s="814">
        <v>55.17</v>
      </c>
      <c r="D178" s="814">
        <v>57.95</v>
      </c>
      <c r="E178" s="814"/>
      <c r="F178" s="979">
        <v>60.29</v>
      </c>
      <c r="G178" s="814">
        <v>64.05</v>
      </c>
      <c r="H178" s="814">
        <v>68.14</v>
      </c>
      <c r="I178" s="814">
        <v>71.39</v>
      </c>
      <c r="J178" s="814">
        <v>72.87</v>
      </c>
      <c r="K178" s="814">
        <v>75.069999999999993</v>
      </c>
      <c r="L178" s="814">
        <v>77.66</v>
      </c>
      <c r="M178" s="814">
        <v>79.209999999999994</v>
      </c>
      <c r="N178" s="814">
        <v>81.53</v>
      </c>
      <c r="O178" s="814">
        <v>85.12</v>
      </c>
      <c r="P178" s="814">
        <v>92.1</v>
      </c>
      <c r="Q178" s="814">
        <v>96.12</v>
      </c>
      <c r="R178" s="814">
        <v>99.16</v>
      </c>
      <c r="S178" s="814">
        <v>102.44</v>
      </c>
      <c r="T178" s="814">
        <v>105.36</v>
      </c>
      <c r="U178" s="1468">
        <v>108.84</v>
      </c>
      <c r="V178" s="814"/>
      <c r="W178" s="814"/>
    </row>
    <row r="179" spans="1:23">
      <c r="A179" s="814" t="s">
        <v>25</v>
      </c>
      <c r="B179" s="979">
        <v>52.33</v>
      </c>
      <c r="C179" s="814">
        <v>55.51</v>
      </c>
      <c r="D179" s="814">
        <v>58.18</v>
      </c>
      <c r="E179" s="814"/>
      <c r="F179" s="979">
        <v>60.48</v>
      </c>
      <c r="G179" s="814">
        <v>64.12</v>
      </c>
      <c r="H179" s="814">
        <v>68.73</v>
      </c>
      <c r="I179" s="814">
        <v>71.349999999999994</v>
      </c>
      <c r="J179" s="814">
        <v>72.95</v>
      </c>
      <c r="K179" s="814">
        <v>75.31</v>
      </c>
      <c r="L179" s="814">
        <v>77.72</v>
      </c>
      <c r="M179" s="814">
        <v>79.39</v>
      </c>
      <c r="N179" s="814">
        <v>81.61</v>
      </c>
      <c r="O179" s="814">
        <v>85.21</v>
      </c>
      <c r="P179" s="814">
        <v>92.54</v>
      </c>
      <c r="Q179" s="814">
        <v>96.23</v>
      </c>
      <c r="R179" s="814">
        <v>99.31</v>
      </c>
      <c r="S179" s="814">
        <v>102.71</v>
      </c>
      <c r="T179" s="814">
        <v>104.97</v>
      </c>
      <c r="U179" s="814"/>
      <c r="V179" s="814"/>
      <c r="W179" s="814"/>
    </row>
    <row r="180" spans="1:23">
      <c r="A180" s="814" t="s">
        <v>27</v>
      </c>
      <c r="B180" s="979">
        <v>52.26</v>
      </c>
      <c r="C180" s="814">
        <v>55.49</v>
      </c>
      <c r="D180" s="814">
        <v>58.21</v>
      </c>
      <c r="E180" s="814"/>
      <c r="F180" s="979">
        <v>60.73</v>
      </c>
      <c r="G180" s="814">
        <v>64.23</v>
      </c>
      <c r="H180" s="814">
        <v>69.06</v>
      </c>
      <c r="I180" s="814">
        <v>71.319999999999993</v>
      </c>
      <c r="J180" s="814">
        <v>72.92</v>
      </c>
      <c r="K180" s="814">
        <v>75.42</v>
      </c>
      <c r="L180" s="814">
        <v>77.7</v>
      </c>
      <c r="M180" s="814">
        <v>79.430000000000007</v>
      </c>
      <c r="N180" s="814">
        <v>81.73</v>
      </c>
      <c r="O180" s="814">
        <v>85.37</v>
      </c>
      <c r="P180" s="814">
        <v>93.02</v>
      </c>
      <c r="Q180" s="814">
        <v>96.18</v>
      </c>
      <c r="R180" s="814">
        <v>99.18</v>
      </c>
      <c r="S180" s="814">
        <v>102.94</v>
      </c>
      <c r="T180" s="814">
        <v>104.97</v>
      </c>
      <c r="U180" s="814"/>
      <c r="V180" s="814"/>
      <c r="W180" s="814"/>
    </row>
    <row r="181" spans="1:23">
      <c r="A181" s="814" t="s">
        <v>29</v>
      </c>
      <c r="B181" s="979">
        <v>52.42</v>
      </c>
      <c r="C181" s="814">
        <v>55.51</v>
      </c>
      <c r="D181" s="814">
        <v>58.21</v>
      </c>
      <c r="E181" s="814"/>
      <c r="F181" s="979">
        <v>60.96</v>
      </c>
      <c r="G181" s="814">
        <v>64.14</v>
      </c>
      <c r="H181" s="814">
        <v>69.19</v>
      </c>
      <c r="I181" s="814">
        <v>71.349999999999994</v>
      </c>
      <c r="J181" s="814">
        <v>73</v>
      </c>
      <c r="K181" s="814">
        <v>75.39</v>
      </c>
      <c r="L181" s="814">
        <v>77.73</v>
      </c>
      <c r="M181" s="814">
        <v>79.5</v>
      </c>
      <c r="N181" s="814">
        <v>81.900000000000006</v>
      </c>
      <c r="O181" s="814">
        <v>85.78</v>
      </c>
      <c r="P181" s="814">
        <v>92.73</v>
      </c>
      <c r="Q181" s="814">
        <v>96.32</v>
      </c>
      <c r="R181" s="814">
        <v>99.3</v>
      </c>
      <c r="S181" s="814">
        <v>103.03</v>
      </c>
      <c r="T181" s="814">
        <v>104.96</v>
      </c>
      <c r="U181" s="814"/>
      <c r="V181" s="814"/>
      <c r="W181" s="814"/>
    </row>
    <row r="182" spans="1:23">
      <c r="A182" s="814" t="s">
        <v>31</v>
      </c>
      <c r="B182" s="979">
        <v>52.53</v>
      </c>
      <c r="C182" s="814">
        <v>55.67</v>
      </c>
      <c r="D182" s="814">
        <v>58.46</v>
      </c>
      <c r="E182" s="814"/>
      <c r="F182" s="979">
        <v>61.14</v>
      </c>
      <c r="G182" s="814">
        <v>64.2</v>
      </c>
      <c r="H182" s="814">
        <v>69.06</v>
      </c>
      <c r="I182" s="814">
        <v>71.28</v>
      </c>
      <c r="J182" s="814">
        <v>72.900000000000006</v>
      </c>
      <c r="K182" s="814">
        <v>75.62</v>
      </c>
      <c r="L182" s="814">
        <v>77.959999999999994</v>
      </c>
      <c r="M182" s="814">
        <v>79.73</v>
      </c>
      <c r="N182" s="814">
        <v>82.01</v>
      </c>
      <c r="O182" s="814">
        <v>86.39</v>
      </c>
      <c r="P182" s="814">
        <v>92.68</v>
      </c>
      <c r="Q182" s="814">
        <v>96.36</v>
      </c>
      <c r="R182" s="814">
        <v>99.47</v>
      </c>
      <c r="S182" s="814">
        <v>103.26</v>
      </c>
      <c r="T182" s="814">
        <v>105.29</v>
      </c>
      <c r="U182" s="814"/>
      <c r="V182" s="814"/>
      <c r="W182" s="814"/>
    </row>
    <row r="183" spans="1:23">
      <c r="A183" s="814" t="s">
        <v>94</v>
      </c>
      <c r="B183" s="979">
        <v>52.56</v>
      </c>
      <c r="C183" s="814">
        <v>55.66</v>
      </c>
      <c r="D183" s="814">
        <v>58.6</v>
      </c>
      <c r="E183" s="814"/>
      <c r="F183" s="979">
        <v>61.05</v>
      </c>
      <c r="G183" s="814">
        <v>64.2</v>
      </c>
      <c r="H183" s="814">
        <v>69.3</v>
      </c>
      <c r="I183" s="814">
        <v>71.19</v>
      </c>
      <c r="J183" s="814">
        <v>72.84</v>
      </c>
      <c r="K183" s="814">
        <v>75.77</v>
      </c>
      <c r="L183" s="814">
        <v>78.08</v>
      </c>
      <c r="M183" s="814">
        <v>79.52</v>
      </c>
      <c r="N183" s="814">
        <v>82.14</v>
      </c>
      <c r="O183" s="814">
        <v>86.98</v>
      </c>
      <c r="P183" s="814">
        <v>92.62</v>
      </c>
      <c r="Q183" s="814">
        <v>96.37</v>
      </c>
      <c r="R183" s="814">
        <v>99.59</v>
      </c>
      <c r="S183" s="814">
        <v>103.43</v>
      </c>
      <c r="T183" s="814">
        <v>105.23</v>
      </c>
      <c r="U183" s="814"/>
      <c r="V183" s="814"/>
      <c r="W183" s="814"/>
    </row>
    <row r="184" spans="1:23">
      <c r="A184" s="814" t="s">
        <v>34</v>
      </c>
      <c r="B184" s="979">
        <v>52.75</v>
      </c>
      <c r="C184" s="814">
        <v>55.82</v>
      </c>
      <c r="D184" s="814">
        <v>58.66</v>
      </c>
      <c r="E184" s="814"/>
      <c r="F184" s="979">
        <v>61.19</v>
      </c>
      <c r="G184" s="814">
        <v>64.510000000000005</v>
      </c>
      <c r="H184" s="814">
        <v>69.489999999999995</v>
      </c>
      <c r="I184" s="814">
        <v>71.14</v>
      </c>
      <c r="J184" s="814">
        <v>72.98</v>
      </c>
      <c r="K184" s="814">
        <v>75.87</v>
      </c>
      <c r="L184" s="814">
        <v>77.98</v>
      </c>
      <c r="M184" s="814">
        <v>79.349999999999994</v>
      </c>
      <c r="N184" s="814">
        <v>82.25</v>
      </c>
      <c r="O184" s="814">
        <v>87.51</v>
      </c>
      <c r="P184" s="814">
        <v>92.73</v>
      </c>
      <c r="Q184" s="814">
        <v>96.55</v>
      </c>
      <c r="R184" s="814">
        <v>99.7</v>
      </c>
      <c r="S184" s="814">
        <v>103.54</v>
      </c>
      <c r="T184" s="814">
        <v>105.08</v>
      </c>
      <c r="U184" s="814"/>
      <c r="V184" s="814"/>
      <c r="W184" s="814"/>
    </row>
    <row r="185" spans="1:23">
      <c r="A185" s="814" t="s">
        <v>35</v>
      </c>
      <c r="B185" s="979">
        <v>53.07</v>
      </c>
      <c r="C185" s="814">
        <v>55.99</v>
      </c>
      <c r="D185" s="814">
        <v>58.7</v>
      </c>
      <c r="E185" s="814"/>
      <c r="F185" s="979">
        <v>61.33</v>
      </c>
      <c r="G185" s="814">
        <v>64.819999999999993</v>
      </c>
      <c r="H185" s="1468">
        <v>69.8</v>
      </c>
      <c r="I185" s="814">
        <v>71.2</v>
      </c>
      <c r="J185" s="814">
        <v>73.45</v>
      </c>
      <c r="K185" s="814">
        <v>76.19</v>
      </c>
      <c r="L185" s="814">
        <v>78.05</v>
      </c>
      <c r="M185" s="814">
        <v>79.56</v>
      </c>
      <c r="N185" s="814">
        <v>82.47</v>
      </c>
      <c r="O185" s="814">
        <v>88.05</v>
      </c>
      <c r="P185" s="814">
        <v>93.11</v>
      </c>
      <c r="Q185" s="814">
        <v>96.92</v>
      </c>
      <c r="R185" s="814">
        <v>100</v>
      </c>
      <c r="S185" s="814">
        <v>103.8</v>
      </c>
      <c r="T185" s="814">
        <v>105.48</v>
      </c>
      <c r="U185" s="814"/>
      <c r="V185" s="814"/>
      <c r="W185" s="814"/>
    </row>
    <row r="186" spans="1:23">
      <c r="A186" s="814"/>
      <c r="B186" s="979"/>
      <c r="C186" s="814"/>
      <c r="D186" s="814"/>
      <c r="E186" s="814"/>
      <c r="F186" s="979"/>
      <c r="G186" s="814"/>
      <c r="H186" s="814"/>
      <c r="I186" s="814"/>
      <c r="J186" s="814"/>
      <c r="K186" s="814"/>
      <c r="L186" s="814"/>
      <c r="M186" s="814"/>
      <c r="N186" s="814"/>
      <c r="O186" s="814"/>
      <c r="P186" s="814"/>
      <c r="Q186" s="814"/>
      <c r="R186" s="814"/>
      <c r="S186" s="814"/>
      <c r="T186" s="814"/>
      <c r="U186" s="814"/>
      <c r="V186" s="814"/>
      <c r="W186" s="814"/>
    </row>
    <row r="187" spans="1:23">
      <c r="A187" s="814"/>
      <c r="B187" s="979"/>
      <c r="C187" s="814"/>
      <c r="D187" s="814"/>
      <c r="E187" s="814"/>
      <c r="F187" s="979"/>
      <c r="G187" s="814"/>
      <c r="H187" s="814"/>
      <c r="I187" s="814"/>
      <c r="J187" s="814"/>
      <c r="K187" s="814"/>
      <c r="L187" s="814"/>
      <c r="M187" s="814"/>
      <c r="N187" s="814"/>
      <c r="O187" s="814"/>
      <c r="P187" s="814"/>
      <c r="Q187" s="814"/>
      <c r="R187" s="814"/>
      <c r="S187" s="814"/>
      <c r="T187" s="814"/>
      <c r="U187" s="814"/>
      <c r="V187" s="814"/>
      <c r="W187" s="814"/>
    </row>
    <row r="188" spans="1:23">
      <c r="A188" s="814" t="s">
        <v>900</v>
      </c>
      <c r="B188" s="979"/>
      <c r="C188" s="814"/>
      <c r="D188" s="814"/>
      <c r="E188" s="814"/>
      <c r="F188" s="979"/>
      <c r="G188" s="814"/>
      <c r="H188" s="814"/>
      <c r="I188" s="814"/>
      <c r="J188" s="814"/>
      <c r="K188" s="814"/>
      <c r="L188" s="814"/>
      <c r="M188" s="814"/>
      <c r="N188" s="814"/>
      <c r="O188" s="814"/>
      <c r="P188" s="814"/>
      <c r="Q188" s="814"/>
      <c r="R188" s="814"/>
      <c r="S188" s="814"/>
      <c r="T188" s="814"/>
      <c r="U188" s="814"/>
      <c r="V188" s="814"/>
      <c r="W188" s="814"/>
    </row>
  </sheetData>
  <mergeCells count="2">
    <mergeCell ref="B81:H81"/>
    <mergeCell ref="B129:C129"/>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9"/>
  <dimension ref="B2:J36"/>
  <sheetViews>
    <sheetView zoomScale="124" zoomScaleNormal="124" workbookViewId="0">
      <selection activeCell="C36" sqref="C36"/>
    </sheetView>
  </sheetViews>
  <sheetFormatPr defaultColWidth="9.140625" defaultRowHeight="12.75"/>
  <cols>
    <col min="1" max="1" width="2.28515625" style="791" customWidth="1"/>
    <col min="2" max="2" width="14.28515625" style="791" customWidth="1"/>
    <col min="3" max="3" width="13.85546875" style="791" customWidth="1"/>
    <col min="4" max="4" width="9.85546875" style="791" customWidth="1"/>
    <col min="5" max="5" width="11.42578125" style="791" customWidth="1"/>
    <col min="6" max="6" width="6.7109375" style="906" customWidth="1"/>
    <col min="7" max="7" width="14.42578125" style="791" customWidth="1"/>
    <col min="8" max="8" width="9.7109375" style="791" customWidth="1"/>
    <col min="9" max="9" width="9.85546875" style="791" customWidth="1"/>
    <col min="10" max="10" width="10.140625" style="791" customWidth="1"/>
    <col min="11" max="255" width="11.42578125" style="791" customWidth="1"/>
    <col min="256" max="16384" width="9.140625" style="791"/>
  </cols>
  <sheetData>
    <row r="2" spans="2:10" ht="25.5">
      <c r="B2" s="1078" t="s">
        <v>940</v>
      </c>
      <c r="C2" s="1329" t="s">
        <v>941</v>
      </c>
    </row>
    <row r="3" spans="2:10">
      <c r="B3" s="789" t="s">
        <v>124</v>
      </c>
      <c r="C3" s="1329" t="s">
        <v>942</v>
      </c>
    </row>
    <row r="4" spans="2:10" ht="11.25" customHeight="1">
      <c r="B4" s="789" t="s">
        <v>943</v>
      </c>
      <c r="C4" s="728" t="s">
        <v>921</v>
      </c>
    </row>
    <row r="5" spans="2:10" ht="11.25" customHeight="1">
      <c r="B5" s="789" t="s">
        <v>944</v>
      </c>
      <c r="C5" s="1329" t="s">
        <v>945</v>
      </c>
    </row>
    <row r="6" spans="2:10" ht="11.25" customHeight="1">
      <c r="B6" s="912" t="s">
        <v>2</v>
      </c>
      <c r="C6" s="952">
        <v>14944550.41</v>
      </c>
    </row>
    <row r="7" spans="2:10" ht="12" customHeight="1">
      <c r="B7" s="737" t="s">
        <v>946</v>
      </c>
      <c r="C7" s="737"/>
    </row>
    <row r="8" spans="2:10">
      <c r="B8" s="728" t="s">
        <v>947</v>
      </c>
      <c r="C8" s="724">
        <v>39699</v>
      </c>
    </row>
    <row r="9" spans="2:10" ht="25.5" customHeight="1">
      <c r="B9" s="1078" t="s">
        <v>948</v>
      </c>
      <c r="C9" s="1331">
        <v>40591</v>
      </c>
    </row>
    <row r="10" spans="2:10">
      <c r="B10" s="880" t="s">
        <v>949</v>
      </c>
      <c r="C10" s="886"/>
    </row>
    <row r="11" spans="2:10">
      <c r="B11" s="2591" t="s">
        <v>84</v>
      </c>
      <c r="C11" s="2591"/>
      <c r="D11" s="2591"/>
      <c r="E11" s="2591"/>
      <c r="F11" s="2591"/>
      <c r="G11" s="2591"/>
      <c r="H11" s="2591"/>
      <c r="I11" s="2591"/>
      <c r="J11" s="2591"/>
    </row>
    <row r="12" spans="2:10" ht="48.75" customHeight="1">
      <c r="B12" s="923" t="s">
        <v>147</v>
      </c>
      <c r="C12" s="923" t="s">
        <v>40</v>
      </c>
      <c r="D12" s="970" t="s">
        <v>227</v>
      </c>
      <c r="E12" s="1112" t="s">
        <v>228</v>
      </c>
      <c r="F12" s="923" t="s">
        <v>529</v>
      </c>
      <c r="G12" s="970" t="s">
        <v>230</v>
      </c>
      <c r="H12" s="970" t="s">
        <v>231</v>
      </c>
      <c r="I12" s="970" t="s">
        <v>232</v>
      </c>
      <c r="J12" s="970" t="s">
        <v>950</v>
      </c>
    </row>
    <row r="13" spans="2:10">
      <c r="B13" s="724">
        <v>39699</v>
      </c>
      <c r="C13" s="724">
        <v>39813</v>
      </c>
      <c r="D13" s="952">
        <f>+C6</f>
        <v>14944550.41</v>
      </c>
      <c r="E13" s="796">
        <v>5.6899999999999999E-2</v>
      </c>
      <c r="F13" s="1122">
        <f>_xlfn.DAYS(C13,B13)+1</f>
        <v>115</v>
      </c>
      <c r="G13" s="796">
        <f>+E13</f>
        <v>5.6899999999999999E-2</v>
      </c>
      <c r="H13" s="952">
        <f>(((D13*E13)/365*F13))+D13</f>
        <v>15212467.30207626</v>
      </c>
      <c r="I13" s="1344">
        <f>(12%*F13)/365</f>
        <v>3.7808219178082192E-2</v>
      </c>
      <c r="J13" s="952">
        <f>+H13*I13</f>
        <v>575156.29799630796</v>
      </c>
    </row>
    <row r="14" spans="2:10">
      <c r="B14" s="724">
        <v>39814</v>
      </c>
      <c r="C14" s="724">
        <v>40178</v>
      </c>
      <c r="D14" s="850">
        <f>+H13</f>
        <v>15212467.30207626</v>
      </c>
      <c r="E14" s="796">
        <v>7.6700000000000004E-2</v>
      </c>
      <c r="F14" s="1122">
        <f>_xlfn.DAYS(C14,B14)+1</f>
        <v>365</v>
      </c>
      <c r="G14" s="796">
        <f>+E14</f>
        <v>7.6700000000000004E-2</v>
      </c>
      <c r="H14" s="850">
        <f>(((D14*E14)/365*F14))+D14</f>
        <v>16379263.54414551</v>
      </c>
      <c r="I14" s="1344">
        <f>(12%*F14)/365</f>
        <v>0.12</v>
      </c>
      <c r="J14" s="850">
        <f>+H14*I14</f>
        <v>1965511.6252974612</v>
      </c>
    </row>
    <row r="15" spans="2:10">
      <c r="B15" s="724">
        <v>40179</v>
      </c>
      <c r="C15" s="724">
        <v>40543</v>
      </c>
      <c r="D15" s="850">
        <f>+H14</f>
        <v>16379263.54414551</v>
      </c>
      <c r="E15" s="796">
        <v>0.02</v>
      </c>
      <c r="F15" s="1122">
        <f>_xlfn.DAYS(C15,B15)+1</f>
        <v>365</v>
      </c>
      <c r="G15" s="796">
        <f>+E15</f>
        <v>0.02</v>
      </c>
      <c r="H15" s="850">
        <f>(((D15*E15)/365*F15))+D15</f>
        <v>16706848.81502842</v>
      </c>
      <c r="I15" s="1344">
        <f>(12%*F15)/365</f>
        <v>0.12</v>
      </c>
      <c r="J15" s="850">
        <f>+H15*I15</f>
        <v>2004821.8578034104</v>
      </c>
    </row>
    <row r="16" spans="2:10">
      <c r="B16" s="724">
        <v>40544</v>
      </c>
      <c r="C16" s="724">
        <v>40591</v>
      </c>
      <c r="D16" s="850">
        <f>+H15</f>
        <v>16706848.81502842</v>
      </c>
      <c r="E16" s="796">
        <v>3.1699999999999999E-2</v>
      </c>
      <c r="F16" s="1122">
        <f>_xlfn.DAYS(C16,B16)+1</f>
        <v>48</v>
      </c>
      <c r="G16" s="796">
        <f>+E16</f>
        <v>3.1699999999999999E-2</v>
      </c>
      <c r="H16" s="850">
        <f>(((D16*E16)/365*F16))+D16</f>
        <v>16776495.777102247</v>
      </c>
      <c r="I16" s="1344">
        <f>(12%*F16)/365</f>
        <v>1.5780821917808219E-2</v>
      </c>
      <c r="J16" s="850">
        <f>+H16*I16</f>
        <v>264746.89226331218</v>
      </c>
    </row>
    <row r="17" spans="2:10">
      <c r="B17" s="1436"/>
      <c r="C17" s="1436"/>
      <c r="H17" s="2686" t="s">
        <v>951</v>
      </c>
      <c r="I17" s="2686"/>
      <c r="J17" s="1437">
        <f>SUM(J13:J16)</f>
        <v>4810236.6733604912</v>
      </c>
    </row>
    <row r="18" spans="2:10">
      <c r="B18" s="2579" t="s">
        <v>346</v>
      </c>
      <c r="C18" s="2579"/>
    </row>
    <row r="19" spans="2:10">
      <c r="B19" s="737" t="s">
        <v>951</v>
      </c>
      <c r="C19" s="895">
        <f>+J17</f>
        <v>4810236.6733604912</v>
      </c>
    </row>
    <row r="20" spans="2:10">
      <c r="B20" s="737" t="s">
        <v>952</v>
      </c>
      <c r="C20" s="895">
        <v>747225</v>
      </c>
    </row>
    <row r="21" spans="2:10">
      <c r="B21" s="728" t="s">
        <v>61</v>
      </c>
      <c r="C21" s="907">
        <f>SUM(C19:C20)</f>
        <v>5557461.6733604912</v>
      </c>
    </row>
    <row r="22" spans="2:10">
      <c r="B22" s="719" t="s">
        <v>62</v>
      </c>
    </row>
    <row r="23" spans="2:10">
      <c r="B23" s="911"/>
    </row>
    <row r="24" spans="2:10">
      <c r="B24" s="911"/>
    </row>
    <row r="25" spans="2:10">
      <c r="B25" s="719" t="s">
        <v>63</v>
      </c>
    </row>
    <row r="26" spans="2:10">
      <c r="B26" s="719" t="s">
        <v>64</v>
      </c>
    </row>
    <row r="27" spans="2:10">
      <c r="B27" s="719" t="s">
        <v>65</v>
      </c>
    </row>
    <row r="28" spans="2:10">
      <c r="B28" s="1436"/>
      <c r="C28" s="886"/>
    </row>
    <row r="29" spans="2:10">
      <c r="B29" s="1436"/>
      <c r="C29" s="886"/>
    </row>
    <row r="30" spans="2:10">
      <c r="B30" s="886"/>
      <c r="C30" s="886"/>
    </row>
    <row r="31" spans="2:10">
      <c r="B31" s="886"/>
    </row>
    <row r="32" spans="2:10">
      <c r="B32" s="886"/>
    </row>
    <row r="33" spans="2:2" ht="9.75" customHeight="1">
      <c r="B33" s="886"/>
    </row>
    <row r="34" spans="2:2" ht="10.5" customHeight="1">
      <c r="B34" s="886"/>
    </row>
    <row r="35" spans="2:2">
      <c r="B35" s="886"/>
    </row>
    <row r="36" spans="2:2">
      <c r="B36" s="886"/>
    </row>
  </sheetData>
  <mergeCells count="3">
    <mergeCell ref="B11:J11"/>
    <mergeCell ref="H17:I17"/>
    <mergeCell ref="B18:C18"/>
  </mergeCells>
  <phoneticPr fontId="21" type="noConversion"/>
  <pageMargins left="0.7" right="0.7" top="0.75" bottom="0.75" header="0.3" footer="0.3"/>
  <pageSetup scale="75"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B4128-76B6-4050-B2C2-3F6B24F24704}">
  <sheetPr codeName="Hoja49"/>
  <dimension ref="A4:I46"/>
  <sheetViews>
    <sheetView topLeftCell="A25" zoomScale="96" zoomScaleNormal="96" workbookViewId="0">
      <selection activeCell="H47" sqref="H47"/>
    </sheetView>
  </sheetViews>
  <sheetFormatPr defaultColWidth="11.42578125" defaultRowHeight="12.75"/>
  <cols>
    <col min="1" max="1" width="2.7109375" style="791" customWidth="1"/>
    <col min="2" max="2" width="15.28515625" style="791" customWidth="1"/>
    <col min="3" max="3" width="16.5703125" style="791" bestFit="1" customWidth="1"/>
    <col min="4" max="4" width="7.7109375" style="791" customWidth="1"/>
    <col min="5" max="5" width="8.5703125" style="791" customWidth="1"/>
    <col min="6" max="6" width="8.85546875" style="791" customWidth="1"/>
    <col min="7" max="7" width="10" style="791" customWidth="1"/>
    <col min="8" max="8" width="8" style="791" customWidth="1"/>
    <col min="9" max="9" width="13.140625" style="791" customWidth="1"/>
    <col min="10" max="16384" width="11.42578125" style="791"/>
  </cols>
  <sheetData>
    <row r="4" spans="1:9" ht="25.5">
      <c r="B4" s="789" t="s">
        <v>508</v>
      </c>
      <c r="C4" s="737" t="s">
        <v>953</v>
      </c>
      <c r="D4" s="737"/>
    </row>
    <row r="5" spans="1:9">
      <c r="B5" s="728" t="s">
        <v>67</v>
      </c>
      <c r="C5" s="929">
        <v>152114021</v>
      </c>
    </row>
    <row r="6" spans="1:9">
      <c r="B6" s="728" t="s">
        <v>4</v>
      </c>
      <c r="C6" s="953">
        <v>43726</v>
      </c>
    </row>
    <row r="7" spans="1:9">
      <c r="B7" s="728" t="s">
        <v>954</v>
      </c>
      <c r="C7" s="953">
        <v>43742</v>
      </c>
    </row>
    <row r="8" spans="1:9">
      <c r="B8" s="728" t="s">
        <v>291</v>
      </c>
      <c r="C8" s="737" t="s">
        <v>955</v>
      </c>
      <c r="D8" s="737"/>
    </row>
    <row r="9" spans="1:9">
      <c r="B9" s="791" t="s">
        <v>956</v>
      </c>
    </row>
    <row r="10" spans="1:9">
      <c r="B10" s="2644" t="s">
        <v>957</v>
      </c>
      <c r="C10" s="2645"/>
      <c r="D10" s="2645"/>
      <c r="E10" s="2645"/>
      <c r="F10" s="2645"/>
      <c r="G10" s="2645"/>
      <c r="H10" s="2646"/>
    </row>
    <row r="11" spans="1:9" ht="25.5">
      <c r="A11" s="737"/>
      <c r="B11" s="1009" t="s">
        <v>206</v>
      </c>
      <c r="C11" s="1009" t="s">
        <v>10</v>
      </c>
      <c r="D11" s="2712" t="s">
        <v>958</v>
      </c>
      <c r="E11" s="2713"/>
      <c r="F11" s="793" t="s">
        <v>43</v>
      </c>
      <c r="G11" s="794" t="s">
        <v>129</v>
      </c>
      <c r="H11" s="794" t="s">
        <v>86</v>
      </c>
      <c r="I11" s="794" t="s">
        <v>59</v>
      </c>
    </row>
    <row r="12" spans="1:9">
      <c r="A12" s="737">
        <v>1</v>
      </c>
      <c r="B12" s="953">
        <v>43866</v>
      </c>
      <c r="C12" s="1439">
        <v>43890</v>
      </c>
      <c r="D12" s="796">
        <v>0</v>
      </c>
      <c r="E12" s="796">
        <v>4.4600000000000001E-2</v>
      </c>
      <c r="F12" s="897">
        <f>((1+E12)^(1/365)-1)</f>
        <v>1.1955245272932125E-4</v>
      </c>
      <c r="G12" s="882">
        <f>+$C$5</f>
        <v>152114021</v>
      </c>
      <c r="H12" s="984">
        <f t="shared" ref="H12:H25" si="0">+_xlfn.DAYS(C12,B12)+1</f>
        <v>25</v>
      </c>
      <c r="I12" s="850">
        <f>+G12*F12*H12</f>
        <v>454640.10762673698</v>
      </c>
    </row>
    <row r="13" spans="1:9">
      <c r="A13" s="737">
        <v>2</v>
      </c>
      <c r="B13" s="953">
        <v>43891</v>
      </c>
      <c r="C13" s="1439">
        <v>43921</v>
      </c>
      <c r="D13" s="796">
        <v>0</v>
      </c>
      <c r="E13" s="796">
        <v>4.4999999999999998E-2</v>
      </c>
      <c r="F13" s="897">
        <f t="shared" ref="F13:F35" si="1">((1+E13)^(1/365)-1)</f>
        <v>1.2060147839498825E-4</v>
      </c>
      <c r="G13" s="882">
        <f t="shared" ref="G13:G35" si="2">+$C$5</f>
        <v>152114021</v>
      </c>
      <c r="H13" s="984">
        <f t="shared" si="0"/>
        <v>31</v>
      </c>
      <c r="I13" s="850">
        <f t="shared" ref="I13:I22" si="3">+G13*F13*H13</f>
        <v>568700.45033339493</v>
      </c>
    </row>
    <row r="14" spans="1:9">
      <c r="A14" s="737">
        <v>3</v>
      </c>
      <c r="B14" s="953">
        <v>43922</v>
      </c>
      <c r="C14" s="1439">
        <v>43951</v>
      </c>
      <c r="D14" s="796">
        <v>0</v>
      </c>
      <c r="E14" s="796">
        <v>4.5499999999999999E-2</v>
      </c>
      <c r="F14" s="897">
        <f t="shared" si="1"/>
        <v>1.2191219750046223E-4</v>
      </c>
      <c r="G14" s="882">
        <f t="shared" si="2"/>
        <v>152114021</v>
      </c>
      <c r="H14" s="984">
        <f t="shared" si="0"/>
        <v>30</v>
      </c>
      <c r="I14" s="850">
        <f t="shared" si="3"/>
        <v>556336.63712224376</v>
      </c>
    </row>
    <row r="15" spans="1:9">
      <c r="A15" s="737">
        <v>4</v>
      </c>
      <c r="B15" s="953">
        <v>43952</v>
      </c>
      <c r="C15" s="1439">
        <v>43982</v>
      </c>
      <c r="D15" s="796">
        <v>0</v>
      </c>
      <c r="E15" s="796">
        <v>4.2900000000000001E-2</v>
      </c>
      <c r="F15" s="897">
        <f t="shared" si="1"/>
        <v>1.1508961995976286E-4</v>
      </c>
      <c r="G15" s="882">
        <f t="shared" si="2"/>
        <v>152114021</v>
      </c>
      <c r="H15" s="984">
        <f t="shared" si="0"/>
        <v>31</v>
      </c>
      <c r="I15" s="850">
        <f t="shared" si="3"/>
        <v>542709.090890683</v>
      </c>
    </row>
    <row r="16" spans="1:9">
      <c r="A16" s="737">
        <v>5</v>
      </c>
      <c r="B16" s="953">
        <v>43983</v>
      </c>
      <c r="C16" s="1439">
        <v>44012</v>
      </c>
      <c r="D16" s="796">
        <v>0</v>
      </c>
      <c r="E16" s="796">
        <v>3.7600000000000001E-2</v>
      </c>
      <c r="F16" s="897">
        <f t="shared" si="1"/>
        <v>1.0112937081929729E-4</v>
      </c>
      <c r="G16" s="882">
        <f t="shared" si="2"/>
        <v>152114021</v>
      </c>
      <c r="H16" s="984">
        <f t="shared" si="0"/>
        <v>30</v>
      </c>
      <c r="I16" s="850">
        <f t="shared" si="3"/>
        <v>461495.85709570127</v>
      </c>
    </row>
    <row r="17" spans="1:9">
      <c r="A17" s="737">
        <v>6</v>
      </c>
      <c r="B17" s="953">
        <v>44013</v>
      </c>
      <c r="C17" s="1439">
        <v>44043</v>
      </c>
      <c r="D17" s="796">
        <v>0</v>
      </c>
      <c r="E17" s="796">
        <v>3.3399999999999999E-2</v>
      </c>
      <c r="F17" s="897">
        <f t="shared" si="1"/>
        <v>9.0015933029263806E-5</v>
      </c>
      <c r="G17" s="882">
        <f t="shared" si="2"/>
        <v>152114021</v>
      </c>
      <c r="H17" s="984">
        <f t="shared" si="0"/>
        <v>31</v>
      </c>
      <c r="I17" s="850">
        <f t="shared" si="3"/>
        <v>424473.25134158891</v>
      </c>
    </row>
    <row r="18" spans="1:9">
      <c r="A18" s="737">
        <v>7</v>
      </c>
      <c r="B18" s="953">
        <v>44044</v>
      </c>
      <c r="C18" s="1439">
        <v>44074</v>
      </c>
      <c r="D18" s="796">
        <v>0</v>
      </c>
      <c r="E18" s="796">
        <v>2.7900000000000001E-2</v>
      </c>
      <c r="F18" s="897">
        <f t="shared" si="1"/>
        <v>7.5394310601994974E-5</v>
      </c>
      <c r="G18" s="882">
        <f t="shared" si="2"/>
        <v>152114021</v>
      </c>
      <c r="H18" s="984">
        <f t="shared" si="0"/>
        <v>31</v>
      </c>
      <c r="I18" s="850">
        <f t="shared" si="3"/>
        <v>355524.48413196398</v>
      </c>
    </row>
    <row r="19" spans="1:9">
      <c r="A19" s="737">
        <v>8</v>
      </c>
      <c r="B19" s="953">
        <v>44075</v>
      </c>
      <c r="C19" s="1439">
        <v>44104</v>
      </c>
      <c r="D19" s="796">
        <v>0</v>
      </c>
      <c r="E19" s="796">
        <v>2.3900000000000001E-2</v>
      </c>
      <c r="F19" s="897">
        <f t="shared" si="1"/>
        <v>6.4711314504917183E-5</v>
      </c>
      <c r="G19" s="882">
        <f t="shared" si="2"/>
        <v>152114021</v>
      </c>
      <c r="H19" s="984">
        <f t="shared" si="0"/>
        <v>30</v>
      </c>
      <c r="I19" s="850">
        <f t="shared" si="3"/>
        <v>295304.94760615734</v>
      </c>
    </row>
    <row r="20" spans="1:9">
      <c r="A20" s="737">
        <v>9</v>
      </c>
      <c r="B20" s="953">
        <v>44105</v>
      </c>
      <c r="C20" s="953">
        <v>44135</v>
      </c>
      <c r="D20" s="796">
        <v>0</v>
      </c>
      <c r="E20" s="796">
        <v>2.0299999999999999E-2</v>
      </c>
      <c r="F20" s="897">
        <f t="shared" si="1"/>
        <v>5.5060972509624051E-5</v>
      </c>
      <c r="G20" s="882">
        <f t="shared" si="2"/>
        <v>152114021</v>
      </c>
      <c r="H20" s="984">
        <f t="shared" si="0"/>
        <v>31</v>
      </c>
      <c r="I20" s="850">
        <f>+G20*F20*H20</f>
        <v>259641.92378689063</v>
      </c>
    </row>
    <row r="21" spans="1:9">
      <c r="A21" s="737">
        <v>10</v>
      </c>
      <c r="B21" s="953">
        <v>44136</v>
      </c>
      <c r="C21" s="953">
        <v>44165</v>
      </c>
      <c r="D21" s="796">
        <v>0</v>
      </c>
      <c r="E21" s="796">
        <v>1.9599999999999999E-2</v>
      </c>
      <c r="F21" s="897">
        <f t="shared" si="1"/>
        <v>5.3180574364875E-5</v>
      </c>
      <c r="G21" s="882">
        <f t="shared" si="2"/>
        <v>152114021</v>
      </c>
      <c r="H21" s="984">
        <f t="shared" si="0"/>
        <v>30</v>
      </c>
      <c r="I21" s="850">
        <f t="shared" si="3"/>
        <v>242685.33017191972</v>
      </c>
    </row>
    <row r="22" spans="1:9">
      <c r="A22" s="737">
        <v>11</v>
      </c>
      <c r="B22" s="953">
        <v>44166</v>
      </c>
      <c r="C22" s="953">
        <v>44170</v>
      </c>
      <c r="D22" s="796">
        <v>0</v>
      </c>
      <c r="E22" s="796">
        <v>1.9300000000000001E-2</v>
      </c>
      <c r="F22" s="897">
        <f t="shared" si="1"/>
        <v>5.2374295299806306E-5</v>
      </c>
      <c r="G22" s="882">
        <f t="shared" si="2"/>
        <v>152114021</v>
      </c>
      <c r="H22" s="984">
        <f t="shared" si="0"/>
        <v>5</v>
      </c>
      <c r="I22" s="850">
        <f t="shared" si="3"/>
        <v>39834.323275474686</v>
      </c>
    </row>
    <row r="23" spans="1:9">
      <c r="A23" s="737">
        <v>12</v>
      </c>
      <c r="B23" s="953">
        <v>44171</v>
      </c>
      <c r="C23" s="953">
        <v>44196</v>
      </c>
      <c r="D23" s="796">
        <v>0.17460000000000001</v>
      </c>
      <c r="E23" s="796">
        <f>+D23*1.5</f>
        <v>0.26190000000000002</v>
      </c>
      <c r="F23" s="897">
        <f t="shared" si="1"/>
        <v>6.3751414410861962E-4</v>
      </c>
      <c r="G23" s="882">
        <f t="shared" si="2"/>
        <v>152114021</v>
      </c>
      <c r="H23" s="984">
        <f t="shared" si="0"/>
        <v>26</v>
      </c>
      <c r="I23" s="850">
        <f>+G23*F23*H23</f>
        <v>2521345.8375231256</v>
      </c>
    </row>
    <row r="24" spans="1:9">
      <c r="A24" s="737">
        <v>13</v>
      </c>
      <c r="B24" s="953">
        <v>44197</v>
      </c>
      <c r="C24" s="953">
        <v>44227</v>
      </c>
      <c r="D24" s="796">
        <v>0.17319999999999999</v>
      </c>
      <c r="E24" s="796">
        <f t="shared" ref="E24:E35" si="4">+D24*1.5</f>
        <v>0.25979999999999998</v>
      </c>
      <c r="F24" s="897">
        <f t="shared" si="1"/>
        <v>6.3294811266723094E-4</v>
      </c>
      <c r="G24" s="882">
        <f t="shared" si="2"/>
        <v>152114021</v>
      </c>
      <c r="H24" s="984">
        <f t="shared" si="0"/>
        <v>31</v>
      </c>
      <c r="I24" s="850">
        <f t="shared" ref="I24:I35" si="5">+G24*F24*H24</f>
        <v>2984688.7575673796</v>
      </c>
    </row>
    <row r="25" spans="1:9">
      <c r="A25" s="737">
        <v>14</v>
      </c>
      <c r="B25" s="953">
        <v>44228</v>
      </c>
      <c r="C25" s="953">
        <v>44255</v>
      </c>
      <c r="D25" s="796">
        <v>0.1754</v>
      </c>
      <c r="E25" s="796">
        <f t="shared" si="4"/>
        <v>0.2631</v>
      </c>
      <c r="F25" s="897">
        <f t="shared" si="1"/>
        <v>6.4011990387169426E-4</v>
      </c>
      <c r="G25" s="882">
        <f t="shared" si="2"/>
        <v>152114021</v>
      </c>
      <c r="H25" s="984">
        <f t="shared" si="0"/>
        <v>28</v>
      </c>
      <c r="I25" s="850">
        <f t="shared" si="5"/>
        <v>2726393.9500015927</v>
      </c>
    </row>
    <row r="26" spans="1:9">
      <c r="A26" s="737">
        <v>15</v>
      </c>
      <c r="B26" s="953">
        <v>44256</v>
      </c>
      <c r="C26" s="953">
        <v>44286</v>
      </c>
      <c r="D26" s="796">
        <v>0.1741</v>
      </c>
      <c r="E26" s="796">
        <f t="shared" si="4"/>
        <v>0.26114999999999999</v>
      </c>
      <c r="F26" s="897">
        <f t="shared" si="1"/>
        <v>6.3588428907812578E-4</v>
      </c>
      <c r="G26" s="882">
        <f t="shared" si="2"/>
        <v>152114021</v>
      </c>
      <c r="H26" s="931">
        <f t="shared" ref="H26:H35" si="6">+_xlfn.DAYS(C26,B26)+1</f>
        <v>31</v>
      </c>
      <c r="I26" s="850">
        <f t="shared" si="5"/>
        <v>2998534.3991744029</v>
      </c>
    </row>
    <row r="27" spans="1:9">
      <c r="A27" s="737">
        <v>16</v>
      </c>
      <c r="B27" s="953">
        <v>44287</v>
      </c>
      <c r="C27" s="953">
        <v>44316</v>
      </c>
      <c r="D27" s="796">
        <v>0.1731</v>
      </c>
      <c r="E27" s="796">
        <f t="shared" si="4"/>
        <v>0.25964999999999999</v>
      </c>
      <c r="F27" s="897">
        <f t="shared" si="1"/>
        <v>6.326216771728177E-4</v>
      </c>
      <c r="G27" s="882">
        <f t="shared" si="2"/>
        <v>152114021</v>
      </c>
      <c r="H27" s="931">
        <f t="shared" si="6"/>
        <v>30</v>
      </c>
      <c r="I27" s="850">
        <f t="shared" si="5"/>
        <v>2886918.8125956366</v>
      </c>
    </row>
    <row r="28" spans="1:9">
      <c r="A28" s="737">
        <v>17</v>
      </c>
      <c r="B28" s="953">
        <v>44317</v>
      </c>
      <c r="C28" s="953">
        <v>44347</v>
      </c>
      <c r="D28" s="796">
        <v>0.17219999999999999</v>
      </c>
      <c r="E28" s="796">
        <f t="shared" si="4"/>
        <v>0.25829999999999997</v>
      </c>
      <c r="F28" s="897">
        <f t="shared" si="1"/>
        <v>6.2968201205726437E-4</v>
      </c>
      <c r="G28" s="882">
        <f t="shared" si="2"/>
        <v>152114021</v>
      </c>
      <c r="H28" s="931">
        <f t="shared" si="6"/>
        <v>31</v>
      </c>
      <c r="I28" s="850">
        <f t="shared" si="5"/>
        <v>2969287.3469674299</v>
      </c>
    </row>
    <row r="29" spans="1:9">
      <c r="A29" s="737">
        <v>18</v>
      </c>
      <c r="B29" s="953">
        <v>44348</v>
      </c>
      <c r="C29" s="953">
        <v>44377</v>
      </c>
      <c r="D29" s="796">
        <v>0.1721</v>
      </c>
      <c r="E29" s="796">
        <f t="shared" si="4"/>
        <v>0.25814999999999999</v>
      </c>
      <c r="F29" s="897">
        <f t="shared" si="1"/>
        <v>6.2935518846773952E-4</v>
      </c>
      <c r="G29" s="882">
        <f t="shared" si="2"/>
        <v>152114021</v>
      </c>
      <c r="H29" s="931">
        <f t="shared" si="6"/>
        <v>30</v>
      </c>
      <c r="I29" s="850">
        <f t="shared" si="5"/>
        <v>2872012.4506512205</v>
      </c>
    </row>
    <row r="30" spans="1:9">
      <c r="A30" s="737">
        <v>19</v>
      </c>
      <c r="B30" s="953">
        <v>44378</v>
      </c>
      <c r="C30" s="953">
        <v>44408</v>
      </c>
      <c r="D30" s="796">
        <v>0.17180000000000001</v>
      </c>
      <c r="E30" s="796">
        <f t="shared" si="4"/>
        <v>0.25770000000000004</v>
      </c>
      <c r="F30" s="897">
        <f t="shared" si="1"/>
        <v>6.2837448450037137E-4</v>
      </c>
      <c r="G30" s="882">
        <f t="shared" si="2"/>
        <v>152114021</v>
      </c>
      <c r="H30" s="931">
        <f t="shared" si="6"/>
        <v>31</v>
      </c>
      <c r="I30" s="850">
        <f t="shared" si="5"/>
        <v>2963121.6554657635</v>
      </c>
    </row>
    <row r="31" spans="1:9">
      <c r="A31" s="737">
        <v>21</v>
      </c>
      <c r="B31" s="953">
        <v>44409</v>
      </c>
      <c r="C31" s="953">
        <v>44439</v>
      </c>
      <c r="D31" s="796">
        <v>0.1724</v>
      </c>
      <c r="E31" s="796">
        <f t="shared" si="4"/>
        <v>0.2586</v>
      </c>
      <c r="F31" s="897">
        <f t="shared" si="1"/>
        <v>6.3033554269220637E-4</v>
      </c>
      <c r="G31" s="882">
        <f t="shared" si="2"/>
        <v>152114021</v>
      </c>
      <c r="H31" s="931">
        <f t="shared" si="6"/>
        <v>31</v>
      </c>
      <c r="I31" s="850">
        <f t="shared" si="5"/>
        <v>2972369.0933219888</v>
      </c>
    </row>
    <row r="32" spans="1:9">
      <c r="A32" s="737">
        <v>22</v>
      </c>
      <c r="B32" s="953">
        <v>44440</v>
      </c>
      <c r="C32" s="953">
        <v>44469</v>
      </c>
      <c r="D32" s="796">
        <v>0.1719</v>
      </c>
      <c r="E32" s="796">
        <f t="shared" si="4"/>
        <v>0.25785000000000002</v>
      </c>
      <c r="F32" s="897">
        <f t="shared" si="1"/>
        <v>6.2870142469861889E-4</v>
      </c>
      <c r="G32" s="882">
        <f t="shared" si="2"/>
        <v>152114021</v>
      </c>
      <c r="H32" s="931">
        <f t="shared" si="6"/>
        <v>30</v>
      </c>
      <c r="I32" s="850">
        <f t="shared" si="5"/>
        <v>2869029.0515800691</v>
      </c>
    </row>
    <row r="33" spans="1:9">
      <c r="A33" s="737">
        <v>23</v>
      </c>
      <c r="B33" s="953">
        <v>44470</v>
      </c>
      <c r="C33" s="953">
        <v>44500</v>
      </c>
      <c r="D33" s="796">
        <v>0.17080000000000001</v>
      </c>
      <c r="E33" s="796">
        <f t="shared" si="4"/>
        <v>0.25619999999999998</v>
      </c>
      <c r="F33" s="897">
        <f t="shared" si="1"/>
        <v>6.2510294214179751E-4</v>
      </c>
      <c r="G33" s="882">
        <f t="shared" si="2"/>
        <v>152114021</v>
      </c>
      <c r="H33" s="931">
        <f t="shared" si="6"/>
        <v>31</v>
      </c>
      <c r="I33" s="850">
        <f t="shared" si="5"/>
        <v>2947694.5841116942</v>
      </c>
    </row>
    <row r="34" spans="1:9">
      <c r="A34" s="737">
        <v>24</v>
      </c>
      <c r="B34" s="953">
        <v>44501</v>
      </c>
      <c r="C34" s="953">
        <v>44530</v>
      </c>
      <c r="D34" s="796">
        <v>0.17269999999999999</v>
      </c>
      <c r="E34" s="796">
        <f t="shared" si="4"/>
        <v>0.25905</v>
      </c>
      <c r="F34" s="897">
        <f t="shared" si="1"/>
        <v>6.3131554742335005E-4</v>
      </c>
      <c r="G34" s="882">
        <f t="shared" si="2"/>
        <v>152114021</v>
      </c>
      <c r="H34" s="931">
        <f t="shared" si="6"/>
        <v>30</v>
      </c>
      <c r="I34" s="850">
        <f t="shared" si="5"/>
        <v>2880958.3931514593</v>
      </c>
    </row>
    <row r="35" spans="1:9">
      <c r="A35" s="737">
        <v>25</v>
      </c>
      <c r="B35" s="953">
        <v>44531</v>
      </c>
      <c r="C35" s="953">
        <v>44557</v>
      </c>
      <c r="D35" s="796">
        <v>0.17460000000000001</v>
      </c>
      <c r="E35" s="796">
        <f t="shared" si="4"/>
        <v>0.26190000000000002</v>
      </c>
      <c r="F35" s="897">
        <f t="shared" si="1"/>
        <v>6.3751414410861962E-4</v>
      </c>
      <c r="G35" s="882">
        <f t="shared" si="2"/>
        <v>152114021</v>
      </c>
      <c r="H35" s="931">
        <f t="shared" si="6"/>
        <v>27</v>
      </c>
      <c r="I35" s="850">
        <f t="shared" si="5"/>
        <v>2618320.6774278609</v>
      </c>
    </row>
    <row r="36" spans="1:9" ht="13.5" customHeight="1">
      <c r="F36" s="2644" t="s">
        <v>913</v>
      </c>
      <c r="G36" s="2645"/>
      <c r="H36" s="2646"/>
      <c r="I36" s="822">
        <f>SUM(I12:I35)</f>
        <v>41412021.412922382</v>
      </c>
    </row>
    <row r="37" spans="1:9">
      <c r="B37" s="2579" t="s">
        <v>346</v>
      </c>
      <c r="C37" s="2579"/>
      <c r="I37" s="982"/>
    </row>
    <row r="38" spans="1:9">
      <c r="B38" s="737" t="s">
        <v>959</v>
      </c>
      <c r="C38" s="895">
        <f>+C5</f>
        <v>152114021</v>
      </c>
    </row>
    <row r="39" spans="1:9">
      <c r="B39" s="737" t="s">
        <v>951</v>
      </c>
      <c r="C39" s="895">
        <f>+I36</f>
        <v>41412021.412922382</v>
      </c>
    </row>
    <row r="40" spans="1:9">
      <c r="B40" s="728" t="s">
        <v>61</v>
      </c>
      <c r="C40" s="907">
        <f>SUM(C38:C39)</f>
        <v>193526042.41292238</v>
      </c>
    </row>
    <row r="41" spans="1:9">
      <c r="B41" s="719" t="s">
        <v>62</v>
      </c>
    </row>
    <row r="42" spans="1:9">
      <c r="B42" s="911"/>
    </row>
    <row r="43" spans="1:9">
      <c r="B43" s="911"/>
    </row>
    <row r="44" spans="1:9">
      <c r="B44" s="719" t="s">
        <v>63</v>
      </c>
    </row>
    <row r="45" spans="1:9">
      <c r="B45" s="719" t="s">
        <v>64</v>
      </c>
    </row>
    <row r="46" spans="1:9">
      <c r="B46" s="719" t="s">
        <v>65</v>
      </c>
    </row>
  </sheetData>
  <mergeCells count="4">
    <mergeCell ref="B10:H10"/>
    <mergeCell ref="D11:E11"/>
    <mergeCell ref="B37:C37"/>
    <mergeCell ref="F36:H3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4251F-2026-48F4-9BC9-57B21E877719}">
  <sheetPr codeName="Hoja90"/>
  <dimension ref="A4:K46"/>
  <sheetViews>
    <sheetView zoomScale="96" zoomScaleNormal="96" workbookViewId="0">
      <selection activeCell="D54" sqref="D54"/>
    </sheetView>
  </sheetViews>
  <sheetFormatPr defaultColWidth="11.42578125" defaultRowHeight="12.75"/>
  <cols>
    <col min="1" max="1" width="2.7109375" style="791" customWidth="1"/>
    <col min="2" max="2" width="15.28515625" style="791" customWidth="1"/>
    <col min="3" max="3" width="16.5703125" style="791" bestFit="1" customWidth="1"/>
    <col min="4" max="4" width="7.7109375" style="791" customWidth="1"/>
    <col min="5" max="5" width="8.5703125" style="791" customWidth="1"/>
    <col min="6" max="6" width="8.85546875" style="791" customWidth="1"/>
    <col min="7" max="7" width="11.5703125" style="791" bestFit="1" customWidth="1"/>
    <col min="8" max="8" width="8" style="791" customWidth="1"/>
    <col min="9" max="9" width="15" style="791" bestFit="1" customWidth="1"/>
    <col min="10" max="16384" width="11.42578125" style="791"/>
  </cols>
  <sheetData>
    <row r="4" spans="1:9" ht="25.5">
      <c r="B4" s="789" t="s">
        <v>508</v>
      </c>
      <c r="C4" s="737" t="s">
        <v>953</v>
      </c>
      <c r="D4" s="737"/>
    </row>
    <row r="5" spans="1:9">
      <c r="B5" s="728" t="s">
        <v>67</v>
      </c>
      <c r="C5" s="847">
        <v>152114021.47</v>
      </c>
    </row>
    <row r="6" spans="1:9">
      <c r="B6" s="728" t="s">
        <v>4</v>
      </c>
      <c r="C6" s="953">
        <v>43726</v>
      </c>
    </row>
    <row r="7" spans="1:9">
      <c r="B7" s="728" t="s">
        <v>954</v>
      </c>
      <c r="C7" s="953">
        <v>43742</v>
      </c>
    </row>
    <row r="8" spans="1:9">
      <c r="B8" s="728" t="s">
        <v>291</v>
      </c>
      <c r="C8" s="737" t="s">
        <v>955</v>
      </c>
      <c r="D8" s="737"/>
    </row>
    <row r="9" spans="1:9">
      <c r="B9" s="791" t="s">
        <v>956</v>
      </c>
    </row>
    <row r="10" spans="1:9">
      <c r="B10" s="2644" t="s">
        <v>957</v>
      </c>
      <c r="C10" s="2645"/>
      <c r="D10" s="2645"/>
      <c r="E10" s="2645"/>
      <c r="F10" s="2645"/>
      <c r="G10" s="2645"/>
      <c r="H10" s="2646"/>
    </row>
    <row r="11" spans="1:9" ht="25.5">
      <c r="A11" s="737"/>
      <c r="B11" s="1009" t="s">
        <v>206</v>
      </c>
      <c r="C11" s="1009" t="s">
        <v>10</v>
      </c>
      <c r="D11" s="2712" t="s">
        <v>958</v>
      </c>
      <c r="E11" s="2713"/>
      <c r="F11" s="793" t="s">
        <v>43</v>
      </c>
      <c r="G11" s="794" t="s">
        <v>129</v>
      </c>
      <c r="H11" s="794" t="s">
        <v>86</v>
      </c>
      <c r="I11" s="794" t="s">
        <v>59</v>
      </c>
    </row>
    <row r="12" spans="1:9">
      <c r="A12" s="737">
        <v>1</v>
      </c>
      <c r="B12" s="953">
        <v>43866</v>
      </c>
      <c r="C12" s="1439">
        <v>43890</v>
      </c>
      <c r="D12" s="796">
        <v>0</v>
      </c>
      <c r="E12" s="796">
        <v>4.4600000000000001E-2</v>
      </c>
      <c r="F12" s="897">
        <f>((1+E12)^(1/365)-1)</f>
        <v>1.1955245272932125E-4</v>
      </c>
      <c r="G12" s="1080">
        <f>+$C$5</f>
        <v>152114021.47</v>
      </c>
      <c r="H12" s="984">
        <f t="shared" ref="H12:H35" si="0">+_xlfn.DAYS(C12,B12)+1</f>
        <v>25</v>
      </c>
      <c r="I12" s="790">
        <f>+G12*F12*H12</f>
        <v>454640.10903147829</v>
      </c>
    </row>
    <row r="13" spans="1:9">
      <c r="A13" s="737">
        <v>2</v>
      </c>
      <c r="B13" s="953">
        <v>43891</v>
      </c>
      <c r="C13" s="1439">
        <v>43921</v>
      </c>
      <c r="D13" s="796">
        <v>0</v>
      </c>
      <c r="E13" s="796">
        <v>4.4999999999999998E-2</v>
      </c>
      <c r="F13" s="897">
        <f t="shared" ref="F13:F35" si="1">((1+E13)^(1/365)-1)</f>
        <v>1.2060147839498825E-4</v>
      </c>
      <c r="G13" s="1080">
        <f t="shared" ref="G13:G35" si="2">+$C$5</f>
        <v>152114021.47</v>
      </c>
      <c r="H13" s="984">
        <f t="shared" si="0"/>
        <v>31</v>
      </c>
      <c r="I13" s="790">
        <f t="shared" ref="I13:I22" si="3">+G13*F13*H13</f>
        <v>568700.45209055848</v>
      </c>
    </row>
    <row r="14" spans="1:9">
      <c r="A14" s="737">
        <v>3</v>
      </c>
      <c r="B14" s="953">
        <v>43922</v>
      </c>
      <c r="C14" s="1439">
        <v>43951</v>
      </c>
      <c r="D14" s="796">
        <v>0</v>
      </c>
      <c r="E14" s="796">
        <v>4.5499999999999999E-2</v>
      </c>
      <c r="F14" s="897">
        <f t="shared" si="1"/>
        <v>1.2191219750046223E-4</v>
      </c>
      <c r="G14" s="1080">
        <f t="shared" si="2"/>
        <v>152114021.47</v>
      </c>
      <c r="H14" s="984">
        <f t="shared" si="0"/>
        <v>30</v>
      </c>
      <c r="I14" s="790">
        <f t="shared" si="3"/>
        <v>556336.63884120574</v>
      </c>
    </row>
    <row r="15" spans="1:9">
      <c r="A15" s="737">
        <v>4</v>
      </c>
      <c r="B15" s="953">
        <v>43952</v>
      </c>
      <c r="C15" s="1439">
        <v>43982</v>
      </c>
      <c r="D15" s="796">
        <v>0</v>
      </c>
      <c r="E15" s="796">
        <v>4.2900000000000001E-2</v>
      </c>
      <c r="F15" s="897">
        <f t="shared" si="1"/>
        <v>1.1508961995976286E-4</v>
      </c>
      <c r="G15" s="1080">
        <f t="shared" si="2"/>
        <v>152114021.47</v>
      </c>
      <c r="H15" s="984">
        <f t="shared" si="0"/>
        <v>31</v>
      </c>
      <c r="I15" s="790">
        <f t="shared" si="3"/>
        <v>542709.09256753873</v>
      </c>
    </row>
    <row r="16" spans="1:9">
      <c r="A16" s="737">
        <v>5</v>
      </c>
      <c r="B16" s="953">
        <v>43983</v>
      </c>
      <c r="C16" s="1439">
        <v>44012</v>
      </c>
      <c r="D16" s="796">
        <v>0</v>
      </c>
      <c r="E16" s="796">
        <v>3.7600000000000001E-2</v>
      </c>
      <c r="F16" s="897">
        <f t="shared" si="1"/>
        <v>1.0112937081929729E-4</v>
      </c>
      <c r="G16" s="1080">
        <f t="shared" si="2"/>
        <v>152114021.47</v>
      </c>
      <c r="H16" s="984">
        <f t="shared" si="0"/>
        <v>30</v>
      </c>
      <c r="I16" s="790">
        <f t="shared" si="3"/>
        <v>461495.8585216254</v>
      </c>
    </row>
    <row r="17" spans="1:9">
      <c r="A17" s="737">
        <v>6</v>
      </c>
      <c r="B17" s="953">
        <v>44013</v>
      </c>
      <c r="C17" s="1439">
        <v>44043</v>
      </c>
      <c r="D17" s="796">
        <v>0</v>
      </c>
      <c r="E17" s="796">
        <v>3.3399999999999999E-2</v>
      </c>
      <c r="F17" s="897">
        <f t="shared" si="1"/>
        <v>9.0015933029263806E-5</v>
      </c>
      <c r="G17" s="1080">
        <f t="shared" si="2"/>
        <v>152114021.47</v>
      </c>
      <c r="H17" s="984">
        <f t="shared" si="0"/>
        <v>31</v>
      </c>
      <c r="I17" s="790">
        <f t="shared" si="3"/>
        <v>424473.25265312102</v>
      </c>
    </row>
    <row r="18" spans="1:9">
      <c r="A18" s="737">
        <v>7</v>
      </c>
      <c r="B18" s="953">
        <v>44044</v>
      </c>
      <c r="C18" s="1439">
        <v>44074</v>
      </c>
      <c r="D18" s="796">
        <v>0</v>
      </c>
      <c r="E18" s="796">
        <v>2.7900000000000001E-2</v>
      </c>
      <c r="F18" s="897">
        <f t="shared" si="1"/>
        <v>7.5394310601994974E-5</v>
      </c>
      <c r="G18" s="1080">
        <f t="shared" si="2"/>
        <v>152114021.47</v>
      </c>
      <c r="H18" s="984">
        <f t="shared" si="0"/>
        <v>31</v>
      </c>
      <c r="I18" s="790">
        <f t="shared" si="3"/>
        <v>355524.48523045902</v>
      </c>
    </row>
    <row r="19" spans="1:9">
      <c r="A19" s="737">
        <v>8</v>
      </c>
      <c r="B19" s="953">
        <v>44075</v>
      </c>
      <c r="C19" s="1439">
        <v>44104</v>
      </c>
      <c r="D19" s="796">
        <v>0</v>
      </c>
      <c r="E19" s="796">
        <v>2.3900000000000001E-2</v>
      </c>
      <c r="F19" s="897">
        <f t="shared" si="1"/>
        <v>6.4711314504917183E-5</v>
      </c>
      <c r="G19" s="1080">
        <f t="shared" si="2"/>
        <v>152114021.47</v>
      </c>
      <c r="H19" s="984">
        <f t="shared" si="0"/>
        <v>30</v>
      </c>
      <c r="I19" s="790">
        <f t="shared" si="3"/>
        <v>295304.94851858687</v>
      </c>
    </row>
    <row r="20" spans="1:9">
      <c r="A20" s="737">
        <v>9</v>
      </c>
      <c r="B20" s="953">
        <v>44105</v>
      </c>
      <c r="C20" s="953">
        <v>44135</v>
      </c>
      <c r="D20" s="796">
        <v>0</v>
      </c>
      <c r="E20" s="796">
        <v>2.0299999999999999E-2</v>
      </c>
      <c r="F20" s="897">
        <f t="shared" si="1"/>
        <v>5.5060972509624051E-5</v>
      </c>
      <c r="G20" s="1080">
        <f t="shared" si="2"/>
        <v>152114021.47</v>
      </c>
      <c r="H20" s="984">
        <f t="shared" si="0"/>
        <v>31</v>
      </c>
      <c r="I20" s="790">
        <f>+G20*F20*H20</f>
        <v>259641.92458912899</v>
      </c>
    </row>
    <row r="21" spans="1:9">
      <c r="A21" s="737">
        <v>10</v>
      </c>
      <c r="B21" s="953">
        <v>44136</v>
      </c>
      <c r="C21" s="953">
        <v>44165</v>
      </c>
      <c r="D21" s="796">
        <v>0</v>
      </c>
      <c r="E21" s="796">
        <v>1.9599999999999999E-2</v>
      </c>
      <c r="F21" s="897">
        <f t="shared" si="1"/>
        <v>5.3180574364875E-5</v>
      </c>
      <c r="G21" s="1080">
        <f t="shared" si="2"/>
        <v>152114021.47</v>
      </c>
      <c r="H21" s="984">
        <f t="shared" si="0"/>
        <v>30</v>
      </c>
      <c r="I21" s="790">
        <f t="shared" si="3"/>
        <v>242685.33092176582</v>
      </c>
    </row>
    <row r="22" spans="1:9">
      <c r="A22" s="737">
        <v>11</v>
      </c>
      <c r="B22" s="953">
        <v>44166</v>
      </c>
      <c r="C22" s="953">
        <v>44170</v>
      </c>
      <c r="D22" s="796">
        <v>0</v>
      </c>
      <c r="E22" s="796">
        <v>1.9300000000000001E-2</v>
      </c>
      <c r="F22" s="897">
        <f t="shared" si="1"/>
        <v>5.2374295299806306E-5</v>
      </c>
      <c r="G22" s="1080">
        <f t="shared" si="2"/>
        <v>152114021.47</v>
      </c>
      <c r="H22" s="984">
        <f t="shared" si="0"/>
        <v>5</v>
      </c>
      <c r="I22" s="790">
        <f t="shared" si="3"/>
        <v>39834.323398554283</v>
      </c>
    </row>
    <row r="23" spans="1:9">
      <c r="A23" s="737">
        <v>12</v>
      </c>
      <c r="B23" s="953">
        <v>44171</v>
      </c>
      <c r="C23" s="953">
        <v>44196</v>
      </c>
      <c r="D23" s="796">
        <v>0.17460000000000001</v>
      </c>
      <c r="E23" s="796">
        <f>+D23*1.5</f>
        <v>0.26190000000000002</v>
      </c>
      <c r="F23" s="897">
        <f t="shared" si="1"/>
        <v>6.3751414410861962E-4</v>
      </c>
      <c r="G23" s="1080">
        <f t="shared" si="2"/>
        <v>152114021.47</v>
      </c>
      <c r="H23" s="984">
        <f t="shared" si="0"/>
        <v>26</v>
      </c>
      <c r="I23" s="790">
        <f>+G23*F23*H23</f>
        <v>2521345.8453135481</v>
      </c>
    </row>
    <row r="24" spans="1:9">
      <c r="A24" s="737">
        <v>13</v>
      </c>
      <c r="B24" s="953">
        <v>44197</v>
      </c>
      <c r="C24" s="953">
        <v>44227</v>
      </c>
      <c r="D24" s="796">
        <v>0.17319999999999999</v>
      </c>
      <c r="E24" s="796">
        <f t="shared" ref="E24:E35" si="4">+D24*1.5</f>
        <v>0.25979999999999998</v>
      </c>
      <c r="F24" s="897">
        <f t="shared" si="1"/>
        <v>6.3294811266723094E-4</v>
      </c>
      <c r="G24" s="1080">
        <f t="shared" si="2"/>
        <v>152114021.47</v>
      </c>
      <c r="H24" s="984">
        <f t="shared" si="0"/>
        <v>31</v>
      </c>
      <c r="I24" s="790">
        <f t="shared" ref="I24:I35" si="5">+G24*F24*H24</f>
        <v>2984688.7667894335</v>
      </c>
    </row>
    <row r="25" spans="1:9">
      <c r="A25" s="737">
        <v>14</v>
      </c>
      <c r="B25" s="953">
        <v>44228</v>
      </c>
      <c r="C25" s="953">
        <v>44255</v>
      </c>
      <c r="D25" s="796">
        <v>0.1754</v>
      </c>
      <c r="E25" s="796">
        <f t="shared" si="4"/>
        <v>0.2631</v>
      </c>
      <c r="F25" s="897">
        <f t="shared" si="1"/>
        <v>6.4011990387169426E-4</v>
      </c>
      <c r="G25" s="1080">
        <f t="shared" si="2"/>
        <v>152114021.47</v>
      </c>
      <c r="H25" s="984">
        <f t="shared" si="0"/>
        <v>28</v>
      </c>
      <c r="I25" s="790">
        <f t="shared" si="5"/>
        <v>2726393.9584255707</v>
      </c>
    </row>
    <row r="26" spans="1:9">
      <c r="A26" s="737">
        <v>15</v>
      </c>
      <c r="B26" s="953">
        <v>44256</v>
      </c>
      <c r="C26" s="953">
        <v>44286</v>
      </c>
      <c r="D26" s="796">
        <v>0.1741</v>
      </c>
      <c r="E26" s="796">
        <f t="shared" si="4"/>
        <v>0.26114999999999999</v>
      </c>
      <c r="F26" s="897">
        <f t="shared" si="1"/>
        <v>6.3588428907812578E-4</v>
      </c>
      <c r="G26" s="1080">
        <f t="shared" si="2"/>
        <v>152114021.47</v>
      </c>
      <c r="H26" s="931">
        <f t="shared" si="0"/>
        <v>31</v>
      </c>
      <c r="I26" s="790">
        <f t="shared" si="5"/>
        <v>2998534.4084392372</v>
      </c>
    </row>
    <row r="27" spans="1:9">
      <c r="A27" s="737">
        <v>16</v>
      </c>
      <c r="B27" s="953">
        <v>44287</v>
      </c>
      <c r="C27" s="953">
        <v>44316</v>
      </c>
      <c r="D27" s="796">
        <v>0.1731</v>
      </c>
      <c r="E27" s="796">
        <f t="shared" si="4"/>
        <v>0.25964999999999999</v>
      </c>
      <c r="F27" s="897">
        <f t="shared" si="1"/>
        <v>6.326216771728177E-4</v>
      </c>
      <c r="G27" s="1080">
        <f t="shared" si="2"/>
        <v>152114021.47</v>
      </c>
      <c r="H27" s="931">
        <f t="shared" si="0"/>
        <v>30</v>
      </c>
      <c r="I27" s="790">
        <f t="shared" si="5"/>
        <v>2886918.8215156021</v>
      </c>
    </row>
    <row r="28" spans="1:9">
      <c r="A28" s="737">
        <v>17</v>
      </c>
      <c r="B28" s="953">
        <v>44317</v>
      </c>
      <c r="C28" s="953">
        <v>44347</v>
      </c>
      <c r="D28" s="796">
        <v>0.17219999999999999</v>
      </c>
      <c r="E28" s="796">
        <f t="shared" si="4"/>
        <v>0.25829999999999997</v>
      </c>
      <c r="F28" s="897">
        <f t="shared" si="1"/>
        <v>6.2968201205726437E-4</v>
      </c>
      <c r="G28" s="1080">
        <f t="shared" si="2"/>
        <v>152114021.47</v>
      </c>
      <c r="H28" s="931">
        <f t="shared" si="0"/>
        <v>31</v>
      </c>
      <c r="I28" s="790">
        <f t="shared" si="5"/>
        <v>2969287.3561418969</v>
      </c>
    </row>
    <row r="29" spans="1:9">
      <c r="A29" s="737">
        <v>18</v>
      </c>
      <c r="B29" s="953">
        <v>44348</v>
      </c>
      <c r="C29" s="953">
        <v>44377</v>
      </c>
      <c r="D29" s="796">
        <v>0.1721</v>
      </c>
      <c r="E29" s="796">
        <f t="shared" si="4"/>
        <v>0.25814999999999999</v>
      </c>
      <c r="F29" s="897">
        <f t="shared" si="1"/>
        <v>6.2935518846773952E-4</v>
      </c>
      <c r="G29" s="1080">
        <f t="shared" si="2"/>
        <v>152114021.47</v>
      </c>
      <c r="H29" s="931">
        <f t="shared" si="0"/>
        <v>30</v>
      </c>
      <c r="I29" s="790">
        <f t="shared" si="5"/>
        <v>2872012.4595251288</v>
      </c>
    </row>
    <row r="30" spans="1:9">
      <c r="A30" s="737">
        <v>19</v>
      </c>
      <c r="B30" s="953">
        <v>44378</v>
      </c>
      <c r="C30" s="953">
        <v>44408</v>
      </c>
      <c r="D30" s="796">
        <v>0.17180000000000001</v>
      </c>
      <c r="E30" s="796">
        <f t="shared" si="4"/>
        <v>0.25770000000000004</v>
      </c>
      <c r="F30" s="897">
        <f t="shared" si="1"/>
        <v>6.2837448450037137E-4</v>
      </c>
      <c r="G30" s="1080">
        <f t="shared" si="2"/>
        <v>152114021.47</v>
      </c>
      <c r="H30" s="931">
        <f t="shared" si="0"/>
        <v>31</v>
      </c>
      <c r="I30" s="790">
        <f t="shared" si="5"/>
        <v>2963121.6646211799</v>
      </c>
    </row>
    <row r="31" spans="1:9">
      <c r="A31" s="737">
        <v>21</v>
      </c>
      <c r="B31" s="953">
        <v>44409</v>
      </c>
      <c r="C31" s="953">
        <v>44439</v>
      </c>
      <c r="D31" s="796">
        <v>0.1724</v>
      </c>
      <c r="E31" s="796">
        <f t="shared" si="4"/>
        <v>0.2586</v>
      </c>
      <c r="F31" s="897">
        <f t="shared" si="1"/>
        <v>6.3033554269220637E-4</v>
      </c>
      <c r="G31" s="1080">
        <f t="shared" si="2"/>
        <v>152114021.47</v>
      </c>
      <c r="H31" s="931">
        <f t="shared" si="0"/>
        <v>31</v>
      </c>
      <c r="I31" s="790">
        <f t="shared" si="5"/>
        <v>2972369.1025059777</v>
      </c>
    </row>
    <row r="32" spans="1:9">
      <c r="A32" s="737">
        <v>22</v>
      </c>
      <c r="B32" s="953">
        <v>44440</v>
      </c>
      <c r="C32" s="953">
        <v>44469</v>
      </c>
      <c r="D32" s="796">
        <v>0.1719</v>
      </c>
      <c r="E32" s="796">
        <f t="shared" si="4"/>
        <v>0.25785000000000002</v>
      </c>
      <c r="F32" s="897">
        <f t="shared" si="1"/>
        <v>6.2870142469861889E-4</v>
      </c>
      <c r="G32" s="1080">
        <f t="shared" si="2"/>
        <v>152114021.47</v>
      </c>
      <c r="H32" s="931">
        <f t="shared" si="0"/>
        <v>30</v>
      </c>
      <c r="I32" s="790">
        <f t="shared" si="5"/>
        <v>2869029.0604447587</v>
      </c>
    </row>
    <row r="33" spans="1:11">
      <c r="A33" s="737">
        <v>23</v>
      </c>
      <c r="B33" s="953">
        <v>44470</v>
      </c>
      <c r="C33" s="953">
        <v>44500</v>
      </c>
      <c r="D33" s="796">
        <v>0.17080000000000001</v>
      </c>
      <c r="E33" s="796">
        <f t="shared" si="4"/>
        <v>0.25619999999999998</v>
      </c>
      <c r="F33" s="897">
        <f t="shared" si="1"/>
        <v>6.2510294214179751E-4</v>
      </c>
      <c r="G33" s="1080">
        <f t="shared" si="2"/>
        <v>152114021.47</v>
      </c>
      <c r="H33" s="931">
        <f t="shared" si="0"/>
        <v>31</v>
      </c>
      <c r="I33" s="790">
        <f t="shared" si="5"/>
        <v>2947694.5932194442</v>
      </c>
    </row>
    <row r="34" spans="1:11">
      <c r="A34" s="737">
        <v>24</v>
      </c>
      <c r="B34" s="953">
        <v>44501</v>
      </c>
      <c r="C34" s="953">
        <v>44530</v>
      </c>
      <c r="D34" s="796">
        <v>0.17269999999999999</v>
      </c>
      <c r="E34" s="796">
        <f t="shared" si="4"/>
        <v>0.25905</v>
      </c>
      <c r="F34" s="897">
        <f t="shared" si="1"/>
        <v>6.3131554742335005E-4</v>
      </c>
      <c r="G34" s="1080">
        <f t="shared" si="2"/>
        <v>152114021.47</v>
      </c>
      <c r="H34" s="931">
        <f t="shared" si="0"/>
        <v>30</v>
      </c>
      <c r="I34" s="790">
        <f t="shared" si="5"/>
        <v>2880958.4020530079</v>
      </c>
    </row>
    <row r="35" spans="1:11">
      <c r="A35" s="737">
        <v>25</v>
      </c>
      <c r="B35" s="953">
        <v>44531</v>
      </c>
      <c r="C35" s="953">
        <v>44557</v>
      </c>
      <c r="D35" s="796">
        <v>0.17460000000000001</v>
      </c>
      <c r="E35" s="796">
        <f t="shared" si="4"/>
        <v>0.26190000000000002</v>
      </c>
      <c r="F35" s="897">
        <f t="shared" si="1"/>
        <v>6.3751414410861962E-4</v>
      </c>
      <c r="G35" s="1080">
        <f t="shared" si="2"/>
        <v>152114021.47</v>
      </c>
      <c r="H35" s="931">
        <f t="shared" si="0"/>
        <v>27</v>
      </c>
      <c r="I35" s="790">
        <f t="shared" si="5"/>
        <v>2618320.6855179155</v>
      </c>
    </row>
    <row r="36" spans="1:11" ht="13.5" customHeight="1">
      <c r="F36" s="2644" t="s">
        <v>913</v>
      </c>
      <c r="G36" s="2645"/>
      <c r="H36" s="2646"/>
      <c r="I36" s="996">
        <f>SUM(I12:I35)</f>
        <v>41412021.540876716</v>
      </c>
    </row>
    <row r="37" spans="1:11">
      <c r="B37" s="2579" t="s">
        <v>346</v>
      </c>
      <c r="C37" s="2579"/>
      <c r="I37" s="982"/>
    </row>
    <row r="38" spans="1:11">
      <c r="B38" s="737" t="s">
        <v>959</v>
      </c>
      <c r="C38" s="941">
        <f>+C5</f>
        <v>152114021.47</v>
      </c>
    </row>
    <row r="39" spans="1:11">
      <c r="B39" s="737" t="s">
        <v>951</v>
      </c>
      <c r="C39" s="941">
        <f>+I36</f>
        <v>41412021.540876716</v>
      </c>
    </row>
    <row r="40" spans="1:11">
      <c r="B40" s="728" t="s">
        <v>61</v>
      </c>
      <c r="C40" s="1077">
        <f>SUM(C38:C39)</f>
        <v>193526043.01087672</v>
      </c>
      <c r="K40" s="1728">
        <f>+C40-'Lozano E Cabel SAS'!C40</f>
        <v>0.59795433282852173</v>
      </c>
    </row>
    <row r="41" spans="1:11">
      <c r="B41" s="719" t="s">
        <v>62</v>
      </c>
    </row>
    <row r="42" spans="1:11">
      <c r="B42" s="911"/>
    </row>
    <row r="43" spans="1:11">
      <c r="B43" s="911"/>
    </row>
    <row r="44" spans="1:11">
      <c r="B44" s="719" t="s">
        <v>63</v>
      </c>
    </row>
    <row r="45" spans="1:11">
      <c r="B45" s="719" t="s">
        <v>64</v>
      </c>
    </row>
    <row r="46" spans="1:11">
      <c r="B46" s="719" t="s">
        <v>65</v>
      </c>
    </row>
  </sheetData>
  <mergeCells count="4">
    <mergeCell ref="B10:H10"/>
    <mergeCell ref="D11:E11"/>
    <mergeCell ref="F36:H36"/>
    <mergeCell ref="B37:C37"/>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51"/>
  <dimension ref="A1:AB211"/>
  <sheetViews>
    <sheetView topLeftCell="A175" workbookViewId="0">
      <selection activeCell="B172" sqref="B172"/>
    </sheetView>
  </sheetViews>
  <sheetFormatPr defaultColWidth="11.42578125" defaultRowHeight="12.75"/>
  <cols>
    <col min="1" max="1" width="14.28515625" style="118" customWidth="1"/>
    <col min="2" max="2" width="15.140625" style="119" customWidth="1"/>
    <col min="3" max="3" width="11" style="118" customWidth="1"/>
    <col min="4" max="4" width="15.28515625" style="118" customWidth="1"/>
    <col min="5" max="5" width="14.85546875" style="119" customWidth="1"/>
    <col min="6" max="6" width="11.42578125" style="118"/>
    <col min="7" max="7" width="11.42578125" style="119"/>
    <col min="8" max="8" width="11.7109375" style="119" customWidth="1"/>
    <col min="9" max="9" width="9.7109375" style="119" customWidth="1"/>
    <col min="10" max="10" width="10.42578125" style="119" customWidth="1"/>
    <col min="11" max="11" width="11" style="119" customWidth="1"/>
    <col min="12" max="12" width="12" style="119" customWidth="1"/>
    <col min="13" max="14" width="13.42578125" style="119" customWidth="1"/>
    <col min="15" max="15" width="11.42578125" style="118"/>
    <col min="16" max="16" width="14.28515625" style="118" bestFit="1" customWidth="1"/>
    <col min="17" max="18" width="13.28515625" style="118" bestFit="1" customWidth="1"/>
    <col min="19" max="19" width="12.28515625" style="118" bestFit="1" customWidth="1"/>
    <col min="20" max="16384" width="11.42578125" style="118"/>
  </cols>
  <sheetData>
    <row r="1" spans="1:27">
      <c r="A1" s="2726" t="s">
        <v>960</v>
      </c>
      <c r="B1" s="2726"/>
      <c r="C1" s="2726"/>
      <c r="D1" s="2726"/>
      <c r="E1" s="2726"/>
      <c r="F1" s="2726"/>
      <c r="G1" s="2726"/>
      <c r="H1" s="2726"/>
      <c r="I1" s="2726"/>
      <c r="J1" s="2726"/>
      <c r="K1" s="2726"/>
      <c r="L1" s="2726"/>
      <c r="M1" s="2726"/>
      <c r="N1" s="1499"/>
      <c r="S1" s="126" t="s">
        <v>961</v>
      </c>
      <c r="T1" s="123"/>
    </row>
    <row r="2" spans="1:27">
      <c r="A2" s="2726"/>
      <c r="B2" s="2726"/>
      <c r="C2" s="2726"/>
      <c r="D2" s="2726"/>
      <c r="E2" s="2726"/>
      <c r="F2" s="2726"/>
      <c r="G2" s="2726"/>
      <c r="H2" s="2726"/>
      <c r="I2" s="2726"/>
      <c r="J2" s="2726"/>
      <c r="K2" s="2726"/>
      <c r="L2" s="2726"/>
      <c r="M2" s="2726"/>
      <c r="N2" s="1499"/>
      <c r="S2" s="126" t="s">
        <v>962</v>
      </c>
      <c r="T2" s="181">
        <v>41577</v>
      </c>
    </row>
    <row r="3" spans="1:27">
      <c r="S3" s="126" t="s">
        <v>963</v>
      </c>
      <c r="T3" s="181">
        <v>42307</v>
      </c>
    </row>
    <row r="4" spans="1:27">
      <c r="A4" s="118" t="s">
        <v>964</v>
      </c>
      <c r="C4" s="191" t="s">
        <v>965</v>
      </c>
      <c r="G4" s="119" t="s">
        <v>521</v>
      </c>
      <c r="O4" s="137" t="s">
        <v>966</v>
      </c>
      <c r="S4" s="137"/>
      <c r="T4" s="181"/>
    </row>
    <row r="5" spans="1:27">
      <c r="C5" s="118" t="s">
        <v>967</v>
      </c>
      <c r="G5" s="119" t="s">
        <v>522</v>
      </c>
      <c r="O5" s="137" t="s">
        <v>968</v>
      </c>
      <c r="S5" s="126" t="s">
        <v>969</v>
      </c>
      <c r="T5" s="181">
        <v>43747</v>
      </c>
    </row>
    <row r="6" spans="1:27">
      <c r="O6" s="1486" t="s">
        <v>970</v>
      </c>
      <c r="P6" s="181">
        <v>44334</v>
      </c>
      <c r="S6" s="126" t="s">
        <v>971</v>
      </c>
      <c r="T6" s="181">
        <v>43686</v>
      </c>
      <c r="U6" s="126" t="s">
        <v>972</v>
      </c>
      <c r="V6" s="119"/>
      <c r="W6" s="119"/>
      <c r="X6" s="119"/>
      <c r="Y6" s="119"/>
      <c r="Z6" s="119"/>
      <c r="AA6" s="119"/>
    </row>
    <row r="7" spans="1:27">
      <c r="A7" s="120"/>
      <c r="B7" s="121"/>
      <c r="C7" s="122" t="s">
        <v>76</v>
      </c>
      <c r="D7" s="120"/>
      <c r="E7" s="121"/>
      <c r="F7" s="120"/>
      <c r="G7" s="123"/>
      <c r="H7" s="198">
        <f>+K12/B12</f>
        <v>0.12001293462264746</v>
      </c>
      <c r="I7" s="123"/>
      <c r="J7" s="123"/>
      <c r="K7" s="123"/>
      <c r="L7" s="123"/>
      <c r="M7" s="123"/>
      <c r="N7" s="123"/>
      <c r="O7" s="120"/>
      <c r="P7" s="121"/>
      <c r="Q7" s="122" t="s">
        <v>76</v>
      </c>
      <c r="R7" s="120"/>
      <c r="U7" s="123"/>
      <c r="V7" s="123"/>
      <c r="W7" s="123"/>
      <c r="X7" s="123"/>
      <c r="Y7" s="123"/>
      <c r="Z7" s="123"/>
      <c r="AA7" s="123"/>
    </row>
    <row r="8" spans="1:27">
      <c r="A8" s="124"/>
      <c r="C8" s="125">
        <v>168.53</v>
      </c>
      <c r="G8" s="121"/>
      <c r="I8" s="155"/>
      <c r="J8" s="119">
        <f>+B12*0.085</f>
        <v>360644.46</v>
      </c>
      <c r="K8" s="121"/>
      <c r="L8" s="121"/>
      <c r="M8" s="121"/>
      <c r="N8" s="121"/>
      <c r="O8" s="124"/>
      <c r="P8" s="197" t="s">
        <v>973</v>
      </c>
      <c r="Q8" s="125">
        <v>108.84</v>
      </c>
      <c r="T8" s="119"/>
      <c r="U8" s="121"/>
      <c r="V8" s="121"/>
      <c r="W8" s="121"/>
      <c r="X8" s="121"/>
      <c r="Y8" s="121"/>
      <c r="Z8" s="121"/>
      <c r="AA8" s="121"/>
    </row>
    <row r="9" spans="1:27" ht="11.25" customHeight="1">
      <c r="A9" s="126"/>
      <c r="B9" s="123"/>
      <c r="C9" s="127"/>
      <c r="D9" s="126"/>
      <c r="E9" s="123"/>
      <c r="F9" s="126"/>
      <c r="G9" s="123"/>
      <c r="H9" s="123"/>
      <c r="I9" s="123"/>
      <c r="J9" s="123"/>
      <c r="K9" s="123"/>
      <c r="L9" s="123"/>
      <c r="M9" s="123"/>
      <c r="N9" s="123"/>
      <c r="O9" s="126"/>
      <c r="P9" s="123"/>
      <c r="Q9" s="127"/>
      <c r="R9" s="126"/>
      <c r="U9" s="123"/>
      <c r="V9" s="123"/>
      <c r="W9" s="123"/>
      <c r="X9" s="123"/>
      <c r="Y9" s="123"/>
      <c r="Z9" s="123"/>
      <c r="AA9" s="123"/>
    </row>
    <row r="10" spans="1:27">
      <c r="A10" s="126"/>
      <c r="B10" s="123"/>
      <c r="C10" s="127"/>
      <c r="E10" s="123"/>
      <c r="F10" s="126"/>
      <c r="G10" s="123"/>
      <c r="K10" s="123"/>
      <c r="L10" s="123"/>
      <c r="M10" s="123"/>
      <c r="N10" s="123"/>
      <c r="O10" s="126"/>
      <c r="P10" s="123"/>
      <c r="Q10" s="127"/>
      <c r="S10" s="123"/>
      <c r="T10" s="126"/>
      <c r="U10" s="123"/>
      <c r="V10" s="123"/>
      <c r="W10" s="123"/>
      <c r="X10" s="123"/>
      <c r="Y10" s="123"/>
      <c r="Z10" s="123"/>
      <c r="AA10" s="123"/>
    </row>
    <row r="11" spans="1:27">
      <c r="A11" s="122" t="s">
        <v>11</v>
      </c>
      <c r="B11" s="144" t="s">
        <v>115</v>
      </c>
      <c r="C11" s="122" t="s">
        <v>76</v>
      </c>
      <c r="D11" s="122" t="s">
        <v>77</v>
      </c>
      <c r="E11" s="144" t="s">
        <v>57</v>
      </c>
      <c r="F11" s="120"/>
      <c r="G11" s="129" t="s">
        <v>78</v>
      </c>
      <c r="H11" s="129" t="s">
        <v>79</v>
      </c>
      <c r="I11" s="129" t="s">
        <v>974</v>
      </c>
      <c r="J11" s="129" t="s">
        <v>80</v>
      </c>
      <c r="K11" s="129" t="s">
        <v>81</v>
      </c>
      <c r="L11" s="129" t="s">
        <v>82</v>
      </c>
      <c r="M11" s="129" t="s">
        <v>83</v>
      </c>
      <c r="O11" s="1487" t="s">
        <v>11</v>
      </c>
      <c r="P11" s="129" t="s">
        <v>115</v>
      </c>
      <c r="Q11" s="128" t="s">
        <v>76</v>
      </c>
      <c r="R11" s="128" t="s">
        <v>77</v>
      </c>
      <c r="S11" s="129" t="s">
        <v>57</v>
      </c>
      <c r="T11" s="120"/>
      <c r="U11" s="119"/>
      <c r="V11" s="119"/>
      <c r="W11" s="155"/>
      <c r="X11" s="119"/>
      <c r="Y11" s="119"/>
      <c r="Z11" s="119"/>
      <c r="AA11" s="119"/>
    </row>
    <row r="12" spans="1:27" ht="12.75" customHeight="1">
      <c r="A12" s="132" t="s">
        <v>34</v>
      </c>
      <c r="B12" s="133">
        <v>4242876</v>
      </c>
      <c r="C12" s="134">
        <v>139.77000000000001</v>
      </c>
      <c r="D12" s="132">
        <f>+$C$8/C12</f>
        <v>1.2057666165843886</v>
      </c>
      <c r="E12" s="154">
        <f>+B12*D12</f>
        <v>5115918.239107104</v>
      </c>
      <c r="G12" s="154">
        <f>+$B$12*0.04</f>
        <v>169715.04</v>
      </c>
      <c r="H12" s="135">
        <v>169700</v>
      </c>
      <c r="I12" s="135">
        <f>+B12*0.01</f>
        <v>42428.76</v>
      </c>
      <c r="J12" s="135">
        <v>360700</v>
      </c>
      <c r="K12" s="135">
        <v>509200</v>
      </c>
      <c r="L12" s="135">
        <v>530400</v>
      </c>
      <c r="M12" s="135">
        <v>721330</v>
      </c>
      <c r="N12" s="121"/>
      <c r="O12" s="1486" t="s">
        <v>94</v>
      </c>
      <c r="P12" s="133">
        <f>(P13/30)*1</f>
        <v>141429.20000000001</v>
      </c>
      <c r="Q12" s="134">
        <v>79.52</v>
      </c>
      <c r="R12" s="132">
        <f>+$Q$8/Q12</f>
        <v>1.3687122736418511</v>
      </c>
      <c r="S12" s="154">
        <f>+P12*R12</f>
        <v>193575.88189134811</v>
      </c>
      <c r="U12" s="129" t="s">
        <v>78</v>
      </c>
      <c r="V12" s="129" t="s">
        <v>79</v>
      </c>
      <c r="W12" s="129" t="s">
        <v>974</v>
      </c>
      <c r="X12" s="129" t="s">
        <v>80</v>
      </c>
      <c r="Y12" s="129" t="s">
        <v>81</v>
      </c>
      <c r="Z12" s="129" t="s">
        <v>82</v>
      </c>
      <c r="AA12" s="129" t="s">
        <v>83</v>
      </c>
    </row>
    <row r="13" spans="1:27">
      <c r="A13" s="132" t="s">
        <v>35</v>
      </c>
      <c r="B13" s="133">
        <v>4242876</v>
      </c>
      <c r="C13" s="134">
        <v>139.85</v>
      </c>
      <c r="D13" s="132">
        <f>+$C$8/C13</f>
        <v>1.2050768680729353</v>
      </c>
      <c r="E13" s="154">
        <f>+B13*D13</f>
        <v>5112991.7217018232</v>
      </c>
      <c r="F13" s="307"/>
      <c r="G13" s="154">
        <f>+$B$12*0.04</f>
        <v>169715.04</v>
      </c>
      <c r="H13" s="135">
        <v>169700</v>
      </c>
      <c r="I13" s="135">
        <f>+B13*0.01</f>
        <v>42428.76</v>
      </c>
      <c r="J13" s="135">
        <v>360700</v>
      </c>
      <c r="K13" s="135">
        <v>509200</v>
      </c>
      <c r="L13" s="135">
        <v>530400</v>
      </c>
      <c r="M13" s="135">
        <v>721330</v>
      </c>
      <c r="N13" s="1477"/>
      <c r="O13" s="1486" t="s">
        <v>34</v>
      </c>
      <c r="P13" s="133">
        <v>4242876</v>
      </c>
      <c r="Q13" s="134">
        <v>79.349999999999994</v>
      </c>
      <c r="R13" s="132">
        <f>+$C$8/Q13</f>
        <v>2.1238815374921236</v>
      </c>
      <c r="S13" s="154">
        <f>+P13*R13</f>
        <v>9011366.0022684317</v>
      </c>
      <c r="U13" s="154">
        <f>+$P$13*0.04</f>
        <v>169715.04</v>
      </c>
      <c r="V13" s="135">
        <f>+P13*0.04</f>
        <v>169715.04</v>
      </c>
      <c r="W13" s="135">
        <f>+P13*0.01</f>
        <v>42428.76</v>
      </c>
      <c r="X13" s="135">
        <f>+P13*0.085</f>
        <v>360644.46</v>
      </c>
      <c r="Y13" s="135">
        <f>+P13*0.12</f>
        <v>509145.12</v>
      </c>
      <c r="Z13" s="135">
        <f>+U13+X13</f>
        <v>530359.5</v>
      </c>
      <c r="AA13" s="135">
        <f>+V13+Y13</f>
        <v>678860.16</v>
      </c>
    </row>
    <row r="14" spans="1:27">
      <c r="A14" s="132" t="s">
        <v>95</v>
      </c>
      <c r="B14" s="133">
        <v>736611</v>
      </c>
      <c r="C14" s="134">
        <v>139.85</v>
      </c>
      <c r="D14" s="132">
        <f>+$C$8/C14</f>
        <v>1.2050768680729353</v>
      </c>
      <c r="E14" s="154">
        <f>+B14*D14</f>
        <v>887672.87686807301</v>
      </c>
      <c r="F14" s="307"/>
      <c r="G14" s="133"/>
      <c r="H14" s="135"/>
      <c r="I14" s="135"/>
      <c r="J14" s="135"/>
      <c r="K14" s="135"/>
      <c r="L14" s="135"/>
      <c r="M14" s="135"/>
      <c r="N14" s="1477"/>
      <c r="O14" s="1486" t="s">
        <v>35</v>
      </c>
      <c r="P14" s="133">
        <v>4242876</v>
      </c>
      <c r="Q14" s="134">
        <v>79.56</v>
      </c>
      <c r="R14" s="132">
        <f>+$C$8/Q14</f>
        <v>2.1182755153343389</v>
      </c>
      <c r="S14" s="154">
        <f>+P14*R14</f>
        <v>8987580.3453996982</v>
      </c>
      <c r="T14" s="126"/>
      <c r="U14" s="154">
        <f>+$P$14*0.04</f>
        <v>169715.04</v>
      </c>
      <c r="V14" s="135">
        <f>+P14*0.04</f>
        <v>169715.04</v>
      </c>
      <c r="W14" s="135">
        <f>+P14*0.01</f>
        <v>42428.76</v>
      </c>
      <c r="X14" s="135">
        <f>+P14*0.085</f>
        <v>360644.46</v>
      </c>
      <c r="Y14" s="135">
        <f>+P14*0.12</f>
        <v>509145.12</v>
      </c>
      <c r="Z14" s="135">
        <f>+U14+X14</f>
        <v>530359.5</v>
      </c>
      <c r="AA14" s="135">
        <f>+V14+Y14</f>
        <v>678860.16</v>
      </c>
    </row>
    <row r="15" spans="1:27">
      <c r="A15" s="132" t="s">
        <v>96</v>
      </c>
      <c r="B15" s="133"/>
      <c r="C15" s="134"/>
      <c r="D15" s="132"/>
      <c r="E15" s="133">
        <f>SUM(E12:E14)</f>
        <v>11116582.837677</v>
      </c>
      <c r="F15" s="1500"/>
      <c r="G15" s="133"/>
      <c r="H15" s="135"/>
      <c r="I15" s="135"/>
      <c r="J15" s="135"/>
      <c r="K15" s="135"/>
      <c r="L15" s="135"/>
      <c r="M15" s="135"/>
      <c r="N15" s="1477"/>
      <c r="O15" s="1486" t="s">
        <v>95</v>
      </c>
      <c r="P15" s="133">
        <v>736611</v>
      </c>
      <c r="Q15" s="134">
        <f>+Q14</f>
        <v>79.56</v>
      </c>
      <c r="R15" s="132">
        <f>+$C$8/Q15</f>
        <v>2.1182755153343389</v>
      </c>
      <c r="S15" s="154">
        <f>+P15*R15</f>
        <v>1560345.0456259428</v>
      </c>
      <c r="T15" s="126"/>
      <c r="U15" s="133"/>
      <c r="V15" s="135"/>
      <c r="W15" s="135"/>
      <c r="X15" s="135"/>
      <c r="Y15" s="135"/>
      <c r="Z15" s="135"/>
      <c r="AA15" s="135"/>
    </row>
    <row r="16" spans="1:27">
      <c r="A16" s="132" t="s">
        <v>98</v>
      </c>
      <c r="B16" s="133"/>
      <c r="C16" s="134"/>
      <c r="D16" s="132"/>
      <c r="E16" s="133">
        <v>763660</v>
      </c>
      <c r="F16" s="126"/>
      <c r="G16" s="133">
        <v>339400</v>
      </c>
      <c r="H16" s="135">
        <v>339400</v>
      </c>
      <c r="I16" s="135">
        <v>84860</v>
      </c>
      <c r="J16" s="135">
        <v>721400</v>
      </c>
      <c r="K16" s="135">
        <v>1018400</v>
      </c>
      <c r="L16" s="135">
        <v>1060800</v>
      </c>
      <c r="M16" s="135">
        <v>1442660</v>
      </c>
      <c r="N16" s="1477"/>
      <c r="O16" s="1486" t="s">
        <v>96</v>
      </c>
      <c r="P16" s="133"/>
      <c r="Q16" s="134"/>
      <c r="R16" s="132"/>
      <c r="S16" s="133">
        <f>SUM(S12:S15)</f>
        <v>19752867.275185421</v>
      </c>
      <c r="T16" s="126"/>
      <c r="U16" s="133"/>
      <c r="V16" s="135"/>
      <c r="W16" s="135"/>
      <c r="X16" s="135"/>
      <c r="Y16" s="135"/>
      <c r="Z16" s="135"/>
      <c r="AA16" s="135"/>
    </row>
    <row r="17" spans="1:27">
      <c r="A17" s="132" t="s">
        <v>99</v>
      </c>
      <c r="B17" s="133"/>
      <c r="C17" s="134"/>
      <c r="D17" s="132"/>
      <c r="E17" s="133">
        <v>10352921</v>
      </c>
      <c r="F17" s="126"/>
      <c r="N17" s="1477"/>
      <c r="O17" s="1486" t="s">
        <v>98</v>
      </c>
      <c r="P17" s="133"/>
      <c r="Q17" s="134"/>
      <c r="R17" s="132"/>
      <c r="S17" s="133">
        <f>+U17+V17+W17</f>
        <v>763717.68</v>
      </c>
      <c r="T17" s="126"/>
      <c r="U17" s="133">
        <f t="shared" ref="U17:AA17" si="0">SUM(U13:U16)</f>
        <v>339430.08</v>
      </c>
      <c r="V17" s="133">
        <f t="shared" si="0"/>
        <v>339430.08</v>
      </c>
      <c r="W17" s="133">
        <f t="shared" si="0"/>
        <v>84857.52</v>
      </c>
      <c r="X17" s="133">
        <f t="shared" si="0"/>
        <v>721288.92</v>
      </c>
      <c r="Y17" s="133">
        <f t="shared" si="0"/>
        <v>1018290.24</v>
      </c>
      <c r="Z17" s="133">
        <f t="shared" si="0"/>
        <v>1060719</v>
      </c>
      <c r="AA17" s="133">
        <f t="shared" si="0"/>
        <v>1357720.32</v>
      </c>
    </row>
    <row r="18" spans="1:27">
      <c r="F18" s="126"/>
      <c r="G18" s="123"/>
      <c r="H18" s="123"/>
      <c r="I18" s="123"/>
      <c r="J18" s="123"/>
      <c r="K18" s="123"/>
      <c r="L18" s="123"/>
      <c r="M18" s="123"/>
      <c r="N18" s="123"/>
      <c r="O18" s="1486" t="s">
        <v>99</v>
      </c>
      <c r="P18" s="133"/>
      <c r="Q18" s="134"/>
      <c r="R18" s="132"/>
      <c r="S18" s="133">
        <f>+S16-S17</f>
        <v>18989149.595185421</v>
      </c>
      <c r="T18" s="126"/>
      <c r="U18" s="123"/>
      <c r="V18" s="123"/>
      <c r="W18" s="123"/>
      <c r="X18" s="123"/>
      <c r="Y18" s="123"/>
      <c r="Z18" s="123"/>
      <c r="AA18" s="123"/>
    </row>
    <row r="19" spans="1:27">
      <c r="A19" s="126"/>
      <c r="B19" s="123"/>
      <c r="C19" s="127"/>
      <c r="D19" s="126"/>
      <c r="E19" s="123"/>
      <c r="F19" s="126"/>
      <c r="G19" s="123"/>
      <c r="H19" s="123"/>
      <c r="I19" s="123"/>
      <c r="J19" s="123"/>
      <c r="K19" s="123"/>
      <c r="L19" s="123"/>
      <c r="M19" s="123"/>
      <c r="N19" s="123"/>
    </row>
    <row r="20" spans="1:27">
      <c r="A20" s="128" t="s">
        <v>11</v>
      </c>
      <c r="B20" s="129" t="s">
        <v>12</v>
      </c>
      <c r="C20" s="128" t="s">
        <v>76</v>
      </c>
      <c r="D20" s="128" t="s">
        <v>77</v>
      </c>
      <c r="E20" s="129" t="s">
        <v>57</v>
      </c>
      <c r="F20" s="120"/>
      <c r="O20" s="1487" t="s">
        <v>11</v>
      </c>
      <c r="P20" s="129" t="s">
        <v>12</v>
      </c>
      <c r="Q20" s="128" t="s">
        <v>76</v>
      </c>
      <c r="R20" s="128" t="s">
        <v>77</v>
      </c>
      <c r="S20" s="129" t="s">
        <v>57</v>
      </c>
      <c r="T20" s="120"/>
      <c r="U20" s="119"/>
      <c r="V20" s="119"/>
      <c r="W20" s="119"/>
      <c r="X20" s="119"/>
      <c r="Y20" s="119"/>
      <c r="Z20" s="119"/>
      <c r="AA20" s="119"/>
    </row>
    <row r="21" spans="1:27">
      <c r="A21" s="130"/>
      <c r="B21" s="131"/>
      <c r="C21" s="130"/>
      <c r="D21" s="130"/>
      <c r="E21" s="131"/>
      <c r="G21" s="129" t="s">
        <v>78</v>
      </c>
      <c r="H21" s="129" t="s">
        <v>79</v>
      </c>
      <c r="I21" s="129" t="s">
        <v>974</v>
      </c>
      <c r="J21" s="129" t="s">
        <v>80</v>
      </c>
      <c r="K21" s="129" t="s">
        <v>81</v>
      </c>
      <c r="L21" s="129" t="s">
        <v>82</v>
      </c>
      <c r="M21" s="1478" t="s">
        <v>83</v>
      </c>
      <c r="N21" s="121"/>
      <c r="O21" s="1488"/>
      <c r="P21" s="131"/>
      <c r="Q21" s="130"/>
      <c r="R21" s="130"/>
      <c r="S21" s="131"/>
      <c r="U21" s="129" t="s">
        <v>78</v>
      </c>
      <c r="V21" s="129" t="s">
        <v>79</v>
      </c>
      <c r="W21" s="129" t="s">
        <v>974</v>
      </c>
      <c r="X21" s="129" t="s">
        <v>80</v>
      </c>
      <c r="Y21" s="129" t="s">
        <v>81</v>
      </c>
      <c r="Z21" s="129" t="s">
        <v>82</v>
      </c>
      <c r="AA21" s="129" t="s">
        <v>83</v>
      </c>
    </row>
    <row r="22" spans="1:27">
      <c r="A22" s="132" t="s">
        <v>16</v>
      </c>
      <c r="B22" s="133">
        <v>4476234</v>
      </c>
      <c r="C22" s="134">
        <v>140.69999999999999</v>
      </c>
      <c r="D22" s="132">
        <v>1.1977967306325517</v>
      </c>
      <c r="E22" s="133">
        <v>5361618</v>
      </c>
      <c r="F22" s="126"/>
      <c r="G22" s="133">
        <v>179000</v>
      </c>
      <c r="H22" s="135">
        <v>179000</v>
      </c>
      <c r="I22" s="135">
        <v>44760</v>
      </c>
      <c r="J22" s="135">
        <v>380500</v>
      </c>
      <c r="K22" s="135">
        <v>537200</v>
      </c>
      <c r="L22" s="135">
        <v>559500</v>
      </c>
      <c r="M22" s="1479">
        <v>760960</v>
      </c>
      <c r="N22" s="1477"/>
      <c r="O22" s="1486" t="s">
        <v>16</v>
      </c>
      <c r="P22" s="133">
        <v>4476234</v>
      </c>
      <c r="Q22" s="134">
        <v>79.95</v>
      </c>
      <c r="R22" s="132">
        <f>+$Q$8/Q22</f>
        <v>1.3613508442776736</v>
      </c>
      <c r="S22" s="154">
        <f>+P22*R22</f>
        <v>6093724.9350844277</v>
      </c>
      <c r="T22" s="126"/>
      <c r="U22" s="154">
        <f>+$P$22*0.04</f>
        <v>179049.36000000002</v>
      </c>
      <c r="V22" s="135">
        <f>+P22*0.04</f>
        <v>179049.36000000002</v>
      </c>
      <c r="W22" s="135">
        <f>+P22*0.01</f>
        <v>44762.340000000004</v>
      </c>
      <c r="X22" s="135">
        <f>+P22*0.085</f>
        <v>380479.89</v>
      </c>
      <c r="Y22" s="135">
        <f>+P22*0.12</f>
        <v>537148.07999999996</v>
      </c>
      <c r="Z22" s="135">
        <f>+U22+X22</f>
        <v>559529.25</v>
      </c>
      <c r="AA22" s="135">
        <f>+V22+Y22</f>
        <v>716197.44</v>
      </c>
    </row>
    <row r="23" spans="1:27">
      <c r="A23" s="132" t="s">
        <v>17</v>
      </c>
      <c r="B23" s="133">
        <v>4476234</v>
      </c>
      <c r="C23" s="134">
        <v>142.03</v>
      </c>
      <c r="D23" s="132">
        <v>1.1865802999366331</v>
      </c>
      <c r="E23" s="133">
        <v>5311411</v>
      </c>
      <c r="F23" s="126"/>
      <c r="G23" s="133">
        <v>179000</v>
      </c>
      <c r="H23" s="135">
        <v>179000</v>
      </c>
      <c r="I23" s="135">
        <v>44760</v>
      </c>
      <c r="J23" s="135">
        <v>380500</v>
      </c>
      <c r="K23" s="135">
        <v>537200</v>
      </c>
      <c r="L23" s="135">
        <v>559500</v>
      </c>
      <c r="M23" s="1479">
        <v>760960</v>
      </c>
      <c r="N23" s="1477"/>
      <c r="O23" s="1486" t="s">
        <v>17</v>
      </c>
      <c r="P23" s="133">
        <v>4476234</v>
      </c>
      <c r="Q23" s="134">
        <v>80.45</v>
      </c>
      <c r="R23" s="132">
        <f t="shared" ref="R23:R38" si="1">+$Q$8/Q23</f>
        <v>1.3528899937849597</v>
      </c>
      <c r="S23" s="154">
        <f t="shared" ref="S23:S38" si="2">+P23*R23</f>
        <v>6055852.1884400249</v>
      </c>
      <c r="T23" s="126"/>
      <c r="U23" s="154">
        <f t="shared" ref="U23:U33" si="3">+$P$22*0.04</f>
        <v>179049.36000000002</v>
      </c>
      <c r="V23" s="135">
        <f t="shared" ref="V23:V33" si="4">+P23*0.04</f>
        <v>179049.36000000002</v>
      </c>
      <c r="W23" s="135">
        <f t="shared" ref="W23:W33" si="5">+P23*0.01</f>
        <v>44762.340000000004</v>
      </c>
      <c r="X23" s="135">
        <f t="shared" ref="X23:X33" si="6">+P23*0.085</f>
        <v>380479.89</v>
      </c>
      <c r="Y23" s="135">
        <f t="shared" ref="Y23:Y32" si="7">+P23*0.12</f>
        <v>537148.07999999996</v>
      </c>
      <c r="Z23" s="135">
        <f t="shared" ref="Z23:Z33" si="8">+U23+X23</f>
        <v>559529.25</v>
      </c>
      <c r="AA23" s="135">
        <f t="shared" ref="AA23:AA34" si="9">+V23+Y23</f>
        <v>716197.44</v>
      </c>
    </row>
    <row r="24" spans="1:27">
      <c r="A24" s="132" t="s">
        <v>19</v>
      </c>
      <c r="B24" s="133">
        <v>4476234</v>
      </c>
      <c r="C24" s="134">
        <v>142.68</v>
      </c>
      <c r="D24" s="132">
        <v>1.1811746565741519</v>
      </c>
      <c r="E24" s="133">
        <v>5287214</v>
      </c>
      <c r="F24" s="126"/>
      <c r="G24" s="133">
        <v>179000</v>
      </c>
      <c r="H24" s="135">
        <v>179000</v>
      </c>
      <c r="I24" s="135">
        <v>44760</v>
      </c>
      <c r="J24" s="135">
        <v>380500</v>
      </c>
      <c r="K24" s="135">
        <v>537200</v>
      </c>
      <c r="L24" s="135">
        <v>559500</v>
      </c>
      <c r="M24" s="1479">
        <v>760960</v>
      </c>
      <c r="N24" s="1477"/>
      <c r="O24" s="1486" t="s">
        <v>19</v>
      </c>
      <c r="P24" s="133">
        <v>4476234</v>
      </c>
      <c r="Q24" s="134">
        <v>80.77</v>
      </c>
      <c r="R24" s="132">
        <f t="shared" si="1"/>
        <v>1.3475300235235856</v>
      </c>
      <c r="S24" s="154">
        <f t="shared" si="2"/>
        <v>6031859.7073170738</v>
      </c>
      <c r="T24" s="126"/>
      <c r="U24" s="154">
        <f t="shared" si="3"/>
        <v>179049.36000000002</v>
      </c>
      <c r="V24" s="135">
        <f t="shared" si="4"/>
        <v>179049.36000000002</v>
      </c>
      <c r="W24" s="135">
        <f t="shared" si="5"/>
        <v>44762.340000000004</v>
      </c>
      <c r="X24" s="135">
        <f t="shared" si="6"/>
        <v>380479.89</v>
      </c>
      <c r="Y24" s="135">
        <f t="shared" si="7"/>
        <v>537148.07999999996</v>
      </c>
      <c r="Z24" s="135">
        <f t="shared" si="8"/>
        <v>559529.25</v>
      </c>
      <c r="AA24" s="135">
        <f t="shared" si="9"/>
        <v>716197.44</v>
      </c>
    </row>
    <row r="25" spans="1:27">
      <c r="A25" s="132" t="s">
        <v>21</v>
      </c>
      <c r="B25" s="133">
        <v>4476234</v>
      </c>
      <c r="C25" s="134">
        <v>142.71</v>
      </c>
      <c r="D25" s="132">
        <v>1.180926354144769</v>
      </c>
      <c r="E25" s="133">
        <v>5286102</v>
      </c>
      <c r="F25" s="126"/>
      <c r="G25" s="133">
        <v>179000</v>
      </c>
      <c r="H25" s="135">
        <v>179000</v>
      </c>
      <c r="I25" s="135">
        <v>44760</v>
      </c>
      <c r="J25" s="135">
        <v>380500</v>
      </c>
      <c r="K25" s="135">
        <v>537200</v>
      </c>
      <c r="L25" s="135">
        <v>559500</v>
      </c>
      <c r="M25" s="1479">
        <v>760960</v>
      </c>
      <c r="N25" s="1477"/>
      <c r="O25" s="1486" t="s">
        <v>21</v>
      </c>
      <c r="P25" s="133">
        <v>4476234</v>
      </c>
      <c r="Q25" s="134">
        <v>81.14</v>
      </c>
      <c r="R25" s="132">
        <f t="shared" si="1"/>
        <v>1.3413852600443679</v>
      </c>
      <c r="S25" s="154">
        <f t="shared" si="2"/>
        <v>6004354.3081094408</v>
      </c>
      <c r="T25" s="126"/>
      <c r="U25" s="154">
        <f t="shared" si="3"/>
        <v>179049.36000000002</v>
      </c>
      <c r="V25" s="135">
        <f t="shared" si="4"/>
        <v>179049.36000000002</v>
      </c>
      <c r="W25" s="135">
        <f t="shared" si="5"/>
        <v>44762.340000000004</v>
      </c>
      <c r="X25" s="135">
        <f t="shared" si="6"/>
        <v>380479.89</v>
      </c>
      <c r="Y25" s="135">
        <f t="shared" si="7"/>
        <v>537148.07999999996</v>
      </c>
      <c r="Z25" s="135">
        <f t="shared" si="8"/>
        <v>559529.25</v>
      </c>
      <c r="AA25" s="135">
        <f t="shared" si="9"/>
        <v>716197.44</v>
      </c>
    </row>
    <row r="26" spans="1:27">
      <c r="A26" s="132" t="s">
        <v>23</v>
      </c>
      <c r="B26" s="133">
        <v>4476234</v>
      </c>
      <c r="C26" s="134">
        <v>142.77000000000001</v>
      </c>
      <c r="D26" s="132">
        <v>1.1804300623380262</v>
      </c>
      <c r="E26" s="133">
        <v>5283881</v>
      </c>
      <c r="F26" s="126"/>
      <c r="G26" s="133">
        <v>179000</v>
      </c>
      <c r="H26" s="135">
        <v>179000</v>
      </c>
      <c r="I26" s="135">
        <v>44760</v>
      </c>
      <c r="J26" s="135">
        <v>380500</v>
      </c>
      <c r="K26" s="135">
        <v>537200</v>
      </c>
      <c r="L26" s="135">
        <v>559500</v>
      </c>
      <c r="M26" s="1479">
        <v>760960</v>
      </c>
      <c r="N26" s="1477"/>
      <c r="O26" s="1486" t="s">
        <v>23</v>
      </c>
      <c r="P26" s="133">
        <v>4476234</v>
      </c>
      <c r="Q26" s="134">
        <v>81.53</v>
      </c>
      <c r="R26" s="132">
        <f t="shared" si="1"/>
        <v>1.3349687231693854</v>
      </c>
      <c r="S26" s="154">
        <f t="shared" si="2"/>
        <v>5975632.3875873908</v>
      </c>
      <c r="T26" s="126"/>
      <c r="U26" s="154">
        <f t="shared" si="3"/>
        <v>179049.36000000002</v>
      </c>
      <c r="V26" s="135">
        <f t="shared" si="4"/>
        <v>179049.36000000002</v>
      </c>
      <c r="W26" s="135">
        <f t="shared" si="5"/>
        <v>44762.340000000004</v>
      </c>
      <c r="X26" s="135">
        <f t="shared" si="6"/>
        <v>380479.89</v>
      </c>
      <c r="Y26" s="135">
        <f t="shared" si="7"/>
        <v>537148.07999999996</v>
      </c>
      <c r="Z26" s="135">
        <f t="shared" si="8"/>
        <v>559529.25</v>
      </c>
      <c r="AA26" s="135">
        <f t="shared" si="9"/>
        <v>716197.44</v>
      </c>
    </row>
    <row r="27" spans="1:27">
      <c r="A27" s="132" t="s">
        <v>25</v>
      </c>
      <c r="B27" s="133">
        <v>4476234</v>
      </c>
      <c r="C27" s="134">
        <v>142.72999999999999</v>
      </c>
      <c r="D27" s="132">
        <v>1.180760877180691</v>
      </c>
      <c r="E27" s="133">
        <v>5285361</v>
      </c>
      <c r="F27" s="126"/>
      <c r="G27" s="133">
        <v>179000</v>
      </c>
      <c r="H27" s="135">
        <v>179000</v>
      </c>
      <c r="I27" s="135">
        <v>44760</v>
      </c>
      <c r="J27" s="135">
        <v>380500</v>
      </c>
      <c r="K27" s="135">
        <v>537200</v>
      </c>
      <c r="L27" s="135">
        <v>559500</v>
      </c>
      <c r="M27" s="1479">
        <v>760960</v>
      </c>
      <c r="N27" s="1477"/>
      <c r="O27" s="1486" t="s">
        <v>25</v>
      </c>
      <c r="P27" s="133">
        <v>4476234</v>
      </c>
      <c r="Q27" s="134">
        <v>81.61</v>
      </c>
      <c r="R27" s="132">
        <f t="shared" si="1"/>
        <v>1.3336600906751623</v>
      </c>
      <c r="S27" s="154">
        <f t="shared" si="2"/>
        <v>5969774.6423232444</v>
      </c>
      <c r="T27" s="126"/>
      <c r="U27" s="154">
        <f t="shared" si="3"/>
        <v>179049.36000000002</v>
      </c>
      <c r="V27" s="135">
        <f t="shared" si="4"/>
        <v>179049.36000000002</v>
      </c>
      <c r="W27" s="135">
        <f t="shared" si="5"/>
        <v>44762.340000000004</v>
      </c>
      <c r="X27" s="135">
        <f t="shared" si="6"/>
        <v>380479.89</v>
      </c>
      <c r="Y27" s="135">
        <f t="shared" si="7"/>
        <v>537148.07999999996</v>
      </c>
      <c r="Z27" s="135">
        <f t="shared" si="8"/>
        <v>559529.25</v>
      </c>
      <c r="AA27" s="135">
        <f t="shared" si="9"/>
        <v>716197.44</v>
      </c>
    </row>
    <row r="28" spans="1:27">
      <c r="A28" s="132" t="s">
        <v>27</v>
      </c>
      <c r="B28" s="133">
        <v>4476234</v>
      </c>
      <c r="C28" s="134">
        <v>142.75</v>
      </c>
      <c r="D28" s="132">
        <v>1.1805954465849386</v>
      </c>
      <c r="E28" s="133">
        <v>5284621</v>
      </c>
      <c r="F28" s="126"/>
      <c r="G28" s="133">
        <v>179000</v>
      </c>
      <c r="H28" s="135">
        <v>179000</v>
      </c>
      <c r="I28" s="135">
        <v>44760</v>
      </c>
      <c r="J28" s="135">
        <v>380500</v>
      </c>
      <c r="K28" s="135">
        <v>537200</v>
      </c>
      <c r="L28" s="135">
        <v>559500</v>
      </c>
      <c r="M28" s="1479">
        <v>760960</v>
      </c>
      <c r="N28" s="1477"/>
      <c r="O28" s="1486" t="s">
        <v>27</v>
      </c>
      <c r="P28" s="133">
        <v>4476234</v>
      </c>
      <c r="Q28" s="134">
        <v>81.73</v>
      </c>
      <c r="R28" s="132">
        <f t="shared" si="1"/>
        <v>1.3317019454300747</v>
      </c>
      <c r="S28" s="154">
        <f t="shared" si="2"/>
        <v>5961009.5260002445</v>
      </c>
      <c r="T28" s="126"/>
      <c r="U28" s="154">
        <f t="shared" si="3"/>
        <v>179049.36000000002</v>
      </c>
      <c r="V28" s="135">
        <f t="shared" si="4"/>
        <v>179049.36000000002</v>
      </c>
      <c r="W28" s="135">
        <f t="shared" si="5"/>
        <v>44762.340000000004</v>
      </c>
      <c r="X28" s="135">
        <f t="shared" si="6"/>
        <v>380479.89</v>
      </c>
      <c r="Y28" s="135">
        <f t="shared" si="7"/>
        <v>537148.07999999996</v>
      </c>
      <c r="Z28" s="135">
        <f t="shared" si="8"/>
        <v>559529.25</v>
      </c>
      <c r="AA28" s="135">
        <f t="shared" si="9"/>
        <v>716197.44</v>
      </c>
    </row>
    <row r="29" spans="1:27">
      <c r="A29" s="132" t="s">
        <v>29</v>
      </c>
      <c r="B29" s="133">
        <v>4476234</v>
      </c>
      <c r="C29" s="134">
        <v>142.68</v>
      </c>
      <c r="D29" s="132">
        <v>1.1811746565741519</v>
      </c>
      <c r="E29" s="133">
        <v>5287214</v>
      </c>
      <c r="F29" s="126"/>
      <c r="G29" s="133">
        <v>179000</v>
      </c>
      <c r="H29" s="135">
        <v>179000</v>
      </c>
      <c r="I29" s="135">
        <v>44760</v>
      </c>
      <c r="J29" s="135">
        <v>380500</v>
      </c>
      <c r="K29" s="135">
        <v>537200</v>
      </c>
      <c r="L29" s="135">
        <v>559500</v>
      </c>
      <c r="M29" s="1479">
        <v>760960</v>
      </c>
      <c r="N29" s="1477"/>
      <c r="O29" s="1486" t="s">
        <v>29</v>
      </c>
      <c r="P29" s="133">
        <v>4476234</v>
      </c>
      <c r="Q29" s="134">
        <v>81.900000000000006</v>
      </c>
      <c r="R29" s="132">
        <f t="shared" si="1"/>
        <v>1.3289377289377289</v>
      </c>
      <c r="S29" s="154">
        <f t="shared" si="2"/>
        <v>5948636.2461538455</v>
      </c>
      <c r="T29" s="126"/>
      <c r="U29" s="154">
        <f t="shared" si="3"/>
        <v>179049.36000000002</v>
      </c>
      <c r="V29" s="135">
        <f t="shared" si="4"/>
        <v>179049.36000000002</v>
      </c>
      <c r="W29" s="135">
        <f t="shared" si="5"/>
        <v>44762.340000000004</v>
      </c>
      <c r="X29" s="135">
        <f t="shared" si="6"/>
        <v>380479.89</v>
      </c>
      <c r="Y29" s="135">
        <f t="shared" si="7"/>
        <v>537148.07999999996</v>
      </c>
      <c r="Z29" s="135">
        <f t="shared" si="8"/>
        <v>559529.25</v>
      </c>
      <c r="AA29" s="135">
        <f t="shared" si="9"/>
        <v>716197.44</v>
      </c>
    </row>
    <row r="30" spans="1:27">
      <c r="A30" s="132" t="s">
        <v>31</v>
      </c>
      <c r="B30" s="133">
        <v>4476234</v>
      </c>
      <c r="C30" s="134">
        <v>142.59</v>
      </c>
      <c r="D30" s="132">
        <v>1.181920190756715</v>
      </c>
      <c r="E30" s="133">
        <v>5290551</v>
      </c>
      <c r="F30" s="126"/>
      <c r="G30" s="133">
        <v>179000</v>
      </c>
      <c r="H30" s="135">
        <v>179000</v>
      </c>
      <c r="I30" s="135">
        <v>44760</v>
      </c>
      <c r="J30" s="135">
        <v>380500</v>
      </c>
      <c r="K30" s="135">
        <v>537200</v>
      </c>
      <c r="L30" s="135">
        <v>559500</v>
      </c>
      <c r="M30" s="1479">
        <v>760960</v>
      </c>
      <c r="N30" s="1477"/>
      <c r="O30" s="1486" t="s">
        <v>31</v>
      </c>
      <c r="P30" s="133">
        <v>4476234</v>
      </c>
      <c r="Q30" s="134">
        <v>82.01</v>
      </c>
      <c r="R30" s="132">
        <f t="shared" si="1"/>
        <v>1.3271552249725642</v>
      </c>
      <c r="S30" s="154">
        <f t="shared" si="2"/>
        <v>5940657.3412998412</v>
      </c>
      <c r="T30" s="126"/>
      <c r="U30" s="154">
        <f t="shared" si="3"/>
        <v>179049.36000000002</v>
      </c>
      <c r="V30" s="135">
        <f t="shared" si="4"/>
        <v>179049.36000000002</v>
      </c>
      <c r="W30" s="135">
        <f t="shared" si="5"/>
        <v>44762.340000000004</v>
      </c>
      <c r="X30" s="135">
        <f t="shared" si="6"/>
        <v>380479.89</v>
      </c>
      <c r="Y30" s="135">
        <f t="shared" si="7"/>
        <v>537148.07999999996</v>
      </c>
      <c r="Z30" s="135">
        <f t="shared" si="8"/>
        <v>559529.25</v>
      </c>
      <c r="AA30" s="135">
        <f t="shared" si="9"/>
        <v>716197.44</v>
      </c>
    </row>
    <row r="31" spans="1:27">
      <c r="A31" s="132" t="s">
        <v>33</v>
      </c>
      <c r="B31" s="133">
        <v>4476234</v>
      </c>
      <c r="C31" s="134">
        <v>142.41999999999999</v>
      </c>
      <c r="D31" s="132">
        <v>1.1833309928380846</v>
      </c>
      <c r="E31" s="133">
        <v>5296866</v>
      </c>
      <c r="F31" s="126"/>
      <c r="G31" s="133">
        <v>179000</v>
      </c>
      <c r="H31" s="135">
        <v>179000</v>
      </c>
      <c r="I31" s="135">
        <v>44760</v>
      </c>
      <c r="J31" s="135">
        <v>380500</v>
      </c>
      <c r="K31" s="135">
        <v>537200</v>
      </c>
      <c r="L31" s="135">
        <v>559500</v>
      </c>
      <c r="M31" s="1479">
        <v>760960</v>
      </c>
      <c r="N31" s="1477"/>
      <c r="O31" s="1486" t="s">
        <v>33</v>
      </c>
      <c r="P31" s="133">
        <v>4476234</v>
      </c>
      <c r="Q31" s="134">
        <v>82.14</v>
      </c>
      <c r="R31" s="132">
        <f t="shared" si="1"/>
        <v>1.325054784514244</v>
      </c>
      <c r="S31" s="154">
        <f t="shared" si="2"/>
        <v>5931255.2783053322</v>
      </c>
      <c r="T31" s="126"/>
      <c r="U31" s="154">
        <f t="shared" si="3"/>
        <v>179049.36000000002</v>
      </c>
      <c r="V31" s="135">
        <f t="shared" si="4"/>
        <v>179049.36000000002</v>
      </c>
      <c r="W31" s="135">
        <f t="shared" si="5"/>
        <v>44762.340000000004</v>
      </c>
      <c r="X31" s="135">
        <f t="shared" si="6"/>
        <v>380479.89</v>
      </c>
      <c r="Y31" s="135">
        <f t="shared" si="7"/>
        <v>537148.07999999996</v>
      </c>
      <c r="Z31" s="135">
        <f t="shared" si="8"/>
        <v>559529.25</v>
      </c>
      <c r="AA31" s="135">
        <f t="shared" si="9"/>
        <v>716197.44</v>
      </c>
    </row>
    <row r="32" spans="1:27">
      <c r="A32" s="132" t="s">
        <v>34</v>
      </c>
      <c r="B32" s="133">
        <v>4476234</v>
      </c>
      <c r="C32" s="134">
        <v>142.51</v>
      </c>
      <c r="D32" s="132">
        <v>1.1825836783383623</v>
      </c>
      <c r="E32" s="133">
        <v>5293521</v>
      </c>
      <c r="F32" s="126"/>
      <c r="G32" s="133">
        <v>179000</v>
      </c>
      <c r="H32" s="135">
        <v>179000</v>
      </c>
      <c r="I32" s="135">
        <v>44760</v>
      </c>
      <c r="J32" s="135">
        <v>380500</v>
      </c>
      <c r="K32" s="135">
        <v>537200</v>
      </c>
      <c r="L32" s="135">
        <v>559500</v>
      </c>
      <c r="M32" s="1479">
        <v>760960</v>
      </c>
      <c r="N32" s="1477"/>
      <c r="O32" s="1486" t="s">
        <v>34</v>
      </c>
      <c r="P32" s="133">
        <v>4476234</v>
      </c>
      <c r="Q32" s="134">
        <v>82.25</v>
      </c>
      <c r="R32" s="132">
        <f t="shared" si="1"/>
        <v>1.3232826747720365</v>
      </c>
      <c r="S32" s="154">
        <f t="shared" si="2"/>
        <v>5923322.9004255319</v>
      </c>
      <c r="T32" s="126"/>
      <c r="U32" s="154">
        <f t="shared" si="3"/>
        <v>179049.36000000002</v>
      </c>
      <c r="V32" s="135">
        <f t="shared" si="4"/>
        <v>179049.36000000002</v>
      </c>
      <c r="W32" s="135">
        <f t="shared" si="5"/>
        <v>44762.340000000004</v>
      </c>
      <c r="X32" s="135">
        <f t="shared" si="6"/>
        <v>380479.89</v>
      </c>
      <c r="Y32" s="135">
        <f t="shared" si="7"/>
        <v>537148.07999999996</v>
      </c>
      <c r="Z32" s="135">
        <f t="shared" si="8"/>
        <v>559529.25</v>
      </c>
      <c r="AA32" s="135">
        <f t="shared" si="9"/>
        <v>716197.44</v>
      </c>
    </row>
    <row r="33" spans="1:27">
      <c r="A33" s="132" t="s">
        <v>35</v>
      </c>
      <c r="B33" s="133">
        <v>4476234</v>
      </c>
      <c r="C33" s="134">
        <v>142.66999999999999</v>
      </c>
      <c r="D33" s="132">
        <v>1.1812574472559054</v>
      </c>
      <c r="E33" s="133">
        <v>5287584</v>
      </c>
      <c r="F33" s="126"/>
      <c r="G33" s="133">
        <v>179000</v>
      </c>
      <c r="H33" s="135">
        <v>179000</v>
      </c>
      <c r="I33" s="135">
        <v>44760</v>
      </c>
      <c r="J33" s="135">
        <v>380500</v>
      </c>
      <c r="K33" s="135">
        <v>537200</v>
      </c>
      <c r="L33" s="135">
        <v>559500</v>
      </c>
      <c r="M33" s="1479">
        <v>760960</v>
      </c>
      <c r="N33" s="1477"/>
      <c r="O33" s="1486" t="s">
        <v>35</v>
      </c>
      <c r="P33" s="133">
        <v>4476234</v>
      </c>
      <c r="Q33" s="134">
        <v>82.47</v>
      </c>
      <c r="R33" s="132">
        <f t="shared" si="1"/>
        <v>1.3197526373226629</v>
      </c>
      <c r="S33" s="154">
        <f t="shared" si="2"/>
        <v>5907521.6267733723</v>
      </c>
      <c r="T33" s="126"/>
      <c r="U33" s="154">
        <f t="shared" si="3"/>
        <v>179049.36000000002</v>
      </c>
      <c r="V33" s="135">
        <f t="shared" si="4"/>
        <v>179049.36000000002</v>
      </c>
      <c r="W33" s="135">
        <f t="shared" si="5"/>
        <v>44762.340000000004</v>
      </c>
      <c r="X33" s="135">
        <f t="shared" si="6"/>
        <v>380479.89</v>
      </c>
      <c r="Y33" s="135">
        <f>+P33*0.12</f>
        <v>537148.07999999996</v>
      </c>
      <c r="Z33" s="135">
        <f t="shared" si="8"/>
        <v>559529.25</v>
      </c>
      <c r="AA33" s="135">
        <f t="shared" si="9"/>
        <v>716197.44</v>
      </c>
    </row>
    <row r="34" spans="1:27">
      <c r="A34" s="132" t="s">
        <v>101</v>
      </c>
      <c r="B34" s="133">
        <v>944150</v>
      </c>
      <c r="C34" s="134">
        <v>142.72999999999999</v>
      </c>
      <c r="D34" s="132">
        <v>1.180760877180691</v>
      </c>
      <c r="E34" s="133">
        <v>1114815</v>
      </c>
      <c r="F34" s="126"/>
      <c r="G34" s="133"/>
      <c r="H34" s="135"/>
      <c r="I34" s="135"/>
      <c r="J34" s="135"/>
      <c r="K34" s="135"/>
      <c r="L34" s="135"/>
      <c r="M34" s="1479"/>
      <c r="N34" s="1477"/>
      <c r="O34" s="1486" t="s">
        <v>101</v>
      </c>
      <c r="P34" s="133">
        <v>944150</v>
      </c>
      <c r="Q34" s="134">
        <f>+Q27</f>
        <v>81.61</v>
      </c>
      <c r="R34" s="132">
        <f t="shared" si="1"/>
        <v>1.3336600906751623</v>
      </c>
      <c r="S34" s="154">
        <f t="shared" si="2"/>
        <v>1259175.1746109545</v>
      </c>
      <c r="T34" s="126"/>
      <c r="U34" s="133"/>
      <c r="V34" s="135"/>
      <c r="W34" s="135"/>
      <c r="X34" s="135"/>
      <c r="Y34" s="135"/>
      <c r="Z34" s="135"/>
      <c r="AA34" s="135">
        <f t="shared" si="9"/>
        <v>0</v>
      </c>
    </row>
    <row r="35" spans="1:27">
      <c r="A35" s="132" t="s">
        <v>102</v>
      </c>
      <c r="B35" s="133">
        <v>1597422</v>
      </c>
      <c r="C35" s="134">
        <v>142.77000000000001</v>
      </c>
      <c r="D35" s="132">
        <v>1.1804300623380262</v>
      </c>
      <c r="E35" s="133">
        <v>1885644</v>
      </c>
      <c r="F35" s="126"/>
      <c r="G35" s="133"/>
      <c r="H35" s="135"/>
      <c r="I35" s="135"/>
      <c r="J35" s="135"/>
      <c r="K35" s="135"/>
      <c r="L35" s="135"/>
      <c r="M35" s="1479"/>
      <c r="N35" s="1477"/>
      <c r="O35" s="1486" t="s">
        <v>102</v>
      </c>
      <c r="P35" s="133">
        <v>1597422</v>
      </c>
      <c r="Q35" s="134">
        <f>+Q26</f>
        <v>81.53</v>
      </c>
      <c r="R35" s="132">
        <f t="shared" si="1"/>
        <v>1.3349687231693854</v>
      </c>
      <c r="S35" s="154">
        <f t="shared" si="2"/>
        <v>2132508.4077026858</v>
      </c>
      <c r="T35" s="126"/>
      <c r="U35" s="133"/>
      <c r="V35" s="135"/>
      <c r="W35" s="135"/>
      <c r="X35" s="135"/>
      <c r="Y35" s="135"/>
      <c r="Z35" s="135"/>
      <c r="AA35" s="135"/>
    </row>
    <row r="36" spans="1:27">
      <c r="A36" s="132" t="s">
        <v>103</v>
      </c>
      <c r="B36" s="133">
        <v>153352</v>
      </c>
      <c r="C36" s="134">
        <v>142.77000000000001</v>
      </c>
      <c r="D36" s="132">
        <v>1.1804300623380262</v>
      </c>
      <c r="E36" s="133">
        <v>181021</v>
      </c>
      <c r="F36" s="126"/>
      <c r="G36" s="133"/>
      <c r="H36" s="135"/>
      <c r="I36" s="135"/>
      <c r="J36" s="135"/>
      <c r="K36" s="135"/>
      <c r="L36" s="135"/>
      <c r="M36" s="1479"/>
      <c r="N36" s="1477"/>
      <c r="O36" s="1486" t="s">
        <v>103</v>
      </c>
      <c r="P36" s="133">
        <v>153352</v>
      </c>
      <c r="Q36" s="134">
        <f>+Q35</f>
        <v>81.53</v>
      </c>
      <c r="R36" s="132">
        <f t="shared" si="1"/>
        <v>1.3349687231693854</v>
      </c>
      <c r="S36" s="154">
        <f>+P36*R36</f>
        <v>204720.12363547159</v>
      </c>
      <c r="T36" s="126"/>
      <c r="U36" s="133"/>
      <c r="V36" s="135"/>
      <c r="W36" s="135"/>
      <c r="X36" s="135"/>
      <c r="Y36" s="135"/>
      <c r="Z36" s="135"/>
      <c r="AA36" s="135"/>
    </row>
    <row r="37" spans="1:27">
      <c r="A37" s="132" t="s">
        <v>104</v>
      </c>
      <c r="B37" s="133">
        <v>1677293</v>
      </c>
      <c r="C37" s="134">
        <v>142.77000000000001</v>
      </c>
      <c r="D37" s="132">
        <v>1.1804300623380262</v>
      </c>
      <c r="E37" s="133">
        <v>1979927</v>
      </c>
      <c r="F37" s="126"/>
      <c r="G37" s="133"/>
      <c r="H37" s="135"/>
      <c r="I37" s="135"/>
      <c r="J37" s="135"/>
      <c r="K37" s="135"/>
      <c r="L37" s="135"/>
      <c r="M37" s="1479"/>
      <c r="N37" s="1477"/>
      <c r="O37" s="1486" t="s">
        <v>104</v>
      </c>
      <c r="P37" s="133">
        <v>1677293</v>
      </c>
      <c r="Q37" s="134">
        <f>+Q36</f>
        <v>81.53</v>
      </c>
      <c r="R37" s="132">
        <f t="shared" si="1"/>
        <v>1.3349687231693854</v>
      </c>
      <c r="S37" s="154">
        <f t="shared" si="2"/>
        <v>2239133.6945909481</v>
      </c>
      <c r="T37" s="126"/>
      <c r="U37" s="133"/>
      <c r="V37" s="135"/>
      <c r="W37" s="135"/>
      <c r="X37" s="135"/>
      <c r="Y37" s="135"/>
      <c r="Z37" s="135"/>
      <c r="AA37" s="135"/>
    </row>
    <row r="38" spans="1:27">
      <c r="A38" s="132" t="s">
        <v>95</v>
      </c>
      <c r="B38" s="133">
        <v>4885381</v>
      </c>
      <c r="C38" s="134">
        <v>142.51</v>
      </c>
      <c r="D38" s="132">
        <v>1.1825836783383623</v>
      </c>
      <c r="E38" s="133">
        <v>5777371</v>
      </c>
      <c r="F38" s="126"/>
      <c r="G38" s="133"/>
      <c r="H38" s="135"/>
      <c r="I38" s="135"/>
      <c r="J38" s="135"/>
      <c r="K38" s="135"/>
      <c r="L38" s="135"/>
      <c r="M38" s="1479"/>
      <c r="N38" s="1477"/>
      <c r="O38" s="1486" t="s">
        <v>95</v>
      </c>
      <c r="P38" s="133">
        <v>4885381</v>
      </c>
      <c r="Q38" s="134">
        <f>+Q33</f>
        <v>82.47</v>
      </c>
      <c r="R38" s="132">
        <f t="shared" si="1"/>
        <v>1.3197526373226629</v>
      </c>
      <c r="S38" s="154">
        <f t="shared" si="2"/>
        <v>6447494.4590760283</v>
      </c>
      <c r="T38" s="126"/>
      <c r="U38" s="133"/>
      <c r="V38" s="135"/>
      <c r="W38" s="135"/>
      <c r="X38" s="135"/>
      <c r="Y38" s="135"/>
      <c r="Z38" s="135"/>
      <c r="AA38" s="135"/>
    </row>
    <row r="39" spans="1:27">
      <c r="A39" s="132" t="s">
        <v>96</v>
      </c>
      <c r="B39" s="133"/>
      <c r="C39" s="134"/>
      <c r="D39" s="132"/>
      <c r="E39" s="133">
        <v>74494722</v>
      </c>
      <c r="F39" s="126"/>
      <c r="G39" s="133"/>
      <c r="H39" s="135"/>
      <c r="I39" s="135"/>
      <c r="J39" s="135"/>
      <c r="K39" s="135"/>
      <c r="L39" s="135"/>
      <c r="M39" s="1479"/>
      <c r="N39" s="1477"/>
      <c r="O39" s="1486" t="s">
        <v>96</v>
      </c>
      <c r="P39" s="133"/>
      <c r="Q39" s="134"/>
      <c r="R39" s="132"/>
      <c r="S39" s="154">
        <f>SUM(S22:S38)</f>
        <v>84026632.947435841</v>
      </c>
      <c r="T39" s="126"/>
      <c r="U39" s="133"/>
      <c r="V39" s="135"/>
      <c r="W39" s="135"/>
      <c r="X39" s="135"/>
      <c r="Y39" s="135"/>
      <c r="Z39" s="135"/>
      <c r="AA39" s="135"/>
    </row>
    <row r="40" spans="1:27">
      <c r="A40" s="132" t="s">
        <v>98</v>
      </c>
      <c r="B40" s="133"/>
      <c r="C40" s="134"/>
      <c r="D40" s="132"/>
      <c r="E40" s="133">
        <v>4833120</v>
      </c>
      <c r="F40" s="126"/>
      <c r="G40" s="133">
        <v>2148000</v>
      </c>
      <c r="H40" s="135">
        <v>2148000</v>
      </c>
      <c r="I40" s="135">
        <v>537120</v>
      </c>
      <c r="J40" s="135">
        <v>4566000</v>
      </c>
      <c r="K40" s="135">
        <v>6446400</v>
      </c>
      <c r="L40" s="135">
        <v>6714000</v>
      </c>
      <c r="M40" s="1479">
        <v>9131520</v>
      </c>
      <c r="N40" s="1477"/>
      <c r="O40" s="1486" t="s">
        <v>98</v>
      </c>
      <c r="P40" s="133"/>
      <c r="Q40" s="134"/>
      <c r="R40" s="132"/>
      <c r="S40" s="154">
        <f>+V40+U40+W40</f>
        <v>4834332.7200000016</v>
      </c>
      <c r="T40" s="126"/>
      <c r="U40" s="133">
        <f t="shared" ref="U40:AA40" si="10">SUM(U22:U39)</f>
        <v>2148592.3200000008</v>
      </c>
      <c r="V40" s="133">
        <f t="shared" si="10"/>
        <v>2148592.3200000008</v>
      </c>
      <c r="W40" s="133">
        <f t="shared" si="10"/>
        <v>537148.08000000019</v>
      </c>
      <c r="X40" s="133">
        <f t="shared" si="10"/>
        <v>4565758.6800000006</v>
      </c>
      <c r="Y40" s="133">
        <f t="shared" si="10"/>
        <v>6445776.96</v>
      </c>
      <c r="Z40" s="133">
        <f t="shared" si="10"/>
        <v>6714351</v>
      </c>
      <c r="AA40" s="133">
        <f t="shared" si="10"/>
        <v>8594369.2799999975</v>
      </c>
    </row>
    <row r="41" spans="1:27">
      <c r="A41" s="132" t="s">
        <v>99</v>
      </c>
      <c r="B41" s="133"/>
      <c r="C41" s="134"/>
      <c r="D41" s="132"/>
      <c r="E41" s="133">
        <v>69661602</v>
      </c>
      <c r="F41" s="126"/>
      <c r="G41" s="123"/>
      <c r="H41" s="123"/>
      <c r="I41" s="123"/>
      <c r="J41" s="123"/>
      <c r="K41" s="123"/>
      <c r="L41" s="123"/>
      <c r="M41" s="123"/>
      <c r="N41" s="123"/>
      <c r="O41" s="1486" t="s">
        <v>99</v>
      </c>
      <c r="P41" s="133"/>
      <c r="Q41" s="134"/>
      <c r="R41" s="132"/>
      <c r="S41" s="154">
        <f>+S39-S40</f>
        <v>79192300.227435842</v>
      </c>
      <c r="T41" s="126"/>
      <c r="U41" s="123"/>
      <c r="V41" s="123"/>
      <c r="W41" s="123"/>
      <c r="X41" s="123"/>
      <c r="Y41" s="123"/>
      <c r="Z41" s="123"/>
      <c r="AA41" s="123"/>
    </row>
    <row r="42" spans="1:27">
      <c r="A42" s="126"/>
      <c r="B42" s="123"/>
      <c r="C42" s="127"/>
      <c r="D42" s="126"/>
      <c r="E42" s="123"/>
      <c r="F42" s="126"/>
      <c r="G42" s="123"/>
      <c r="H42" s="123"/>
      <c r="I42" s="123"/>
      <c r="J42" s="123"/>
      <c r="K42" s="123"/>
      <c r="L42" s="123"/>
      <c r="M42" s="123"/>
      <c r="N42" s="123"/>
    </row>
    <row r="43" spans="1:27">
      <c r="A43" s="128" t="s">
        <v>11</v>
      </c>
      <c r="B43" s="129" t="s">
        <v>13</v>
      </c>
      <c r="C43" s="128" t="s">
        <v>76</v>
      </c>
      <c r="D43" s="128" t="s">
        <v>77</v>
      </c>
      <c r="E43" s="129" t="s">
        <v>57</v>
      </c>
      <c r="F43" s="120"/>
      <c r="O43" s="1487" t="s">
        <v>11</v>
      </c>
      <c r="P43" s="129" t="s">
        <v>13</v>
      </c>
      <c r="Q43" s="128" t="s">
        <v>76</v>
      </c>
      <c r="R43" s="128" t="s">
        <v>77</v>
      </c>
      <c r="S43" s="129" t="s">
        <v>57</v>
      </c>
      <c r="T43" s="120"/>
      <c r="U43" s="119"/>
      <c r="V43" s="119"/>
      <c r="W43" s="119"/>
      <c r="X43" s="119"/>
      <c r="Y43" s="119"/>
      <c r="Z43" s="119"/>
      <c r="AA43" s="119"/>
    </row>
    <row r="44" spans="1:27">
      <c r="A44" s="130"/>
      <c r="B44" s="131"/>
      <c r="C44" s="130"/>
      <c r="D44" s="130"/>
      <c r="E44" s="131"/>
      <c r="G44" s="129" t="s">
        <v>78</v>
      </c>
      <c r="H44" s="129" t="s">
        <v>79</v>
      </c>
      <c r="I44" s="129" t="s">
        <v>974</v>
      </c>
      <c r="J44" s="129" t="s">
        <v>80</v>
      </c>
      <c r="K44" s="129" t="s">
        <v>81</v>
      </c>
      <c r="L44" s="129" t="s">
        <v>82</v>
      </c>
      <c r="M44" s="1478" t="s">
        <v>83</v>
      </c>
      <c r="N44" s="121"/>
      <c r="O44" s="1488"/>
      <c r="P44" s="131"/>
      <c r="Q44" s="130"/>
      <c r="R44" s="130"/>
      <c r="S44" s="131"/>
      <c r="U44" s="129" t="s">
        <v>78</v>
      </c>
      <c r="V44" s="129" t="s">
        <v>79</v>
      </c>
      <c r="W44" s="129" t="s">
        <v>974</v>
      </c>
      <c r="X44" s="129" t="s">
        <v>80</v>
      </c>
      <c r="Y44" s="129" t="s">
        <v>81</v>
      </c>
      <c r="Z44" s="129" t="s">
        <v>82</v>
      </c>
      <c r="AA44" s="129" t="s">
        <v>83</v>
      </c>
    </row>
    <row r="45" spans="1:27">
      <c r="A45" s="132" t="s">
        <v>16</v>
      </c>
      <c r="B45" s="133">
        <v>4744808</v>
      </c>
      <c r="C45" s="134">
        <v>143.88</v>
      </c>
      <c r="D45" s="132">
        <v>1.1713233249930499</v>
      </c>
      <c r="E45" s="133">
        <v>5557704</v>
      </c>
      <c r="F45" s="126"/>
      <c r="G45" s="133">
        <v>189800</v>
      </c>
      <c r="H45" s="135">
        <v>189800</v>
      </c>
      <c r="I45" s="135">
        <v>47450</v>
      </c>
      <c r="J45" s="135">
        <v>403300</v>
      </c>
      <c r="K45" s="135">
        <v>569400</v>
      </c>
      <c r="L45" s="135">
        <v>593100</v>
      </c>
      <c r="M45" s="1479">
        <v>806650</v>
      </c>
      <c r="N45" s="1477"/>
      <c r="O45" s="1486" t="s">
        <v>16</v>
      </c>
      <c r="P45" s="133">
        <v>4744808</v>
      </c>
      <c r="Q45" s="134">
        <v>83</v>
      </c>
      <c r="R45" s="132">
        <f>+$Q$8/Q45</f>
        <v>1.3113253012048194</v>
      </c>
      <c r="S45" s="154">
        <f>+P45*R45</f>
        <v>6221986.7797590364</v>
      </c>
      <c r="T45" s="126"/>
      <c r="U45" s="154">
        <f>$P$45*0.04</f>
        <v>189792.32</v>
      </c>
      <c r="V45" s="154">
        <f>$P$45*0.04</f>
        <v>189792.32</v>
      </c>
      <c r="W45" s="135">
        <f>+P45*0.01</f>
        <v>47448.08</v>
      </c>
      <c r="X45" s="135">
        <f>+P45*0.085</f>
        <v>403308.68000000005</v>
      </c>
      <c r="Y45" s="135">
        <f>+P45*0.12</f>
        <v>569376.96</v>
      </c>
      <c r="Z45" s="135">
        <f>+U45+X45</f>
        <v>593101</v>
      </c>
      <c r="AA45" s="135">
        <f>+V45+Y45</f>
        <v>759169.28</v>
      </c>
    </row>
    <row r="46" spans="1:27">
      <c r="A46" s="132" t="s">
        <v>17</v>
      </c>
      <c r="B46" s="133">
        <v>4744808</v>
      </c>
      <c r="C46" s="134">
        <v>145.22</v>
      </c>
      <c r="D46" s="132">
        <v>1.1605150805674149</v>
      </c>
      <c r="E46" s="133">
        <v>5506421</v>
      </c>
      <c r="F46" s="126"/>
      <c r="G46" s="133">
        <v>189800</v>
      </c>
      <c r="H46" s="135">
        <v>189800</v>
      </c>
      <c r="I46" s="135">
        <v>47450</v>
      </c>
      <c r="J46" s="135">
        <v>403300</v>
      </c>
      <c r="K46" s="135">
        <v>569400</v>
      </c>
      <c r="L46" s="135">
        <v>593100</v>
      </c>
      <c r="M46" s="1479">
        <v>806650</v>
      </c>
      <c r="N46" s="1477"/>
      <c r="O46" s="1486" t="s">
        <v>17</v>
      </c>
      <c r="P46" s="133">
        <v>4744808</v>
      </c>
      <c r="Q46" s="134">
        <v>83.96</v>
      </c>
      <c r="R46" s="132">
        <f t="shared" ref="R46:R61" si="11">+$Q$8/Q46</f>
        <v>1.2963315864697476</v>
      </c>
      <c r="S46" s="154">
        <f t="shared" ref="S46:S54" si="12">+P46*R46</f>
        <v>6150844.4821343496</v>
      </c>
      <c r="T46" s="126"/>
      <c r="U46" s="154">
        <f t="shared" ref="U46:V56" si="13">$P$45*0.04</f>
        <v>189792.32</v>
      </c>
      <c r="V46" s="154">
        <f t="shared" si="13"/>
        <v>189792.32</v>
      </c>
      <c r="W46" s="135">
        <f t="shared" ref="W46:W56" si="14">+P46*0.01</f>
        <v>47448.08</v>
      </c>
      <c r="X46" s="135">
        <f t="shared" ref="X46:X56" si="15">+P46*0.085</f>
        <v>403308.68000000005</v>
      </c>
      <c r="Y46" s="135">
        <f t="shared" ref="Y46:Y56" si="16">+P46*0.12</f>
        <v>569376.96</v>
      </c>
      <c r="Z46" s="135">
        <f t="shared" ref="Z46:Z56" si="17">+U46+X46</f>
        <v>593101</v>
      </c>
      <c r="AA46" s="135">
        <f t="shared" ref="AA46:AA56" si="18">+V46+Y46</f>
        <v>759169.28</v>
      </c>
    </row>
    <row r="47" spans="1:27">
      <c r="A47" s="132" t="s">
        <v>19</v>
      </c>
      <c r="B47" s="133">
        <v>4744808</v>
      </c>
      <c r="C47" s="134">
        <v>146</v>
      </c>
      <c r="D47" s="132">
        <v>1.1543150684931507</v>
      </c>
      <c r="E47" s="133">
        <v>5477003</v>
      </c>
      <c r="F47" s="126"/>
      <c r="G47" s="133">
        <v>189800</v>
      </c>
      <c r="H47" s="135">
        <v>189800</v>
      </c>
      <c r="I47" s="135">
        <v>47450</v>
      </c>
      <c r="J47" s="135">
        <v>403300</v>
      </c>
      <c r="K47" s="135">
        <v>569400</v>
      </c>
      <c r="L47" s="135">
        <v>593100</v>
      </c>
      <c r="M47" s="1479">
        <v>806650</v>
      </c>
      <c r="N47" s="1477"/>
      <c r="O47" s="1486" t="s">
        <v>19</v>
      </c>
      <c r="P47" s="133">
        <v>4744808</v>
      </c>
      <c r="Q47" s="134">
        <v>84.45</v>
      </c>
      <c r="R47" s="132">
        <f t="shared" si="11"/>
        <v>1.2888099467140319</v>
      </c>
      <c r="S47" s="154">
        <f t="shared" si="12"/>
        <v>6115155.7456483124</v>
      </c>
      <c r="T47" s="126"/>
      <c r="U47" s="154">
        <f t="shared" si="13"/>
        <v>189792.32</v>
      </c>
      <c r="V47" s="154">
        <f t="shared" si="13"/>
        <v>189792.32</v>
      </c>
      <c r="W47" s="135">
        <f t="shared" si="14"/>
        <v>47448.08</v>
      </c>
      <c r="X47" s="135">
        <f t="shared" si="15"/>
        <v>403308.68000000005</v>
      </c>
      <c r="Y47" s="135">
        <f t="shared" si="16"/>
        <v>569376.96</v>
      </c>
      <c r="Z47" s="135">
        <f t="shared" si="17"/>
        <v>593101</v>
      </c>
      <c r="AA47" s="135">
        <f t="shared" si="18"/>
        <v>759169.28</v>
      </c>
    </row>
    <row r="48" spans="1:27">
      <c r="A48" s="132" t="s">
        <v>21</v>
      </c>
      <c r="B48" s="133">
        <v>4744808</v>
      </c>
      <c r="C48" s="134">
        <v>146.49</v>
      </c>
      <c r="D48" s="132">
        <v>1.1504539559014266</v>
      </c>
      <c r="E48" s="133">
        <v>5458683</v>
      </c>
      <c r="F48" s="126"/>
      <c r="G48" s="133">
        <v>189800</v>
      </c>
      <c r="H48" s="135">
        <v>189800</v>
      </c>
      <c r="I48" s="135">
        <v>47450</v>
      </c>
      <c r="J48" s="135">
        <v>403300</v>
      </c>
      <c r="K48" s="135">
        <v>569400</v>
      </c>
      <c r="L48" s="135">
        <v>593100</v>
      </c>
      <c r="M48" s="1479">
        <v>806650</v>
      </c>
      <c r="N48" s="1477"/>
      <c r="O48" s="1486" t="s">
        <v>21</v>
      </c>
      <c r="P48" s="133">
        <v>4744808</v>
      </c>
      <c r="Q48" s="134">
        <v>84.9</v>
      </c>
      <c r="R48" s="132">
        <f t="shared" si="11"/>
        <v>1.2819787985865725</v>
      </c>
      <c r="S48" s="154">
        <f t="shared" si="12"/>
        <v>6082743.2593639577</v>
      </c>
      <c r="T48" s="126"/>
      <c r="U48" s="154">
        <f t="shared" si="13"/>
        <v>189792.32</v>
      </c>
      <c r="V48" s="154">
        <f t="shared" si="13"/>
        <v>189792.32</v>
      </c>
      <c r="W48" s="135">
        <f t="shared" si="14"/>
        <v>47448.08</v>
      </c>
      <c r="X48" s="135">
        <f t="shared" si="15"/>
        <v>403308.68000000005</v>
      </c>
      <c r="Y48" s="135">
        <f t="shared" si="16"/>
        <v>569376.96</v>
      </c>
      <c r="Z48" s="135">
        <f t="shared" si="17"/>
        <v>593101</v>
      </c>
      <c r="AA48" s="135">
        <f t="shared" si="18"/>
        <v>759169.28</v>
      </c>
    </row>
    <row r="49" spans="1:27">
      <c r="A49" s="132" t="s">
        <v>23</v>
      </c>
      <c r="B49" s="133">
        <v>4744808</v>
      </c>
      <c r="C49" s="134">
        <v>146.63</v>
      </c>
      <c r="D49" s="132">
        <v>1.1493555206983566</v>
      </c>
      <c r="E49" s="133">
        <v>5453471</v>
      </c>
      <c r="F49" s="126"/>
      <c r="G49" s="133">
        <v>189800</v>
      </c>
      <c r="H49" s="135">
        <v>189800</v>
      </c>
      <c r="I49" s="135">
        <v>47450</v>
      </c>
      <c r="J49" s="135">
        <v>403300</v>
      </c>
      <c r="K49" s="135">
        <v>569400</v>
      </c>
      <c r="L49" s="135">
        <v>593100</v>
      </c>
      <c r="M49" s="1479">
        <v>806650</v>
      </c>
      <c r="N49" s="1477"/>
      <c r="O49" s="1486" t="s">
        <v>23</v>
      </c>
      <c r="P49" s="133">
        <v>4744808</v>
      </c>
      <c r="Q49" s="134">
        <v>85.12</v>
      </c>
      <c r="R49" s="132">
        <f t="shared" si="11"/>
        <v>1.2786654135338344</v>
      </c>
      <c r="S49" s="154">
        <f t="shared" si="12"/>
        <v>6067021.883458646</v>
      </c>
      <c r="T49" s="126"/>
      <c r="U49" s="154">
        <f t="shared" si="13"/>
        <v>189792.32</v>
      </c>
      <c r="V49" s="154">
        <f t="shared" si="13"/>
        <v>189792.32</v>
      </c>
      <c r="W49" s="135">
        <f t="shared" si="14"/>
        <v>47448.08</v>
      </c>
      <c r="X49" s="135">
        <f t="shared" si="15"/>
        <v>403308.68000000005</v>
      </c>
      <c r="Y49" s="135">
        <f t="shared" si="16"/>
        <v>569376.96</v>
      </c>
      <c r="Z49" s="135">
        <f t="shared" si="17"/>
        <v>593101</v>
      </c>
      <c r="AA49" s="135">
        <f t="shared" si="18"/>
        <v>759169.28</v>
      </c>
    </row>
    <row r="50" spans="1:27">
      <c r="A50" s="132" t="s">
        <v>25</v>
      </c>
      <c r="B50" s="133">
        <v>4744808</v>
      </c>
      <c r="C50" s="134">
        <v>146.88999999999999</v>
      </c>
      <c r="D50" s="132">
        <v>1.1473211246510995</v>
      </c>
      <c r="E50" s="133">
        <v>5443818</v>
      </c>
      <c r="F50" s="126"/>
      <c r="G50" s="133">
        <v>189800</v>
      </c>
      <c r="H50" s="135">
        <v>189800</v>
      </c>
      <c r="I50" s="135">
        <v>47450</v>
      </c>
      <c r="J50" s="135">
        <v>403300</v>
      </c>
      <c r="K50" s="135">
        <v>569400</v>
      </c>
      <c r="L50" s="135">
        <v>593100</v>
      </c>
      <c r="M50" s="1479">
        <v>806650</v>
      </c>
      <c r="N50" s="1477"/>
      <c r="O50" s="1486" t="s">
        <v>25</v>
      </c>
      <c r="P50" s="133">
        <v>4744808</v>
      </c>
      <c r="Q50" s="134">
        <v>85.21</v>
      </c>
      <c r="R50" s="132">
        <f t="shared" si="11"/>
        <v>1.2773148691468139</v>
      </c>
      <c r="S50" s="154">
        <f t="shared" si="12"/>
        <v>6060613.8096467555</v>
      </c>
      <c r="T50" s="126"/>
      <c r="U50" s="154">
        <f t="shared" si="13"/>
        <v>189792.32</v>
      </c>
      <c r="V50" s="154">
        <f t="shared" si="13"/>
        <v>189792.32</v>
      </c>
      <c r="W50" s="135">
        <f t="shared" si="14"/>
        <v>47448.08</v>
      </c>
      <c r="X50" s="135">
        <f t="shared" si="15"/>
        <v>403308.68000000005</v>
      </c>
      <c r="Y50" s="135">
        <f t="shared" si="16"/>
        <v>569376.96</v>
      </c>
      <c r="Z50" s="135">
        <f t="shared" si="17"/>
        <v>593101</v>
      </c>
      <c r="AA50" s="135">
        <f t="shared" si="18"/>
        <v>759169.28</v>
      </c>
    </row>
    <row r="51" spans="1:27">
      <c r="A51" s="132" t="s">
        <v>27</v>
      </c>
      <c r="B51" s="133">
        <v>4744808</v>
      </c>
      <c r="C51" s="134">
        <v>146.91999999999999</v>
      </c>
      <c r="D51" s="132">
        <v>1.1470868499863873</v>
      </c>
      <c r="E51" s="133">
        <v>5442706</v>
      </c>
      <c r="F51" s="126"/>
      <c r="G51" s="133">
        <v>189800</v>
      </c>
      <c r="H51" s="135">
        <v>189800</v>
      </c>
      <c r="I51" s="135">
        <v>47450</v>
      </c>
      <c r="J51" s="135">
        <v>403300</v>
      </c>
      <c r="K51" s="135">
        <v>569400</v>
      </c>
      <c r="L51" s="135">
        <v>593100</v>
      </c>
      <c r="M51" s="1479">
        <v>806650</v>
      </c>
      <c r="N51" s="1477"/>
      <c r="O51" s="1486" t="s">
        <v>27</v>
      </c>
      <c r="P51" s="133">
        <v>4744808</v>
      </c>
      <c r="Q51" s="134">
        <v>85.37</v>
      </c>
      <c r="R51" s="132">
        <f t="shared" si="11"/>
        <v>1.2749209324118542</v>
      </c>
      <c r="S51" s="154">
        <f t="shared" si="12"/>
        <v>6049255.0394752249</v>
      </c>
      <c r="T51" s="126"/>
      <c r="U51" s="154">
        <f t="shared" si="13"/>
        <v>189792.32</v>
      </c>
      <c r="V51" s="154">
        <f t="shared" si="13"/>
        <v>189792.32</v>
      </c>
      <c r="W51" s="135">
        <f t="shared" si="14"/>
        <v>47448.08</v>
      </c>
      <c r="X51" s="135">
        <f t="shared" si="15"/>
        <v>403308.68000000005</v>
      </c>
      <c r="Y51" s="135">
        <f t="shared" si="16"/>
        <v>569376.96</v>
      </c>
      <c r="Z51" s="135">
        <f t="shared" si="17"/>
        <v>593101</v>
      </c>
      <c r="AA51" s="135">
        <f t="shared" si="18"/>
        <v>759169.28</v>
      </c>
    </row>
    <row r="52" spans="1:27">
      <c r="A52" s="132" t="s">
        <v>29</v>
      </c>
      <c r="B52" s="133">
        <v>4744808</v>
      </c>
      <c r="C52" s="134">
        <v>147.24</v>
      </c>
      <c r="D52" s="132">
        <v>1.1445938603640315</v>
      </c>
      <c r="E52" s="133">
        <v>5430878</v>
      </c>
      <c r="F52" s="126"/>
      <c r="G52" s="133">
        <v>189800</v>
      </c>
      <c r="H52" s="135">
        <v>189800</v>
      </c>
      <c r="I52" s="135">
        <v>47450</v>
      </c>
      <c r="J52" s="135">
        <v>403300</v>
      </c>
      <c r="K52" s="135">
        <v>569400</v>
      </c>
      <c r="L52" s="135">
        <v>593100</v>
      </c>
      <c r="M52" s="1479">
        <v>806650</v>
      </c>
      <c r="N52" s="1477"/>
      <c r="O52" s="1486" t="s">
        <v>29</v>
      </c>
      <c r="P52" s="133">
        <v>4744808</v>
      </c>
      <c r="Q52" s="134">
        <v>85.78</v>
      </c>
      <c r="R52" s="132">
        <f t="shared" si="11"/>
        <v>1.2688272324551177</v>
      </c>
      <c r="S52" s="154">
        <f t="shared" si="12"/>
        <v>6020341.6031709025</v>
      </c>
      <c r="T52" s="126"/>
      <c r="U52" s="154">
        <f t="shared" si="13"/>
        <v>189792.32</v>
      </c>
      <c r="V52" s="154">
        <f t="shared" si="13"/>
        <v>189792.32</v>
      </c>
      <c r="W52" s="135">
        <f t="shared" si="14"/>
        <v>47448.08</v>
      </c>
      <c r="X52" s="135">
        <f t="shared" si="15"/>
        <v>403308.68000000005</v>
      </c>
      <c r="Y52" s="135">
        <f t="shared" si="16"/>
        <v>569376.96</v>
      </c>
      <c r="Z52" s="135">
        <f t="shared" si="17"/>
        <v>593101</v>
      </c>
      <c r="AA52" s="135">
        <f t="shared" si="18"/>
        <v>759169.28</v>
      </c>
    </row>
    <row r="53" spans="1:27">
      <c r="A53" s="132" t="s">
        <v>31</v>
      </c>
      <c r="B53" s="133">
        <v>4744808</v>
      </c>
      <c r="C53" s="134">
        <v>148.02000000000001</v>
      </c>
      <c r="D53" s="132">
        <v>1.1385623564383192</v>
      </c>
      <c r="E53" s="133">
        <v>5402259</v>
      </c>
      <c r="F53" s="126"/>
      <c r="G53" s="133">
        <v>189800</v>
      </c>
      <c r="H53" s="135">
        <v>189800</v>
      </c>
      <c r="I53" s="135">
        <v>47450</v>
      </c>
      <c r="J53" s="135">
        <v>403300</v>
      </c>
      <c r="K53" s="135">
        <v>569400</v>
      </c>
      <c r="L53" s="135">
        <v>593100</v>
      </c>
      <c r="M53" s="1479">
        <v>806650</v>
      </c>
      <c r="N53" s="1477"/>
      <c r="O53" s="1486" t="s">
        <v>31</v>
      </c>
      <c r="P53" s="133">
        <v>4744808</v>
      </c>
      <c r="Q53" s="134">
        <v>86.39</v>
      </c>
      <c r="R53" s="132">
        <f t="shared" si="11"/>
        <v>1.25986804028244</v>
      </c>
      <c r="S53" s="154">
        <f t="shared" si="12"/>
        <v>5977831.9564764434</v>
      </c>
      <c r="T53" s="126"/>
      <c r="U53" s="154">
        <f t="shared" si="13"/>
        <v>189792.32</v>
      </c>
      <c r="V53" s="154">
        <f t="shared" si="13"/>
        <v>189792.32</v>
      </c>
      <c r="W53" s="135">
        <f t="shared" si="14"/>
        <v>47448.08</v>
      </c>
      <c r="X53" s="135">
        <f t="shared" si="15"/>
        <v>403308.68000000005</v>
      </c>
      <c r="Y53" s="135">
        <f t="shared" si="16"/>
        <v>569376.96</v>
      </c>
      <c r="Z53" s="135">
        <f t="shared" si="17"/>
        <v>593101</v>
      </c>
      <c r="AA53" s="135">
        <f t="shared" si="18"/>
        <v>759169.28</v>
      </c>
    </row>
    <row r="54" spans="1:27">
      <c r="A54" s="132" t="s">
        <v>33</v>
      </c>
      <c r="B54" s="133">
        <v>4744808</v>
      </c>
      <c r="C54" s="134">
        <v>148.19</v>
      </c>
      <c r="D54" s="132">
        <v>1.1372562251164047</v>
      </c>
      <c r="E54" s="133">
        <v>5396062</v>
      </c>
      <c r="F54" s="126"/>
      <c r="G54" s="133">
        <v>189800</v>
      </c>
      <c r="H54" s="135">
        <v>189800</v>
      </c>
      <c r="I54" s="135">
        <v>47450</v>
      </c>
      <c r="J54" s="135">
        <v>403300</v>
      </c>
      <c r="K54" s="135">
        <v>569400</v>
      </c>
      <c r="L54" s="135">
        <v>593100</v>
      </c>
      <c r="M54" s="1479">
        <v>806650</v>
      </c>
      <c r="N54" s="1477"/>
      <c r="O54" s="1486" t="s">
        <v>33</v>
      </c>
      <c r="P54" s="133">
        <v>4744808</v>
      </c>
      <c r="Q54" s="134">
        <v>86.98</v>
      </c>
      <c r="R54" s="132">
        <f t="shared" si="11"/>
        <v>1.2513221430213841</v>
      </c>
      <c r="S54" s="154">
        <f t="shared" si="12"/>
        <v>5937283.3147850074</v>
      </c>
      <c r="T54" s="126"/>
      <c r="U54" s="154">
        <f t="shared" si="13"/>
        <v>189792.32</v>
      </c>
      <c r="V54" s="154">
        <f t="shared" si="13"/>
        <v>189792.32</v>
      </c>
      <c r="W54" s="135">
        <f t="shared" si="14"/>
        <v>47448.08</v>
      </c>
      <c r="X54" s="135">
        <f t="shared" si="15"/>
        <v>403308.68000000005</v>
      </c>
      <c r="Y54" s="135">
        <f t="shared" si="16"/>
        <v>569376.96</v>
      </c>
      <c r="Z54" s="135">
        <f t="shared" si="17"/>
        <v>593101</v>
      </c>
      <c r="AA54" s="135">
        <f t="shared" si="18"/>
        <v>759169.28</v>
      </c>
    </row>
    <row r="55" spans="1:27">
      <c r="A55" s="132" t="s">
        <v>34</v>
      </c>
      <c r="B55" s="133">
        <v>4744808</v>
      </c>
      <c r="C55" s="134">
        <v>148.41999999999999</v>
      </c>
      <c r="D55" s="132">
        <v>1.1354938687508422</v>
      </c>
      <c r="E55" s="133">
        <v>5387700</v>
      </c>
      <c r="F55" s="126"/>
      <c r="G55" s="133">
        <v>189800</v>
      </c>
      <c r="H55" s="135">
        <v>189800</v>
      </c>
      <c r="I55" s="135">
        <v>47450</v>
      </c>
      <c r="J55" s="135">
        <v>403300</v>
      </c>
      <c r="K55" s="135">
        <v>569400</v>
      </c>
      <c r="L55" s="135">
        <v>593100</v>
      </c>
      <c r="M55" s="1479">
        <v>806650</v>
      </c>
      <c r="N55" s="1477"/>
      <c r="O55" s="1486" t="s">
        <v>34</v>
      </c>
      <c r="P55" s="133">
        <v>4744808</v>
      </c>
      <c r="Q55" s="134">
        <v>87.51</v>
      </c>
      <c r="R55" s="132">
        <f t="shared" si="11"/>
        <v>1.2437435721631813</v>
      </c>
      <c r="S55" s="154"/>
      <c r="T55" s="126"/>
      <c r="U55" s="154">
        <f t="shared" si="13"/>
        <v>189792.32</v>
      </c>
      <c r="V55" s="154">
        <f t="shared" si="13"/>
        <v>189792.32</v>
      </c>
      <c r="W55" s="135">
        <f>+P55*0.01</f>
        <v>47448.08</v>
      </c>
      <c r="X55" s="135">
        <f t="shared" si="15"/>
        <v>403308.68000000005</v>
      </c>
      <c r="Y55" s="135">
        <f t="shared" si="16"/>
        <v>569376.96</v>
      </c>
      <c r="Z55" s="135">
        <f t="shared" si="17"/>
        <v>593101</v>
      </c>
      <c r="AA55" s="135">
        <f t="shared" si="18"/>
        <v>759169.28</v>
      </c>
    </row>
    <row r="56" spans="1:27">
      <c r="A56" s="132" t="s">
        <v>35</v>
      </c>
      <c r="B56" s="133">
        <v>4744808</v>
      </c>
      <c r="C56" s="134">
        <v>148.52000000000001</v>
      </c>
      <c r="D56" s="132">
        <v>1.1347293293832479</v>
      </c>
      <c r="E56" s="133">
        <v>5384072</v>
      </c>
      <c r="F56" s="126"/>
      <c r="G56" s="133">
        <v>189800</v>
      </c>
      <c r="H56" s="135">
        <v>189800</v>
      </c>
      <c r="I56" s="135">
        <v>47450</v>
      </c>
      <c r="J56" s="135">
        <v>403300</v>
      </c>
      <c r="K56" s="135">
        <v>569400</v>
      </c>
      <c r="L56" s="135">
        <v>593100</v>
      </c>
      <c r="M56" s="1479">
        <v>806650</v>
      </c>
      <c r="N56" s="1477"/>
      <c r="O56" s="1486" t="s">
        <v>35</v>
      </c>
      <c r="P56" s="133">
        <v>4744808</v>
      </c>
      <c r="Q56" s="134">
        <v>88.05</v>
      </c>
      <c r="R56" s="132">
        <f t="shared" si="11"/>
        <v>1.236115843270869</v>
      </c>
      <c r="S56" s="154"/>
      <c r="T56" s="126"/>
      <c r="U56" s="154">
        <f t="shared" si="13"/>
        <v>189792.32</v>
      </c>
      <c r="V56" s="154">
        <f t="shared" si="13"/>
        <v>189792.32</v>
      </c>
      <c r="W56" s="135">
        <f t="shared" si="14"/>
        <v>47448.08</v>
      </c>
      <c r="X56" s="135">
        <f t="shared" si="15"/>
        <v>403308.68000000005</v>
      </c>
      <c r="Y56" s="135">
        <f t="shared" si="16"/>
        <v>569376.96</v>
      </c>
      <c r="Z56" s="135">
        <f t="shared" si="17"/>
        <v>593101</v>
      </c>
      <c r="AA56" s="135">
        <f t="shared" si="18"/>
        <v>759169.28</v>
      </c>
    </row>
    <row r="57" spans="1:27">
      <c r="A57" s="132" t="s">
        <v>101</v>
      </c>
      <c r="B57" s="133">
        <v>2372404</v>
      </c>
      <c r="C57" s="134">
        <v>146.88999999999999</v>
      </c>
      <c r="D57" s="132">
        <v>1.1473211246510995</v>
      </c>
      <c r="E57" s="133">
        <v>2721909</v>
      </c>
      <c r="F57" s="126"/>
      <c r="G57" s="133"/>
      <c r="H57" s="135"/>
      <c r="I57" s="135"/>
      <c r="J57" s="135"/>
      <c r="K57" s="135"/>
      <c r="L57" s="135"/>
      <c r="M57" s="1479"/>
      <c r="N57" s="1477"/>
      <c r="O57" s="1486" t="s">
        <v>101</v>
      </c>
      <c r="P57" s="133">
        <v>2372404</v>
      </c>
      <c r="Q57" s="134">
        <v>85.21</v>
      </c>
      <c r="R57" s="132">
        <f t="shared" si="11"/>
        <v>1.2773148691468139</v>
      </c>
      <c r="S57" s="154"/>
      <c r="T57" s="126"/>
      <c r="U57" s="133"/>
      <c r="V57" s="135"/>
      <c r="W57" s="135"/>
      <c r="X57" s="135"/>
      <c r="Y57" s="135"/>
      <c r="Z57" s="135"/>
      <c r="AA57" s="135"/>
    </row>
    <row r="58" spans="1:27">
      <c r="A58" s="132" t="s">
        <v>102</v>
      </c>
      <c r="B58" s="133">
        <v>3254944</v>
      </c>
      <c r="C58" s="134">
        <v>146.63</v>
      </c>
      <c r="D58" s="132">
        <v>1.1493555206983566</v>
      </c>
      <c r="E58" s="133">
        <v>3741087</v>
      </c>
      <c r="F58" s="126"/>
      <c r="G58" s="133"/>
      <c r="H58" s="135"/>
      <c r="I58" s="135"/>
      <c r="J58" s="135"/>
      <c r="K58" s="135"/>
      <c r="L58" s="135"/>
      <c r="M58" s="1479"/>
      <c r="N58" s="1477"/>
      <c r="O58" s="1486" t="s">
        <v>102</v>
      </c>
      <c r="P58" s="133">
        <v>3254944</v>
      </c>
      <c r="Q58" s="134">
        <v>85.12</v>
      </c>
      <c r="R58" s="132">
        <f t="shared" si="11"/>
        <v>1.2786654135338344</v>
      </c>
      <c r="S58" s="154"/>
      <c r="T58" s="126"/>
      <c r="U58" s="133"/>
      <c r="V58" s="135"/>
      <c r="W58" s="135"/>
      <c r="X58" s="135"/>
      <c r="Y58" s="135"/>
      <c r="Z58" s="135"/>
      <c r="AA58" s="135"/>
    </row>
    <row r="59" spans="1:27">
      <c r="A59" s="132" t="s">
        <v>103</v>
      </c>
      <c r="B59" s="133">
        <v>316321</v>
      </c>
      <c r="C59" s="134">
        <v>146.63</v>
      </c>
      <c r="D59" s="132">
        <v>1.1493555206983566</v>
      </c>
      <c r="E59" s="133">
        <v>363565</v>
      </c>
      <c r="F59" s="126"/>
      <c r="G59" s="133"/>
      <c r="H59" s="135"/>
      <c r="I59" s="135"/>
      <c r="J59" s="135"/>
      <c r="K59" s="135"/>
      <c r="L59" s="135"/>
      <c r="M59" s="1479"/>
      <c r="N59" s="1477"/>
      <c r="O59" s="1486" t="s">
        <v>103</v>
      </c>
      <c r="P59" s="133">
        <v>316321</v>
      </c>
      <c r="Q59" s="134">
        <v>85.12</v>
      </c>
      <c r="R59" s="132">
        <f t="shared" si="11"/>
        <v>1.2786654135338344</v>
      </c>
      <c r="S59" s="154"/>
      <c r="T59" s="126"/>
      <c r="U59" s="133"/>
      <c r="V59" s="135"/>
      <c r="W59" s="135"/>
      <c r="X59" s="135"/>
      <c r="Y59" s="135"/>
      <c r="Z59" s="135"/>
      <c r="AA59" s="135"/>
    </row>
    <row r="60" spans="1:27">
      <c r="A60" s="132" t="s">
        <v>104</v>
      </c>
      <c r="B60" s="133">
        <v>3417691</v>
      </c>
      <c r="C60" s="134">
        <v>146.63</v>
      </c>
      <c r="D60" s="132">
        <v>1.1493555206983566</v>
      </c>
      <c r="E60" s="133">
        <v>3928142</v>
      </c>
      <c r="F60" s="126"/>
      <c r="G60" s="133"/>
      <c r="H60" s="135"/>
      <c r="I60" s="135"/>
      <c r="J60" s="135"/>
      <c r="K60" s="135"/>
      <c r="L60" s="135"/>
      <c r="M60" s="1479"/>
      <c r="N60" s="1477"/>
      <c r="O60" s="1486" t="s">
        <v>104</v>
      </c>
      <c r="P60" s="133">
        <v>3417691</v>
      </c>
      <c r="Q60" s="134">
        <v>85.12</v>
      </c>
      <c r="R60" s="132">
        <f t="shared" si="11"/>
        <v>1.2786654135338344</v>
      </c>
      <c r="S60" s="154"/>
      <c r="T60" s="126"/>
      <c r="U60" s="133"/>
      <c r="V60" s="135"/>
      <c r="W60" s="135"/>
      <c r="X60" s="135"/>
      <c r="Y60" s="135"/>
      <c r="Z60" s="135"/>
      <c r="AA60" s="135"/>
    </row>
    <row r="61" spans="1:27">
      <c r="A61" s="132" t="s">
        <v>95</v>
      </c>
      <c r="B61" s="133">
        <v>5105053</v>
      </c>
      <c r="C61" s="134">
        <v>148.52000000000001</v>
      </c>
      <c r="D61" s="132">
        <v>1.1347293293832479</v>
      </c>
      <c r="E61" s="133">
        <v>5792853</v>
      </c>
      <c r="F61" s="126"/>
      <c r="G61" s="133"/>
      <c r="H61" s="135"/>
      <c r="I61" s="135"/>
      <c r="J61" s="135"/>
      <c r="K61" s="135"/>
      <c r="L61" s="135"/>
      <c r="M61" s="1479"/>
      <c r="N61" s="1477"/>
      <c r="O61" s="1486" t="s">
        <v>95</v>
      </c>
      <c r="P61" s="133">
        <v>5105053</v>
      </c>
      <c r="Q61" s="134">
        <v>88.05</v>
      </c>
      <c r="R61" s="132">
        <f t="shared" si="11"/>
        <v>1.236115843270869</v>
      </c>
      <c r="S61" s="154"/>
      <c r="T61" s="126"/>
      <c r="U61" s="133"/>
      <c r="V61" s="135"/>
      <c r="W61" s="135"/>
      <c r="X61" s="135"/>
      <c r="Y61" s="135"/>
      <c r="Z61" s="135"/>
      <c r="AA61" s="135"/>
    </row>
    <row r="62" spans="1:27">
      <c r="A62" s="132" t="s">
        <v>96</v>
      </c>
      <c r="B62" s="133"/>
      <c r="C62" s="134"/>
      <c r="D62" s="132"/>
      <c r="E62" s="133">
        <v>81888333</v>
      </c>
      <c r="F62" s="126"/>
      <c r="G62" s="133"/>
      <c r="H62" s="135"/>
      <c r="I62" s="135"/>
      <c r="J62" s="135"/>
      <c r="K62" s="135"/>
      <c r="L62" s="135"/>
      <c r="M62" s="1479"/>
      <c r="N62" s="1477"/>
      <c r="O62" s="1486" t="s">
        <v>96</v>
      </c>
      <c r="P62" s="133"/>
      <c r="Q62" s="134"/>
      <c r="R62" s="132"/>
      <c r="S62" s="133">
        <f>SUM(S45:S61)</f>
        <v>60683077.873918638</v>
      </c>
      <c r="T62" s="126"/>
      <c r="U62" s="133"/>
      <c r="V62" s="135"/>
      <c r="W62" s="135"/>
      <c r="X62" s="135"/>
      <c r="Y62" s="135"/>
      <c r="Z62" s="135"/>
      <c r="AA62" s="135"/>
    </row>
    <row r="63" spans="1:27">
      <c r="A63" s="132" t="s">
        <v>98</v>
      </c>
      <c r="B63" s="133"/>
      <c r="C63" s="134"/>
      <c r="D63" s="132"/>
      <c r="E63" s="133">
        <v>5124600</v>
      </c>
      <c r="F63" s="126"/>
      <c r="G63" s="133">
        <v>2277600</v>
      </c>
      <c r="H63" s="135">
        <v>2277600</v>
      </c>
      <c r="I63" s="135">
        <v>569400</v>
      </c>
      <c r="J63" s="135">
        <v>4839600</v>
      </c>
      <c r="K63" s="135">
        <v>6832800</v>
      </c>
      <c r="L63" s="135">
        <v>7117200</v>
      </c>
      <c r="M63" s="1479">
        <v>9679800</v>
      </c>
      <c r="N63" s="1477"/>
      <c r="O63" s="1486" t="s">
        <v>98</v>
      </c>
      <c r="P63" s="133"/>
      <c r="Q63" s="134"/>
      <c r="R63" s="132"/>
      <c r="S63" s="133">
        <f>+U63+V63+W63</f>
        <v>5124392.6400000006</v>
      </c>
      <c r="T63" s="126"/>
      <c r="U63" s="133">
        <f t="shared" ref="U63:AA63" si="19">SUM(U45:U62)</f>
        <v>2277507.8400000003</v>
      </c>
      <c r="V63" s="133">
        <f t="shared" si="19"/>
        <v>2277507.8400000003</v>
      </c>
      <c r="W63" s="133">
        <f t="shared" si="19"/>
        <v>569376.96000000008</v>
      </c>
      <c r="X63" s="133">
        <f t="shared" si="19"/>
        <v>4839704.1600000011</v>
      </c>
      <c r="Y63" s="133">
        <f t="shared" si="19"/>
        <v>6832523.5199999996</v>
      </c>
      <c r="Z63" s="133">
        <f t="shared" si="19"/>
        <v>7117212</v>
      </c>
      <c r="AA63" s="133">
        <f t="shared" si="19"/>
        <v>9110031.3600000013</v>
      </c>
    </row>
    <row r="64" spans="1:27">
      <c r="A64" s="132" t="s">
        <v>99</v>
      </c>
      <c r="B64" s="133"/>
      <c r="C64" s="134"/>
      <c r="D64" s="132"/>
      <c r="E64" s="133">
        <v>76763733</v>
      </c>
      <c r="F64" s="126"/>
      <c r="G64" s="123"/>
      <c r="H64" s="123"/>
      <c r="I64" s="123"/>
      <c r="J64" s="123"/>
      <c r="K64" s="123"/>
      <c r="L64" s="123"/>
      <c r="M64" s="123"/>
      <c r="N64" s="123"/>
      <c r="O64" s="1486" t="s">
        <v>99</v>
      </c>
      <c r="P64" s="133"/>
      <c r="Q64" s="134"/>
      <c r="R64" s="132"/>
      <c r="S64" s="133">
        <f>+S62-S63</f>
        <v>55558685.233918637</v>
      </c>
      <c r="T64" s="126"/>
      <c r="U64" s="123"/>
      <c r="V64" s="123"/>
      <c r="W64" s="123"/>
      <c r="X64" s="123"/>
      <c r="Y64" s="123"/>
      <c r="Z64" s="123"/>
      <c r="AA64" s="123"/>
    </row>
    <row r="65" spans="1:28">
      <c r="A65" s="126"/>
      <c r="B65" s="123"/>
      <c r="C65" s="127"/>
      <c r="D65" s="126"/>
      <c r="E65" s="123"/>
      <c r="F65" s="126"/>
      <c r="G65" s="123"/>
      <c r="H65" s="123"/>
      <c r="I65" s="123"/>
      <c r="J65" s="123"/>
      <c r="K65" s="123"/>
      <c r="L65" s="123"/>
      <c r="M65" s="123"/>
      <c r="N65" s="123"/>
    </row>
    <row r="66" spans="1:28">
      <c r="A66" s="126"/>
      <c r="B66" s="123"/>
      <c r="C66" s="127"/>
      <c r="D66" s="126"/>
      <c r="E66" s="123"/>
      <c r="F66" s="126"/>
      <c r="G66" s="123"/>
      <c r="H66" s="123"/>
      <c r="I66" s="123"/>
      <c r="J66" s="123"/>
      <c r="K66" s="123"/>
      <c r="L66" s="123"/>
      <c r="M66" s="123"/>
      <c r="N66" s="123"/>
    </row>
    <row r="67" spans="1:28">
      <c r="A67" s="128" t="s">
        <v>11</v>
      </c>
      <c r="B67" s="129">
        <v>2016</v>
      </c>
      <c r="C67" s="128" t="s">
        <v>76</v>
      </c>
      <c r="D67" s="128" t="s">
        <v>77</v>
      </c>
      <c r="E67" s="129" t="s">
        <v>57</v>
      </c>
      <c r="F67" s="120"/>
      <c r="O67" s="1489" t="s">
        <v>192</v>
      </c>
      <c r="P67" s="130"/>
      <c r="Q67" s="130"/>
      <c r="R67" s="133">
        <f>+S16+S39+S62</f>
        <v>164462578.09653991</v>
      </c>
    </row>
    <row r="68" spans="1:28">
      <c r="A68" s="130"/>
      <c r="B68" s="131"/>
      <c r="C68" s="130"/>
      <c r="D68" s="130"/>
      <c r="E68" s="131"/>
      <c r="G68" s="129" t="s">
        <v>78</v>
      </c>
      <c r="H68" s="129" t="s">
        <v>79</v>
      </c>
      <c r="I68" s="129" t="s">
        <v>974</v>
      </c>
      <c r="J68" s="129" t="s">
        <v>80</v>
      </c>
      <c r="K68" s="129" t="s">
        <v>81</v>
      </c>
      <c r="L68" s="129" t="s">
        <v>82</v>
      </c>
      <c r="M68" s="1478" t="s">
        <v>83</v>
      </c>
      <c r="N68" s="121"/>
      <c r="O68" s="1489" t="s">
        <v>193</v>
      </c>
      <c r="P68" s="130"/>
      <c r="Q68" s="130"/>
      <c r="R68" s="133">
        <f>+S17+S40+S63</f>
        <v>10722443.040000003</v>
      </c>
    </row>
    <row r="69" spans="1:28" ht="13.5" thickBot="1">
      <c r="A69" s="132" t="s">
        <v>16</v>
      </c>
      <c r="B69" s="133">
        <v>5253077</v>
      </c>
      <c r="C69" s="134">
        <v>150.65</v>
      </c>
      <c r="D69" s="132">
        <v>1.1186856953202788</v>
      </c>
      <c r="E69" s="133">
        <v>5876542</v>
      </c>
      <c r="F69" s="126"/>
      <c r="G69" s="133">
        <v>210100</v>
      </c>
      <c r="H69" s="135">
        <v>210100</v>
      </c>
      <c r="I69" s="135">
        <v>52530</v>
      </c>
      <c r="J69" s="135">
        <v>446500</v>
      </c>
      <c r="K69" s="135">
        <v>630400</v>
      </c>
      <c r="L69" s="135">
        <v>656600</v>
      </c>
      <c r="M69" s="1479">
        <v>893030</v>
      </c>
      <c r="N69" s="1477"/>
      <c r="O69" s="1489" t="s">
        <v>194</v>
      </c>
      <c r="P69" s="130"/>
      <c r="Q69" s="130"/>
      <c r="R69" s="200">
        <f>+R67-R68</f>
        <v>153740135.05653992</v>
      </c>
    </row>
    <row r="70" spans="1:28" ht="13.5" thickTop="1">
      <c r="A70" s="132" t="s">
        <v>17</v>
      </c>
      <c r="B70" s="133">
        <v>5253077</v>
      </c>
      <c r="C70" s="134">
        <v>151.91</v>
      </c>
      <c r="D70" s="132">
        <v>1.1094068856559804</v>
      </c>
      <c r="E70" s="133">
        <v>5827799</v>
      </c>
      <c r="F70" s="126"/>
      <c r="G70" s="133">
        <v>210100</v>
      </c>
      <c r="H70" s="135">
        <v>210100</v>
      </c>
      <c r="I70" s="135">
        <v>52530</v>
      </c>
      <c r="J70" s="135">
        <v>446500</v>
      </c>
      <c r="K70" s="135">
        <v>630400</v>
      </c>
      <c r="L70" s="135">
        <v>656600</v>
      </c>
      <c r="M70" s="1479">
        <v>893030</v>
      </c>
      <c r="N70" s="1477"/>
      <c r="O70" s="1489" t="s">
        <v>532</v>
      </c>
      <c r="P70" s="130"/>
      <c r="Q70" s="130"/>
      <c r="R70" s="199">
        <v>0</v>
      </c>
    </row>
    <row r="71" spans="1:28">
      <c r="A71" s="132" t="s">
        <v>19</v>
      </c>
      <c r="B71" s="133">
        <v>5253077</v>
      </c>
      <c r="C71" s="134">
        <v>152.25</v>
      </c>
      <c r="D71" s="132">
        <v>1.1069293924466339</v>
      </c>
      <c r="E71" s="133">
        <v>5814785</v>
      </c>
      <c r="F71" s="126"/>
      <c r="G71" s="133">
        <v>210100</v>
      </c>
      <c r="H71" s="135">
        <v>210100</v>
      </c>
      <c r="I71" s="135">
        <v>52530</v>
      </c>
      <c r="J71" s="135">
        <v>446500</v>
      </c>
      <c r="K71" s="135">
        <v>630400</v>
      </c>
      <c r="L71" s="135">
        <v>656600</v>
      </c>
      <c r="M71" s="1479">
        <v>893030</v>
      </c>
      <c r="N71" s="1477"/>
      <c r="O71" s="1489" t="s">
        <v>533</v>
      </c>
      <c r="P71" s="130"/>
      <c r="Q71" s="130"/>
      <c r="R71" s="133">
        <f>+R69-R70</f>
        <v>153740135.05653992</v>
      </c>
    </row>
    <row r="72" spans="1:28">
      <c r="A72" s="132" t="s">
        <v>21</v>
      </c>
      <c r="B72" s="133">
        <v>5253077</v>
      </c>
      <c r="C72" s="134">
        <v>152.49</v>
      </c>
      <c r="D72" s="132">
        <v>1.1051872253918289</v>
      </c>
      <c r="E72" s="133">
        <v>5805633</v>
      </c>
      <c r="F72" s="126"/>
      <c r="G72" s="133">
        <v>210100</v>
      </c>
      <c r="H72" s="135">
        <v>210100</v>
      </c>
      <c r="I72" s="135">
        <v>52530</v>
      </c>
      <c r="J72" s="135">
        <v>446500</v>
      </c>
      <c r="K72" s="135">
        <v>630400</v>
      </c>
      <c r="L72" s="135">
        <v>656600</v>
      </c>
      <c r="M72" s="1479">
        <v>893030</v>
      </c>
      <c r="N72" s="1477"/>
    </row>
    <row r="73" spans="1:28">
      <c r="A73" s="132" t="s">
        <v>23</v>
      </c>
      <c r="B73" s="133">
        <v>5253077</v>
      </c>
      <c r="C73" s="134">
        <v>152.74</v>
      </c>
      <c r="D73" s="132">
        <v>1.1033782899044127</v>
      </c>
      <c r="E73" s="133">
        <v>5796131</v>
      </c>
      <c r="F73" s="126"/>
      <c r="G73" s="133">
        <v>210100</v>
      </c>
      <c r="H73" s="135">
        <v>210100</v>
      </c>
      <c r="I73" s="135">
        <v>52530</v>
      </c>
      <c r="J73" s="135">
        <v>446500</v>
      </c>
      <c r="K73" s="135">
        <v>630400</v>
      </c>
      <c r="L73" s="135">
        <v>656600</v>
      </c>
      <c r="M73" s="1479">
        <v>893030</v>
      </c>
      <c r="N73" s="1477"/>
      <c r="O73" s="191" t="s">
        <v>164</v>
      </c>
      <c r="Q73" s="257">
        <f>+R112</f>
        <v>192531349</v>
      </c>
    </row>
    <row r="74" spans="1:28">
      <c r="A74" s="132" t="s">
        <v>25</v>
      </c>
      <c r="B74" s="133">
        <v>5253077</v>
      </c>
      <c r="C74" s="134">
        <v>152.94999999999999</v>
      </c>
      <c r="D74" s="132">
        <v>1.1018633540372671</v>
      </c>
      <c r="E74" s="133">
        <v>5788173</v>
      </c>
      <c r="F74" s="126"/>
      <c r="G74" s="133">
        <v>210100</v>
      </c>
      <c r="H74" s="135">
        <v>210100</v>
      </c>
      <c r="I74" s="135">
        <v>52530</v>
      </c>
      <c r="J74" s="135">
        <v>446500</v>
      </c>
      <c r="K74" s="135">
        <v>630400</v>
      </c>
      <c r="L74" s="135">
        <v>656600</v>
      </c>
      <c r="M74" s="1479">
        <v>893030</v>
      </c>
      <c r="N74" s="1477"/>
    </row>
    <row r="75" spans="1:28">
      <c r="A75" s="132" t="s">
        <v>27</v>
      </c>
      <c r="B75" s="133">
        <v>5253077</v>
      </c>
      <c r="C75" s="134">
        <v>153.13</v>
      </c>
      <c r="D75" s="132">
        <v>1.1005681447136419</v>
      </c>
      <c r="E75" s="133">
        <v>5781369</v>
      </c>
      <c r="F75" s="126"/>
      <c r="G75" s="133">
        <v>210100</v>
      </c>
      <c r="H75" s="135">
        <v>210100</v>
      </c>
      <c r="I75" s="135">
        <v>52530</v>
      </c>
      <c r="J75" s="135">
        <v>446500</v>
      </c>
      <c r="K75" s="135">
        <v>630400</v>
      </c>
      <c r="L75" s="135">
        <v>656600</v>
      </c>
      <c r="M75" s="1479">
        <v>893030</v>
      </c>
      <c r="N75" s="1477"/>
      <c r="X75"/>
      <c r="Y75" s="32"/>
      <c r="Z75"/>
      <c r="AA75" s="32"/>
      <c r="AB75"/>
    </row>
    <row r="76" spans="1:28">
      <c r="A76" s="132" t="s">
        <v>29</v>
      </c>
      <c r="B76" s="133">
        <v>5253077</v>
      </c>
      <c r="C76" s="134">
        <v>153.16999999999999</v>
      </c>
      <c r="D76" s="132">
        <v>1.1002807338251617</v>
      </c>
      <c r="E76" s="133">
        <v>5779859</v>
      </c>
      <c r="F76" s="126"/>
      <c r="G76" s="133">
        <v>210100</v>
      </c>
      <c r="H76" s="135">
        <v>210100</v>
      </c>
      <c r="I76" s="135">
        <v>52530</v>
      </c>
      <c r="J76" s="135">
        <v>446500</v>
      </c>
      <c r="K76" s="135">
        <v>630400</v>
      </c>
      <c r="L76" s="135">
        <v>656600</v>
      </c>
      <c r="M76" s="1479">
        <v>893030</v>
      </c>
      <c r="N76" s="1477"/>
      <c r="P76" s="137" t="s">
        <v>975</v>
      </c>
      <c r="X76"/>
      <c r="Y76" s="32"/>
      <c r="Z76"/>
      <c r="AA76" s="32"/>
      <c r="AB76"/>
    </row>
    <row r="77" spans="1:28">
      <c r="A77" s="132" t="s">
        <v>31</v>
      </c>
      <c r="B77" s="133">
        <v>5253077</v>
      </c>
      <c r="C77" s="134">
        <v>152.52000000000001</v>
      </c>
      <c r="D77" s="132">
        <v>1.1049698400209809</v>
      </c>
      <c r="E77" s="133">
        <v>5804491</v>
      </c>
      <c r="F77" s="126"/>
      <c r="G77" s="133">
        <v>210100</v>
      </c>
      <c r="H77" s="135">
        <v>210100</v>
      </c>
      <c r="I77" s="135">
        <v>52530</v>
      </c>
      <c r="J77" s="135">
        <v>446500</v>
      </c>
      <c r="K77" s="135">
        <v>630400</v>
      </c>
      <c r="L77" s="135">
        <v>656600</v>
      </c>
      <c r="M77" s="1479">
        <v>893030</v>
      </c>
      <c r="N77" s="1477"/>
      <c r="O77" s="1488">
        <v>1</v>
      </c>
      <c r="P77" s="99">
        <v>43739</v>
      </c>
      <c r="Q77" s="99">
        <v>43769</v>
      </c>
      <c r="R77" s="180">
        <v>0.191</v>
      </c>
      <c r="S77" s="179">
        <f>+R71</f>
        <v>153740135.05653992</v>
      </c>
      <c r="T77" s="178">
        <f>_xlfn.DAYS(Q77,P77)+1</f>
        <v>31</v>
      </c>
      <c r="U77" s="177">
        <f>((1+R77)^(1/365))-1</f>
        <v>4.7900041112569625E-4</v>
      </c>
      <c r="V77" s="176">
        <f>S77*(((1+U77)^T77)-1)</f>
        <v>2299368.0027807527</v>
      </c>
      <c r="X77"/>
      <c r="Y77" s="32"/>
      <c r="Z77"/>
      <c r="AA77" s="32"/>
      <c r="AB77"/>
    </row>
    <row r="78" spans="1:28">
      <c r="A78" s="132" t="s">
        <v>33</v>
      </c>
      <c r="B78" s="133">
        <v>5253077</v>
      </c>
      <c r="C78" s="134">
        <v>152.33000000000001</v>
      </c>
      <c r="D78" s="132">
        <v>1.1063480601326068</v>
      </c>
      <c r="E78" s="133">
        <v>5811731</v>
      </c>
      <c r="F78" s="126"/>
      <c r="G78" s="133">
        <v>210100</v>
      </c>
      <c r="H78" s="135">
        <v>210100</v>
      </c>
      <c r="I78" s="135">
        <v>52530</v>
      </c>
      <c r="J78" s="135">
        <v>446500</v>
      </c>
      <c r="K78" s="135">
        <v>630400</v>
      </c>
      <c r="L78" s="135">
        <v>656600</v>
      </c>
      <c r="M78" s="1479">
        <v>893030</v>
      </c>
      <c r="N78" s="1477"/>
      <c r="O78" s="1488">
        <v>2</v>
      </c>
      <c r="P78" s="99">
        <v>43770</v>
      </c>
      <c r="Q78" s="100">
        <v>43799</v>
      </c>
      <c r="R78" s="180">
        <v>0.1903</v>
      </c>
      <c r="S78" s="179">
        <f>+S77+V77</f>
        <v>156039503.05932069</v>
      </c>
      <c r="T78" s="178">
        <f t="shared" ref="T78:T101" si="20">_xlfn.DAYS(Q78,P78)+1</f>
        <v>30</v>
      </c>
      <c r="U78" s="177">
        <f>((1+R78)^(1/365))-1</f>
        <v>4.7738891710125131E-4</v>
      </c>
      <c r="V78" s="176">
        <f t="shared" ref="V78:V96" si="21">S78*(((1+U78)^T78)-1)</f>
        <v>2250284.2517881314</v>
      </c>
      <c r="X78"/>
      <c r="Y78" s="32"/>
      <c r="Z78"/>
      <c r="AA78" s="32"/>
      <c r="AB78"/>
    </row>
    <row r="79" spans="1:28">
      <c r="A79" s="132" t="s">
        <v>34</v>
      </c>
      <c r="B79" s="133">
        <v>5253077</v>
      </c>
      <c r="C79" s="134">
        <v>152.02000000000001</v>
      </c>
      <c r="D79" s="132">
        <v>1.10860413103539</v>
      </c>
      <c r="E79" s="133">
        <v>5823582</v>
      </c>
      <c r="F79" s="126"/>
      <c r="G79" s="133">
        <v>210100</v>
      </c>
      <c r="H79" s="135">
        <v>210100</v>
      </c>
      <c r="I79" s="135">
        <v>52530</v>
      </c>
      <c r="J79" s="135">
        <v>446500</v>
      </c>
      <c r="K79" s="135">
        <v>630400</v>
      </c>
      <c r="L79" s="135">
        <v>656600</v>
      </c>
      <c r="M79" s="1479">
        <v>893030</v>
      </c>
      <c r="N79" s="1477"/>
      <c r="O79" s="1488">
        <v>3</v>
      </c>
      <c r="P79" s="99">
        <v>43800</v>
      </c>
      <c r="Q79" s="99">
        <v>43830</v>
      </c>
      <c r="R79" s="180">
        <v>0.18909999999999999</v>
      </c>
      <c r="S79" s="179">
        <f t="shared" ref="S79:S97" si="22">+S78+V78</f>
        <v>158289787.31110883</v>
      </c>
      <c r="T79" s="178">
        <f t="shared" si="20"/>
        <v>31</v>
      </c>
      <c r="U79" s="177">
        <f t="shared" ref="U79:U97" si="23">((1+R79)^(1/365))-1</f>
        <v>4.7462415584664797E-4</v>
      </c>
      <c r="V79" s="176">
        <f t="shared" si="21"/>
        <v>2345629.985442894</v>
      </c>
    </row>
    <row r="80" spans="1:28">
      <c r="A80" s="132" t="s">
        <v>35</v>
      </c>
      <c r="B80" s="133">
        <v>5253077</v>
      </c>
      <c r="C80" s="134">
        <v>151.6249842310838</v>
      </c>
      <c r="D80" s="132">
        <v>1.1114922837726542</v>
      </c>
      <c r="E80" s="133">
        <v>5838754</v>
      </c>
      <c r="F80" s="126"/>
      <c r="G80" s="133">
        <v>210100</v>
      </c>
      <c r="H80" s="135">
        <v>210100</v>
      </c>
      <c r="I80" s="135">
        <v>52530</v>
      </c>
      <c r="J80" s="135">
        <v>446500</v>
      </c>
      <c r="K80" s="135">
        <v>630400</v>
      </c>
      <c r="L80" s="135">
        <v>656600</v>
      </c>
      <c r="M80" s="1479">
        <v>893030</v>
      </c>
      <c r="N80" s="1477"/>
      <c r="O80" s="1488">
        <v>4</v>
      </c>
      <c r="P80" s="99">
        <v>43831</v>
      </c>
      <c r="Q80" s="100">
        <v>43861</v>
      </c>
      <c r="R80" s="180">
        <v>0.18770000000000001</v>
      </c>
      <c r="S80" s="179">
        <f t="shared" si="22"/>
        <v>160635417.29655173</v>
      </c>
      <c r="T80" s="178">
        <f t="shared" si="20"/>
        <v>31</v>
      </c>
      <c r="U80" s="177">
        <f t="shared" si="23"/>
        <v>4.7139508216287318E-4</v>
      </c>
      <c r="V80" s="176">
        <f t="shared" si="21"/>
        <v>2364079.3320003147</v>
      </c>
      <c r="Y80" s="137" t="s">
        <v>976</v>
      </c>
    </row>
    <row r="81" spans="1:28">
      <c r="A81" s="132" t="s">
        <v>101</v>
      </c>
      <c r="B81" s="133">
        <v>2626539</v>
      </c>
      <c r="C81" s="134">
        <v>152.94999999999999</v>
      </c>
      <c r="D81" s="132">
        <v>1.1018633540372671</v>
      </c>
      <c r="E81" s="133">
        <v>2894087</v>
      </c>
      <c r="F81" s="126"/>
      <c r="G81" s="133"/>
      <c r="H81" s="135"/>
      <c r="I81" s="135"/>
      <c r="J81" s="135"/>
      <c r="K81" s="135"/>
      <c r="L81" s="135"/>
      <c r="M81" s="1479"/>
      <c r="N81" s="1477"/>
      <c r="O81" s="1488">
        <v>5</v>
      </c>
      <c r="P81" s="99">
        <v>43862</v>
      </c>
      <c r="Q81" s="99">
        <v>43889</v>
      </c>
      <c r="R81" s="180">
        <v>0.19059999999999999</v>
      </c>
      <c r="S81" s="179">
        <f t="shared" si="22"/>
        <v>162999496.62855205</v>
      </c>
      <c r="T81" s="178">
        <f t="shared" si="20"/>
        <v>28</v>
      </c>
      <c r="U81" s="177">
        <f t="shared" si="23"/>
        <v>4.7807967309343447E-4</v>
      </c>
      <c r="V81" s="176">
        <f t="shared" si="21"/>
        <v>2196089.8762339097</v>
      </c>
      <c r="Y81" s="191" t="s">
        <v>977</v>
      </c>
      <c r="Z81" s="254">
        <v>4.41E-2</v>
      </c>
    </row>
    <row r="82" spans="1:28">
      <c r="A82" s="132" t="s">
        <v>637</v>
      </c>
      <c r="B82" s="133">
        <v>1838576.95</v>
      </c>
      <c r="C82" s="134">
        <v>152.74</v>
      </c>
      <c r="D82" s="132">
        <v>1.1033782899044127</v>
      </c>
      <c r="E82" s="133">
        <v>2028645</v>
      </c>
      <c r="F82" s="126"/>
      <c r="G82" s="133"/>
      <c r="H82" s="135"/>
      <c r="I82" s="135"/>
      <c r="J82" s="135"/>
      <c r="K82" s="135"/>
      <c r="L82" s="135"/>
      <c r="M82" s="1479"/>
      <c r="N82" s="1477"/>
      <c r="O82" s="1488">
        <v>6</v>
      </c>
      <c r="P82" s="99">
        <v>43891</v>
      </c>
      <c r="Q82" s="100">
        <v>43921</v>
      </c>
      <c r="R82" s="180">
        <v>0.1895</v>
      </c>
      <c r="S82" s="179">
        <f t="shared" si="22"/>
        <v>165195586.50478595</v>
      </c>
      <c r="T82" s="178">
        <f t="shared" si="20"/>
        <v>31</v>
      </c>
      <c r="U82" s="177">
        <f t="shared" si="23"/>
        <v>4.7554605197253075E-4</v>
      </c>
      <c r="V82" s="176">
        <f t="shared" si="21"/>
        <v>2452752.9694706844</v>
      </c>
    </row>
    <row r="83" spans="1:28">
      <c r="A83" s="132" t="s">
        <v>102</v>
      </c>
      <c r="B83" s="133">
        <v>3633851</v>
      </c>
      <c r="C83" s="134">
        <v>152.74</v>
      </c>
      <c r="D83" s="132">
        <v>1.1033782899044127</v>
      </c>
      <c r="E83" s="133">
        <v>4009512</v>
      </c>
      <c r="F83" s="126"/>
      <c r="G83" s="133"/>
      <c r="H83" s="135"/>
      <c r="I83" s="135"/>
      <c r="J83" s="135"/>
      <c r="K83" s="135"/>
      <c r="L83" s="135"/>
      <c r="M83" s="1479"/>
      <c r="N83" s="1477"/>
      <c r="O83" s="1488">
        <v>7</v>
      </c>
      <c r="P83" s="99">
        <v>43922</v>
      </c>
      <c r="Q83" s="99">
        <v>43951</v>
      </c>
      <c r="R83" s="180">
        <v>0.18690000000000001</v>
      </c>
      <c r="S83" s="179">
        <f t="shared" si="22"/>
        <v>167648339.47425663</v>
      </c>
      <c r="T83" s="178">
        <f t="shared" si="20"/>
        <v>30</v>
      </c>
      <c r="U83" s="177">
        <f t="shared" si="23"/>
        <v>4.6954819251787683E-4</v>
      </c>
      <c r="V83" s="176">
        <f t="shared" si="21"/>
        <v>2377718.554261208</v>
      </c>
    </row>
    <row r="84" spans="1:28">
      <c r="A84" s="132" t="s">
        <v>103</v>
      </c>
      <c r="B84" s="133">
        <v>350205</v>
      </c>
      <c r="C84" s="134">
        <v>152.74</v>
      </c>
      <c r="D84" s="132">
        <v>1.1033782899044127</v>
      </c>
      <c r="E84" s="133">
        <v>386408</v>
      </c>
      <c r="F84" s="126"/>
      <c r="G84" s="133"/>
      <c r="H84" s="135"/>
      <c r="I84" s="135"/>
      <c r="J84" s="135"/>
      <c r="K84" s="135"/>
      <c r="L84" s="135"/>
      <c r="M84" s="1479"/>
      <c r="N84" s="1477"/>
      <c r="O84" s="1488">
        <v>8</v>
      </c>
      <c r="P84" s="99">
        <v>43952</v>
      </c>
      <c r="Q84" s="100">
        <v>43981</v>
      </c>
      <c r="R84" s="180">
        <v>0.18190000000000001</v>
      </c>
      <c r="S84" s="179">
        <f t="shared" si="22"/>
        <v>170026058.02851784</v>
      </c>
      <c r="T84" s="178">
        <f t="shared" si="20"/>
        <v>30</v>
      </c>
      <c r="U84" s="177">
        <f t="shared" si="23"/>
        <v>4.5797692993576611E-4</v>
      </c>
      <c r="V84" s="176">
        <f t="shared" si="21"/>
        <v>2351619.7389998799</v>
      </c>
      <c r="Y84" s="191" t="s">
        <v>978</v>
      </c>
      <c r="Z84" s="2506">
        <f>((1+Z81)^(1/12))-1</f>
        <v>3.6027468730472911E-3</v>
      </c>
    </row>
    <row r="85" spans="1:28">
      <c r="A85" s="132" t="s">
        <v>104</v>
      </c>
      <c r="B85" s="133">
        <v>3815544</v>
      </c>
      <c r="C85" s="134">
        <v>152.74</v>
      </c>
      <c r="D85" s="132">
        <v>1.1033782899044127</v>
      </c>
      <c r="E85" s="133">
        <v>4209988</v>
      </c>
      <c r="F85" s="126"/>
      <c r="G85" s="133"/>
      <c r="H85" s="135"/>
      <c r="I85" s="135"/>
      <c r="J85" s="135"/>
      <c r="K85" s="135"/>
      <c r="L85" s="135"/>
      <c r="M85" s="1479"/>
      <c r="N85" s="1477"/>
      <c r="O85" s="1488">
        <v>9</v>
      </c>
      <c r="P85" s="99">
        <v>43983</v>
      </c>
      <c r="Q85" s="99">
        <v>44012</v>
      </c>
      <c r="R85" s="180">
        <v>0.1812</v>
      </c>
      <c r="S85" s="179">
        <f t="shared" si="22"/>
        <v>172377677.76751772</v>
      </c>
      <c r="T85" s="178">
        <f t="shared" si="20"/>
        <v>30</v>
      </c>
      <c r="U85" s="177">
        <f t="shared" si="23"/>
        <v>4.5635305872426812E-4</v>
      </c>
      <c r="V85" s="176">
        <f t="shared" si="21"/>
        <v>2375635.2208430194</v>
      </c>
      <c r="Y85" s="191" t="s">
        <v>979</v>
      </c>
      <c r="Z85" s="2506">
        <f>((1+Z81)^(1/365))-1</f>
        <v>1.1824060716802975E-4</v>
      </c>
    </row>
    <row r="86" spans="1:28">
      <c r="A86" s="132" t="s">
        <v>95</v>
      </c>
      <c r="B86" s="133">
        <v>5722022</v>
      </c>
      <c r="C86" s="134">
        <v>151.6249842310838</v>
      </c>
      <c r="D86" s="132">
        <v>1.1114922837726542</v>
      </c>
      <c r="E86" s="133">
        <v>6359983</v>
      </c>
      <c r="F86" s="126"/>
      <c r="G86" s="133"/>
      <c r="H86" s="135"/>
      <c r="I86" s="135"/>
      <c r="J86" s="135"/>
      <c r="K86" s="135"/>
      <c r="L86" s="135"/>
      <c r="M86" s="1479"/>
      <c r="N86" s="1477"/>
      <c r="O86" s="1488">
        <v>10</v>
      </c>
      <c r="P86" s="99">
        <v>44013</v>
      </c>
      <c r="Q86" s="100">
        <v>44043</v>
      </c>
      <c r="R86" s="201">
        <v>0.1812</v>
      </c>
      <c r="S86" s="179">
        <f t="shared" si="22"/>
        <v>174753312.98836073</v>
      </c>
      <c r="T86" s="178">
        <f t="shared" si="20"/>
        <v>31</v>
      </c>
      <c r="U86" s="177">
        <f t="shared" si="23"/>
        <v>4.5635305872426812E-4</v>
      </c>
      <c r="V86" s="176">
        <f t="shared" si="21"/>
        <v>2489223.4848244167</v>
      </c>
    </row>
    <row r="87" spans="1:28">
      <c r="A87" s="132" t="s">
        <v>96</v>
      </c>
      <c r="B87" s="133"/>
      <c r="C87" s="134"/>
      <c r="D87" s="132"/>
      <c r="E87" s="133">
        <v>89637472</v>
      </c>
      <c r="F87" s="126"/>
      <c r="G87" s="133"/>
      <c r="H87" s="135"/>
      <c r="I87" s="135"/>
      <c r="J87" s="135"/>
      <c r="K87" s="135"/>
      <c r="L87" s="135"/>
      <c r="M87" s="1479"/>
      <c r="N87" s="1477"/>
      <c r="O87" s="1488">
        <v>11</v>
      </c>
      <c r="P87" s="99">
        <v>44044</v>
      </c>
      <c r="Q87" s="99">
        <v>44074</v>
      </c>
      <c r="R87" s="180">
        <f>18.29*1.5%</f>
        <v>0.27434999999999998</v>
      </c>
      <c r="S87" s="179">
        <f t="shared" si="22"/>
        <v>177242536.47318515</v>
      </c>
      <c r="T87" s="178">
        <f t="shared" si="20"/>
        <v>31</v>
      </c>
      <c r="U87" s="177">
        <f>((1+R87)^(1/365))-1</f>
        <v>6.6442952514544906E-4</v>
      </c>
      <c r="V87" s="176">
        <f>S87*(((1+U87)^T87)-1)</f>
        <v>3687339.8841773565</v>
      </c>
      <c r="W87" s="255"/>
      <c r="X87" s="255"/>
    </row>
    <row r="88" spans="1:28">
      <c r="A88" s="132" t="s">
        <v>98</v>
      </c>
      <c r="B88" s="133"/>
      <c r="C88" s="134"/>
      <c r="D88" s="132"/>
      <c r="E88" s="133">
        <v>5672760</v>
      </c>
      <c r="F88" s="126"/>
      <c r="G88" s="133">
        <v>2521200</v>
      </c>
      <c r="H88" s="135">
        <v>2521200</v>
      </c>
      <c r="I88" s="135">
        <v>630360</v>
      </c>
      <c r="J88" s="135">
        <v>5358000</v>
      </c>
      <c r="K88" s="135">
        <v>7564800</v>
      </c>
      <c r="L88" s="135">
        <v>7879200</v>
      </c>
      <c r="M88" s="1479">
        <v>10716360</v>
      </c>
      <c r="N88" s="1477"/>
      <c r="O88" s="1488">
        <v>12</v>
      </c>
      <c r="P88" s="99">
        <v>44075</v>
      </c>
      <c r="Q88" s="100">
        <v>44104</v>
      </c>
      <c r="R88" s="180">
        <v>0.27524999999999999</v>
      </c>
      <c r="S88" s="179">
        <f t="shared" si="22"/>
        <v>180929876.35736251</v>
      </c>
      <c r="T88" s="178">
        <f t="shared" si="20"/>
        <v>30</v>
      </c>
      <c r="U88" s="177">
        <f>((1+R88)^(1/365))-1</f>
        <v>6.6636503991857055E-4</v>
      </c>
      <c r="V88" s="176">
        <f t="shared" si="21"/>
        <v>3652126.7968978728</v>
      </c>
      <c r="W88" s="255"/>
      <c r="X88" s="255"/>
      <c r="Y88" s="137" t="s">
        <v>980</v>
      </c>
    </row>
    <row r="89" spans="1:28">
      <c r="A89" s="132" t="s">
        <v>99</v>
      </c>
      <c r="B89" s="133"/>
      <c r="C89" s="134"/>
      <c r="D89" s="132"/>
      <c r="E89" s="133">
        <v>83964712</v>
      </c>
      <c r="F89" s="126"/>
      <c r="G89" s="123"/>
      <c r="H89" s="123"/>
      <c r="I89" s="123"/>
      <c r="J89" s="123"/>
      <c r="K89" s="123"/>
      <c r="L89" s="123"/>
      <c r="M89" s="123"/>
      <c r="N89" s="123"/>
      <c r="O89" s="1488">
        <v>13</v>
      </c>
      <c r="P89" s="99">
        <v>44105</v>
      </c>
      <c r="Q89" s="99">
        <v>44135</v>
      </c>
      <c r="R89" s="180">
        <v>0.27134999999999998</v>
      </c>
      <c r="S89" s="179">
        <f t="shared" si="22"/>
        <v>184582003.15426037</v>
      </c>
      <c r="T89" s="178">
        <f t="shared" si="20"/>
        <v>31</v>
      </c>
      <c r="U89" s="177">
        <f t="shared" si="23"/>
        <v>6.5796794962613703E-4</v>
      </c>
      <c r="V89" s="176">
        <f t="shared" si="21"/>
        <v>3802315.6904145875</v>
      </c>
      <c r="W89" s="255"/>
      <c r="X89" s="255"/>
      <c r="Y89" s="191" t="s">
        <v>977</v>
      </c>
      <c r="Z89" s="2507">
        <v>1.4999999999999999E-2</v>
      </c>
    </row>
    <row r="90" spans="1:28">
      <c r="A90" s="126"/>
      <c r="B90" s="123"/>
      <c r="C90" s="127"/>
      <c r="D90" s="126"/>
      <c r="E90" s="123"/>
      <c r="F90" s="126"/>
      <c r="G90" s="123"/>
      <c r="H90" s="123"/>
      <c r="I90" s="123"/>
      <c r="J90" s="123"/>
      <c r="K90" s="123"/>
      <c r="L90" s="123"/>
      <c r="M90" s="123"/>
      <c r="N90" s="123"/>
      <c r="O90" s="1488">
        <v>14</v>
      </c>
      <c r="P90" s="99">
        <v>44136</v>
      </c>
      <c r="Q90" s="100">
        <v>44165</v>
      </c>
      <c r="R90" s="180">
        <v>0.2676</v>
      </c>
      <c r="S90" s="179">
        <f t="shared" si="22"/>
        <v>188384318.84467494</v>
      </c>
      <c r="T90" s="178">
        <f t="shared" si="20"/>
        <v>30</v>
      </c>
      <c r="U90" s="177">
        <f t="shared" si="23"/>
        <v>6.4986956374091243E-4</v>
      </c>
      <c r="V90" s="176">
        <f t="shared" si="21"/>
        <v>3707576.6837450182</v>
      </c>
      <c r="W90" s="255"/>
      <c r="X90" s="255"/>
    </row>
    <row r="91" spans="1:28">
      <c r="G91" s="121"/>
      <c r="H91" s="121"/>
      <c r="I91" s="121"/>
      <c r="J91" s="121"/>
      <c r="K91" s="121"/>
      <c r="L91" s="121"/>
      <c r="M91" s="121"/>
      <c r="N91" s="121"/>
      <c r="O91" s="1488">
        <v>15</v>
      </c>
      <c r="P91" s="99">
        <v>44166</v>
      </c>
      <c r="Q91" s="99">
        <v>44196</v>
      </c>
      <c r="R91" s="180">
        <v>0.26189999999999997</v>
      </c>
      <c r="S91" s="179">
        <f t="shared" si="22"/>
        <v>192091895.52841997</v>
      </c>
      <c r="T91" s="178">
        <f t="shared" si="20"/>
        <v>31</v>
      </c>
      <c r="U91" s="177">
        <f t="shared" si="23"/>
        <v>6.3751414410861962E-4</v>
      </c>
      <c r="V91" s="176">
        <f t="shared" si="21"/>
        <v>3832827.9621446864</v>
      </c>
      <c r="W91" s="255"/>
      <c r="X91" s="255"/>
    </row>
    <row r="92" spans="1:28">
      <c r="A92" s="126"/>
      <c r="B92" s="123"/>
      <c r="C92" s="127"/>
      <c r="D92" s="126"/>
      <c r="E92" s="123"/>
      <c r="F92" s="126"/>
      <c r="G92" s="123"/>
      <c r="H92" s="123"/>
      <c r="I92" s="123"/>
      <c r="J92" s="123"/>
      <c r="K92" s="123"/>
      <c r="L92" s="123"/>
      <c r="M92" s="123"/>
      <c r="N92" s="123"/>
      <c r="O92" s="1488">
        <v>16</v>
      </c>
      <c r="P92" s="99">
        <v>44197</v>
      </c>
      <c r="Q92" s="100">
        <v>44227</v>
      </c>
      <c r="R92" s="180">
        <v>0.25979999999999998</v>
      </c>
      <c r="S92" s="179">
        <f t="shared" si="22"/>
        <v>195924723.49056464</v>
      </c>
      <c r="T92" s="178">
        <f t="shared" si="20"/>
        <v>31</v>
      </c>
      <c r="U92" s="177">
        <f t="shared" si="23"/>
        <v>6.3294811266723094E-4</v>
      </c>
      <c r="V92" s="176">
        <f t="shared" si="21"/>
        <v>3881038.7988249925</v>
      </c>
      <c r="W92" s="255"/>
      <c r="X92" s="255"/>
      <c r="Y92" s="191" t="s">
        <v>978</v>
      </c>
      <c r="Z92" s="613">
        <f>(1+Z89)^12-1</f>
        <v>0.19561817146153326</v>
      </c>
    </row>
    <row r="93" spans="1:28">
      <c r="A93" s="128" t="s">
        <v>11</v>
      </c>
      <c r="B93" s="129">
        <v>2017</v>
      </c>
      <c r="C93" s="128" t="s">
        <v>76</v>
      </c>
      <c r="D93" s="128" t="s">
        <v>77</v>
      </c>
      <c r="E93" s="129" t="s">
        <v>57</v>
      </c>
      <c r="F93" s="120"/>
      <c r="O93" s="1488">
        <v>17</v>
      </c>
      <c r="P93" s="99">
        <v>44228</v>
      </c>
      <c r="Q93" s="99">
        <v>44255</v>
      </c>
      <c r="R93" s="180">
        <v>0.2631</v>
      </c>
      <c r="S93" s="179">
        <f t="shared" si="22"/>
        <v>199805762.28938964</v>
      </c>
      <c r="T93" s="178">
        <f t="shared" si="20"/>
        <v>28</v>
      </c>
      <c r="U93" s="177">
        <f t="shared" si="23"/>
        <v>6.4011990387169426E-4</v>
      </c>
      <c r="V93" s="176">
        <f t="shared" si="21"/>
        <v>3612309.724265703</v>
      </c>
      <c r="W93" s="255"/>
      <c r="X93" s="255"/>
      <c r="Y93" s="191" t="s">
        <v>979</v>
      </c>
      <c r="Z93" s="2506">
        <f>(1+Z89)^(1/30)-1</f>
        <v>4.9641025393465377E-4</v>
      </c>
    </row>
    <row r="94" spans="1:28">
      <c r="A94" s="130"/>
      <c r="B94" s="131"/>
      <c r="C94" s="130"/>
      <c r="D94" s="130"/>
      <c r="E94" s="131"/>
      <c r="G94" s="129" t="s">
        <v>78</v>
      </c>
      <c r="H94" s="129" t="s">
        <v>79</v>
      </c>
      <c r="I94" s="129" t="s">
        <v>974</v>
      </c>
      <c r="J94" s="129" t="s">
        <v>80</v>
      </c>
      <c r="K94" s="129" t="s">
        <v>81</v>
      </c>
      <c r="L94" s="129" t="s">
        <v>82</v>
      </c>
      <c r="M94" s="1478" t="s">
        <v>83</v>
      </c>
      <c r="N94" s="121"/>
      <c r="O94" s="1488">
        <v>18</v>
      </c>
      <c r="P94" s="99">
        <v>44256</v>
      </c>
      <c r="Q94" s="100">
        <v>44286</v>
      </c>
      <c r="R94" s="180">
        <v>0.26114999999999999</v>
      </c>
      <c r="S94" s="179">
        <f t="shared" si="22"/>
        <v>203418072.01365533</v>
      </c>
      <c r="T94" s="178">
        <f t="shared" si="20"/>
        <v>31</v>
      </c>
      <c r="U94" s="177">
        <f t="shared" si="23"/>
        <v>6.3588428907812578E-4</v>
      </c>
      <c r="V94" s="176">
        <f t="shared" si="21"/>
        <v>4048344.3044536505</v>
      </c>
      <c r="W94" s="255"/>
      <c r="X94" s="255"/>
    </row>
    <row r="95" spans="1:28">
      <c r="A95" s="132" t="s">
        <v>16</v>
      </c>
      <c r="B95" s="133">
        <v>5804650</v>
      </c>
      <c r="C95" s="134">
        <v>153.46</v>
      </c>
      <c r="D95" s="132">
        <v>1.0982014857291802</v>
      </c>
      <c r="E95" s="133">
        <v>6374675</v>
      </c>
      <c r="F95" s="126"/>
      <c r="G95" s="133">
        <v>232200</v>
      </c>
      <c r="H95" s="135">
        <v>232200</v>
      </c>
      <c r="I95" s="135">
        <v>58050</v>
      </c>
      <c r="J95" s="135">
        <v>493400</v>
      </c>
      <c r="K95" s="135">
        <v>696600</v>
      </c>
      <c r="L95" s="135">
        <v>725600</v>
      </c>
      <c r="M95" s="1479">
        <v>986850</v>
      </c>
      <c r="N95" s="1477"/>
      <c r="O95" s="1488">
        <v>19</v>
      </c>
      <c r="P95" s="99">
        <v>44287</v>
      </c>
      <c r="Q95" s="99">
        <v>44316</v>
      </c>
      <c r="R95" s="180">
        <f>17.31*1.5%</f>
        <v>0.25964999999999999</v>
      </c>
      <c r="S95" s="179">
        <f t="shared" si="22"/>
        <v>207466416.31810898</v>
      </c>
      <c r="T95" s="178">
        <f t="shared" si="20"/>
        <v>30</v>
      </c>
      <c r="U95" s="177">
        <f t="shared" si="23"/>
        <v>6.326216771728177E-4</v>
      </c>
      <c r="V95" s="176">
        <f t="shared" si="21"/>
        <v>3973764.8647762602</v>
      </c>
      <c r="W95" s="255"/>
      <c r="X95" s="255"/>
    </row>
    <row r="96" spans="1:28">
      <c r="A96" s="132" t="s">
        <v>17</v>
      </c>
      <c r="B96" s="133">
        <v>5804650</v>
      </c>
      <c r="C96" s="134">
        <v>155.71</v>
      </c>
      <c r="D96" s="132">
        <v>1.0823325412626035</v>
      </c>
      <c r="E96" s="133">
        <v>6282561</v>
      </c>
      <c r="F96" s="126"/>
      <c r="G96" s="133">
        <v>232200</v>
      </c>
      <c r="H96" s="135">
        <v>232200</v>
      </c>
      <c r="I96" s="135">
        <v>58050</v>
      </c>
      <c r="J96" s="135">
        <v>493400</v>
      </c>
      <c r="K96" s="135">
        <v>696600</v>
      </c>
      <c r="L96" s="135">
        <v>725600</v>
      </c>
      <c r="M96" s="1479">
        <v>986850</v>
      </c>
      <c r="N96" s="1477"/>
      <c r="O96" s="1488">
        <v>20</v>
      </c>
      <c r="P96" s="99">
        <v>44317</v>
      </c>
      <c r="Q96" s="99">
        <v>44347</v>
      </c>
      <c r="R96" s="180">
        <f>17.22*1.5%</f>
        <v>0.25829999999999997</v>
      </c>
      <c r="S96" s="179">
        <f t="shared" si="22"/>
        <v>211440181.18288523</v>
      </c>
      <c r="T96" s="178">
        <f t="shared" si="20"/>
        <v>31</v>
      </c>
      <c r="U96" s="177">
        <f t="shared" si="23"/>
        <v>6.2968201205726437E-4</v>
      </c>
      <c r="V96" s="176">
        <f t="shared" si="21"/>
        <v>4166564.4799987846</v>
      </c>
      <c r="W96" s="255"/>
      <c r="X96" s="255"/>
      <c r="Y96" s="32"/>
      <c r="Z96"/>
      <c r="AA96" s="32"/>
      <c r="AB96"/>
    </row>
    <row r="97" spans="1:24">
      <c r="A97" s="132" t="s">
        <v>19</v>
      </c>
      <c r="B97" s="133">
        <v>5804650</v>
      </c>
      <c r="C97" s="134">
        <v>156.15</v>
      </c>
      <c r="D97" s="132">
        <v>1.0792827409542107</v>
      </c>
      <c r="E97" s="133">
        <v>6264858</v>
      </c>
      <c r="F97" s="126"/>
      <c r="G97" s="133">
        <v>232200</v>
      </c>
      <c r="H97" s="135">
        <v>232200</v>
      </c>
      <c r="I97" s="135">
        <v>58050</v>
      </c>
      <c r="J97" s="135">
        <v>493400</v>
      </c>
      <c r="K97" s="135">
        <v>696600</v>
      </c>
      <c r="L97" s="135">
        <v>725600</v>
      </c>
      <c r="M97" s="1479">
        <v>986850</v>
      </c>
      <c r="N97" s="1477"/>
      <c r="O97" s="1488">
        <v>21</v>
      </c>
      <c r="P97" s="99">
        <v>44348</v>
      </c>
      <c r="Q97" s="99">
        <v>44377</v>
      </c>
      <c r="R97" s="180">
        <f>17.21*1.5%</f>
        <v>0.25814999999999999</v>
      </c>
      <c r="S97" s="179">
        <f t="shared" si="22"/>
        <v>215606745.66288403</v>
      </c>
      <c r="T97" s="178">
        <f t="shared" si="20"/>
        <v>30</v>
      </c>
      <c r="U97" s="177">
        <f t="shared" si="23"/>
        <v>6.2935518846773952E-4</v>
      </c>
      <c r="V97" s="176">
        <f>S97*(((1+U97)^T97)-1)</f>
        <v>4108164.5292224502</v>
      </c>
      <c r="W97" s="255"/>
      <c r="X97" s="255"/>
    </row>
    <row r="98" spans="1:24">
      <c r="A98" s="132" t="s">
        <v>21</v>
      </c>
      <c r="B98" s="133">
        <v>5804650</v>
      </c>
      <c r="C98" s="134">
        <v>155.79</v>
      </c>
      <c r="D98" s="132">
        <v>1.0817767507542204</v>
      </c>
      <c r="E98" s="133">
        <v>6279335</v>
      </c>
      <c r="F98" s="126"/>
      <c r="G98" s="133">
        <v>232200</v>
      </c>
      <c r="H98" s="135">
        <v>232200</v>
      </c>
      <c r="I98" s="135">
        <v>58050</v>
      </c>
      <c r="J98" s="135">
        <v>493400</v>
      </c>
      <c r="K98" s="135">
        <v>696600</v>
      </c>
      <c r="L98" s="135">
        <v>725600</v>
      </c>
      <c r="M98" s="1479">
        <v>986850</v>
      </c>
      <c r="N98" s="1477"/>
      <c r="O98" s="1488">
        <v>22</v>
      </c>
      <c r="P98" s="99">
        <v>44378</v>
      </c>
      <c r="Q98" s="99">
        <v>44408</v>
      </c>
      <c r="R98" s="201">
        <f>17.18*1.5%</f>
        <v>0.25769999999999998</v>
      </c>
      <c r="S98" s="179">
        <f>+S97+V97</f>
        <v>219714910.19210649</v>
      </c>
      <c r="T98" s="178">
        <f t="shared" si="20"/>
        <v>31</v>
      </c>
      <c r="U98" s="177">
        <f>((1+R98)^(1/365))-1</f>
        <v>6.2837448450037137E-4</v>
      </c>
      <c r="V98" s="176">
        <f>S98*(((1+U98)^T98)-1)</f>
        <v>4320547.942293345</v>
      </c>
    </row>
    <row r="99" spans="1:24">
      <c r="A99" s="132" t="s">
        <v>23</v>
      </c>
      <c r="B99" s="133">
        <v>5804650</v>
      </c>
      <c r="C99" s="134">
        <v>155.57</v>
      </c>
      <c r="D99" s="132">
        <v>1.0833065501060617</v>
      </c>
      <c r="E99" s="133">
        <v>6288215</v>
      </c>
      <c r="F99" s="126"/>
      <c r="G99" s="133">
        <v>232200</v>
      </c>
      <c r="H99" s="135">
        <v>232200</v>
      </c>
      <c r="I99" s="135">
        <v>58050</v>
      </c>
      <c r="J99" s="135">
        <v>493400</v>
      </c>
      <c r="K99" s="135">
        <v>696600</v>
      </c>
      <c r="L99" s="135">
        <v>725600</v>
      </c>
      <c r="M99" s="1479">
        <v>986850</v>
      </c>
      <c r="N99" s="1477"/>
      <c r="O99" s="1488">
        <v>23</v>
      </c>
      <c r="P99" s="99">
        <v>44409</v>
      </c>
      <c r="Q99" s="99">
        <v>44439</v>
      </c>
      <c r="R99" s="180">
        <f>17.24*1.5%</f>
        <v>0.25859999999999994</v>
      </c>
      <c r="S99" s="179">
        <f>+S98+V98</f>
        <v>224035458.13439983</v>
      </c>
      <c r="T99" s="178">
        <f t="shared" si="20"/>
        <v>31</v>
      </c>
      <c r="U99" s="177">
        <f>((1+R99)^(1/365))-1</f>
        <v>6.3033554269220637E-4</v>
      </c>
      <c r="V99" s="176">
        <f>S99*(((1+U99)^T99)-1)</f>
        <v>4419387.9049786199</v>
      </c>
    </row>
    <row r="100" spans="1:24">
      <c r="A100" s="132" t="s">
        <v>25</v>
      </c>
      <c r="B100" s="133">
        <v>5804650</v>
      </c>
      <c r="C100" s="134">
        <v>155.34</v>
      </c>
      <c r="D100" s="132">
        <v>1.0849105188618513</v>
      </c>
      <c r="E100" s="133">
        <v>6297525</v>
      </c>
      <c r="F100" s="126"/>
      <c r="G100" s="133">
        <v>232200</v>
      </c>
      <c r="H100" s="135">
        <v>232200</v>
      </c>
      <c r="I100" s="135">
        <v>58050</v>
      </c>
      <c r="J100" s="135">
        <v>493400</v>
      </c>
      <c r="K100" s="135">
        <v>696600</v>
      </c>
      <c r="L100" s="135">
        <v>725600</v>
      </c>
      <c r="M100" s="1479">
        <v>986850</v>
      </c>
      <c r="N100" s="1477"/>
      <c r="O100" s="1488">
        <v>24</v>
      </c>
      <c r="P100" s="99">
        <v>44440</v>
      </c>
      <c r="Q100" s="99">
        <v>44469</v>
      </c>
      <c r="R100" s="201">
        <f>17.19*1.5%</f>
        <v>0.25785000000000002</v>
      </c>
      <c r="S100" s="179">
        <f>+S99+V99</f>
        <v>228454846.03937846</v>
      </c>
      <c r="T100" s="178">
        <f t="shared" si="20"/>
        <v>30</v>
      </c>
      <c r="U100" s="177">
        <f>((1+R100)^(1/365))-1</f>
        <v>6.2870142469861889E-4</v>
      </c>
      <c r="V100" s="176">
        <f>S100*(((1+U100)^T100)-1)</f>
        <v>4348408.7278472688</v>
      </c>
    </row>
    <row r="101" spans="1:24">
      <c r="A101" s="132" t="s">
        <v>27</v>
      </c>
      <c r="B101" s="133">
        <v>5804650</v>
      </c>
      <c r="C101" s="134">
        <v>155.38</v>
      </c>
      <c r="D101" s="132">
        <v>1.0846312266700993</v>
      </c>
      <c r="E101" s="133">
        <v>6295904</v>
      </c>
      <c r="F101" s="126"/>
      <c r="G101" s="133">
        <v>232200</v>
      </c>
      <c r="H101" s="135">
        <v>232200</v>
      </c>
      <c r="I101" s="135">
        <v>58050</v>
      </c>
      <c r="J101" s="135">
        <v>493400</v>
      </c>
      <c r="K101" s="135">
        <v>696600</v>
      </c>
      <c r="L101" s="135">
        <v>725600</v>
      </c>
      <c r="M101" s="1479">
        <v>986850</v>
      </c>
      <c r="N101" s="1477"/>
      <c r="O101" s="1488">
        <v>25</v>
      </c>
      <c r="P101" s="99">
        <v>44470</v>
      </c>
      <c r="Q101" s="99">
        <v>44500</v>
      </c>
      <c r="R101" s="180">
        <f>17.08*1.5%</f>
        <v>0.25619999999999998</v>
      </c>
      <c r="S101" s="179">
        <f>+S100+V100</f>
        <v>232803254.76722574</v>
      </c>
      <c r="T101" s="178">
        <f t="shared" si="20"/>
        <v>31</v>
      </c>
      <c r="U101" s="177">
        <f>((1+R101)^(1/365))-1</f>
        <v>6.2510294214179751E-4</v>
      </c>
      <c r="V101" s="176">
        <f>S101*(((1+U101)^T101)-1)</f>
        <v>4553863.1736289961</v>
      </c>
    </row>
    <row r="102" spans="1:24">
      <c r="A102" s="132" t="s">
        <v>29</v>
      </c>
      <c r="B102" s="133">
        <v>5804650</v>
      </c>
      <c r="C102" s="134">
        <v>155.55000000000001</v>
      </c>
      <c r="D102" s="132">
        <v>1.0834458373513338</v>
      </c>
      <c r="E102" s="133">
        <v>6289023</v>
      </c>
      <c r="F102" s="126"/>
      <c r="G102" s="133">
        <v>232200</v>
      </c>
      <c r="H102" s="135">
        <v>232200</v>
      </c>
      <c r="I102" s="135">
        <v>58050</v>
      </c>
      <c r="J102" s="135">
        <v>493400</v>
      </c>
      <c r="K102" s="135">
        <v>696600</v>
      </c>
      <c r="L102" s="135">
        <v>725600</v>
      </c>
      <c r="M102" s="1479">
        <v>986850</v>
      </c>
      <c r="N102" s="1477"/>
      <c r="S102" s="132"/>
      <c r="T102" s="175" t="s">
        <v>97</v>
      </c>
      <c r="U102" s="132"/>
      <c r="V102" s="174">
        <f>SUM(V77:V101)</f>
        <v>83616982.884314805</v>
      </c>
    </row>
    <row r="103" spans="1:24" ht="13.5" thickBot="1">
      <c r="A103" s="132" t="s">
        <v>31</v>
      </c>
      <c r="B103" s="133">
        <v>5804650</v>
      </c>
      <c r="C103" s="134">
        <v>156.41</v>
      </c>
      <c r="D103" s="132">
        <v>1.0774886516207405</v>
      </c>
      <c r="E103" s="133">
        <v>6254444</v>
      </c>
      <c r="F103" s="126"/>
      <c r="G103" s="133">
        <v>232200</v>
      </c>
      <c r="H103" s="135">
        <v>232200</v>
      </c>
      <c r="I103" s="135">
        <v>58050</v>
      </c>
      <c r="J103" s="135">
        <v>493400</v>
      </c>
      <c r="K103" s="135">
        <v>696600</v>
      </c>
      <c r="L103" s="135">
        <v>725600</v>
      </c>
      <c r="M103" s="1479">
        <v>986850</v>
      </c>
      <c r="N103" s="1477"/>
    </row>
    <row r="104" spans="1:24">
      <c r="A104" s="132" t="s">
        <v>33</v>
      </c>
      <c r="B104" s="133">
        <v>5804650</v>
      </c>
      <c r="C104" s="134">
        <v>157.19999999999999</v>
      </c>
      <c r="D104" s="132">
        <v>1.0720737913486007</v>
      </c>
      <c r="E104" s="133">
        <v>6223013</v>
      </c>
      <c r="F104" s="126"/>
      <c r="G104" s="133">
        <v>232200</v>
      </c>
      <c r="H104" s="135">
        <v>232200</v>
      </c>
      <c r="I104" s="135">
        <v>58050</v>
      </c>
      <c r="J104" s="135">
        <v>493400</v>
      </c>
      <c r="K104" s="135">
        <v>696600</v>
      </c>
      <c r="L104" s="135">
        <v>725600</v>
      </c>
      <c r="M104" s="1479">
        <v>986850</v>
      </c>
      <c r="N104" s="1477"/>
      <c r="O104" s="171" t="s">
        <v>198</v>
      </c>
      <c r="P104" s="207"/>
      <c r="Q104" s="207"/>
      <c r="R104" s="170">
        <f>+R71</f>
        <v>153740135.05653992</v>
      </c>
      <c r="S104" s="257"/>
    </row>
    <row r="105" spans="1:24">
      <c r="A105" s="132" t="s">
        <v>34</v>
      </c>
      <c r="B105" s="133">
        <v>5804650</v>
      </c>
      <c r="C105" s="134">
        <v>157.87</v>
      </c>
      <c r="D105" s="132">
        <v>1.0675239120795592</v>
      </c>
      <c r="E105" s="133">
        <v>6196602</v>
      </c>
      <c r="F105" s="126"/>
      <c r="G105" s="133">
        <v>232200</v>
      </c>
      <c r="H105" s="135">
        <v>232200</v>
      </c>
      <c r="I105" s="135">
        <v>58050</v>
      </c>
      <c r="J105" s="135">
        <v>493400</v>
      </c>
      <c r="K105" s="135">
        <v>696600</v>
      </c>
      <c r="L105" s="135">
        <v>725600</v>
      </c>
      <c r="M105" s="1479">
        <v>986850</v>
      </c>
      <c r="N105" s="1477"/>
      <c r="O105" s="1490" t="s">
        <v>981</v>
      </c>
      <c r="P105" s="208"/>
      <c r="Q105" s="208"/>
      <c r="R105" s="212">
        <f>+V102</f>
        <v>83616982.884314805</v>
      </c>
    </row>
    <row r="106" spans="1:24">
      <c r="A106" s="132" t="s">
        <v>35</v>
      </c>
      <c r="B106" s="133">
        <v>5804650</v>
      </c>
      <c r="C106" s="134">
        <v>158.34</v>
      </c>
      <c r="D106" s="132">
        <v>1.0643551850448403</v>
      </c>
      <c r="E106" s="133">
        <v>6178209</v>
      </c>
      <c r="F106" s="126"/>
      <c r="G106" s="133">
        <v>232200</v>
      </c>
      <c r="H106" s="135">
        <v>232200</v>
      </c>
      <c r="I106" s="135">
        <v>58050</v>
      </c>
      <c r="J106" s="135">
        <v>493400</v>
      </c>
      <c r="K106" s="135">
        <v>696600</v>
      </c>
      <c r="L106" s="135">
        <v>725600</v>
      </c>
      <c r="M106" s="1479">
        <v>986850</v>
      </c>
      <c r="N106" s="1477"/>
      <c r="O106" s="1491" t="s">
        <v>982</v>
      </c>
      <c r="P106" s="213"/>
      <c r="Q106" s="214"/>
      <c r="R106" s="212">
        <v>5508011</v>
      </c>
    </row>
    <row r="107" spans="1:24" ht="13.5" thickBot="1">
      <c r="A107" s="132" t="s">
        <v>101</v>
      </c>
      <c r="B107" s="133">
        <v>2902325</v>
      </c>
      <c r="C107" s="134">
        <v>155.34</v>
      </c>
      <c r="D107" s="132">
        <v>1.0849105188618513</v>
      </c>
      <c r="E107" s="133">
        <v>3148762</v>
      </c>
      <c r="F107" s="126"/>
      <c r="G107" s="133"/>
      <c r="H107" s="135"/>
      <c r="I107" s="135"/>
      <c r="J107" s="135"/>
      <c r="K107" s="135"/>
      <c r="L107" s="135"/>
      <c r="M107" s="1479"/>
      <c r="N107" s="1477"/>
      <c r="O107" s="163" t="s">
        <v>61</v>
      </c>
      <c r="P107" s="205"/>
      <c r="Q107" s="205"/>
      <c r="R107" s="256">
        <f>SUM(R104:R106)</f>
        <v>242865128.94085473</v>
      </c>
    </row>
    <row r="108" spans="1:24">
      <c r="A108" s="132" t="s">
        <v>637</v>
      </c>
      <c r="B108" s="133">
        <v>2031627.4999999998</v>
      </c>
      <c r="C108" s="134">
        <v>155.57</v>
      </c>
      <c r="D108" s="132">
        <v>1.0833065501060617</v>
      </c>
      <c r="E108" s="133">
        <v>2200875</v>
      </c>
      <c r="F108" s="126"/>
      <c r="G108" s="133"/>
      <c r="H108" s="135"/>
      <c r="I108" s="135"/>
      <c r="J108" s="135"/>
      <c r="K108" s="135"/>
      <c r="L108" s="135"/>
      <c r="M108" s="1479"/>
      <c r="N108" s="1477"/>
    </row>
    <row r="109" spans="1:24">
      <c r="A109" s="132" t="s">
        <v>102</v>
      </c>
      <c r="B109" s="133">
        <v>4117829</v>
      </c>
      <c r="C109" s="134">
        <v>155.57</v>
      </c>
      <c r="D109" s="132">
        <v>1.0833065501060617</v>
      </c>
      <c r="E109" s="133">
        <v>4460871</v>
      </c>
      <c r="F109" s="126"/>
      <c r="G109" s="133"/>
      <c r="H109" s="135"/>
      <c r="I109" s="135"/>
      <c r="J109" s="135"/>
      <c r="K109" s="135"/>
      <c r="L109" s="135"/>
      <c r="M109" s="1479"/>
      <c r="N109" s="1477"/>
    </row>
    <row r="110" spans="1:24" ht="13.5" thickBot="1">
      <c r="A110" s="132" t="s">
        <v>103</v>
      </c>
      <c r="B110" s="133">
        <v>386977</v>
      </c>
      <c r="C110" s="134">
        <v>155.57</v>
      </c>
      <c r="D110" s="132">
        <v>1.0833065501060617</v>
      </c>
      <c r="E110" s="133">
        <v>419214</v>
      </c>
      <c r="F110" s="126"/>
      <c r="G110" s="133"/>
      <c r="H110" s="135"/>
      <c r="I110" s="135"/>
      <c r="J110" s="135"/>
      <c r="K110" s="135"/>
      <c r="L110" s="135"/>
      <c r="M110" s="1479"/>
      <c r="N110" s="1477"/>
    </row>
    <row r="111" spans="1:24">
      <c r="A111" s="132" t="s">
        <v>104</v>
      </c>
      <c r="B111" s="133">
        <v>4323720</v>
      </c>
      <c r="C111" s="134">
        <v>155.57</v>
      </c>
      <c r="D111" s="132">
        <v>1.0833065501060617</v>
      </c>
      <c r="E111" s="133">
        <v>4683914</v>
      </c>
      <c r="F111" s="126"/>
      <c r="G111" s="133"/>
      <c r="H111" s="135"/>
      <c r="I111" s="135"/>
      <c r="J111" s="135"/>
      <c r="K111" s="135"/>
      <c r="L111" s="135"/>
      <c r="M111" s="1479"/>
      <c r="N111" s="1477"/>
      <c r="O111" s="1492" t="s">
        <v>983</v>
      </c>
      <c r="P111" s="202"/>
      <c r="Q111" s="202"/>
      <c r="R111" s="203"/>
    </row>
    <row r="112" spans="1:24">
      <c r="A112" s="132" t="s">
        <v>95</v>
      </c>
      <c r="B112" s="133">
        <v>6479564</v>
      </c>
      <c r="C112" s="134">
        <v>158.34</v>
      </c>
      <c r="D112" s="132">
        <v>1.0643551850448403</v>
      </c>
      <c r="E112" s="133">
        <v>6896557</v>
      </c>
      <c r="F112" s="126"/>
      <c r="G112" s="133"/>
      <c r="H112" s="135"/>
      <c r="I112" s="135"/>
      <c r="J112" s="135"/>
      <c r="K112" s="135"/>
      <c r="L112" s="135"/>
      <c r="M112" s="1479"/>
      <c r="N112" s="1477"/>
      <c r="O112" s="1493" t="s">
        <v>984</v>
      </c>
      <c r="P112" s="130"/>
      <c r="Q112" s="130"/>
      <c r="R112" s="204">
        <v>192531349</v>
      </c>
    </row>
    <row r="113" spans="1:22" ht="14.25">
      <c r="A113" s="132" t="s">
        <v>96</v>
      </c>
      <c r="B113" s="133"/>
      <c r="C113" s="134"/>
      <c r="D113" s="132"/>
      <c r="E113" s="133">
        <v>97034557</v>
      </c>
      <c r="F113" s="126"/>
      <c r="G113" s="133"/>
      <c r="H113" s="135"/>
      <c r="I113" s="135"/>
      <c r="J113" s="135"/>
      <c r="K113" s="135"/>
      <c r="L113" s="135"/>
      <c r="M113" s="1479"/>
      <c r="N113" s="1477"/>
      <c r="O113" s="1494" t="s">
        <v>985</v>
      </c>
      <c r="P113" s="182"/>
      <c r="Q113" s="130"/>
      <c r="R113" s="166">
        <v>40199339.539999999</v>
      </c>
    </row>
    <row r="114" spans="1:22" ht="15" thickBot="1">
      <c r="A114" s="132" t="s">
        <v>98</v>
      </c>
      <c r="B114" s="133"/>
      <c r="C114" s="134"/>
      <c r="D114" s="132"/>
      <c r="E114" s="133">
        <v>6269400</v>
      </c>
      <c r="F114" s="126"/>
      <c r="G114" s="133">
        <v>2786400</v>
      </c>
      <c r="H114" s="135">
        <v>2786400</v>
      </c>
      <c r="I114" s="135">
        <v>696600</v>
      </c>
      <c r="J114" s="135">
        <v>5920800</v>
      </c>
      <c r="K114" s="135">
        <v>8359200</v>
      </c>
      <c r="L114" s="135">
        <v>8707200</v>
      </c>
      <c r="M114" s="1479">
        <v>11842200</v>
      </c>
      <c r="N114" s="1477"/>
      <c r="O114" s="1495" t="s">
        <v>982</v>
      </c>
      <c r="P114" s="208"/>
      <c r="Q114" s="209"/>
      <c r="R114" s="212">
        <v>5508011</v>
      </c>
    </row>
    <row r="115" spans="1:22" ht="13.5" thickBot="1">
      <c r="A115" s="132" t="s">
        <v>99</v>
      </c>
      <c r="B115" s="133"/>
      <c r="C115" s="134"/>
      <c r="D115" s="132"/>
      <c r="E115" s="133">
        <v>90765157</v>
      </c>
      <c r="F115" s="126"/>
      <c r="G115" s="123"/>
      <c r="H115" s="123"/>
      <c r="I115" s="123"/>
      <c r="J115" s="123"/>
      <c r="K115" s="123"/>
      <c r="L115" s="123"/>
      <c r="M115" s="123"/>
      <c r="N115" s="123"/>
      <c r="O115" s="1496" t="s">
        <v>316</v>
      </c>
      <c r="P115" s="210"/>
      <c r="Q115" s="210"/>
      <c r="R115" s="211">
        <f>SUM(R112:R114)</f>
        <v>238238699.53999999</v>
      </c>
    </row>
    <row r="116" spans="1:22">
      <c r="A116" s="126"/>
      <c r="B116" s="123"/>
      <c r="C116" s="127"/>
      <c r="D116" s="126"/>
      <c r="E116" s="123"/>
      <c r="F116" s="126"/>
      <c r="G116" s="123"/>
      <c r="H116" s="123"/>
      <c r="I116" s="123"/>
      <c r="J116" s="123"/>
      <c r="K116" s="123"/>
      <c r="L116" s="123"/>
      <c r="M116" s="123"/>
      <c r="N116" s="123"/>
    </row>
    <row r="117" spans="1:22">
      <c r="A117" s="126"/>
      <c r="B117" s="123"/>
      <c r="C117" s="127"/>
      <c r="D117" s="126"/>
      <c r="E117" s="123"/>
      <c r="F117" s="126"/>
      <c r="G117" s="123"/>
      <c r="H117" s="123"/>
      <c r="I117" s="123"/>
      <c r="J117" s="123"/>
      <c r="K117" s="123"/>
      <c r="L117" s="123"/>
      <c r="M117" s="123"/>
      <c r="N117" s="123"/>
      <c r="O117" s="137" t="s">
        <v>986</v>
      </c>
      <c r="R117" s="206">
        <f>+R115-R107</f>
        <v>-4626429.4008547366</v>
      </c>
    </row>
    <row r="118" spans="1:22">
      <c r="A118" s="128" t="s">
        <v>11</v>
      </c>
      <c r="B118" s="129">
        <v>2018</v>
      </c>
      <c r="C118" s="128" t="s">
        <v>638</v>
      </c>
      <c r="D118" s="128" t="s">
        <v>77</v>
      </c>
      <c r="E118" s="129" t="s">
        <v>57</v>
      </c>
      <c r="F118" s="120"/>
      <c r="O118" s="137" t="s">
        <v>59</v>
      </c>
    </row>
    <row r="119" spans="1:22">
      <c r="A119" s="130"/>
      <c r="B119" s="131"/>
      <c r="C119" s="130"/>
      <c r="D119" s="130"/>
      <c r="E119" s="131"/>
      <c r="G119" s="129" t="s">
        <v>78</v>
      </c>
      <c r="H119" s="129" t="s">
        <v>79</v>
      </c>
      <c r="I119" s="129" t="s">
        <v>974</v>
      </c>
      <c r="J119" s="129" t="s">
        <v>80</v>
      </c>
      <c r="K119" s="129" t="s">
        <v>81</v>
      </c>
      <c r="L119" s="129" t="s">
        <v>82</v>
      </c>
      <c r="M119" s="1478" t="s">
        <v>83</v>
      </c>
      <c r="N119" s="121"/>
      <c r="O119" s="1488">
        <v>20</v>
      </c>
      <c r="P119" s="99">
        <v>44322</v>
      </c>
      <c r="Q119" s="99">
        <v>44347</v>
      </c>
      <c r="R119" s="180">
        <f>17.22*1.5%</f>
        <v>0.25829999999999997</v>
      </c>
      <c r="S119" s="179">
        <f>+$R$112</f>
        <v>192531349</v>
      </c>
      <c r="T119" s="178">
        <v>31</v>
      </c>
      <c r="U119" s="177">
        <f>((1+R119)^(1/365))-1</f>
        <v>6.2968201205726437E-4</v>
      </c>
      <c r="V119" s="176">
        <f>S119*(((1+U119)^T119)-1)</f>
        <v>3793953.8054774525</v>
      </c>
    </row>
    <row r="120" spans="1:22">
      <c r="A120" s="132" t="s">
        <v>16</v>
      </c>
      <c r="B120" s="133">
        <v>6444162</v>
      </c>
      <c r="C120" s="134">
        <v>160.0231015744653</v>
      </c>
      <c r="D120" s="132">
        <v>1.0531604395980045</v>
      </c>
      <c r="E120" s="133">
        <v>6786736</v>
      </c>
      <c r="F120" s="126"/>
      <c r="G120" s="133">
        <v>257800</v>
      </c>
      <c r="H120" s="135">
        <v>257800</v>
      </c>
      <c r="I120" s="135">
        <v>64440</v>
      </c>
      <c r="J120" s="135">
        <v>547700</v>
      </c>
      <c r="K120" s="135">
        <v>773200</v>
      </c>
      <c r="L120" s="135">
        <v>805500</v>
      </c>
      <c r="M120" s="1479">
        <v>1095440</v>
      </c>
      <c r="N120" s="1477"/>
      <c r="O120" s="1488">
        <v>21</v>
      </c>
      <c r="P120" s="99">
        <v>44348</v>
      </c>
      <c r="Q120" s="99">
        <v>44377</v>
      </c>
      <c r="R120" s="180">
        <f>17.21*1.5%</f>
        <v>0.25814999999999999</v>
      </c>
      <c r="S120" s="179">
        <f>+$R$112</f>
        <v>192531349</v>
      </c>
      <c r="T120" s="178">
        <v>30</v>
      </c>
      <c r="U120" s="177">
        <f>((1+R120)^(1/365))-1</f>
        <v>6.2935518846773952E-4</v>
      </c>
      <c r="V120" s="176">
        <f>S120*(((1+U120)^T120)-1)</f>
        <v>3668486.6064527207</v>
      </c>
    </row>
    <row r="121" spans="1:22">
      <c r="A121" s="132" t="s">
        <v>17</v>
      </c>
      <c r="B121" s="133">
        <v>6444162</v>
      </c>
      <c r="C121" s="134">
        <v>161.71</v>
      </c>
      <c r="D121" s="132">
        <v>1.042174262568796</v>
      </c>
      <c r="E121" s="133">
        <v>6715939</v>
      </c>
      <c r="F121" s="126"/>
      <c r="G121" s="133">
        <v>257800</v>
      </c>
      <c r="H121" s="135">
        <v>257800</v>
      </c>
      <c r="I121" s="135">
        <v>64440</v>
      </c>
      <c r="J121" s="135">
        <v>547700</v>
      </c>
      <c r="K121" s="135">
        <v>773200</v>
      </c>
      <c r="L121" s="135">
        <v>805500</v>
      </c>
      <c r="M121" s="1479">
        <v>1095440</v>
      </c>
      <c r="N121" s="1477"/>
      <c r="P121" s="132"/>
      <c r="Q121" s="132"/>
      <c r="R121" s="132"/>
      <c r="S121" s="132"/>
      <c r="T121" s="175" t="s">
        <v>93</v>
      </c>
      <c r="U121" s="132"/>
      <c r="V121" s="174">
        <f>SUM(V119:V120)</f>
        <v>7462440.4119301736</v>
      </c>
    </row>
    <row r="122" spans="1:22">
      <c r="A122" s="132" t="s">
        <v>19</v>
      </c>
      <c r="B122" s="133">
        <v>6444162</v>
      </c>
      <c r="C122" s="134">
        <v>162.24</v>
      </c>
      <c r="D122" s="132">
        <v>1.0387697238658777</v>
      </c>
      <c r="E122" s="133">
        <v>6694000</v>
      </c>
      <c r="F122" s="126"/>
      <c r="G122" s="133">
        <v>257800</v>
      </c>
      <c r="H122" s="135">
        <v>257800</v>
      </c>
      <c r="I122" s="135">
        <v>64440</v>
      </c>
      <c r="J122" s="135">
        <v>547700</v>
      </c>
      <c r="K122" s="135">
        <v>773200</v>
      </c>
      <c r="L122" s="135">
        <v>805500</v>
      </c>
      <c r="M122" s="1479">
        <v>1095440</v>
      </c>
      <c r="N122" s="1477"/>
    </row>
    <row r="123" spans="1:22">
      <c r="A123" s="132" t="s">
        <v>21</v>
      </c>
      <c r="B123" s="133">
        <v>6444162</v>
      </c>
      <c r="C123" s="134">
        <v>162.72</v>
      </c>
      <c r="D123" s="132">
        <v>1.0357055063913472</v>
      </c>
      <c r="E123" s="133">
        <v>6674254</v>
      </c>
      <c r="F123" s="126"/>
      <c r="G123" s="133">
        <v>257800</v>
      </c>
      <c r="H123" s="135">
        <v>257800</v>
      </c>
      <c r="I123" s="135">
        <v>64440</v>
      </c>
      <c r="J123" s="135">
        <v>547700</v>
      </c>
      <c r="K123" s="135">
        <v>773200</v>
      </c>
      <c r="L123" s="135">
        <v>805500</v>
      </c>
      <c r="M123" s="1479">
        <v>1095440</v>
      </c>
      <c r="N123" s="1477"/>
    </row>
    <row r="124" spans="1:22">
      <c r="A124" s="132" t="s">
        <v>23</v>
      </c>
      <c r="B124" s="133">
        <v>6444162</v>
      </c>
      <c r="C124" s="134">
        <v>163.22</v>
      </c>
      <c r="D124" s="132">
        <v>1.0325327778458522</v>
      </c>
      <c r="E124" s="133">
        <v>6653808</v>
      </c>
      <c r="F124" s="126"/>
      <c r="G124" s="133">
        <v>257800</v>
      </c>
      <c r="H124" s="135">
        <v>257800</v>
      </c>
      <c r="I124" s="135">
        <v>64440</v>
      </c>
      <c r="J124" s="135">
        <v>547700</v>
      </c>
      <c r="K124" s="135">
        <v>773200</v>
      </c>
      <c r="L124" s="135">
        <v>805500</v>
      </c>
      <c r="M124" s="1479">
        <v>1095440</v>
      </c>
      <c r="N124" s="1477"/>
    </row>
    <row r="125" spans="1:22">
      <c r="A125" s="132" t="s">
        <v>25</v>
      </c>
      <c r="B125" s="133">
        <v>6444162</v>
      </c>
      <c r="C125" s="134">
        <v>163.31</v>
      </c>
      <c r="D125" s="132">
        <v>1.0319637499234584</v>
      </c>
      <c r="E125" s="133">
        <v>6650141</v>
      </c>
      <c r="F125" s="126"/>
      <c r="G125" s="133">
        <v>257800</v>
      </c>
      <c r="H125" s="135">
        <v>257800</v>
      </c>
      <c r="I125" s="135">
        <v>64440</v>
      </c>
      <c r="J125" s="135">
        <v>547700</v>
      </c>
      <c r="K125" s="135">
        <v>773200</v>
      </c>
      <c r="L125" s="135">
        <v>805500</v>
      </c>
      <c r="M125" s="1479">
        <v>1095440</v>
      </c>
      <c r="N125" s="1477"/>
    </row>
    <row r="126" spans="1:22">
      <c r="A126" s="132" t="s">
        <v>27</v>
      </c>
      <c r="B126" s="133">
        <v>6444162</v>
      </c>
      <c r="C126" s="134">
        <v>163.43</v>
      </c>
      <c r="D126" s="132">
        <v>1.0312060209263905</v>
      </c>
      <c r="E126" s="133">
        <v>6645258</v>
      </c>
      <c r="F126" s="126"/>
      <c r="G126" s="133">
        <v>257800</v>
      </c>
      <c r="H126" s="135">
        <v>257800</v>
      </c>
      <c r="I126" s="135">
        <v>64440</v>
      </c>
      <c r="J126" s="135">
        <v>547700</v>
      </c>
      <c r="K126" s="135">
        <v>773200</v>
      </c>
      <c r="L126" s="135">
        <v>805500</v>
      </c>
      <c r="M126" s="1479">
        <v>1095440</v>
      </c>
      <c r="N126" s="1477"/>
    </row>
    <row r="127" spans="1:22">
      <c r="A127" s="132" t="s">
        <v>29</v>
      </c>
      <c r="B127" s="133">
        <v>6444162</v>
      </c>
      <c r="C127" s="134">
        <v>163.53</v>
      </c>
      <c r="D127" s="132">
        <v>1.0305754295847858</v>
      </c>
      <c r="E127" s="133">
        <v>6641195</v>
      </c>
      <c r="F127" s="126"/>
      <c r="G127" s="133">
        <v>257800</v>
      </c>
      <c r="H127" s="135">
        <v>257800</v>
      </c>
      <c r="I127" s="135">
        <v>64440</v>
      </c>
      <c r="J127" s="135">
        <v>547700</v>
      </c>
      <c r="K127" s="135">
        <v>773200</v>
      </c>
      <c r="L127" s="135">
        <v>805500</v>
      </c>
      <c r="M127" s="1479">
        <v>1095440</v>
      </c>
      <c r="N127" s="1477"/>
    </row>
    <row r="128" spans="1:22">
      <c r="A128" s="132" t="s">
        <v>31</v>
      </c>
      <c r="B128" s="133">
        <v>6444162</v>
      </c>
      <c r="C128" s="134">
        <v>163.66</v>
      </c>
      <c r="D128" s="132">
        <v>1.0297568129048027</v>
      </c>
      <c r="E128" s="133">
        <v>6635919</v>
      </c>
      <c r="F128" s="126"/>
      <c r="G128" s="133">
        <v>257800</v>
      </c>
      <c r="H128" s="135">
        <v>257800</v>
      </c>
      <c r="I128" s="135">
        <v>64440</v>
      </c>
      <c r="J128" s="135">
        <v>547700</v>
      </c>
      <c r="K128" s="135">
        <v>773200</v>
      </c>
      <c r="L128" s="135">
        <v>805500</v>
      </c>
      <c r="M128" s="1479">
        <v>1095440</v>
      </c>
      <c r="N128" s="1477"/>
    </row>
    <row r="129" spans="1:14">
      <c r="A129" s="132" t="s">
        <v>33</v>
      </c>
      <c r="B129" s="133">
        <v>6444162</v>
      </c>
      <c r="C129" s="134">
        <v>163.69999999999999</v>
      </c>
      <c r="D129" s="132">
        <v>1.0295051924251681</v>
      </c>
      <c r="E129" s="133">
        <v>6634298</v>
      </c>
      <c r="F129" s="126"/>
      <c r="G129" s="133">
        <v>257800</v>
      </c>
      <c r="H129" s="135">
        <v>257800</v>
      </c>
      <c r="I129" s="135">
        <v>64440</v>
      </c>
      <c r="J129" s="135">
        <v>547700</v>
      </c>
      <c r="K129" s="135">
        <v>773200</v>
      </c>
      <c r="L129" s="135">
        <v>805500</v>
      </c>
      <c r="M129" s="1479">
        <v>1095440</v>
      </c>
      <c r="N129" s="1477"/>
    </row>
    <row r="130" spans="1:14">
      <c r="A130" s="132" t="s">
        <v>34</v>
      </c>
      <c r="B130" s="133">
        <v>6444162</v>
      </c>
      <c r="C130" s="134">
        <v>163.72</v>
      </c>
      <c r="D130" s="132">
        <v>1.0293794282922062</v>
      </c>
      <c r="E130" s="133">
        <v>6633487</v>
      </c>
      <c r="F130" s="126"/>
      <c r="G130" s="133">
        <v>257800</v>
      </c>
      <c r="H130" s="135">
        <v>257800</v>
      </c>
      <c r="I130" s="135">
        <v>64440</v>
      </c>
      <c r="J130" s="135">
        <v>547700</v>
      </c>
      <c r="K130" s="135">
        <v>773200</v>
      </c>
      <c r="L130" s="135">
        <v>805500</v>
      </c>
      <c r="M130" s="1479">
        <v>1095440</v>
      </c>
      <c r="N130" s="1477"/>
    </row>
    <row r="131" spans="1:14">
      <c r="A131" s="132" t="s">
        <v>35</v>
      </c>
      <c r="B131" s="133">
        <v>6444162</v>
      </c>
      <c r="C131" s="134">
        <v>163.89</v>
      </c>
      <c r="D131" s="132">
        <v>1.0283116724632377</v>
      </c>
      <c r="E131" s="133">
        <v>6626607</v>
      </c>
      <c r="F131" s="126"/>
      <c r="G131" s="133">
        <v>257800</v>
      </c>
      <c r="H131" s="135">
        <v>257800</v>
      </c>
      <c r="I131" s="135">
        <v>64440</v>
      </c>
      <c r="J131" s="135">
        <v>547700</v>
      </c>
      <c r="K131" s="135">
        <v>773200</v>
      </c>
      <c r="L131" s="135">
        <v>805500</v>
      </c>
      <c r="M131" s="1479">
        <v>1095440</v>
      </c>
      <c r="N131" s="1477"/>
    </row>
    <row r="132" spans="1:14">
      <c r="A132" s="132" t="s">
        <v>101</v>
      </c>
      <c r="B132" s="133">
        <v>3222081</v>
      </c>
      <c r="C132" s="134">
        <v>163.31</v>
      </c>
      <c r="D132" s="132">
        <v>1.0319637499234584</v>
      </c>
      <c r="E132" s="133">
        <v>3325070</v>
      </c>
      <c r="F132" s="126"/>
      <c r="G132" s="133"/>
      <c r="H132" s="135"/>
      <c r="I132" s="135"/>
      <c r="J132" s="135"/>
      <c r="K132" s="135"/>
      <c r="L132" s="135"/>
      <c r="M132" s="1479"/>
      <c r="N132" s="1477"/>
    </row>
    <row r="133" spans="1:14">
      <c r="A133" s="132" t="s">
        <v>637</v>
      </c>
      <c r="B133" s="133">
        <v>2255456.6999999997</v>
      </c>
      <c r="C133" s="134">
        <v>163.22</v>
      </c>
      <c r="D133" s="132">
        <v>1.0325327778458522</v>
      </c>
      <c r="E133" s="133">
        <v>2328832</v>
      </c>
      <c r="F133" s="126"/>
      <c r="G133" s="133"/>
      <c r="H133" s="135"/>
      <c r="I133" s="135"/>
      <c r="J133" s="135"/>
      <c r="K133" s="135"/>
      <c r="L133" s="135"/>
      <c r="M133" s="1479"/>
      <c r="N133" s="1477"/>
    </row>
    <row r="134" spans="1:14">
      <c r="A134" s="132" t="s">
        <v>102</v>
      </c>
      <c r="B134" s="133">
        <v>4570216</v>
      </c>
      <c r="C134" s="134">
        <v>163.22</v>
      </c>
      <c r="D134" s="132">
        <v>1.0325327778458522</v>
      </c>
      <c r="E134" s="133">
        <v>4718897</v>
      </c>
      <c r="F134" s="126"/>
      <c r="G134" s="133"/>
      <c r="H134" s="135"/>
      <c r="I134" s="135"/>
      <c r="J134" s="135"/>
      <c r="K134" s="135"/>
      <c r="L134" s="135"/>
      <c r="M134" s="1479"/>
      <c r="N134" s="1477"/>
    </row>
    <row r="135" spans="1:14">
      <c r="A135" s="132" t="s">
        <v>103</v>
      </c>
      <c r="B135" s="133">
        <v>429611</v>
      </c>
      <c r="C135" s="134">
        <v>163.22</v>
      </c>
      <c r="D135" s="132">
        <v>1.0325327778458522</v>
      </c>
      <c r="E135" s="133">
        <v>443587</v>
      </c>
      <c r="F135" s="126"/>
      <c r="G135" s="133"/>
      <c r="H135" s="135"/>
      <c r="I135" s="135"/>
      <c r="J135" s="135"/>
      <c r="K135" s="135"/>
      <c r="L135" s="135"/>
      <c r="M135" s="1479"/>
      <c r="N135" s="1477"/>
    </row>
    <row r="136" spans="1:14">
      <c r="A136" s="132" t="s">
        <v>104</v>
      </c>
      <c r="B136" s="133">
        <v>4798727</v>
      </c>
      <c r="C136" s="134">
        <v>163.22</v>
      </c>
      <c r="D136" s="132">
        <v>1.0325327778458522</v>
      </c>
      <c r="E136" s="133">
        <v>4954842</v>
      </c>
      <c r="F136" s="126"/>
      <c r="G136" s="133"/>
      <c r="H136" s="135"/>
      <c r="I136" s="135"/>
      <c r="J136" s="135"/>
      <c r="K136" s="135"/>
      <c r="L136" s="135"/>
      <c r="M136" s="1479"/>
      <c r="N136" s="1477"/>
    </row>
    <row r="137" spans="1:14">
      <c r="A137" s="132" t="s">
        <v>95</v>
      </c>
      <c r="B137" s="133">
        <v>7198476</v>
      </c>
      <c r="C137" s="134">
        <v>163.89</v>
      </c>
      <c r="D137" s="132">
        <v>1.0283116724632377</v>
      </c>
      <c r="E137" s="133">
        <v>7402276</v>
      </c>
      <c r="F137" s="126"/>
      <c r="G137" s="133"/>
      <c r="H137" s="135"/>
      <c r="I137" s="135"/>
      <c r="J137" s="135"/>
      <c r="K137" s="135"/>
      <c r="L137" s="135"/>
      <c r="M137" s="1479"/>
      <c r="N137" s="1477"/>
    </row>
    <row r="138" spans="1:14">
      <c r="A138" s="132" t="s">
        <v>96</v>
      </c>
      <c r="B138" s="133"/>
      <c r="C138" s="134"/>
      <c r="D138" s="132"/>
      <c r="E138" s="133">
        <v>103165146</v>
      </c>
      <c r="F138" s="126"/>
      <c r="G138" s="133"/>
      <c r="H138" s="135"/>
      <c r="I138" s="135"/>
      <c r="J138" s="135"/>
      <c r="K138" s="135"/>
      <c r="L138" s="135"/>
      <c r="M138" s="1479"/>
      <c r="N138" s="1477"/>
    </row>
    <row r="139" spans="1:14">
      <c r="A139" s="132" t="s">
        <v>98</v>
      </c>
      <c r="B139" s="133"/>
      <c r="C139" s="134"/>
      <c r="D139" s="132"/>
      <c r="E139" s="133">
        <v>6960480</v>
      </c>
      <c r="F139" s="126"/>
      <c r="G139" s="133">
        <v>3093600</v>
      </c>
      <c r="H139" s="135">
        <v>3093600</v>
      </c>
      <c r="I139" s="135">
        <v>773280</v>
      </c>
      <c r="J139" s="135">
        <v>6572400</v>
      </c>
      <c r="K139" s="135">
        <v>9278400</v>
      </c>
      <c r="L139" s="135">
        <v>9666000</v>
      </c>
      <c r="M139" s="1479">
        <v>13145280</v>
      </c>
      <c r="N139" s="1477"/>
    </row>
    <row r="140" spans="1:14">
      <c r="A140" s="132" t="s">
        <v>99</v>
      </c>
      <c r="B140" s="133"/>
      <c r="C140" s="134"/>
      <c r="D140" s="132"/>
      <c r="E140" s="133">
        <v>96204666</v>
      </c>
      <c r="F140" s="126"/>
      <c r="G140" s="123"/>
      <c r="H140" s="123"/>
      <c r="I140" s="123"/>
      <c r="J140" s="123"/>
      <c r="K140" s="123"/>
      <c r="L140" s="123"/>
      <c r="M140" s="123"/>
      <c r="N140" s="123"/>
    </row>
    <row r="141" spans="1:14">
      <c r="A141" s="126"/>
      <c r="B141" s="123"/>
      <c r="C141" s="127"/>
      <c r="D141" s="126"/>
      <c r="E141" s="123"/>
      <c r="F141" s="126"/>
      <c r="G141" s="123"/>
      <c r="H141" s="123"/>
      <c r="I141" s="123"/>
      <c r="J141" s="123"/>
      <c r="K141" s="123"/>
      <c r="L141" s="123"/>
      <c r="M141" s="123"/>
      <c r="N141" s="123"/>
    </row>
    <row r="142" spans="1:14">
      <c r="A142" s="128" t="s">
        <v>11</v>
      </c>
      <c r="B142" s="129">
        <v>2019</v>
      </c>
      <c r="C142" s="128" t="s">
        <v>638</v>
      </c>
      <c r="D142" s="128" t="s">
        <v>77</v>
      </c>
      <c r="E142" s="129" t="s">
        <v>57</v>
      </c>
      <c r="F142" s="120"/>
    </row>
    <row r="143" spans="1:14">
      <c r="A143" s="130"/>
      <c r="B143" s="131"/>
      <c r="C143" s="130"/>
      <c r="D143" s="130"/>
      <c r="E143" s="131"/>
      <c r="G143" s="129" t="s">
        <v>78</v>
      </c>
      <c r="H143" s="129" t="s">
        <v>79</v>
      </c>
      <c r="I143" s="129" t="s">
        <v>974</v>
      </c>
      <c r="J143" s="129" t="s">
        <v>80</v>
      </c>
      <c r="K143" s="129" t="s">
        <v>81</v>
      </c>
      <c r="L143" s="129" t="s">
        <v>82</v>
      </c>
      <c r="M143" s="1478" t="s">
        <v>83</v>
      </c>
      <c r="N143" s="121"/>
    </row>
    <row r="144" spans="1:14">
      <c r="A144" s="132" t="s">
        <v>16</v>
      </c>
      <c r="B144" s="133">
        <v>7181241</v>
      </c>
      <c r="C144" s="134">
        <v>165.28</v>
      </c>
      <c r="D144" s="132">
        <v>1.01966360116167</v>
      </c>
      <c r="E144" s="133">
        <v>7322450</v>
      </c>
      <c r="F144" s="126"/>
      <c r="G144" s="133">
        <v>287400</v>
      </c>
      <c r="H144" s="135">
        <v>287400</v>
      </c>
      <c r="I144" s="135">
        <v>71850</v>
      </c>
      <c r="J144" s="135">
        <v>610700</v>
      </c>
      <c r="K144" s="135">
        <v>862200</v>
      </c>
      <c r="L144" s="135">
        <v>898100</v>
      </c>
      <c r="M144" s="1479">
        <v>1221450</v>
      </c>
      <c r="N144" s="1477"/>
    </row>
    <row r="145" spans="1:14">
      <c r="A145" s="132" t="s">
        <v>17</v>
      </c>
      <c r="B145" s="133">
        <v>7181241</v>
      </c>
      <c r="C145" s="134">
        <v>166.74</v>
      </c>
      <c r="D145" s="132">
        <v>1.0107352764783495</v>
      </c>
      <c r="E145" s="133">
        <v>7258333</v>
      </c>
      <c r="F145" s="126"/>
      <c r="G145" s="133">
        <v>287400</v>
      </c>
      <c r="H145" s="135">
        <v>287400</v>
      </c>
      <c r="I145" s="135">
        <v>71850</v>
      </c>
      <c r="J145" s="135">
        <v>610700</v>
      </c>
      <c r="K145" s="135">
        <v>862200</v>
      </c>
      <c r="L145" s="135">
        <v>898100</v>
      </c>
      <c r="M145" s="1479">
        <v>1221450</v>
      </c>
      <c r="N145" s="1477"/>
    </row>
    <row r="146" spans="1:14">
      <c r="A146" s="132" t="s">
        <v>19</v>
      </c>
      <c r="B146" s="133">
        <v>7181241</v>
      </c>
      <c r="C146" s="134">
        <v>167.19</v>
      </c>
      <c r="D146" s="132">
        <v>1.0080148334230516</v>
      </c>
      <c r="E146" s="133">
        <v>7238797</v>
      </c>
      <c r="F146" s="126"/>
      <c r="G146" s="133">
        <v>287400</v>
      </c>
      <c r="H146" s="135">
        <v>287400</v>
      </c>
      <c r="I146" s="135">
        <v>71850</v>
      </c>
      <c r="J146" s="135">
        <v>610700</v>
      </c>
      <c r="K146" s="135">
        <v>862200</v>
      </c>
      <c r="L146" s="135">
        <v>898100</v>
      </c>
      <c r="M146" s="1479">
        <v>1221450</v>
      </c>
      <c r="N146" s="1477"/>
    </row>
    <row r="147" spans="1:14">
      <c r="A147" s="132" t="s">
        <v>21</v>
      </c>
      <c r="B147" s="133">
        <v>7181241</v>
      </c>
      <c r="C147" s="134">
        <v>167.61</v>
      </c>
      <c r="D147" s="132">
        <v>1.0054889326412504</v>
      </c>
      <c r="E147" s="133">
        <v>7220658</v>
      </c>
      <c r="F147" s="126"/>
      <c r="G147" s="133">
        <v>287400</v>
      </c>
      <c r="H147" s="135">
        <v>287400</v>
      </c>
      <c r="I147" s="135">
        <v>71850</v>
      </c>
      <c r="J147" s="135">
        <v>610700</v>
      </c>
      <c r="K147" s="135">
        <v>862200</v>
      </c>
      <c r="L147" s="135">
        <v>898100</v>
      </c>
      <c r="M147" s="1479">
        <v>1221450</v>
      </c>
      <c r="N147" s="1477"/>
    </row>
    <row r="148" spans="1:14">
      <c r="A148" s="132" t="s">
        <v>23</v>
      </c>
      <c r="B148" s="133">
        <v>7181241</v>
      </c>
      <c r="C148" s="134">
        <v>168.19</v>
      </c>
      <c r="D148" s="132">
        <v>1.002021523277246</v>
      </c>
      <c r="E148" s="133">
        <v>7195758</v>
      </c>
      <c r="F148" s="126"/>
      <c r="G148" s="133">
        <v>287400</v>
      </c>
      <c r="H148" s="135">
        <v>287400</v>
      </c>
      <c r="I148" s="135">
        <v>71850</v>
      </c>
      <c r="J148" s="135">
        <v>610700</v>
      </c>
      <c r="K148" s="135">
        <v>862200</v>
      </c>
      <c r="L148" s="135">
        <v>898100</v>
      </c>
      <c r="M148" s="1479">
        <v>1221450</v>
      </c>
      <c r="N148" s="1477"/>
    </row>
    <row r="149" spans="1:14">
      <c r="A149" s="132" t="s">
        <v>25</v>
      </c>
      <c r="B149" s="133">
        <v>7181241</v>
      </c>
      <c r="C149" s="134">
        <v>168.26</v>
      </c>
      <c r="D149" s="132">
        <v>1.0016046594556045</v>
      </c>
      <c r="E149" s="133">
        <v>7192764</v>
      </c>
      <c r="F149" s="126"/>
      <c r="G149" s="133">
        <v>287400</v>
      </c>
      <c r="H149" s="135">
        <v>287400</v>
      </c>
      <c r="I149" s="135">
        <v>71850</v>
      </c>
      <c r="J149" s="135">
        <v>610700</v>
      </c>
      <c r="K149" s="135">
        <v>862200</v>
      </c>
      <c r="L149" s="135">
        <v>898100</v>
      </c>
      <c r="M149" s="1479">
        <v>1221450</v>
      </c>
      <c r="N149" s="1477"/>
    </row>
    <row r="150" spans="1:14">
      <c r="A150" s="132" t="s">
        <v>27</v>
      </c>
      <c r="B150" s="133">
        <v>7181241</v>
      </c>
      <c r="C150" s="134">
        <v>168.38</v>
      </c>
      <c r="D150" s="132">
        <v>1.0008908421427722</v>
      </c>
      <c r="E150" s="133">
        <v>7187638</v>
      </c>
      <c r="F150" s="126"/>
      <c r="G150" s="133">
        <v>287400</v>
      </c>
      <c r="H150" s="135">
        <v>287400</v>
      </c>
      <c r="I150" s="135">
        <v>71850</v>
      </c>
      <c r="J150" s="135">
        <v>610700</v>
      </c>
      <c r="K150" s="135">
        <v>862200</v>
      </c>
      <c r="L150" s="135">
        <v>898100</v>
      </c>
      <c r="M150" s="1479">
        <v>1221450</v>
      </c>
      <c r="N150" s="1477"/>
    </row>
    <row r="151" spans="1:14">
      <c r="A151" s="132" t="s">
        <v>29</v>
      </c>
      <c r="B151" s="133">
        <v>2155573</v>
      </c>
      <c r="C151" s="134">
        <v>168.53</v>
      </c>
      <c r="D151" s="132">
        <v>1</v>
      </c>
      <c r="E151" s="133">
        <v>2155573</v>
      </c>
      <c r="F151" s="126"/>
      <c r="G151" s="133">
        <v>86200</v>
      </c>
      <c r="H151" s="135">
        <v>86200</v>
      </c>
      <c r="I151" s="135">
        <v>21560</v>
      </c>
      <c r="J151" s="135">
        <v>183300</v>
      </c>
      <c r="K151" s="135">
        <v>258800</v>
      </c>
      <c r="L151" s="135">
        <v>269500</v>
      </c>
      <c r="M151" s="1479">
        <v>366560</v>
      </c>
      <c r="N151" s="1477"/>
    </row>
    <row r="152" spans="1:14">
      <c r="A152" s="132" t="s">
        <v>101</v>
      </c>
      <c r="B152" s="133">
        <v>3590621</v>
      </c>
      <c r="C152" s="134">
        <v>168.26</v>
      </c>
      <c r="D152" s="132">
        <v>1.0016046594556045</v>
      </c>
      <c r="E152" s="133">
        <v>3596382</v>
      </c>
      <c r="F152" s="126"/>
      <c r="G152" s="133"/>
      <c r="H152" s="135"/>
      <c r="I152" s="135"/>
      <c r="J152" s="135"/>
      <c r="K152" s="135"/>
      <c r="L152" s="135"/>
      <c r="M152" s="1479"/>
      <c r="N152" s="1477"/>
    </row>
    <row r="153" spans="1:14">
      <c r="A153" s="132" t="s">
        <v>637</v>
      </c>
      <c r="B153" s="133">
        <v>2513434.3499999996</v>
      </c>
      <c r="C153" s="134">
        <v>168.19</v>
      </c>
      <c r="D153" s="132">
        <v>1.002021523277246</v>
      </c>
      <c r="E153" s="133">
        <v>2518515</v>
      </c>
      <c r="F153" s="126"/>
      <c r="G153" s="133"/>
      <c r="H153" s="135"/>
      <c r="I153" s="135"/>
      <c r="J153" s="135"/>
      <c r="K153" s="135"/>
      <c r="L153" s="135"/>
      <c r="M153" s="1479"/>
      <c r="N153" s="1477"/>
    </row>
    <row r="154" spans="1:14">
      <c r="A154" s="132" t="s">
        <v>102</v>
      </c>
      <c r="B154" s="133">
        <v>5091802</v>
      </c>
      <c r="C154" s="134">
        <v>168.19</v>
      </c>
      <c r="D154" s="132">
        <v>1.002021523277246</v>
      </c>
      <c r="E154" s="133">
        <v>5102095</v>
      </c>
      <c r="F154" s="126"/>
      <c r="G154" s="133"/>
      <c r="H154" s="135"/>
      <c r="I154" s="135"/>
      <c r="J154" s="135"/>
      <c r="K154" s="135"/>
      <c r="L154" s="135"/>
      <c r="M154" s="1479"/>
      <c r="N154" s="1477"/>
    </row>
    <row r="155" spans="1:14">
      <c r="A155" s="132" t="s">
        <v>103</v>
      </c>
      <c r="B155" s="133">
        <v>478749</v>
      </c>
      <c r="C155" s="134">
        <v>168.19</v>
      </c>
      <c r="D155" s="132">
        <v>1.002021523277246</v>
      </c>
      <c r="E155" s="133">
        <v>479716</v>
      </c>
      <c r="F155" s="126"/>
      <c r="G155" s="133"/>
      <c r="H155" s="135"/>
      <c r="I155" s="135"/>
      <c r="J155" s="135"/>
      <c r="K155" s="135"/>
      <c r="L155" s="135"/>
      <c r="M155" s="1479"/>
      <c r="N155" s="1477"/>
    </row>
    <row r="156" spans="1:14">
      <c r="A156" s="132" t="s">
        <v>104</v>
      </c>
      <c r="B156" s="133">
        <v>5346392</v>
      </c>
      <c r="C156" s="134">
        <v>168.19</v>
      </c>
      <c r="D156" s="132">
        <v>1.002021523277246</v>
      </c>
      <c r="E156" s="133">
        <v>5357199</v>
      </c>
      <c r="F156" s="126"/>
      <c r="G156" s="133"/>
      <c r="H156" s="135"/>
      <c r="I156" s="135"/>
      <c r="J156" s="135"/>
      <c r="K156" s="135"/>
      <c r="L156" s="135"/>
      <c r="M156" s="1479"/>
      <c r="N156" s="1477"/>
    </row>
    <row r="157" spans="1:14">
      <c r="A157" s="132" t="s">
        <v>987</v>
      </c>
      <c r="B157" s="133">
        <v>4877954</v>
      </c>
      <c r="C157" s="134">
        <v>168.38</v>
      </c>
      <c r="D157" s="132">
        <v>1.0008908421427722</v>
      </c>
      <c r="E157" s="133">
        <v>4882299</v>
      </c>
      <c r="F157" s="126"/>
      <c r="G157" s="133"/>
      <c r="H157" s="135"/>
      <c r="I157" s="135"/>
      <c r="J157" s="135"/>
      <c r="K157" s="135"/>
      <c r="L157" s="135"/>
      <c r="M157" s="1479"/>
      <c r="N157" s="1477"/>
    </row>
    <row r="158" spans="1:14">
      <c r="A158" s="132" t="s">
        <v>988</v>
      </c>
      <c r="B158" s="133">
        <v>299218</v>
      </c>
      <c r="C158" s="134">
        <v>168.26</v>
      </c>
      <c r="D158" s="132">
        <v>1.0016046594556045</v>
      </c>
      <c r="E158" s="133">
        <v>299698</v>
      </c>
      <c r="F158" s="126"/>
      <c r="G158" s="133"/>
      <c r="H158" s="135"/>
      <c r="I158" s="135"/>
      <c r="J158" s="135"/>
      <c r="K158" s="135"/>
      <c r="L158" s="135"/>
      <c r="M158" s="1479"/>
      <c r="N158" s="1477"/>
    </row>
    <row r="159" spans="1:14">
      <c r="A159" s="132" t="s">
        <v>989</v>
      </c>
      <c r="B159" s="133">
        <v>649304</v>
      </c>
      <c r="C159" s="134">
        <v>168.19</v>
      </c>
      <c r="D159" s="132">
        <v>1.002021523277246</v>
      </c>
      <c r="E159" s="133">
        <v>650616</v>
      </c>
      <c r="F159" s="126"/>
      <c r="G159" s="133"/>
      <c r="H159" s="135"/>
      <c r="I159" s="135"/>
      <c r="J159" s="135"/>
      <c r="K159" s="135"/>
      <c r="L159" s="135"/>
      <c r="M159" s="1479"/>
      <c r="N159" s="1477"/>
    </row>
    <row r="160" spans="1:14">
      <c r="A160" s="132" t="s">
        <v>990</v>
      </c>
      <c r="B160" s="133">
        <v>1315382</v>
      </c>
      <c r="C160" s="134">
        <v>168.19</v>
      </c>
      <c r="D160" s="132">
        <v>1.002021523277246</v>
      </c>
      <c r="E160" s="133">
        <v>1318041</v>
      </c>
      <c r="F160" s="126"/>
      <c r="G160" s="133"/>
      <c r="H160" s="135"/>
      <c r="I160" s="135"/>
      <c r="J160" s="135"/>
      <c r="K160" s="135"/>
      <c r="L160" s="135"/>
      <c r="M160" s="1479"/>
      <c r="N160" s="1477"/>
    </row>
    <row r="161" spans="1:15">
      <c r="A161" s="132" t="s">
        <v>991</v>
      </c>
      <c r="B161" s="133">
        <v>123677</v>
      </c>
      <c r="C161" s="134">
        <v>168.19</v>
      </c>
      <c r="D161" s="132">
        <v>1.002021523277246</v>
      </c>
      <c r="E161" s="133">
        <v>123927</v>
      </c>
      <c r="F161" s="126"/>
      <c r="G161" s="133"/>
      <c r="H161" s="135"/>
      <c r="I161" s="135"/>
      <c r="J161" s="135"/>
      <c r="K161" s="135"/>
      <c r="L161" s="135"/>
      <c r="M161" s="1479"/>
      <c r="N161" s="1477"/>
    </row>
    <row r="162" spans="1:15">
      <c r="A162" s="132" t="s">
        <v>992</v>
      </c>
      <c r="B162" s="133">
        <v>1381151</v>
      </c>
      <c r="C162" s="134">
        <v>168.19</v>
      </c>
      <c r="D162" s="132">
        <v>1.002021523277246</v>
      </c>
      <c r="E162" s="133">
        <v>1383943</v>
      </c>
      <c r="F162" s="126"/>
      <c r="G162" s="133"/>
      <c r="H162" s="135"/>
      <c r="I162" s="135"/>
      <c r="J162" s="135"/>
      <c r="K162" s="135"/>
      <c r="L162" s="135"/>
      <c r="M162" s="1479"/>
      <c r="N162" s="1477"/>
    </row>
    <row r="163" spans="1:15">
      <c r="A163" s="132" t="s">
        <v>96</v>
      </c>
      <c r="B163" s="133"/>
      <c r="C163" s="134"/>
      <c r="D163" s="132"/>
      <c r="E163" s="133">
        <v>78484402</v>
      </c>
      <c r="F163" s="126"/>
      <c r="G163" s="133"/>
      <c r="H163" s="135"/>
      <c r="I163" s="135"/>
      <c r="J163" s="135"/>
      <c r="K163" s="135"/>
      <c r="L163" s="135"/>
      <c r="M163" s="1479"/>
      <c r="N163" s="1477"/>
    </row>
    <row r="164" spans="1:15">
      <c r="A164" s="132" t="s">
        <v>98</v>
      </c>
      <c r="B164" s="133"/>
      <c r="C164" s="134"/>
      <c r="D164" s="132"/>
      <c r="E164" s="133">
        <v>4720510</v>
      </c>
      <c r="F164" s="126"/>
      <c r="G164" s="133">
        <v>2098000</v>
      </c>
      <c r="H164" s="135">
        <v>2098000</v>
      </c>
      <c r="I164" s="135">
        <v>524510</v>
      </c>
      <c r="J164" s="135">
        <v>4458200</v>
      </c>
      <c r="K164" s="135">
        <v>6294200</v>
      </c>
      <c r="L164" s="135">
        <v>6556200</v>
      </c>
      <c r="M164" s="1479">
        <v>8916710</v>
      </c>
      <c r="N164" s="1477"/>
    </row>
    <row r="165" spans="1:15">
      <c r="A165" s="132" t="s">
        <v>99</v>
      </c>
      <c r="B165" s="133"/>
      <c r="C165" s="134"/>
      <c r="D165" s="132"/>
      <c r="E165" s="133">
        <v>73763892</v>
      </c>
      <c r="F165" s="126"/>
      <c r="G165" s="123"/>
      <c r="H165" s="123"/>
      <c r="I165" s="123"/>
      <c r="J165" s="123"/>
      <c r="K165" s="123"/>
      <c r="L165" s="123"/>
      <c r="M165" s="123"/>
      <c r="N165" s="123"/>
    </row>
    <row r="166" spans="1:15">
      <c r="A166" s="126"/>
      <c r="B166" s="123"/>
      <c r="C166" s="127"/>
      <c r="D166" s="126"/>
      <c r="E166" s="123"/>
      <c r="F166" s="126"/>
      <c r="G166" s="123"/>
      <c r="H166" s="123"/>
      <c r="I166" s="123"/>
      <c r="J166" s="123"/>
      <c r="K166" s="123"/>
      <c r="L166" s="123"/>
      <c r="M166" s="123"/>
      <c r="N166" s="123"/>
    </row>
    <row r="167" spans="1:15">
      <c r="A167" s="126"/>
      <c r="B167" s="123"/>
      <c r="C167" s="127"/>
      <c r="D167" s="126"/>
      <c r="E167" s="123"/>
      <c r="F167" s="126"/>
      <c r="G167" s="123"/>
      <c r="H167" s="123"/>
      <c r="I167" s="123"/>
      <c r="J167" s="123"/>
      <c r="K167" s="123"/>
      <c r="L167" s="123"/>
      <c r="M167" s="123"/>
      <c r="N167" s="123"/>
    </row>
    <row r="168" spans="1:15">
      <c r="F168" s="126"/>
      <c r="G168" s="123"/>
      <c r="H168" s="123"/>
      <c r="I168" s="123"/>
      <c r="J168" s="123"/>
      <c r="K168" s="123"/>
      <c r="L168" s="123"/>
      <c r="M168" s="123"/>
      <c r="N168" s="123"/>
    </row>
    <row r="169" spans="1:15">
      <c r="A169" s="139" t="s">
        <v>192</v>
      </c>
      <c r="B169" s="140"/>
      <c r="C169" s="141"/>
      <c r="D169" s="141"/>
      <c r="E169" s="142">
        <v>535821213</v>
      </c>
      <c r="F169" s="126"/>
      <c r="G169" s="123"/>
      <c r="H169" s="123"/>
      <c r="I169" s="123"/>
      <c r="J169" s="123"/>
      <c r="K169" s="123"/>
      <c r="L169" s="123"/>
      <c r="M169" s="123"/>
      <c r="N169" s="123"/>
    </row>
    <row r="170" spans="1:15">
      <c r="A170" s="139" t="s">
        <v>193</v>
      </c>
      <c r="B170" s="140"/>
      <c r="C170" s="141"/>
      <c r="D170" s="141"/>
      <c r="E170" s="142">
        <v>34344530</v>
      </c>
      <c r="F170" s="126"/>
      <c r="G170" s="123"/>
      <c r="H170" s="123"/>
      <c r="I170" s="123"/>
      <c r="J170" s="123"/>
      <c r="K170" s="123"/>
      <c r="L170" s="123"/>
      <c r="M170" s="123"/>
      <c r="N170" s="123"/>
    </row>
    <row r="171" spans="1:15">
      <c r="A171" s="139" t="s">
        <v>194</v>
      </c>
      <c r="B171" s="140"/>
      <c r="C171" s="141"/>
      <c r="D171" s="141"/>
      <c r="E171" s="142">
        <v>501476683</v>
      </c>
      <c r="F171" s="126"/>
      <c r="G171" s="123"/>
      <c r="H171" s="123"/>
      <c r="I171" s="123"/>
      <c r="J171" s="123"/>
      <c r="K171" s="123"/>
      <c r="L171" s="123"/>
      <c r="M171" s="123"/>
      <c r="N171" s="123"/>
    </row>
    <row r="172" spans="1:15">
      <c r="A172" s="139" t="s">
        <v>532</v>
      </c>
      <c r="B172" s="140"/>
      <c r="C172" s="141"/>
      <c r="D172" s="141"/>
      <c r="E172" s="142">
        <v>0</v>
      </c>
      <c r="F172" s="126"/>
      <c r="G172" s="129" t="s">
        <v>639</v>
      </c>
      <c r="H172" s="129" t="s">
        <v>639</v>
      </c>
      <c r="I172" s="129"/>
      <c r="J172" s="136" t="s">
        <v>993</v>
      </c>
      <c r="K172" s="129" t="s">
        <v>994</v>
      </c>
      <c r="L172" s="129" t="s">
        <v>642</v>
      </c>
      <c r="M172" s="1478" t="s">
        <v>643</v>
      </c>
      <c r="N172" s="121"/>
    </row>
    <row r="173" spans="1:15">
      <c r="A173" s="191" t="s">
        <v>995</v>
      </c>
      <c r="E173" s="142">
        <f>+O186+O198</f>
        <v>46010809</v>
      </c>
      <c r="F173" s="126"/>
      <c r="G173" s="133"/>
      <c r="H173" s="133"/>
      <c r="I173" s="133"/>
      <c r="J173" s="138"/>
      <c r="K173" s="133"/>
      <c r="L173" s="133"/>
      <c r="M173" s="1480"/>
      <c r="N173" s="123"/>
    </row>
    <row r="174" spans="1:15">
      <c r="A174" s="139" t="s">
        <v>533</v>
      </c>
      <c r="B174" s="140"/>
      <c r="C174" s="141"/>
      <c r="D174" s="141"/>
      <c r="E174" s="142">
        <f>+E171+E173</f>
        <v>547487492</v>
      </c>
      <c r="F174" s="126"/>
      <c r="G174" s="133">
        <v>15264200</v>
      </c>
      <c r="H174" s="133">
        <v>15264200</v>
      </c>
      <c r="I174" s="133">
        <v>3816130</v>
      </c>
      <c r="J174" s="133">
        <v>32436400</v>
      </c>
      <c r="K174" s="133">
        <v>45794200</v>
      </c>
      <c r="L174" s="133">
        <v>47700600</v>
      </c>
      <c r="M174" s="1480">
        <v>64874530</v>
      </c>
      <c r="N174" s="123"/>
    </row>
    <row r="175" spans="1:15">
      <c r="G175" s="123"/>
      <c r="H175" s="123"/>
      <c r="I175" s="123"/>
      <c r="J175" s="123"/>
      <c r="K175" s="123"/>
      <c r="L175" s="123"/>
      <c r="M175" s="123"/>
      <c r="N175" s="123"/>
    </row>
    <row r="176" spans="1:15" ht="13.5">
      <c r="A176" s="2559" t="s">
        <v>957</v>
      </c>
      <c r="B176" s="2559"/>
      <c r="C176" s="2559"/>
      <c r="D176" s="2559"/>
      <c r="E176" s="2559"/>
      <c r="F176" s="2559"/>
      <c r="G176" s="2559"/>
      <c r="H176" s="1284"/>
      <c r="I176" s="123"/>
      <c r="J176" s="123"/>
      <c r="K176" s="143"/>
      <c r="L176" s="141" t="s">
        <v>208</v>
      </c>
      <c r="M176" s="1481"/>
      <c r="N176" s="1497"/>
      <c r="O176" s="141"/>
    </row>
    <row r="177" spans="1:16" ht="25.5">
      <c r="A177" s="921" t="s">
        <v>206</v>
      </c>
      <c r="B177" s="921" t="s">
        <v>10</v>
      </c>
      <c r="C177" s="2727" t="s">
        <v>996</v>
      </c>
      <c r="D177" s="2727"/>
      <c r="E177" s="794" t="s">
        <v>43</v>
      </c>
      <c r="F177" s="794" t="s">
        <v>129</v>
      </c>
      <c r="G177" s="794" t="s">
        <v>47</v>
      </c>
      <c r="H177" s="893" t="s">
        <v>48</v>
      </c>
      <c r="K177" s="141" t="s">
        <v>209</v>
      </c>
      <c r="L177" s="141"/>
      <c r="M177" s="1482" t="s">
        <v>76</v>
      </c>
      <c r="N177" s="1498" t="s">
        <v>77</v>
      </c>
      <c r="O177" s="122" t="s">
        <v>57</v>
      </c>
    </row>
    <row r="178" spans="1:16" ht="13.5">
      <c r="A178" s="16">
        <v>43739</v>
      </c>
      <c r="B178" s="16">
        <v>43769</v>
      </c>
      <c r="C178" s="796">
        <v>4.41E-2</v>
      </c>
      <c r="D178" s="132">
        <v>0</v>
      </c>
      <c r="E178" s="905">
        <f>((1+C178)^(1/365)-1)</f>
        <v>1.1824060716802975E-4</v>
      </c>
      <c r="F178" s="1284">
        <f>+$E$174</f>
        <v>547487492</v>
      </c>
      <c r="G178" s="1018">
        <f t="shared" ref="G178:G204" si="24">+_xlfn.DAYS(B178,A178)+1</f>
        <v>31</v>
      </c>
      <c r="H178" s="1284">
        <f>+F178*E178*G178</f>
        <v>2006792.857600437</v>
      </c>
      <c r="K178" s="141" t="s">
        <v>210</v>
      </c>
      <c r="L178" s="141"/>
      <c r="M178" s="1483">
        <v>168.53</v>
      </c>
      <c r="N178" s="1498"/>
      <c r="O178" s="122"/>
    </row>
    <row r="179" spans="1:16" ht="13.5">
      <c r="A179" s="16">
        <v>43770</v>
      </c>
      <c r="B179" s="16">
        <v>43799</v>
      </c>
      <c r="C179" s="796">
        <v>4.4299999999999999E-2</v>
      </c>
      <c r="D179" s="132">
        <v>0</v>
      </c>
      <c r="E179" s="905">
        <f t="shared" ref="E179:E187" si="25">((1+C179)^(1/365)-1)</f>
        <v>1.187654205565547E-4</v>
      </c>
      <c r="F179" s="1284">
        <f t="shared" ref="F179:F204" si="26">+$E$174</f>
        <v>547487492</v>
      </c>
      <c r="G179" s="1018">
        <f t="shared" si="24"/>
        <v>30</v>
      </c>
      <c r="H179" s="1284">
        <f t="shared" ref="H179:H204" si="27">+F179*E179*G179</f>
        <v>1950677.4671050012</v>
      </c>
      <c r="K179" s="122">
        <v>2013</v>
      </c>
      <c r="L179" s="142">
        <v>736611</v>
      </c>
      <c r="M179" s="1484">
        <v>139.85</v>
      </c>
      <c r="N179" s="1489">
        <v>1.2050768680729353</v>
      </c>
      <c r="O179" s="142">
        <v>887672</v>
      </c>
    </row>
    <row r="180" spans="1:16" ht="13.5">
      <c r="A180" s="16">
        <v>43800</v>
      </c>
      <c r="B180" s="16">
        <v>43830</v>
      </c>
      <c r="C180" s="796">
        <v>4.5199999999999997E-2</v>
      </c>
      <c r="D180" s="132">
        <v>0</v>
      </c>
      <c r="E180" s="905">
        <f t="shared" si="25"/>
        <v>1.2112584107204505E-4</v>
      </c>
      <c r="F180" s="1284">
        <f t="shared" si="26"/>
        <v>547487492</v>
      </c>
      <c r="G180" s="1018">
        <f t="shared" si="24"/>
        <v>31</v>
      </c>
      <c r="H180" s="1284">
        <f t="shared" si="27"/>
        <v>2055761.3712926607</v>
      </c>
      <c r="K180" s="122">
        <v>2014</v>
      </c>
      <c r="L180" s="142">
        <v>5095147</v>
      </c>
      <c r="M180" s="1483">
        <v>142.66999999999999</v>
      </c>
      <c r="N180" s="1489">
        <v>1.1812574472559054</v>
      </c>
      <c r="O180" s="142">
        <v>6018680</v>
      </c>
    </row>
    <row r="181" spans="1:16" ht="13.5">
      <c r="A181" s="16">
        <v>43831</v>
      </c>
      <c r="B181" s="16">
        <v>43861</v>
      </c>
      <c r="C181" s="796">
        <v>4.5400000000000003E-2</v>
      </c>
      <c r="D181" s="132">
        <v>0</v>
      </c>
      <c r="E181" s="905">
        <f t="shared" si="25"/>
        <v>1.2165010369624696E-4</v>
      </c>
      <c r="F181" s="1284">
        <f t="shared" si="26"/>
        <v>547487492</v>
      </c>
      <c r="G181" s="1018">
        <f t="shared" si="24"/>
        <v>31</v>
      </c>
      <c r="H181" s="1284">
        <f t="shared" si="27"/>
        <v>2064659.2154001433</v>
      </c>
      <c r="K181" s="122">
        <v>2015</v>
      </c>
      <c r="L181" s="142">
        <v>5639174</v>
      </c>
      <c r="M181" s="1483">
        <v>148.52000000000001</v>
      </c>
      <c r="N181" s="1489">
        <v>1.1347293293832479</v>
      </c>
      <c r="O181" s="142">
        <v>6398936</v>
      </c>
    </row>
    <row r="182" spans="1:16" ht="13.5">
      <c r="A182" s="16">
        <v>43862</v>
      </c>
      <c r="B182" s="16">
        <v>43889</v>
      </c>
      <c r="C182" s="796">
        <v>4.4600000000000001E-2</v>
      </c>
      <c r="D182" s="132">
        <v>0</v>
      </c>
      <c r="E182" s="905">
        <f t="shared" si="25"/>
        <v>1.1955245272932125E-4</v>
      </c>
      <c r="F182" s="1284">
        <f t="shared" si="26"/>
        <v>547487492</v>
      </c>
      <c r="G182" s="1018">
        <f t="shared" si="24"/>
        <v>28</v>
      </c>
      <c r="H182" s="1284">
        <f t="shared" si="27"/>
        <v>1832697.23020229</v>
      </c>
      <c r="K182" s="122">
        <v>2016</v>
      </c>
      <c r="L182" s="142">
        <v>6404826</v>
      </c>
      <c r="M182" s="1483">
        <v>151.6249842310838</v>
      </c>
      <c r="N182" s="1489">
        <v>1.1114922837726542</v>
      </c>
      <c r="O182" s="142">
        <v>7118914</v>
      </c>
    </row>
    <row r="183" spans="1:16" ht="13.5">
      <c r="A183" s="16">
        <v>43891</v>
      </c>
      <c r="B183" s="16">
        <v>43921</v>
      </c>
      <c r="C183" s="796">
        <v>4.4999999999999998E-2</v>
      </c>
      <c r="D183" s="132">
        <v>0</v>
      </c>
      <c r="E183" s="905">
        <f t="shared" si="25"/>
        <v>1.2060147839498825E-4</v>
      </c>
      <c r="F183" s="1284">
        <f t="shared" si="26"/>
        <v>547487492</v>
      </c>
      <c r="G183" s="1018">
        <f t="shared" si="24"/>
        <v>31</v>
      </c>
      <c r="H183" s="1284">
        <f t="shared" si="27"/>
        <v>2046861.8290768934</v>
      </c>
      <c r="K183" s="122">
        <v>2017</v>
      </c>
      <c r="L183" s="142">
        <v>7098928</v>
      </c>
      <c r="M183" s="1483">
        <v>158.34</v>
      </c>
      <c r="N183" s="1489">
        <v>1.0643551850448403</v>
      </c>
      <c r="O183" s="142">
        <v>7555780</v>
      </c>
    </row>
    <row r="184" spans="1:16" ht="13.5">
      <c r="A184" s="16">
        <v>43922</v>
      </c>
      <c r="B184" s="16">
        <v>43951</v>
      </c>
      <c r="C184" s="796">
        <v>4.5499999999999999E-2</v>
      </c>
      <c r="D184" s="132">
        <v>0</v>
      </c>
      <c r="E184" s="905">
        <f t="shared" si="25"/>
        <v>1.2191219750046223E-4</v>
      </c>
      <c r="F184" s="1284">
        <f t="shared" si="26"/>
        <v>547487492</v>
      </c>
      <c r="G184" s="1018">
        <f t="shared" si="24"/>
        <v>30</v>
      </c>
      <c r="H184" s="1284">
        <f t="shared" si="27"/>
        <v>2002362.0976121021</v>
      </c>
      <c r="K184" s="122">
        <v>2018</v>
      </c>
      <c r="L184" s="142">
        <v>7881348</v>
      </c>
      <c r="M184" s="1483">
        <v>163.89</v>
      </c>
      <c r="N184" s="1489">
        <v>1.0283116724632377</v>
      </c>
      <c r="O184" s="142">
        <v>8104482</v>
      </c>
    </row>
    <row r="185" spans="1:16" ht="13.5">
      <c r="A185" s="16">
        <v>43952</v>
      </c>
      <c r="B185" s="16">
        <v>43981</v>
      </c>
      <c r="C185" s="796">
        <v>4.2900000000000001E-2</v>
      </c>
      <c r="D185" s="132">
        <v>0</v>
      </c>
      <c r="E185" s="905">
        <f t="shared" si="25"/>
        <v>1.1508961995976286E-4</v>
      </c>
      <c r="F185" s="1284">
        <f t="shared" si="26"/>
        <v>547487492</v>
      </c>
      <c r="G185" s="1018">
        <f t="shared" si="24"/>
        <v>30</v>
      </c>
      <c r="H185" s="1284">
        <f t="shared" si="27"/>
        <v>1890303.821610111</v>
      </c>
      <c r="K185" s="122">
        <v>2019</v>
      </c>
      <c r="L185" s="142">
        <v>5298209</v>
      </c>
      <c r="M185" s="1483">
        <v>168.53</v>
      </c>
      <c r="N185" s="1489">
        <v>1</v>
      </c>
      <c r="O185" s="142">
        <v>5298209</v>
      </c>
    </row>
    <row r="186" spans="1:16" ht="13.5">
      <c r="A186" s="16">
        <v>43983</v>
      </c>
      <c r="B186" s="16">
        <v>44012</v>
      </c>
      <c r="C186" s="796">
        <v>3.7600000000000001E-2</v>
      </c>
      <c r="D186" s="132">
        <v>0</v>
      </c>
      <c r="E186" s="905">
        <f t="shared" si="25"/>
        <v>1.0112937081929729E-4</v>
      </c>
      <c r="F186" s="1284">
        <f t="shared" si="26"/>
        <v>547487492</v>
      </c>
      <c r="G186" s="1018">
        <f t="shared" si="24"/>
        <v>30</v>
      </c>
      <c r="H186" s="1284">
        <f t="shared" si="27"/>
        <v>1661011.9679218519</v>
      </c>
      <c r="K186" s="122"/>
      <c r="L186" s="142"/>
      <c r="M186" s="1484" t="s">
        <v>211</v>
      </c>
      <c r="N186" s="1489"/>
      <c r="O186" s="142">
        <v>41382673</v>
      </c>
    </row>
    <row r="187" spans="1:16" ht="13.5">
      <c r="A187" s="16">
        <v>44013</v>
      </c>
      <c r="B187" s="16">
        <v>44043</v>
      </c>
      <c r="C187" s="796">
        <v>3.3399999999999999E-2</v>
      </c>
      <c r="D187" s="132">
        <v>0</v>
      </c>
      <c r="E187" s="905">
        <f t="shared" si="25"/>
        <v>9.0015933029263806E-5</v>
      </c>
      <c r="F187" s="1284">
        <f t="shared" si="26"/>
        <v>547487492</v>
      </c>
      <c r="G187" s="1018">
        <f t="shared" si="24"/>
        <v>31</v>
      </c>
      <c r="H187" s="1284">
        <f t="shared" si="27"/>
        <v>1527760.5198411797</v>
      </c>
      <c r="K187" s="118"/>
      <c r="M187" s="118"/>
      <c r="N187" s="118"/>
      <c r="P187" s="119"/>
    </row>
    <row r="188" spans="1:16" ht="13.5">
      <c r="A188" s="16">
        <v>44044</v>
      </c>
      <c r="B188" s="16">
        <v>44074</v>
      </c>
      <c r="C188" s="1016">
        <v>0.18290000000000001</v>
      </c>
      <c r="D188" s="796">
        <f>+C188*1.5</f>
        <v>0.27434999999999998</v>
      </c>
      <c r="E188" s="905">
        <f>((1+D188)^(1/365)-1)</f>
        <v>6.6442952514544906E-4</v>
      </c>
      <c r="F188" s="1284">
        <f t="shared" si="26"/>
        <v>547487492</v>
      </c>
      <c r="G188" s="1018">
        <f t="shared" si="24"/>
        <v>31</v>
      </c>
      <c r="H188" s="1284">
        <f t="shared" si="27"/>
        <v>11276772.484311618</v>
      </c>
      <c r="K188" s="143"/>
      <c r="L188" s="140" t="s">
        <v>212</v>
      </c>
      <c r="M188" s="1481"/>
      <c r="N188" s="1497"/>
      <c r="O188" s="140"/>
    </row>
    <row r="189" spans="1:16" ht="13.5">
      <c r="A189" s="16">
        <v>44075</v>
      </c>
      <c r="B189" s="16">
        <v>44104</v>
      </c>
      <c r="C189" s="1016">
        <v>0.1835</v>
      </c>
      <c r="D189" s="796">
        <f t="shared" ref="D189:D204" si="28">+C189*1.5</f>
        <v>0.27524999999999999</v>
      </c>
      <c r="E189" s="905">
        <f t="shared" ref="E189:E204" si="29">((1+D189)^(1/365)-1)</f>
        <v>6.6636503991857055E-4</v>
      </c>
      <c r="F189" s="1284">
        <f t="shared" si="26"/>
        <v>547487492</v>
      </c>
      <c r="G189" s="1018">
        <f t="shared" si="24"/>
        <v>30</v>
      </c>
      <c r="H189" s="1284">
        <f t="shared" si="27"/>
        <v>10944795.733844941</v>
      </c>
      <c r="K189" s="141" t="s">
        <v>209</v>
      </c>
      <c r="L189" s="140"/>
      <c r="M189" s="1482" t="s">
        <v>76</v>
      </c>
      <c r="N189" s="1498" t="s">
        <v>77</v>
      </c>
      <c r="O189" s="144" t="s">
        <v>57</v>
      </c>
    </row>
    <row r="190" spans="1:16" ht="13.5">
      <c r="A190" s="16">
        <v>44105</v>
      </c>
      <c r="B190" s="16">
        <v>44135</v>
      </c>
      <c r="C190" s="1016">
        <v>0.18090000000000001</v>
      </c>
      <c r="D190" s="796">
        <f t="shared" si="28"/>
        <v>0.27134999999999998</v>
      </c>
      <c r="E190" s="905">
        <f t="shared" si="29"/>
        <v>6.5796794962613703E-4</v>
      </c>
      <c r="F190" s="1284">
        <f t="shared" si="26"/>
        <v>547487492</v>
      </c>
      <c r="G190" s="1018">
        <f t="shared" si="24"/>
        <v>31</v>
      </c>
      <c r="H190" s="1284">
        <f t="shared" si="27"/>
        <v>11167105.899273079</v>
      </c>
      <c r="K190" s="141" t="s">
        <v>210</v>
      </c>
      <c r="L190" s="140"/>
      <c r="M190" s="1483">
        <v>168.53</v>
      </c>
      <c r="N190" s="1498"/>
      <c r="O190" s="144"/>
    </row>
    <row r="191" spans="1:16" ht="13.5">
      <c r="A191" s="16">
        <v>44136</v>
      </c>
      <c r="B191" s="16">
        <v>44165</v>
      </c>
      <c r="C191" s="1016">
        <v>0.1784</v>
      </c>
      <c r="D191" s="796">
        <f t="shared" si="28"/>
        <v>0.2676</v>
      </c>
      <c r="E191" s="905">
        <f t="shared" si="29"/>
        <v>6.4986956374091243E-4</v>
      </c>
      <c r="F191" s="1284">
        <f t="shared" si="26"/>
        <v>547487492</v>
      </c>
      <c r="G191" s="1018">
        <f t="shared" si="24"/>
        <v>30</v>
      </c>
      <c r="H191" s="1284">
        <f t="shared" si="27"/>
        <v>10673863.727389388</v>
      </c>
      <c r="K191" s="122">
        <v>2013</v>
      </c>
      <c r="L191" s="142">
        <v>14732</v>
      </c>
      <c r="M191" s="1483">
        <v>139.85</v>
      </c>
      <c r="N191" s="1489">
        <v>1.2050768680729353</v>
      </c>
      <c r="O191" s="142">
        <v>17753</v>
      </c>
    </row>
    <row r="192" spans="1:16" ht="13.5">
      <c r="A192" s="16">
        <v>44166</v>
      </c>
      <c r="B192" s="16">
        <v>44196</v>
      </c>
      <c r="C192" s="1016">
        <v>0.17460000000000001</v>
      </c>
      <c r="D192" s="796">
        <f t="shared" si="28"/>
        <v>0.26190000000000002</v>
      </c>
      <c r="E192" s="905">
        <f t="shared" si="29"/>
        <v>6.3751414410861962E-4</v>
      </c>
      <c r="F192" s="1284">
        <f t="shared" si="26"/>
        <v>547487492</v>
      </c>
      <c r="G192" s="1018">
        <f t="shared" si="24"/>
        <v>31</v>
      </c>
      <c r="H192" s="1284">
        <f t="shared" si="27"/>
        <v>10819961.616049197</v>
      </c>
      <c r="K192" s="122">
        <v>2014</v>
      </c>
      <c r="L192" s="142">
        <v>611418</v>
      </c>
      <c r="M192" s="1483">
        <v>142.66999999999999</v>
      </c>
      <c r="N192" s="1489">
        <v>1.1812574472559054</v>
      </c>
      <c r="O192" s="142">
        <v>722242</v>
      </c>
    </row>
    <row r="193" spans="1:16" ht="13.5">
      <c r="A193" s="16">
        <v>44197</v>
      </c>
      <c r="B193" s="16">
        <v>44227</v>
      </c>
      <c r="C193" s="1016">
        <v>0.17319999999999999</v>
      </c>
      <c r="D193" s="796">
        <f t="shared" si="28"/>
        <v>0.25979999999999998</v>
      </c>
      <c r="E193" s="905">
        <f t="shared" si="29"/>
        <v>6.3294811266723094E-4</v>
      </c>
      <c r="F193" s="1284">
        <f t="shared" si="26"/>
        <v>547487492</v>
      </c>
      <c r="G193" s="1018">
        <f t="shared" si="24"/>
        <v>31</v>
      </c>
      <c r="H193" s="1284">
        <f t="shared" si="27"/>
        <v>10742466.417879786</v>
      </c>
      <c r="K193" s="122">
        <v>2015</v>
      </c>
      <c r="L193" s="142">
        <v>676701</v>
      </c>
      <c r="M193" s="1483">
        <v>148.52000000000001</v>
      </c>
      <c r="N193" s="1489">
        <v>1.1347293293832479</v>
      </c>
      <c r="O193" s="142">
        <v>767872</v>
      </c>
    </row>
    <row r="194" spans="1:16" ht="13.5">
      <c r="A194" s="16">
        <v>44228</v>
      </c>
      <c r="B194" s="16">
        <v>44255</v>
      </c>
      <c r="C194" s="1016">
        <v>0.1754</v>
      </c>
      <c r="D194" s="796">
        <f t="shared" si="28"/>
        <v>0.2631</v>
      </c>
      <c r="E194" s="905">
        <f t="shared" si="29"/>
        <v>6.4011990387169426E-4</v>
      </c>
      <c r="F194" s="1284">
        <f t="shared" si="26"/>
        <v>547487492</v>
      </c>
      <c r="G194" s="1018">
        <f t="shared" si="24"/>
        <v>28</v>
      </c>
      <c r="H194" s="1284">
        <f t="shared" si="27"/>
        <v>9812813.9409998581</v>
      </c>
      <c r="K194" s="122">
        <v>2016</v>
      </c>
      <c r="L194" s="142">
        <v>768579</v>
      </c>
      <c r="M194" s="1483">
        <v>151.6249842310838</v>
      </c>
      <c r="N194" s="1489">
        <v>1.1114922837726542</v>
      </c>
      <c r="O194" s="142">
        <v>854269</v>
      </c>
    </row>
    <row r="195" spans="1:16" ht="13.5">
      <c r="A195" s="16">
        <v>44256</v>
      </c>
      <c r="B195" s="16">
        <v>44286</v>
      </c>
      <c r="C195" s="1016">
        <v>0.1741</v>
      </c>
      <c r="D195" s="796">
        <f t="shared" si="28"/>
        <v>0.26114999999999999</v>
      </c>
      <c r="E195" s="905">
        <f t="shared" si="29"/>
        <v>6.3588428907812578E-4</v>
      </c>
      <c r="F195" s="1284">
        <f t="shared" si="26"/>
        <v>547487492</v>
      </c>
      <c r="G195" s="1018">
        <f t="shared" si="24"/>
        <v>31</v>
      </c>
      <c r="H195" s="1284">
        <f t="shared" si="27"/>
        <v>10792299.533517169</v>
      </c>
      <c r="K195" s="122">
        <v>2017</v>
      </c>
      <c r="L195" s="142">
        <v>851871</v>
      </c>
      <c r="M195" s="1483">
        <v>158.34</v>
      </c>
      <c r="N195" s="1489">
        <v>1.0643551850448403</v>
      </c>
      <c r="O195" s="142">
        <v>906693</v>
      </c>
    </row>
    <row r="196" spans="1:16" ht="13.5">
      <c r="A196" s="16">
        <v>44287</v>
      </c>
      <c r="B196" s="16">
        <v>44316</v>
      </c>
      <c r="C196" s="1016">
        <v>0.1731</v>
      </c>
      <c r="D196" s="796">
        <f t="shared" si="28"/>
        <v>0.25964999999999999</v>
      </c>
      <c r="E196" s="905">
        <f t="shared" si="29"/>
        <v>6.326216771728177E-4</v>
      </c>
      <c r="F196" s="1284">
        <f t="shared" si="26"/>
        <v>547487492</v>
      </c>
      <c r="G196" s="1018">
        <f t="shared" si="24"/>
        <v>30</v>
      </c>
      <c r="H196" s="1284">
        <f t="shared" si="27"/>
        <v>10390573.662605388</v>
      </c>
      <c r="K196" s="122">
        <v>2018</v>
      </c>
      <c r="L196" s="142">
        <v>945762</v>
      </c>
      <c r="M196" s="1483">
        <v>163.89</v>
      </c>
      <c r="N196" s="1489">
        <v>1.0283116724632377</v>
      </c>
      <c r="O196" s="142">
        <v>972538</v>
      </c>
    </row>
    <row r="197" spans="1:16" ht="13.5">
      <c r="A197" s="16">
        <v>44317</v>
      </c>
      <c r="B197" s="16">
        <v>44347</v>
      </c>
      <c r="C197" s="1016">
        <v>0.17219999999999999</v>
      </c>
      <c r="D197" s="796">
        <f t="shared" si="28"/>
        <v>0.25829999999999997</v>
      </c>
      <c r="E197" s="905">
        <f t="shared" si="29"/>
        <v>6.2968201205726437E-4</v>
      </c>
      <c r="F197" s="1284">
        <f t="shared" si="26"/>
        <v>547487492</v>
      </c>
      <c r="G197" s="1018">
        <f t="shared" si="24"/>
        <v>31</v>
      </c>
      <c r="H197" s="1284">
        <f t="shared" si="27"/>
        <v>10687033.791701108</v>
      </c>
      <c r="K197" s="122">
        <v>2019</v>
      </c>
      <c r="L197" s="142">
        <v>386769</v>
      </c>
      <c r="M197" s="1483">
        <v>168.53</v>
      </c>
      <c r="N197" s="1489">
        <v>1</v>
      </c>
      <c r="O197" s="142">
        <v>386769</v>
      </c>
    </row>
    <row r="198" spans="1:16" ht="13.5">
      <c r="A198" s="16">
        <v>44348</v>
      </c>
      <c r="B198" s="16">
        <v>44377</v>
      </c>
      <c r="C198" s="1016">
        <v>0.1721</v>
      </c>
      <c r="D198" s="796">
        <f t="shared" si="28"/>
        <v>0.25814999999999999</v>
      </c>
      <c r="E198" s="905">
        <f t="shared" si="29"/>
        <v>6.2935518846773952E-4</v>
      </c>
      <c r="F198" s="1284">
        <f t="shared" si="26"/>
        <v>547487492</v>
      </c>
      <c r="G198" s="1018">
        <f t="shared" si="24"/>
        <v>30</v>
      </c>
      <c r="H198" s="1284">
        <f t="shared" si="27"/>
        <v>10336922.811341701</v>
      </c>
      <c r="K198" s="141"/>
      <c r="L198" s="141"/>
      <c r="M198" s="1485" t="s">
        <v>213</v>
      </c>
      <c r="N198" s="1497"/>
      <c r="O198" s="142">
        <v>4628136</v>
      </c>
    </row>
    <row r="199" spans="1:16" ht="13.5">
      <c r="A199" s="16">
        <v>44378</v>
      </c>
      <c r="B199" s="16">
        <v>44408</v>
      </c>
      <c r="C199" s="1016">
        <v>0.17180000000000001</v>
      </c>
      <c r="D199" s="796">
        <f t="shared" si="28"/>
        <v>0.25770000000000004</v>
      </c>
      <c r="E199" s="905">
        <f t="shared" si="29"/>
        <v>6.2837448450037137E-4</v>
      </c>
      <c r="F199" s="1284">
        <f t="shared" si="26"/>
        <v>547487492</v>
      </c>
      <c r="G199" s="1018">
        <f t="shared" si="24"/>
        <v>31</v>
      </c>
      <c r="H199" s="1284">
        <f t="shared" si="27"/>
        <v>10664842.287232937</v>
      </c>
      <c r="P199" s="119"/>
    </row>
    <row r="200" spans="1:16" ht="13.5">
      <c r="A200" s="16">
        <v>44409</v>
      </c>
      <c r="B200" s="16">
        <v>44439</v>
      </c>
      <c r="C200" s="1016">
        <v>0.1724</v>
      </c>
      <c r="D200" s="796">
        <f t="shared" si="28"/>
        <v>0.2586</v>
      </c>
      <c r="E200" s="905">
        <f t="shared" si="29"/>
        <v>6.3033554269220637E-4</v>
      </c>
      <c r="F200" s="1284">
        <f t="shared" si="26"/>
        <v>547487492</v>
      </c>
      <c r="G200" s="1018">
        <f t="shared" si="24"/>
        <v>31</v>
      </c>
      <c r="H200" s="1284">
        <f t="shared" si="27"/>
        <v>10698125.586997464</v>
      </c>
    </row>
    <row r="201" spans="1:16" ht="13.5">
      <c r="A201" s="16">
        <v>44440</v>
      </c>
      <c r="B201" s="16">
        <v>44469</v>
      </c>
      <c r="C201" s="1016">
        <v>0.1719</v>
      </c>
      <c r="D201" s="796">
        <f t="shared" si="28"/>
        <v>0.25785000000000002</v>
      </c>
      <c r="E201" s="905">
        <f t="shared" si="29"/>
        <v>6.2870142469861889E-4</v>
      </c>
      <c r="F201" s="1284">
        <f t="shared" si="26"/>
        <v>547487492</v>
      </c>
      <c r="G201" s="1018">
        <f t="shared" si="24"/>
        <v>30</v>
      </c>
      <c r="H201" s="1284">
        <f t="shared" si="27"/>
        <v>10326184.986752212</v>
      </c>
    </row>
    <row r="202" spans="1:16" ht="13.5">
      <c r="A202" s="16">
        <v>44470</v>
      </c>
      <c r="B202" s="16">
        <v>44500</v>
      </c>
      <c r="C202" s="1016">
        <v>0.17080000000000001</v>
      </c>
      <c r="D202" s="796">
        <f t="shared" si="28"/>
        <v>0.25619999999999998</v>
      </c>
      <c r="E202" s="905">
        <f t="shared" si="29"/>
        <v>6.2510294214179751E-4</v>
      </c>
      <c r="F202" s="1284">
        <f t="shared" si="26"/>
        <v>547487492</v>
      </c>
      <c r="G202" s="1018">
        <f t="shared" si="24"/>
        <v>31</v>
      </c>
      <c r="H202" s="1284">
        <f t="shared" si="27"/>
        <v>10609317.303086048</v>
      </c>
    </row>
    <row r="203" spans="1:16" ht="13.5">
      <c r="A203" s="16">
        <v>44501</v>
      </c>
      <c r="B203" s="16">
        <v>44530</v>
      </c>
      <c r="C203" s="1016">
        <v>0.17269999999999999</v>
      </c>
      <c r="D203" s="796">
        <f t="shared" si="28"/>
        <v>0.25905</v>
      </c>
      <c r="E203" s="905">
        <f t="shared" si="29"/>
        <v>6.3131554742335005E-4</v>
      </c>
      <c r="F203" s="1284">
        <f t="shared" si="26"/>
        <v>547487492</v>
      </c>
      <c r="G203" s="1018">
        <f t="shared" si="24"/>
        <v>30</v>
      </c>
      <c r="H203" s="1284">
        <f t="shared" si="27"/>
        <v>10369120.97158251</v>
      </c>
    </row>
    <row r="204" spans="1:16" ht="13.5">
      <c r="A204" s="16">
        <v>44531</v>
      </c>
      <c r="B204" s="16">
        <v>44561</v>
      </c>
      <c r="C204" s="1016">
        <v>0.17460000000000001</v>
      </c>
      <c r="D204" s="796">
        <f t="shared" si="28"/>
        <v>0.26190000000000002</v>
      </c>
      <c r="E204" s="905">
        <f t="shared" si="29"/>
        <v>6.3751414410861962E-4</v>
      </c>
      <c r="F204" s="1284">
        <f t="shared" si="26"/>
        <v>547487492</v>
      </c>
      <c r="G204" s="1018">
        <f t="shared" si="24"/>
        <v>31</v>
      </c>
      <c r="H204" s="1284">
        <f t="shared" si="27"/>
        <v>10819961.616049197</v>
      </c>
    </row>
    <row r="205" spans="1:16">
      <c r="F205" s="2728" t="s">
        <v>117</v>
      </c>
      <c r="G205" s="2728"/>
      <c r="H205" s="140">
        <f>SUM(H178:H204)</f>
        <v>200171050.74827623</v>
      </c>
    </row>
    <row r="206" spans="1:16" ht="13.5">
      <c r="A206" s="2687" t="s">
        <v>55</v>
      </c>
      <c r="B206" s="2695"/>
    </row>
    <row r="207" spans="1:16" ht="13.5">
      <c r="A207" s="726" t="s">
        <v>56</v>
      </c>
      <c r="B207" s="726" t="s">
        <v>163</v>
      </c>
    </row>
    <row r="208" spans="1:16" ht="13.5">
      <c r="A208" s="741" t="s">
        <v>133</v>
      </c>
      <c r="B208" s="857">
        <f>+F178</f>
        <v>547487492</v>
      </c>
    </row>
    <row r="209" spans="1:2" ht="13.5">
      <c r="A209" s="741" t="s">
        <v>134</v>
      </c>
      <c r="B209" s="858">
        <f>+H205</f>
        <v>200171050.74827623</v>
      </c>
    </row>
    <row r="210" spans="1:2" ht="14.25" thickBot="1">
      <c r="A210" s="817" t="s">
        <v>61</v>
      </c>
      <c r="B210" s="859">
        <f>SUM(B208:B209)</f>
        <v>747658542.74827623</v>
      </c>
    </row>
    <row r="211" spans="1:2" ht="13.5" thickTop="1"/>
  </sheetData>
  <mergeCells count="5">
    <mergeCell ref="A206:B206"/>
    <mergeCell ref="A1:M2"/>
    <mergeCell ref="A176:G176"/>
    <mergeCell ref="C177:D177"/>
    <mergeCell ref="F205:G20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5"/>
  <dimension ref="A1:N102"/>
  <sheetViews>
    <sheetView topLeftCell="A14" zoomScale="120" zoomScaleNormal="120" workbookViewId="0">
      <selection activeCell="F17" sqref="F17"/>
    </sheetView>
  </sheetViews>
  <sheetFormatPr defaultColWidth="9.140625" defaultRowHeight="12.75"/>
  <cols>
    <col min="1" max="1" width="4" customWidth="1"/>
    <col min="2" max="2" width="16.28515625" customWidth="1"/>
    <col min="3" max="3" width="13.5703125" customWidth="1"/>
    <col min="4" max="4" width="10.85546875" customWidth="1"/>
    <col min="5" max="5" width="12.42578125" customWidth="1"/>
    <col min="6" max="6" width="9.28515625" customWidth="1"/>
    <col min="7" max="7" width="6.42578125" customWidth="1"/>
    <col min="8" max="9" width="14.140625" customWidth="1"/>
    <col min="10" max="10" width="12.85546875" customWidth="1"/>
    <col min="11" max="12" width="11.42578125" customWidth="1"/>
    <col min="13" max="13" width="12.5703125" bestFit="1" customWidth="1"/>
    <col min="14" max="256" width="11.42578125" customWidth="1"/>
  </cols>
  <sheetData>
    <row r="1" spans="1:8" ht="25.5">
      <c r="B1" s="1078" t="s">
        <v>0</v>
      </c>
      <c r="C1" s="845" t="s">
        <v>151</v>
      </c>
      <c r="D1" s="791"/>
      <c r="E1" s="791"/>
      <c r="F1" s="791"/>
      <c r="G1" s="791"/>
      <c r="H1" s="791"/>
    </row>
    <row r="2" spans="1:8" ht="13.5">
      <c r="B2" s="728" t="s">
        <v>67</v>
      </c>
      <c r="C2" s="976">
        <f>+E12</f>
        <v>148922280</v>
      </c>
      <c r="D2" s="791"/>
      <c r="E2" s="791"/>
      <c r="F2" s="791"/>
      <c r="G2" s="791"/>
      <c r="H2" s="791"/>
    </row>
    <row r="3" spans="1:8" ht="29.25" customHeight="1">
      <c r="B3" s="728" t="s">
        <v>124</v>
      </c>
      <c r="C3" s="1306" t="s">
        <v>152</v>
      </c>
      <c r="D3" s="791"/>
      <c r="E3" s="791"/>
      <c r="F3" s="791"/>
      <c r="G3" s="791"/>
      <c r="H3" s="791"/>
    </row>
    <row r="4" spans="1:8" ht="13.5">
      <c r="B4" s="728" t="s">
        <v>153</v>
      </c>
      <c r="C4" s="737"/>
      <c r="D4" s="791"/>
      <c r="E4" s="791"/>
      <c r="F4" s="791"/>
      <c r="G4" s="791"/>
      <c r="H4" s="791"/>
    </row>
    <row r="5" spans="1:8" ht="25.5">
      <c r="B5" s="893" t="s">
        <v>154</v>
      </c>
      <c r="C5" s="724">
        <v>42796</v>
      </c>
      <c r="D5" s="791"/>
      <c r="E5" s="791"/>
      <c r="F5" s="791"/>
      <c r="G5" s="791"/>
      <c r="H5" s="791"/>
    </row>
    <row r="6" spans="1:8" ht="13.5">
      <c r="B6" s="737" t="s">
        <v>155</v>
      </c>
      <c r="C6" s="737"/>
      <c r="D6" s="791"/>
      <c r="E6" s="791"/>
      <c r="F6" s="791"/>
      <c r="G6" s="791"/>
      <c r="H6" s="791"/>
    </row>
    <row r="7" spans="1:8" ht="13.5">
      <c r="B7" s="737" t="s">
        <v>156</v>
      </c>
      <c r="C7" s="867"/>
      <c r="D7" s="791"/>
      <c r="E7" s="791"/>
      <c r="F7" s="791"/>
      <c r="G7" s="791"/>
      <c r="H7" s="791"/>
    </row>
    <row r="8" spans="1:8" ht="13.5">
      <c r="B8" s="791" t="s">
        <v>157</v>
      </c>
      <c r="C8" s="791"/>
      <c r="D8" s="791"/>
      <c r="E8" s="791"/>
      <c r="F8" s="791"/>
      <c r="G8" s="791"/>
      <c r="H8" s="791"/>
    </row>
    <row r="9" spans="1:8" ht="13.5">
      <c r="B9" s="791" t="s">
        <v>158</v>
      </c>
      <c r="C9" s="791"/>
      <c r="D9" s="791"/>
      <c r="E9" s="791"/>
      <c r="F9" s="791"/>
      <c r="G9" s="791"/>
      <c r="H9" s="791"/>
    </row>
    <row r="10" spans="1:8" ht="13.5">
      <c r="B10" s="791"/>
      <c r="C10" s="791"/>
      <c r="D10" s="791"/>
      <c r="E10" s="791"/>
      <c r="F10" s="791"/>
      <c r="G10" s="791"/>
      <c r="H10" s="791"/>
    </row>
    <row r="11" spans="1:8" ht="13.5">
      <c r="B11" s="728" t="s">
        <v>159</v>
      </c>
      <c r="C11" s="790">
        <v>689455</v>
      </c>
      <c r="D11" s="791"/>
      <c r="E11" s="791"/>
      <c r="F11" s="791"/>
      <c r="G11" s="791"/>
      <c r="H11" s="791"/>
    </row>
    <row r="12" spans="1:8" ht="13.5">
      <c r="B12" s="728" t="s">
        <v>4</v>
      </c>
      <c r="C12" s="724">
        <v>42669</v>
      </c>
      <c r="D12" s="925">
        <f>+C11*2</f>
        <v>1378910</v>
      </c>
      <c r="E12" s="925">
        <f>+D12*108</f>
        <v>148922280</v>
      </c>
      <c r="F12" s="791"/>
      <c r="G12" s="791"/>
      <c r="H12" s="791"/>
    </row>
    <row r="13" spans="1:8" ht="13.5">
      <c r="B13" s="977" t="s">
        <v>129</v>
      </c>
      <c r="C13" s="790">
        <f>+E12</f>
        <v>148922280</v>
      </c>
      <c r="D13" s="791"/>
      <c r="E13" s="791"/>
      <c r="F13" s="791"/>
      <c r="G13" s="791"/>
      <c r="H13" s="791"/>
    </row>
    <row r="14" spans="1:8" ht="15.75" customHeight="1">
      <c r="B14" s="2558" t="s">
        <v>160</v>
      </c>
      <c r="C14" s="2558"/>
      <c r="D14" s="2558"/>
      <c r="E14" s="2558"/>
      <c r="F14" s="2558"/>
      <c r="G14" s="2558"/>
      <c r="H14" s="2558"/>
    </row>
    <row r="15" spans="1:8" ht="12" customHeight="1">
      <c r="A15" s="2"/>
      <c r="B15" s="922" t="s">
        <v>161</v>
      </c>
      <c r="C15" s="922" t="s">
        <v>40</v>
      </c>
      <c r="D15" s="922" t="s">
        <v>148</v>
      </c>
      <c r="E15" s="921" t="s">
        <v>149</v>
      </c>
      <c r="F15" s="893" t="s">
        <v>43</v>
      </c>
      <c r="G15" s="921" t="s">
        <v>47</v>
      </c>
      <c r="H15" s="921" t="s">
        <v>48</v>
      </c>
    </row>
    <row r="16" spans="1:8" ht="12" customHeight="1">
      <c r="A16" s="2">
        <v>1</v>
      </c>
      <c r="B16" s="724">
        <v>42670</v>
      </c>
      <c r="C16" s="724">
        <v>42674</v>
      </c>
      <c r="D16" s="796">
        <v>0.21990000000000001</v>
      </c>
      <c r="E16" s="796">
        <f>+D16*1.5</f>
        <v>0.32985000000000003</v>
      </c>
      <c r="F16" s="897">
        <f>((1+E16)^(1/365)-1)</f>
        <v>7.8130822380240161E-4</v>
      </c>
      <c r="G16" s="894">
        <f>(C16-B16)+1</f>
        <v>5</v>
      </c>
      <c r="H16" s="847">
        <f>($C$13*F16)*G16</f>
        <v>581771.01035701961</v>
      </c>
    </row>
    <row r="17" spans="1:8" ht="12" customHeight="1">
      <c r="A17" s="2">
        <v>2</v>
      </c>
      <c r="B17" s="724">
        <v>42675</v>
      </c>
      <c r="C17" s="724">
        <v>42704</v>
      </c>
      <c r="D17" s="796">
        <v>0.21990000000000001</v>
      </c>
      <c r="E17" s="796">
        <f>+D17*1.5</f>
        <v>0.32985000000000003</v>
      </c>
      <c r="F17" s="897">
        <f>((1+E17)^(1/365)-1)</f>
        <v>7.8130822380240161E-4</v>
      </c>
      <c r="G17" s="894">
        <f>(C17-B17)+1</f>
        <v>30</v>
      </c>
      <c r="H17" s="847">
        <f>($C$13*F17)*G17</f>
        <v>3490626.0621421179</v>
      </c>
    </row>
    <row r="18" spans="1:8" ht="12" customHeight="1">
      <c r="A18" s="2">
        <v>3</v>
      </c>
      <c r="B18" s="724">
        <v>42705</v>
      </c>
      <c r="C18" s="724">
        <v>42735</v>
      </c>
      <c r="D18" s="796">
        <v>0.21990000000000001</v>
      </c>
      <c r="E18" s="796">
        <f>+D18*1.5</f>
        <v>0.32985000000000003</v>
      </c>
      <c r="F18" s="897">
        <f>((1+E18)^(1/365)-1)</f>
        <v>7.8130822380240161E-4</v>
      </c>
      <c r="G18" s="894">
        <f>(C18-B18)+1</f>
        <v>31</v>
      </c>
      <c r="H18" s="847">
        <f t="shared" ref="H18:H76" si="0">($C$13*F18)*G18</f>
        <v>3606980.2642135215</v>
      </c>
    </row>
    <row r="19" spans="1:8" ht="13.5">
      <c r="A19" s="2">
        <v>4</v>
      </c>
      <c r="B19" s="724">
        <v>42736</v>
      </c>
      <c r="C19" s="724">
        <v>42766</v>
      </c>
      <c r="D19" s="796">
        <v>0.22339999999999999</v>
      </c>
      <c r="E19" s="796">
        <f t="shared" ref="E19:E66" si="1">+D19*1.5</f>
        <v>0.33509999999999995</v>
      </c>
      <c r="F19" s="897">
        <f>((1+E19)^(1/365)-1)</f>
        <v>7.9211135028089963E-4</v>
      </c>
      <c r="G19" s="894">
        <f>(C19-B19)+1</f>
        <v>31</v>
      </c>
      <c r="H19" s="847">
        <f t="shared" si="0"/>
        <v>3656853.8772290167</v>
      </c>
    </row>
    <row r="20" spans="1:8" ht="13.5">
      <c r="A20" s="2">
        <v>5</v>
      </c>
      <c r="B20" s="724">
        <v>42767</v>
      </c>
      <c r="C20" s="724">
        <v>42794</v>
      </c>
      <c r="D20" s="796">
        <v>0.22339999999999999</v>
      </c>
      <c r="E20" s="796">
        <f t="shared" si="1"/>
        <v>0.33509999999999995</v>
      </c>
      <c r="F20" s="897">
        <f t="shared" ref="F20:F75" si="2">((1+E20)^(1/365)-1)</f>
        <v>7.9211135028089963E-4</v>
      </c>
      <c r="G20" s="894">
        <f t="shared" ref="G20:G75" si="3">(C20-B20)+1</f>
        <v>28</v>
      </c>
      <c r="H20" s="847">
        <f t="shared" si="0"/>
        <v>3302964.792335886</v>
      </c>
    </row>
    <row r="21" spans="1:8" ht="13.5">
      <c r="A21" s="2">
        <v>6</v>
      </c>
      <c r="B21" s="724">
        <v>42795</v>
      </c>
      <c r="C21" s="724">
        <v>42825</v>
      </c>
      <c r="D21" s="796">
        <v>0.22339999999999999</v>
      </c>
      <c r="E21" s="796">
        <f t="shared" si="1"/>
        <v>0.33509999999999995</v>
      </c>
      <c r="F21" s="897">
        <f t="shared" si="2"/>
        <v>7.9211135028089963E-4</v>
      </c>
      <c r="G21" s="894">
        <f t="shared" si="3"/>
        <v>31</v>
      </c>
      <c r="H21" s="847">
        <f t="shared" si="0"/>
        <v>3656853.8772290167</v>
      </c>
    </row>
    <row r="22" spans="1:8" ht="13.5">
      <c r="A22" s="2">
        <v>7</v>
      </c>
      <c r="B22" s="724">
        <v>42826</v>
      </c>
      <c r="C22" s="724">
        <v>42855</v>
      </c>
      <c r="D22" s="796">
        <v>0.2233</v>
      </c>
      <c r="E22" s="796">
        <f t="shared" si="1"/>
        <v>0.33494999999999997</v>
      </c>
      <c r="F22" s="897">
        <f t="shared" si="2"/>
        <v>7.9180327787309324E-4</v>
      </c>
      <c r="G22" s="894">
        <f t="shared" si="3"/>
        <v>30</v>
      </c>
      <c r="H22" s="847">
        <f t="shared" si="0"/>
        <v>3537514.4835700379</v>
      </c>
    </row>
    <row r="23" spans="1:8" ht="13.5">
      <c r="A23" s="2">
        <v>8</v>
      </c>
      <c r="B23" s="724">
        <v>42856</v>
      </c>
      <c r="C23" s="724">
        <v>42886</v>
      </c>
      <c r="D23" s="796">
        <v>0.2233</v>
      </c>
      <c r="E23" s="796">
        <f t="shared" si="1"/>
        <v>0.33494999999999997</v>
      </c>
      <c r="F23" s="897">
        <f t="shared" si="2"/>
        <v>7.9180327787309324E-4</v>
      </c>
      <c r="G23" s="894">
        <f t="shared" si="3"/>
        <v>31</v>
      </c>
      <c r="H23" s="847">
        <f t="shared" si="0"/>
        <v>3655431.6330223721</v>
      </c>
    </row>
    <row r="24" spans="1:8" ht="13.5">
      <c r="A24" s="2">
        <v>9</v>
      </c>
      <c r="B24" s="724">
        <v>42887</v>
      </c>
      <c r="C24" s="724">
        <v>42916</v>
      </c>
      <c r="D24" s="796">
        <v>0.2233</v>
      </c>
      <c r="E24" s="796">
        <f t="shared" si="1"/>
        <v>0.33494999999999997</v>
      </c>
      <c r="F24" s="897">
        <f t="shared" si="2"/>
        <v>7.9180327787309324E-4</v>
      </c>
      <c r="G24" s="894">
        <f t="shared" si="3"/>
        <v>30</v>
      </c>
      <c r="H24" s="847">
        <f t="shared" si="0"/>
        <v>3537514.4835700379</v>
      </c>
    </row>
    <row r="25" spans="1:8" ht="13.5">
      <c r="A25" s="2">
        <v>10</v>
      </c>
      <c r="B25" s="724">
        <v>42917</v>
      </c>
      <c r="C25" s="724">
        <v>42947</v>
      </c>
      <c r="D25" s="796">
        <v>0.2198</v>
      </c>
      <c r="E25" s="796">
        <f t="shared" si="1"/>
        <v>0.32969999999999999</v>
      </c>
      <c r="F25" s="897">
        <f t="shared" si="2"/>
        <v>7.8099893845218205E-4</v>
      </c>
      <c r="G25" s="894">
        <f t="shared" si="3"/>
        <v>31</v>
      </c>
      <c r="H25" s="847">
        <f t="shared" si="0"/>
        <v>3605552.4203482373</v>
      </c>
    </row>
    <row r="26" spans="1:8" ht="13.5">
      <c r="A26" s="2">
        <v>11</v>
      </c>
      <c r="B26" s="724">
        <v>42948</v>
      </c>
      <c r="C26" s="724">
        <v>42978</v>
      </c>
      <c r="D26" s="796">
        <v>0.2198</v>
      </c>
      <c r="E26" s="796">
        <f t="shared" si="1"/>
        <v>0.32969999999999999</v>
      </c>
      <c r="F26" s="897">
        <f t="shared" si="2"/>
        <v>7.8099893845218205E-4</v>
      </c>
      <c r="G26" s="894">
        <f t="shared" si="3"/>
        <v>31</v>
      </c>
      <c r="H26" s="847">
        <f t="shared" si="0"/>
        <v>3605552.4203482373</v>
      </c>
    </row>
    <row r="27" spans="1:8" ht="13.5">
      <c r="A27" s="2">
        <v>12</v>
      </c>
      <c r="B27" s="724">
        <v>42979</v>
      </c>
      <c r="C27" s="724">
        <v>43008</v>
      </c>
      <c r="D27" s="796">
        <v>0.21479999999999999</v>
      </c>
      <c r="E27" s="796">
        <f t="shared" si="1"/>
        <v>0.32219999999999999</v>
      </c>
      <c r="F27" s="897">
        <f t="shared" si="2"/>
        <v>7.6549014202820231E-4</v>
      </c>
      <c r="G27" s="894">
        <f t="shared" si="3"/>
        <v>30</v>
      </c>
      <c r="H27" s="847">
        <f t="shared" si="0"/>
        <v>3419956.1180509115</v>
      </c>
    </row>
    <row r="28" spans="1:8" ht="13.5">
      <c r="A28" s="2">
        <v>13</v>
      </c>
      <c r="B28" s="724">
        <v>43009</v>
      </c>
      <c r="C28" s="724">
        <v>43039</v>
      </c>
      <c r="D28" s="796">
        <v>0.21149999999999999</v>
      </c>
      <c r="E28" s="796">
        <f t="shared" si="1"/>
        <v>0.31724999999999998</v>
      </c>
      <c r="F28" s="897">
        <f t="shared" si="2"/>
        <v>7.5520620308799913E-4</v>
      </c>
      <c r="G28" s="894">
        <f t="shared" si="3"/>
        <v>31</v>
      </c>
      <c r="H28" s="847">
        <f t="shared" si="0"/>
        <v>3486477.9186542439</v>
      </c>
    </row>
    <row r="29" spans="1:8" ht="13.5">
      <c r="A29" s="2">
        <v>14</v>
      </c>
      <c r="B29" s="724">
        <v>43040</v>
      </c>
      <c r="C29" s="724">
        <v>43069</v>
      </c>
      <c r="D29" s="796">
        <v>0.20960000000000001</v>
      </c>
      <c r="E29" s="796">
        <f t="shared" si="1"/>
        <v>0.31440000000000001</v>
      </c>
      <c r="F29" s="897">
        <f t="shared" si="2"/>
        <v>7.4926765057248268E-4</v>
      </c>
      <c r="G29" s="894">
        <f t="shared" si="3"/>
        <v>30</v>
      </c>
      <c r="H29" s="847">
        <f t="shared" si="0"/>
        <v>3347479.4056049227</v>
      </c>
    </row>
    <row r="30" spans="1:8" ht="13.5">
      <c r="A30" s="2">
        <v>15</v>
      </c>
      <c r="B30" s="724">
        <v>43070</v>
      </c>
      <c r="C30" s="724">
        <v>43100</v>
      </c>
      <c r="D30" s="796">
        <v>0.2077</v>
      </c>
      <c r="E30" s="796">
        <f t="shared" si="1"/>
        <v>0.31154999999999999</v>
      </c>
      <c r="F30" s="897">
        <f t="shared" si="2"/>
        <v>7.4331624292400811E-4</v>
      </c>
      <c r="G30" s="894">
        <f t="shared" si="3"/>
        <v>31</v>
      </c>
      <c r="H30" s="847">
        <f t="shared" si="0"/>
        <v>3431586.8393755918</v>
      </c>
    </row>
    <row r="31" spans="1:8" ht="13.5">
      <c r="A31" s="2">
        <v>16</v>
      </c>
      <c r="B31" s="724">
        <v>43101</v>
      </c>
      <c r="C31" s="724">
        <v>43131</v>
      </c>
      <c r="D31" s="796">
        <v>0.2069</v>
      </c>
      <c r="E31" s="796">
        <f t="shared" si="1"/>
        <v>0.31035000000000001</v>
      </c>
      <c r="F31" s="897">
        <f t="shared" si="2"/>
        <v>7.4080652774299871E-4</v>
      </c>
      <c r="G31" s="894">
        <f t="shared" si="3"/>
        <v>31</v>
      </c>
      <c r="H31" s="847">
        <f t="shared" si="0"/>
        <v>3420000.5116614895</v>
      </c>
    </row>
    <row r="32" spans="1:8" ht="13.5">
      <c r="A32" s="2">
        <v>17</v>
      </c>
      <c r="B32" s="724">
        <v>43132</v>
      </c>
      <c r="C32" s="724">
        <v>43159</v>
      </c>
      <c r="D32" s="796">
        <v>0.21010000000000001</v>
      </c>
      <c r="E32" s="796">
        <f t="shared" si="1"/>
        <v>0.31515000000000004</v>
      </c>
      <c r="F32" s="897">
        <f t="shared" si="2"/>
        <v>7.5083167162115494E-4</v>
      </c>
      <c r="G32" s="894">
        <f t="shared" si="3"/>
        <v>28</v>
      </c>
      <c r="H32" s="847">
        <f t="shared" si="0"/>
        <v>3130835.8041529432</v>
      </c>
    </row>
    <row r="33" spans="1:8" ht="13.5">
      <c r="A33" s="2">
        <v>18</v>
      </c>
      <c r="B33" s="724">
        <v>43160</v>
      </c>
      <c r="C33" s="724">
        <v>43190</v>
      </c>
      <c r="D33" s="796">
        <v>0.20680000000000001</v>
      </c>
      <c r="E33" s="796">
        <f t="shared" si="1"/>
        <v>0.31020000000000003</v>
      </c>
      <c r="F33" s="897">
        <f t="shared" si="2"/>
        <v>7.4049265219700011E-4</v>
      </c>
      <c r="G33" s="894">
        <f t="shared" si="3"/>
        <v>31</v>
      </c>
      <c r="H33" s="847">
        <f t="shared" si="0"/>
        <v>3418551.4767411523</v>
      </c>
    </row>
    <row r="34" spans="1:8" ht="13.5">
      <c r="A34" s="2">
        <v>19</v>
      </c>
      <c r="B34" s="724">
        <v>43191</v>
      </c>
      <c r="C34" s="724">
        <v>43220</v>
      </c>
      <c r="D34" s="796">
        <v>0.20480000000000001</v>
      </c>
      <c r="E34" s="796">
        <f t="shared" si="1"/>
        <v>0.30720000000000003</v>
      </c>
      <c r="F34" s="897">
        <f t="shared" si="2"/>
        <v>7.34207604366377E-4</v>
      </c>
      <c r="G34" s="894">
        <f t="shared" si="3"/>
        <v>30</v>
      </c>
      <c r="H34" s="847">
        <f t="shared" si="0"/>
        <v>3280196.1130673648</v>
      </c>
    </row>
    <row r="35" spans="1:8" ht="13.5">
      <c r="A35" s="2">
        <v>20</v>
      </c>
      <c r="B35" s="724">
        <v>43221</v>
      </c>
      <c r="C35" s="724">
        <v>43251</v>
      </c>
      <c r="D35" s="796">
        <v>0.2044</v>
      </c>
      <c r="E35" s="796">
        <f t="shared" si="1"/>
        <v>0.30659999999999998</v>
      </c>
      <c r="F35" s="897">
        <f t="shared" si="2"/>
        <v>7.3294886878794152E-4</v>
      </c>
      <c r="G35" s="894">
        <f t="shared" si="3"/>
        <v>31</v>
      </c>
      <c r="H35" s="847">
        <f t="shared" si="0"/>
        <v>3383724.9165629535</v>
      </c>
    </row>
    <row r="36" spans="1:8" ht="13.5">
      <c r="A36" s="2">
        <v>21</v>
      </c>
      <c r="B36" s="724">
        <v>43252</v>
      </c>
      <c r="C36" s="724">
        <v>43281</v>
      </c>
      <c r="D36" s="796">
        <v>0.20280000000000001</v>
      </c>
      <c r="E36" s="796">
        <f t="shared" si="1"/>
        <v>0.30420000000000003</v>
      </c>
      <c r="F36" s="897">
        <f t="shared" si="2"/>
        <v>7.2790815549184096E-4</v>
      </c>
      <c r="G36" s="894">
        <f t="shared" si="3"/>
        <v>30</v>
      </c>
      <c r="H36" s="847">
        <f t="shared" si="0"/>
        <v>3252052.2643931843</v>
      </c>
    </row>
    <row r="37" spans="1:8" ht="13.5">
      <c r="A37" s="2">
        <v>22</v>
      </c>
      <c r="B37" s="724">
        <v>43282</v>
      </c>
      <c r="C37" s="724">
        <v>43312</v>
      </c>
      <c r="D37" s="796">
        <v>0.20030000000000001</v>
      </c>
      <c r="E37" s="796">
        <f t="shared" si="1"/>
        <v>0.30044999999999999</v>
      </c>
      <c r="F37" s="897">
        <f t="shared" si="2"/>
        <v>7.2001349197825526E-4</v>
      </c>
      <c r="G37" s="894">
        <f t="shared" si="3"/>
        <v>31</v>
      </c>
      <c r="H37" s="847">
        <f t="shared" si="0"/>
        <v>3324007.576541068</v>
      </c>
    </row>
    <row r="38" spans="1:8" ht="13.5">
      <c r="A38" s="2">
        <v>23</v>
      </c>
      <c r="B38" s="724">
        <v>43313</v>
      </c>
      <c r="C38" s="724">
        <v>43343</v>
      </c>
      <c r="D38" s="796">
        <v>0.19939999999999999</v>
      </c>
      <c r="E38" s="796">
        <f t="shared" si="1"/>
        <v>0.29909999999999998</v>
      </c>
      <c r="F38" s="897">
        <f t="shared" si="2"/>
        <v>7.1716585429704161E-4</v>
      </c>
      <c r="G38" s="894">
        <f t="shared" si="3"/>
        <v>31</v>
      </c>
      <c r="H38" s="847">
        <f t="shared" si="0"/>
        <v>3310861.1989619602</v>
      </c>
    </row>
    <row r="39" spans="1:8" ht="13.5">
      <c r="A39" s="2">
        <v>24</v>
      </c>
      <c r="B39" s="724">
        <v>43344</v>
      </c>
      <c r="C39" s="724">
        <v>43373</v>
      </c>
      <c r="D39" s="796">
        <v>0.1981</v>
      </c>
      <c r="E39" s="796">
        <f t="shared" si="1"/>
        <v>0.29715000000000003</v>
      </c>
      <c r="F39" s="897">
        <f t="shared" si="2"/>
        <v>7.1304738558919389E-4</v>
      </c>
      <c r="G39" s="894">
        <f t="shared" si="3"/>
        <v>30</v>
      </c>
      <c r="H39" s="847">
        <f t="shared" si="0"/>
        <v>3185659.2722994569</v>
      </c>
    </row>
    <row r="40" spans="1:8" ht="13.5">
      <c r="A40" s="2">
        <v>25</v>
      </c>
      <c r="B40" s="724">
        <v>43374</v>
      </c>
      <c r="C40" s="724">
        <v>43404</v>
      </c>
      <c r="D40" s="796">
        <v>0.1963</v>
      </c>
      <c r="E40" s="796">
        <f t="shared" si="1"/>
        <v>0.29444999999999999</v>
      </c>
      <c r="F40" s="897">
        <f t="shared" si="2"/>
        <v>7.073346857742191E-4</v>
      </c>
      <c r="G40" s="894">
        <f t="shared" si="3"/>
        <v>31</v>
      </c>
      <c r="H40" s="847">
        <f t="shared" si="0"/>
        <v>3265474.7179859886</v>
      </c>
    </row>
    <row r="41" spans="1:8" ht="13.5">
      <c r="A41" s="2">
        <v>26</v>
      </c>
      <c r="B41" s="724">
        <v>43405</v>
      </c>
      <c r="C41" s="724">
        <v>43434</v>
      </c>
      <c r="D41" s="796">
        <v>0.19489999999999999</v>
      </c>
      <c r="E41" s="796">
        <f t="shared" si="1"/>
        <v>0.29235</v>
      </c>
      <c r="F41" s="897">
        <f t="shared" si="2"/>
        <v>7.0288325333756063E-4</v>
      </c>
      <c r="G41" s="894">
        <f t="shared" si="3"/>
        <v>30</v>
      </c>
      <c r="H41" s="847">
        <f t="shared" si="0"/>
        <v>3140249.2998254141</v>
      </c>
    </row>
    <row r="42" spans="1:8" ht="13.5">
      <c r="A42" s="2">
        <v>27</v>
      </c>
      <c r="B42" s="724">
        <v>43435</v>
      </c>
      <c r="C42" s="724">
        <v>43465</v>
      </c>
      <c r="D42" s="796">
        <v>0.19400000000000001</v>
      </c>
      <c r="E42" s="796">
        <f t="shared" si="1"/>
        <v>0.29100000000000004</v>
      </c>
      <c r="F42" s="897">
        <f t="shared" si="2"/>
        <v>7.0001780740103214E-4</v>
      </c>
      <c r="G42" s="894">
        <f t="shared" si="3"/>
        <v>31</v>
      </c>
      <c r="H42" s="847">
        <f t="shared" si="0"/>
        <v>3231695.68548164</v>
      </c>
    </row>
    <row r="43" spans="1:8" ht="13.5">
      <c r="A43" s="2">
        <v>28</v>
      </c>
      <c r="B43" s="724">
        <v>43466</v>
      </c>
      <c r="C43" s="724">
        <v>43496</v>
      </c>
      <c r="D43" s="796">
        <v>0.19159999999999999</v>
      </c>
      <c r="E43" s="796">
        <f t="shared" si="1"/>
        <v>0.28739999999999999</v>
      </c>
      <c r="F43" s="897">
        <f>((1+E43)^(1/365)-1)</f>
        <v>6.9236198468725085E-4</v>
      </c>
      <c r="G43" s="894">
        <f t="shared" si="3"/>
        <v>31</v>
      </c>
      <c r="H43" s="847">
        <f t="shared" si="0"/>
        <v>3196351.8856934649</v>
      </c>
    </row>
    <row r="44" spans="1:8" ht="13.5">
      <c r="A44" s="2">
        <v>29</v>
      </c>
      <c r="B44" s="724">
        <v>43497</v>
      </c>
      <c r="C44" s="724">
        <v>43524</v>
      </c>
      <c r="D44" s="796">
        <v>0.19700000000000001</v>
      </c>
      <c r="E44" s="796">
        <f t="shared" si="1"/>
        <v>0.29549999999999998</v>
      </c>
      <c r="F44" s="897">
        <f t="shared" si="2"/>
        <v>7.0955770203506852E-4</v>
      </c>
      <c r="G44" s="894">
        <f t="shared" si="3"/>
        <v>28</v>
      </c>
      <c r="H44" s="847">
        <f t="shared" si="0"/>
        <v>2958730.6218014453</v>
      </c>
    </row>
    <row r="45" spans="1:8" ht="13.5">
      <c r="A45" s="2">
        <v>30</v>
      </c>
      <c r="B45" s="724">
        <v>43525</v>
      </c>
      <c r="C45" s="724">
        <v>43555</v>
      </c>
      <c r="D45" s="796">
        <v>0.19370000000000001</v>
      </c>
      <c r="E45" s="796">
        <f t="shared" si="1"/>
        <v>0.29055000000000003</v>
      </c>
      <c r="F45" s="897">
        <f t="shared" si="2"/>
        <v>6.9906199467517638E-4</v>
      </c>
      <c r="G45" s="894">
        <f t="shared" si="3"/>
        <v>31</v>
      </c>
      <c r="H45" s="847">
        <f t="shared" si="0"/>
        <v>3227283.089359629</v>
      </c>
    </row>
    <row r="46" spans="1:8" ht="13.5">
      <c r="A46" s="2">
        <v>31</v>
      </c>
      <c r="B46" s="724">
        <v>43556</v>
      </c>
      <c r="C46" s="724">
        <v>43585</v>
      </c>
      <c r="D46" s="796">
        <v>0.19320000000000001</v>
      </c>
      <c r="E46" s="796">
        <f t="shared" si="1"/>
        <v>0.2898</v>
      </c>
      <c r="F46" s="897">
        <f t="shared" si="2"/>
        <v>6.9746823462724095E-4</v>
      </c>
      <c r="G46" s="894">
        <f t="shared" si="3"/>
        <v>30</v>
      </c>
      <c r="H46" s="847">
        <f t="shared" si="0"/>
        <v>3116056.7918479103</v>
      </c>
    </row>
    <row r="47" spans="1:8" ht="13.5">
      <c r="A47" s="2">
        <v>32</v>
      </c>
      <c r="B47" s="724">
        <v>43586</v>
      </c>
      <c r="C47" s="724">
        <v>43616</v>
      </c>
      <c r="D47" s="796">
        <v>0.19339999999999999</v>
      </c>
      <c r="E47" s="796">
        <f t="shared" si="1"/>
        <v>0.29009999999999997</v>
      </c>
      <c r="F47" s="897">
        <f t="shared" si="2"/>
        <v>6.9810584952367805E-4</v>
      </c>
      <c r="G47" s="894">
        <f t="shared" si="3"/>
        <v>31</v>
      </c>
      <c r="H47" s="847">
        <f t="shared" si="0"/>
        <v>3222868.9585644943</v>
      </c>
    </row>
    <row r="48" spans="1:8" ht="13.5">
      <c r="A48" s="2">
        <v>33</v>
      </c>
      <c r="B48" s="724">
        <v>43617</v>
      </c>
      <c r="C48" s="724">
        <v>43646</v>
      </c>
      <c r="D48" s="796">
        <v>0.193</v>
      </c>
      <c r="E48" s="796">
        <f t="shared" si="1"/>
        <v>0.28949999999999998</v>
      </c>
      <c r="F48" s="897">
        <f t="shared" si="2"/>
        <v>6.9683047181468005E-4</v>
      </c>
      <c r="G48" s="894">
        <f t="shared" si="3"/>
        <v>30</v>
      </c>
      <c r="H48" s="847">
        <f t="shared" si="0"/>
        <v>3113207.4790835367</v>
      </c>
    </row>
    <row r="49" spans="1:8" ht="13.5">
      <c r="A49" s="2">
        <v>34</v>
      </c>
      <c r="B49" s="724">
        <v>43647</v>
      </c>
      <c r="C49" s="724">
        <v>43677</v>
      </c>
      <c r="D49" s="796">
        <v>0.1928</v>
      </c>
      <c r="E49" s="796">
        <f t="shared" si="1"/>
        <v>0.28920000000000001</v>
      </c>
      <c r="F49" s="897">
        <f t="shared" si="2"/>
        <v>6.9619256101671745E-4</v>
      </c>
      <c r="G49" s="894">
        <f t="shared" si="3"/>
        <v>31</v>
      </c>
      <c r="H49" s="847">
        <f t="shared" si="0"/>
        <v>3214036.0886751092</v>
      </c>
    </row>
    <row r="50" spans="1:8" ht="13.5">
      <c r="A50" s="2">
        <v>35</v>
      </c>
      <c r="B50" s="724">
        <v>43678</v>
      </c>
      <c r="C50" s="724">
        <v>43708</v>
      </c>
      <c r="D50" s="796">
        <v>0.19320000000000001</v>
      </c>
      <c r="E50" s="796">
        <f t="shared" si="1"/>
        <v>0.2898</v>
      </c>
      <c r="F50" s="897">
        <f t="shared" si="2"/>
        <v>6.9746823462724095E-4</v>
      </c>
      <c r="G50" s="894">
        <f t="shared" si="3"/>
        <v>31</v>
      </c>
      <c r="H50" s="847">
        <f t="shared" si="0"/>
        <v>3219925.3515761737</v>
      </c>
    </row>
    <row r="51" spans="1:8" ht="13.5">
      <c r="A51" s="2">
        <v>36</v>
      </c>
      <c r="B51" s="724">
        <v>43709</v>
      </c>
      <c r="C51" s="724">
        <v>43738</v>
      </c>
      <c r="D51" s="796">
        <v>0.19320000000000001</v>
      </c>
      <c r="E51" s="796">
        <f t="shared" si="1"/>
        <v>0.2898</v>
      </c>
      <c r="F51" s="897">
        <f t="shared" si="2"/>
        <v>6.9746823462724095E-4</v>
      </c>
      <c r="G51" s="894">
        <f t="shared" si="3"/>
        <v>30</v>
      </c>
      <c r="H51" s="847">
        <f t="shared" si="0"/>
        <v>3116056.7918479103</v>
      </c>
    </row>
    <row r="52" spans="1:8" ht="13.5">
      <c r="A52" s="2">
        <v>37</v>
      </c>
      <c r="B52" s="724">
        <v>43739</v>
      </c>
      <c r="C52" s="724">
        <v>43769</v>
      </c>
      <c r="D52" s="796">
        <v>0.191</v>
      </c>
      <c r="E52" s="796">
        <f t="shared" si="1"/>
        <v>0.28649999999999998</v>
      </c>
      <c r="F52" s="897">
        <f t="shared" si="2"/>
        <v>6.9044469314105683E-4</v>
      </c>
      <c r="G52" s="894">
        <f t="shared" si="3"/>
        <v>31</v>
      </c>
      <c r="H52" s="847">
        <f t="shared" si="0"/>
        <v>3187500.5354104629</v>
      </c>
    </row>
    <row r="53" spans="1:8" ht="13.5">
      <c r="A53" s="2">
        <v>38</v>
      </c>
      <c r="B53" s="724">
        <v>43770</v>
      </c>
      <c r="C53" s="724">
        <v>43799</v>
      </c>
      <c r="D53" s="796">
        <v>0.1903</v>
      </c>
      <c r="E53" s="796">
        <f t="shared" si="1"/>
        <v>0.28544999999999998</v>
      </c>
      <c r="F53" s="897">
        <f t="shared" si="2"/>
        <v>6.8820616169262827E-4</v>
      </c>
      <c r="G53" s="894">
        <f t="shared" si="3"/>
        <v>30</v>
      </c>
      <c r="H53" s="847">
        <f t="shared" si="0"/>
        <v>3074676.9212794458</v>
      </c>
    </row>
    <row r="54" spans="1:8" ht="13.5">
      <c r="A54" s="2">
        <v>39</v>
      </c>
      <c r="B54" s="724">
        <v>43808</v>
      </c>
      <c r="C54" s="724">
        <v>43830</v>
      </c>
      <c r="D54" s="796">
        <v>0.18909999999999999</v>
      </c>
      <c r="E54" s="796">
        <f t="shared" si="1"/>
        <v>0.28364999999999996</v>
      </c>
      <c r="F54" s="897">
        <f t="shared" si="2"/>
        <v>6.8436443340047504E-4</v>
      </c>
      <c r="G54" s="894">
        <f t="shared" si="3"/>
        <v>23</v>
      </c>
      <c r="H54" s="847">
        <f t="shared" si="0"/>
        <v>2344093.5707768584</v>
      </c>
    </row>
    <row r="55" spans="1:8" ht="13.5">
      <c r="A55" s="2">
        <v>40</v>
      </c>
      <c r="B55" s="724">
        <v>43831</v>
      </c>
      <c r="C55" s="724">
        <v>43861</v>
      </c>
      <c r="D55" s="796">
        <v>0.18770000000000001</v>
      </c>
      <c r="E55" s="796">
        <f t="shared" si="1"/>
        <v>0.28155000000000002</v>
      </c>
      <c r="F55" s="897">
        <f t="shared" si="2"/>
        <v>6.7987562124560696E-4</v>
      </c>
      <c r="G55" s="894">
        <f t="shared" si="3"/>
        <v>31</v>
      </c>
      <c r="H55" s="847">
        <f t="shared" si="0"/>
        <v>3138707.4566016793</v>
      </c>
    </row>
    <row r="56" spans="1:8" ht="13.5">
      <c r="A56" s="2">
        <v>41</v>
      </c>
      <c r="B56" s="724">
        <v>43862</v>
      </c>
      <c r="C56" s="724">
        <v>43890</v>
      </c>
      <c r="D56" s="796">
        <v>0.19059999999999999</v>
      </c>
      <c r="E56" s="796">
        <f t="shared" si="1"/>
        <v>0.28589999999999999</v>
      </c>
      <c r="F56" s="897">
        <f t="shared" si="2"/>
        <v>6.8916575551658532E-4</v>
      </c>
      <c r="G56" s="894">
        <f t="shared" si="3"/>
        <v>29</v>
      </c>
      <c r="H56" s="847">
        <f t="shared" si="0"/>
        <v>2976331.9326741216</v>
      </c>
    </row>
    <row r="57" spans="1:8" ht="13.5">
      <c r="A57" s="2">
        <v>42</v>
      </c>
      <c r="B57" s="724">
        <v>43891</v>
      </c>
      <c r="C57" s="724">
        <v>43921</v>
      </c>
      <c r="D57" s="796">
        <v>0.1895</v>
      </c>
      <c r="E57" s="796">
        <f t="shared" si="1"/>
        <v>0.28425</v>
      </c>
      <c r="F57" s="897">
        <f t="shared" si="2"/>
        <v>6.8564560609574166E-4</v>
      </c>
      <c r="G57" s="894">
        <f t="shared" si="3"/>
        <v>31</v>
      </c>
      <c r="H57" s="847">
        <f t="shared" si="0"/>
        <v>3165345.1148845521</v>
      </c>
    </row>
    <row r="58" spans="1:8" ht="13.5">
      <c r="A58" s="2">
        <v>43</v>
      </c>
      <c r="B58" s="724">
        <v>43922</v>
      </c>
      <c r="C58" s="724">
        <v>43951</v>
      </c>
      <c r="D58" s="796">
        <v>0.18690000000000001</v>
      </c>
      <c r="E58" s="796">
        <f t="shared" si="1"/>
        <v>0.28034999999999999</v>
      </c>
      <c r="F58" s="897">
        <f t="shared" si="2"/>
        <v>6.7730729113191224E-4</v>
      </c>
      <c r="G58" s="894">
        <f t="shared" si="3"/>
        <v>30</v>
      </c>
      <c r="H58" s="847">
        <f t="shared" si="0"/>
        <v>3025984.3816796448</v>
      </c>
    </row>
    <row r="59" spans="1:8" ht="13.5">
      <c r="A59" s="2">
        <v>44</v>
      </c>
      <c r="B59" s="724">
        <v>43952</v>
      </c>
      <c r="C59" s="724">
        <v>43982</v>
      </c>
      <c r="D59" s="796">
        <v>0.18190000000000001</v>
      </c>
      <c r="E59" s="796">
        <f t="shared" si="1"/>
        <v>0.27285000000000004</v>
      </c>
      <c r="F59" s="897">
        <f t="shared" si="2"/>
        <v>6.6120063584418354E-4</v>
      </c>
      <c r="G59" s="894">
        <f t="shared" si="3"/>
        <v>31</v>
      </c>
      <c r="H59" s="847">
        <f t="shared" si="0"/>
        <v>3052492.6930483314</v>
      </c>
    </row>
    <row r="60" spans="1:8" ht="13.5">
      <c r="A60" s="2">
        <v>45</v>
      </c>
      <c r="B60" s="724">
        <v>43983</v>
      </c>
      <c r="C60" s="724">
        <v>44012</v>
      </c>
      <c r="D60" s="796">
        <v>0.1812</v>
      </c>
      <c r="E60" s="796">
        <f t="shared" si="1"/>
        <v>0.27179999999999999</v>
      </c>
      <c r="F60" s="897">
        <f t="shared" si="2"/>
        <v>6.5893815469997286E-4</v>
      </c>
      <c r="G60" s="894">
        <f t="shared" si="3"/>
        <v>30</v>
      </c>
      <c r="H60" s="847">
        <f t="shared" si="0"/>
        <v>2943917.1713073803</v>
      </c>
    </row>
    <row r="61" spans="1:8" ht="13.5">
      <c r="A61" s="2">
        <v>46</v>
      </c>
      <c r="B61" s="724">
        <v>44013</v>
      </c>
      <c r="C61" s="724">
        <v>44043</v>
      </c>
      <c r="D61" s="796">
        <v>0.1812</v>
      </c>
      <c r="E61" s="796">
        <f t="shared" si="1"/>
        <v>0.27179999999999999</v>
      </c>
      <c r="F61" s="897">
        <f t="shared" si="2"/>
        <v>6.5893815469997286E-4</v>
      </c>
      <c r="G61" s="894">
        <f t="shared" si="3"/>
        <v>31</v>
      </c>
      <c r="H61" s="847">
        <f t="shared" si="0"/>
        <v>3042047.7436842932</v>
      </c>
    </row>
    <row r="62" spans="1:8" ht="13.5">
      <c r="A62" s="2">
        <v>47</v>
      </c>
      <c r="B62" s="724">
        <v>44044</v>
      </c>
      <c r="C62" s="724">
        <v>44074</v>
      </c>
      <c r="D62" s="796">
        <v>0.18290000000000001</v>
      </c>
      <c r="E62" s="796">
        <f t="shared" si="1"/>
        <v>0.27434999999999998</v>
      </c>
      <c r="F62" s="897">
        <f t="shared" si="2"/>
        <v>6.6442952514544906E-4</v>
      </c>
      <c r="G62" s="894">
        <f t="shared" si="3"/>
        <v>31</v>
      </c>
      <c r="H62" s="847">
        <f t="shared" si="0"/>
        <v>3067399.1533033056</v>
      </c>
    </row>
    <row r="63" spans="1:8" ht="13.5">
      <c r="A63" s="2">
        <v>48</v>
      </c>
      <c r="B63" s="724">
        <v>44075</v>
      </c>
      <c r="C63" s="724">
        <v>44104</v>
      </c>
      <c r="D63" s="796">
        <v>0.1835</v>
      </c>
      <c r="E63" s="796">
        <f t="shared" si="1"/>
        <v>0.27524999999999999</v>
      </c>
      <c r="F63" s="897">
        <f t="shared" si="2"/>
        <v>6.6636503991857055E-4</v>
      </c>
      <c r="G63" s="894">
        <f t="shared" si="3"/>
        <v>30</v>
      </c>
      <c r="H63" s="847">
        <f t="shared" si="0"/>
        <v>2977098.0317089362</v>
      </c>
    </row>
    <row r="64" spans="1:8" ht="13.5">
      <c r="A64" s="2">
        <v>49</v>
      </c>
      <c r="B64" s="724">
        <v>44105</v>
      </c>
      <c r="C64" s="724">
        <v>44135</v>
      </c>
      <c r="D64" s="796">
        <v>0.18090000000000001</v>
      </c>
      <c r="E64" s="796">
        <f t="shared" si="1"/>
        <v>0.27134999999999998</v>
      </c>
      <c r="F64" s="897">
        <f t="shared" si="2"/>
        <v>6.5796794962613703E-4</v>
      </c>
      <c r="G64" s="894">
        <f t="shared" si="3"/>
        <v>31</v>
      </c>
      <c r="H64" s="847">
        <f t="shared" si="0"/>
        <v>3037568.7039827337</v>
      </c>
    </row>
    <row r="65" spans="1:14" ht="13.5">
      <c r="A65" s="2">
        <v>50</v>
      </c>
      <c r="B65" s="724">
        <v>44136</v>
      </c>
      <c r="C65" s="724">
        <v>44165</v>
      </c>
      <c r="D65" s="796">
        <v>0.1784</v>
      </c>
      <c r="E65" s="796">
        <f t="shared" si="1"/>
        <v>0.2676</v>
      </c>
      <c r="F65" s="897">
        <f t="shared" si="2"/>
        <v>6.4986956374091243E-4</v>
      </c>
      <c r="G65" s="894">
        <f t="shared" si="3"/>
        <v>30</v>
      </c>
      <c r="H65" s="847">
        <f t="shared" si="0"/>
        <v>2903401.7140470599</v>
      </c>
    </row>
    <row r="66" spans="1:14" ht="13.5">
      <c r="A66" s="2">
        <v>51</v>
      </c>
      <c r="B66" s="724">
        <v>44166</v>
      </c>
      <c r="C66" s="724">
        <v>44196</v>
      </c>
      <c r="D66" s="796">
        <v>0.17460000000000001</v>
      </c>
      <c r="E66" s="796">
        <f t="shared" si="1"/>
        <v>0.26190000000000002</v>
      </c>
      <c r="F66" s="897">
        <f t="shared" si="2"/>
        <v>6.3751414410861962E-4</v>
      </c>
      <c r="G66" s="894">
        <f t="shared" si="3"/>
        <v>31</v>
      </c>
      <c r="H66" s="847">
        <f t="shared" si="0"/>
        <v>2943141.8560600299</v>
      </c>
    </row>
    <row r="67" spans="1:14" ht="13.5">
      <c r="A67" s="2">
        <v>52</v>
      </c>
      <c r="B67" s="724">
        <v>44197</v>
      </c>
      <c r="C67" s="724">
        <v>44227</v>
      </c>
      <c r="D67" s="796">
        <v>0.17319999999999999</v>
      </c>
      <c r="E67" s="796">
        <f t="shared" ref="E67:E72" si="4">+D67*1.5</f>
        <v>0.25979999999999998</v>
      </c>
      <c r="F67" s="897">
        <f t="shared" si="2"/>
        <v>6.3294811266723094E-4</v>
      </c>
      <c r="G67" s="894">
        <f t="shared" si="3"/>
        <v>31</v>
      </c>
      <c r="H67" s="847">
        <f t="shared" si="0"/>
        <v>2922062.3578631282</v>
      </c>
    </row>
    <row r="68" spans="1:14" ht="13.5">
      <c r="A68" s="2">
        <v>53</v>
      </c>
      <c r="B68" s="724">
        <v>44228</v>
      </c>
      <c r="C68" s="724">
        <v>44255</v>
      </c>
      <c r="D68" s="796">
        <v>0.1754</v>
      </c>
      <c r="E68" s="796">
        <f t="shared" si="4"/>
        <v>0.2631</v>
      </c>
      <c r="F68" s="897">
        <f t="shared" si="2"/>
        <v>6.4011990387169426E-4</v>
      </c>
      <c r="G68" s="894">
        <f t="shared" si="3"/>
        <v>28</v>
      </c>
      <c r="H68" s="847">
        <f t="shared" si="0"/>
        <v>2669187.2356226994</v>
      </c>
    </row>
    <row r="69" spans="1:14" ht="13.5">
      <c r="A69" s="2">
        <v>54</v>
      </c>
      <c r="B69" s="724">
        <v>44256</v>
      </c>
      <c r="C69" s="724">
        <v>44286</v>
      </c>
      <c r="D69" s="796">
        <v>0.1741</v>
      </c>
      <c r="E69" s="796">
        <f t="shared" si="4"/>
        <v>0.26114999999999999</v>
      </c>
      <c r="F69" s="897">
        <f t="shared" si="2"/>
        <v>6.3588428907812578E-4</v>
      </c>
      <c r="G69" s="894">
        <f t="shared" si="3"/>
        <v>31</v>
      </c>
      <c r="H69" s="847">
        <f t="shared" si="0"/>
        <v>2935617.4825165011</v>
      </c>
    </row>
    <row r="70" spans="1:14" ht="13.5">
      <c r="A70" s="2">
        <v>55</v>
      </c>
      <c r="B70" s="724">
        <v>44287</v>
      </c>
      <c r="C70" s="724">
        <v>44316</v>
      </c>
      <c r="D70" s="796">
        <v>0.1731</v>
      </c>
      <c r="E70" s="796">
        <f t="shared" si="4"/>
        <v>0.25964999999999999</v>
      </c>
      <c r="F70" s="897">
        <f t="shared" si="2"/>
        <v>6.326216771728177E-4</v>
      </c>
      <c r="G70" s="894">
        <f t="shared" si="3"/>
        <v>30</v>
      </c>
      <c r="H70" s="847">
        <f t="shared" si="0"/>
        <v>2826343.8762599989</v>
      </c>
    </row>
    <row r="71" spans="1:14" ht="13.5">
      <c r="A71" s="2">
        <v>56</v>
      </c>
      <c r="B71" s="724">
        <v>44317</v>
      </c>
      <c r="C71" s="724">
        <v>44347</v>
      </c>
      <c r="D71" s="796">
        <v>0.17219999999999999</v>
      </c>
      <c r="E71" s="796">
        <f t="shared" si="4"/>
        <v>0.25829999999999997</v>
      </c>
      <c r="F71" s="897">
        <f t="shared" si="2"/>
        <v>6.2968201205726437E-4</v>
      </c>
      <c r="G71" s="894">
        <f t="shared" si="3"/>
        <v>31</v>
      </c>
      <c r="H71" s="847">
        <f t="shared" si="0"/>
        <v>2906984.1082272143</v>
      </c>
    </row>
    <row r="72" spans="1:14" ht="13.5">
      <c r="A72" s="2">
        <v>57</v>
      </c>
      <c r="B72" s="724">
        <v>44348</v>
      </c>
      <c r="C72" s="724">
        <v>44377</v>
      </c>
      <c r="D72" s="796">
        <v>0.1721</v>
      </c>
      <c r="E72" s="796">
        <f t="shared" si="4"/>
        <v>0.25814999999999999</v>
      </c>
      <c r="F72" s="897">
        <f t="shared" si="2"/>
        <v>6.2935518846773952E-4</v>
      </c>
      <c r="G72" s="894">
        <f t="shared" si="3"/>
        <v>30</v>
      </c>
      <c r="H72" s="847">
        <f t="shared" si="0"/>
        <v>2811750.2878933642</v>
      </c>
    </row>
    <row r="73" spans="1:14" ht="13.5">
      <c r="A73" s="2">
        <v>58</v>
      </c>
      <c r="B73" s="724">
        <v>44378</v>
      </c>
      <c r="C73" s="724">
        <v>44408</v>
      </c>
      <c r="D73" s="796">
        <v>0.17180000000000001</v>
      </c>
      <c r="E73" s="796">
        <f t="shared" ref="E73:E78" si="5">D73*1.5</f>
        <v>0.25770000000000004</v>
      </c>
      <c r="F73" s="897">
        <f t="shared" si="2"/>
        <v>6.2837448450037137E-4</v>
      </c>
      <c r="G73" s="894">
        <f t="shared" si="3"/>
        <v>31</v>
      </c>
      <c r="H73" s="847">
        <f t="shared" si="0"/>
        <v>2900947.7886942187</v>
      </c>
    </row>
    <row r="74" spans="1:14" ht="13.5">
      <c r="A74" s="2">
        <v>59</v>
      </c>
      <c r="B74" s="724">
        <v>44409</v>
      </c>
      <c r="C74" s="724">
        <v>44439</v>
      </c>
      <c r="D74" s="796">
        <v>0.1724</v>
      </c>
      <c r="E74" s="796">
        <f t="shared" si="5"/>
        <v>0.2586</v>
      </c>
      <c r="F74" s="897">
        <f t="shared" si="2"/>
        <v>6.3033554269220637E-4</v>
      </c>
      <c r="G74" s="894">
        <f t="shared" si="3"/>
        <v>31</v>
      </c>
      <c r="H74" s="847">
        <f t="shared" si="0"/>
        <v>2910001.1916655819</v>
      </c>
    </row>
    <row r="75" spans="1:14" ht="13.5">
      <c r="A75" s="2">
        <v>60</v>
      </c>
      <c r="B75" s="724">
        <v>44440</v>
      </c>
      <c r="C75" s="724">
        <v>44469</v>
      </c>
      <c r="D75" s="796">
        <v>0.1719</v>
      </c>
      <c r="E75" s="796">
        <f t="shared" si="5"/>
        <v>0.25785000000000002</v>
      </c>
      <c r="F75" s="897">
        <f t="shared" si="2"/>
        <v>6.2870142469861889E-4</v>
      </c>
      <c r="G75" s="894">
        <f t="shared" si="3"/>
        <v>30</v>
      </c>
      <c r="H75" s="847">
        <f t="shared" si="0"/>
        <v>2808829.488160999</v>
      </c>
    </row>
    <row r="76" spans="1:14" ht="13.5">
      <c r="A76" s="2">
        <v>61</v>
      </c>
      <c r="B76" s="724">
        <v>44470</v>
      </c>
      <c r="C76" s="724">
        <v>44500</v>
      </c>
      <c r="D76" s="796">
        <v>0.17080000000000001</v>
      </c>
      <c r="E76" s="796">
        <f t="shared" si="5"/>
        <v>0.25619999999999998</v>
      </c>
      <c r="F76" s="897">
        <f>((1+E76)^(1/365)-1)</f>
        <v>6.2510294214179751E-4</v>
      </c>
      <c r="G76" s="894">
        <f>(C76-B76)+1</f>
        <v>31</v>
      </c>
      <c r="H76" s="847">
        <f t="shared" si="0"/>
        <v>2885844.4167324016</v>
      </c>
    </row>
    <row r="77" spans="1:14" ht="13.5">
      <c r="A77" s="2">
        <v>62</v>
      </c>
      <c r="B77" s="724">
        <v>44501</v>
      </c>
      <c r="C77" s="724">
        <v>44530</v>
      </c>
      <c r="D77" s="796">
        <v>0.17269999999999999</v>
      </c>
      <c r="E77" s="796">
        <f t="shared" si="5"/>
        <v>0.25905</v>
      </c>
      <c r="F77" s="897">
        <f>((1+E77)^(1/365)-1)</f>
        <v>6.3131554742335005E-4</v>
      </c>
      <c r="G77" s="894">
        <f>(C77-B77)+1</f>
        <v>30</v>
      </c>
      <c r="H77" s="847">
        <f>($C$13*F77)*G77</f>
        <v>2820508.5216520024</v>
      </c>
    </row>
    <row r="78" spans="1:14" ht="13.5">
      <c r="A78" s="2">
        <v>63</v>
      </c>
      <c r="B78" s="724">
        <v>44531</v>
      </c>
      <c r="C78" s="724">
        <v>44537</v>
      </c>
      <c r="D78" s="796">
        <v>0.17460000000000001</v>
      </c>
      <c r="E78" s="796">
        <f t="shared" si="5"/>
        <v>0.26190000000000002</v>
      </c>
      <c r="F78" s="897">
        <f>((1+E78)^(1/365)-1)</f>
        <v>6.3751414410861962E-4</v>
      </c>
      <c r="G78" s="894">
        <f>(C78-B78)+1</f>
        <v>7</v>
      </c>
      <c r="H78" s="847">
        <f>($C$13*F78)*G78</f>
        <v>664580.41911032936</v>
      </c>
    </row>
    <row r="79" spans="1:14" ht="13.5">
      <c r="B79" s="791"/>
      <c r="C79" s="791"/>
      <c r="D79" s="791"/>
      <c r="E79" s="2559" t="s">
        <v>162</v>
      </c>
      <c r="F79" s="2559"/>
      <c r="G79" s="2559"/>
      <c r="H79" s="847">
        <f>SUM(H16:H78)</f>
        <v>194593305.6570228</v>
      </c>
      <c r="J79" s="8">
        <f>+H79/108</f>
        <v>1801789.8671946556</v>
      </c>
    </row>
    <row r="80" spans="1:14" ht="13.5">
      <c r="B80" s="2559" t="s">
        <v>55</v>
      </c>
      <c r="C80" s="2559"/>
      <c r="J80" s="791"/>
      <c r="K80" s="791"/>
      <c r="L80" s="791"/>
      <c r="M80" s="791"/>
      <c r="N80" s="925">
        <v>194593305.66</v>
      </c>
    </row>
    <row r="81" spans="2:14" ht="13.5">
      <c r="B81" s="728" t="s">
        <v>56</v>
      </c>
      <c r="C81" s="728" t="s">
        <v>163</v>
      </c>
      <c r="J81" s="791"/>
      <c r="K81" s="791"/>
      <c r="L81" s="791"/>
      <c r="M81" s="791"/>
      <c r="N81" s="925">
        <f>+N80/108</f>
        <v>1801789.8672222223</v>
      </c>
    </row>
    <row r="82" spans="2:14" ht="13.5">
      <c r="B82" s="845" t="s">
        <v>164</v>
      </c>
      <c r="C82" s="995">
        <f>+C13</f>
        <v>148922280</v>
      </c>
      <c r="J82" s="925">
        <f>+C82/108</f>
        <v>1378910</v>
      </c>
      <c r="K82" s="791"/>
      <c r="L82" s="791"/>
      <c r="M82" s="791"/>
      <c r="N82" s="715">
        <f>+N81*108</f>
        <v>194593305.66</v>
      </c>
    </row>
    <row r="83" spans="2:14" ht="25.5">
      <c r="B83" s="845" t="s">
        <v>59</v>
      </c>
      <c r="C83" s="1126">
        <f>+H79</f>
        <v>194593305.6570228</v>
      </c>
      <c r="J83" s="925">
        <f>+C83/108</f>
        <v>1801789.8671946556</v>
      </c>
      <c r="K83" s="925"/>
      <c r="L83" s="791"/>
      <c r="M83" s="791"/>
      <c r="N83" s="791"/>
    </row>
    <row r="84" spans="2:14" ht="14.25" thickBot="1">
      <c r="B84" s="978" t="s">
        <v>97</v>
      </c>
      <c r="C84" s="1127">
        <f>+C82+C83</f>
        <v>343515585.65702283</v>
      </c>
      <c r="J84" s="925">
        <f>+J82+J83</f>
        <v>3180699.8671946554</v>
      </c>
      <c r="K84" s="925">
        <f>+J84*108</f>
        <v>343515585.65702277</v>
      </c>
      <c r="L84" s="791"/>
      <c r="M84" s="791"/>
      <c r="N84" s="791"/>
    </row>
    <row r="85" spans="2:14" ht="14.25" thickTop="1">
      <c r="B85" s="900" t="s">
        <v>62</v>
      </c>
      <c r="C85" s="791"/>
      <c r="J85" s="791"/>
      <c r="K85" s="925"/>
      <c r="L85" s="791"/>
      <c r="M85" s="791"/>
      <c r="N85" s="791"/>
    </row>
    <row r="86" spans="2:14" ht="13.5">
      <c r="B86" s="814"/>
      <c r="C86" s="979"/>
      <c r="J86" s="925">
        <f>3180699.87*108</f>
        <v>343515585.96000004</v>
      </c>
      <c r="K86" s="791"/>
      <c r="L86" s="791"/>
      <c r="M86" s="791"/>
      <c r="N86" s="791"/>
    </row>
    <row r="87" spans="2:14" ht="13.5">
      <c r="B87" s="814"/>
      <c r="C87" s="979"/>
      <c r="D87" s="791"/>
      <c r="E87" s="791"/>
      <c r="F87" s="791"/>
      <c r="G87" s="791"/>
      <c r="H87" s="791"/>
    </row>
    <row r="88" spans="2:14" ht="13.5">
      <c r="B88" s="818" t="s">
        <v>63</v>
      </c>
      <c r="C88" s="979"/>
      <c r="D88" s="791"/>
      <c r="E88" s="791"/>
      <c r="F88" s="791"/>
      <c r="G88" s="791"/>
      <c r="H88" s="791"/>
    </row>
    <row r="89" spans="2:14" ht="13.5">
      <c r="B89" s="818" t="s">
        <v>64</v>
      </c>
      <c r="C89" s="979"/>
      <c r="D89" s="791"/>
      <c r="E89" s="791"/>
      <c r="F89" s="791"/>
      <c r="G89" s="791"/>
      <c r="H89" s="791"/>
    </row>
    <row r="90" spans="2:14" ht="13.5">
      <c r="B90" s="900" t="s">
        <v>65</v>
      </c>
      <c r="C90" s="979"/>
      <c r="D90" s="791"/>
      <c r="E90" s="791"/>
      <c r="F90" s="791"/>
      <c r="G90" s="791"/>
      <c r="H90" s="791"/>
    </row>
    <row r="102" spans="4:5">
      <c r="D102" t="s">
        <v>165</v>
      </c>
      <c r="E102">
        <v>0</v>
      </c>
    </row>
  </sheetData>
  <mergeCells count="3">
    <mergeCell ref="B14:H14"/>
    <mergeCell ref="B80:C80"/>
    <mergeCell ref="E79:G79"/>
  </mergeCells>
  <pageMargins left="0.7" right="0.7" top="0.75" bottom="0.75" header="0.3" footer="0.3"/>
  <pageSetup paperSize="9" scale="83"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4431B-CDE0-4584-8D0E-30BEB1B433BB}">
  <sheetPr codeName="Hoja91"/>
  <dimension ref="A2:L169"/>
  <sheetViews>
    <sheetView topLeftCell="A2" workbookViewId="0">
      <selection activeCell="F116" sqref="F116"/>
    </sheetView>
  </sheetViews>
  <sheetFormatPr defaultColWidth="11.42578125" defaultRowHeight="12.75"/>
  <cols>
    <col min="1" max="1" width="2.5703125" style="791" customWidth="1"/>
    <col min="2" max="2" width="18.5703125" style="791" customWidth="1"/>
    <col min="3" max="3" width="11.42578125" style="791" customWidth="1"/>
    <col min="4" max="5" width="8.140625" style="791" customWidth="1"/>
    <col min="6" max="6" width="11.140625" style="791" customWidth="1"/>
    <col min="7" max="7" width="9.5703125" style="791" customWidth="1"/>
    <col min="8" max="8" width="8.85546875" style="791" customWidth="1"/>
    <col min="9" max="9" width="10.5703125" style="791" customWidth="1"/>
    <col min="10" max="16384" width="11.42578125" style="791"/>
  </cols>
  <sheetData>
    <row r="2" spans="2:6">
      <c r="B2" s="789" t="s">
        <v>825</v>
      </c>
      <c r="C2" s="887" t="s">
        <v>997</v>
      </c>
    </row>
    <row r="3" spans="2:6">
      <c r="B3" s="728" t="s">
        <v>129</v>
      </c>
      <c r="C3" s="944"/>
    </row>
    <row r="4" spans="2:6">
      <c r="B4" s="728" t="s">
        <v>220</v>
      </c>
      <c r="C4" s="887" t="s">
        <v>998</v>
      </c>
    </row>
    <row r="5" spans="2:6">
      <c r="B5" s="1474" t="s">
        <v>999</v>
      </c>
      <c r="C5" s="887" t="s">
        <v>851</v>
      </c>
    </row>
    <row r="6" spans="2:6">
      <c r="B6" s="1474" t="s">
        <v>1000</v>
      </c>
      <c r="C6" s="16">
        <v>43747</v>
      </c>
    </row>
    <row r="7" spans="2:6" ht="38.25">
      <c r="B7" s="1517" t="s">
        <v>1001</v>
      </c>
      <c r="C7" s="1516">
        <v>44452</v>
      </c>
    </row>
    <row r="8" spans="2:6">
      <c r="B8" s="1474" t="s">
        <v>1002</v>
      </c>
      <c r="C8" s="2183"/>
      <c r="D8" s="854">
        <v>43759</v>
      </c>
    </row>
    <row r="9" spans="2:6">
      <c r="B9" s="728" t="s">
        <v>700</v>
      </c>
      <c r="C9" s="944" t="s">
        <v>820</v>
      </c>
    </row>
    <row r="10" spans="2:6">
      <c r="B10" s="848" t="s">
        <v>1003</v>
      </c>
      <c r="C10" s="953">
        <v>41577</v>
      </c>
    </row>
    <row r="11" spans="2:6">
      <c r="B11" s="737" t="s">
        <v>1004</v>
      </c>
      <c r="C11" s="737">
        <v>103.43</v>
      </c>
    </row>
    <row r="12" spans="2:6">
      <c r="B12" s="122" t="s">
        <v>11</v>
      </c>
      <c r="C12" s="144" t="s">
        <v>115</v>
      </c>
      <c r="D12" s="122" t="s">
        <v>76</v>
      </c>
      <c r="E12" s="122" t="s">
        <v>77</v>
      </c>
      <c r="F12" s="144" t="s">
        <v>57</v>
      </c>
    </row>
    <row r="13" spans="2:6">
      <c r="B13" s="132" t="s">
        <v>34</v>
      </c>
      <c r="C13" s="133">
        <v>4242876</v>
      </c>
      <c r="D13" s="134">
        <v>79.349999999999994</v>
      </c>
      <c r="E13" s="132">
        <f>+$C$11/D13</f>
        <v>1.3034656584751105</v>
      </c>
      <c r="F13" s="154">
        <f>+C13*E13</f>
        <v>5530443.1591682434</v>
      </c>
    </row>
    <row r="14" spans="2:6">
      <c r="B14" s="132" t="s">
        <v>35</v>
      </c>
      <c r="C14" s="133">
        <v>4242876</v>
      </c>
      <c r="D14" s="134">
        <v>76.56</v>
      </c>
      <c r="E14" s="132">
        <f>+$C$11/D14</f>
        <v>1.3509665621734588</v>
      </c>
      <c r="F14" s="154">
        <f>+C14*E14</f>
        <v>5731983.6034482764</v>
      </c>
    </row>
    <row r="15" spans="2:6">
      <c r="B15" s="132" t="s">
        <v>95</v>
      </c>
      <c r="C15" s="133">
        <v>736611</v>
      </c>
      <c r="D15" s="134">
        <v>76.56</v>
      </c>
      <c r="E15" s="132">
        <f>+$C$11/D15</f>
        <v>1.3509665621734588</v>
      </c>
      <c r="F15" s="154">
        <f>+C15*E15</f>
        <v>995136.83032915369</v>
      </c>
    </row>
    <row r="16" spans="2:6">
      <c r="B16" s="132" t="s">
        <v>96</v>
      </c>
      <c r="C16" s="133"/>
      <c r="D16" s="134"/>
      <c r="E16" s="132"/>
      <c r="F16" s="133">
        <f>SUM(F13:F15)</f>
        <v>12257563.592945673</v>
      </c>
    </row>
    <row r="17" spans="2:9">
      <c r="B17" s="132" t="s">
        <v>98</v>
      </c>
      <c r="C17" s="133"/>
      <c r="D17" s="134"/>
      <c r="E17" s="132"/>
      <c r="F17" s="133">
        <f>+C24+D24+E24</f>
        <v>763687.60000000009</v>
      </c>
    </row>
    <row r="18" spans="2:9">
      <c r="B18" s="132" t="s">
        <v>99</v>
      </c>
      <c r="C18" s="133"/>
      <c r="D18" s="134"/>
      <c r="E18" s="132"/>
      <c r="F18" s="133">
        <f>+F16-F17</f>
        <v>11493875.992945673</v>
      </c>
    </row>
    <row r="20" spans="2:9">
      <c r="B20" s="2559" t="s">
        <v>1005</v>
      </c>
      <c r="C20" s="2559"/>
      <c r="D20" s="2559"/>
      <c r="E20" s="2559"/>
      <c r="F20" s="2559"/>
      <c r="G20" s="2559"/>
      <c r="H20" s="2559"/>
      <c r="I20" s="2559"/>
    </row>
    <row r="21" spans="2:9" ht="24" customHeight="1">
      <c r="B21" s="793" t="s">
        <v>11</v>
      </c>
      <c r="C21" s="793" t="s">
        <v>1006</v>
      </c>
      <c r="D21" s="794" t="s">
        <v>1007</v>
      </c>
      <c r="E21" s="793" t="s">
        <v>974</v>
      </c>
      <c r="F21" s="794" t="s">
        <v>186</v>
      </c>
      <c r="G21" s="794" t="s">
        <v>1008</v>
      </c>
      <c r="H21" s="794" t="s">
        <v>1009</v>
      </c>
      <c r="I21" s="794" t="s">
        <v>1010</v>
      </c>
    </row>
    <row r="22" spans="2:9">
      <c r="B22" s="887" t="s">
        <v>34</v>
      </c>
      <c r="C22" s="929">
        <v>169715.04</v>
      </c>
      <c r="D22" s="929">
        <v>169700</v>
      </c>
      <c r="E22" s="929">
        <v>42428.76</v>
      </c>
      <c r="F22" s="929">
        <v>360700</v>
      </c>
      <c r="G22" s="929">
        <v>509200</v>
      </c>
      <c r="H22" s="929">
        <v>530400</v>
      </c>
      <c r="I22" s="929">
        <v>721330</v>
      </c>
    </row>
    <row r="23" spans="2:9">
      <c r="B23" s="887" t="s">
        <v>35</v>
      </c>
      <c r="C23" s="929">
        <v>169715.04</v>
      </c>
      <c r="D23" s="929">
        <v>169700</v>
      </c>
      <c r="E23" s="929">
        <v>42428.76</v>
      </c>
      <c r="F23" s="929">
        <v>360700</v>
      </c>
      <c r="G23" s="929">
        <v>509200</v>
      </c>
      <c r="H23" s="929">
        <v>530400</v>
      </c>
      <c r="I23" s="929">
        <v>721330</v>
      </c>
    </row>
    <row r="24" spans="2:9">
      <c r="B24" s="1194" t="s">
        <v>1011</v>
      </c>
      <c r="C24" s="930">
        <f t="shared" ref="C24:I24" si="0">SUM(C22:C23)</f>
        <v>339430.08</v>
      </c>
      <c r="D24" s="930">
        <f t="shared" si="0"/>
        <v>339400</v>
      </c>
      <c r="E24" s="930">
        <f t="shared" si="0"/>
        <v>84857.52</v>
      </c>
      <c r="F24" s="930">
        <f t="shared" si="0"/>
        <v>721400</v>
      </c>
      <c r="G24" s="930">
        <f t="shared" si="0"/>
        <v>1018400</v>
      </c>
      <c r="H24" s="930">
        <f t="shared" si="0"/>
        <v>1060800</v>
      </c>
      <c r="I24" s="930">
        <f t="shared" si="0"/>
        <v>1442660</v>
      </c>
    </row>
    <row r="26" spans="2:9">
      <c r="B26" s="122" t="s">
        <v>11</v>
      </c>
      <c r="C26" s="144" t="s">
        <v>12</v>
      </c>
      <c r="D26" s="122" t="s">
        <v>76</v>
      </c>
      <c r="E26" s="122" t="s">
        <v>77</v>
      </c>
      <c r="F26" s="144" t="s">
        <v>57</v>
      </c>
    </row>
    <row r="27" spans="2:9">
      <c r="B27" s="132" t="s">
        <v>16</v>
      </c>
      <c r="C27" s="929">
        <v>4476234</v>
      </c>
      <c r="D27" s="134">
        <v>79.95</v>
      </c>
      <c r="E27" s="132">
        <f>+$C$11/D27</f>
        <v>1.2936835522201375</v>
      </c>
      <c r="F27" s="133">
        <f>+C27*E27</f>
        <v>5790830.3016885547</v>
      </c>
    </row>
    <row r="28" spans="2:9">
      <c r="B28" s="132" t="s">
        <v>17</v>
      </c>
      <c r="C28" s="929">
        <v>4476234</v>
      </c>
      <c r="D28" s="134">
        <v>80.45</v>
      </c>
      <c r="E28" s="132">
        <f t="shared" ref="E28:E43" si="1">+$C$11/D28</f>
        <v>1.2856432566811684</v>
      </c>
      <c r="F28" s="133">
        <f t="shared" ref="F28:F43" si="2">+C28*E28</f>
        <v>5754840.0574269732</v>
      </c>
    </row>
    <row r="29" spans="2:9">
      <c r="B29" s="132" t="s">
        <v>19</v>
      </c>
      <c r="C29" s="929">
        <v>4476234</v>
      </c>
      <c r="D29" s="134">
        <v>80.77</v>
      </c>
      <c r="E29" s="132">
        <f t="shared" si="1"/>
        <v>1.2805497090503901</v>
      </c>
      <c r="F29" s="133">
        <f t="shared" si="2"/>
        <v>5732040.1463414636</v>
      </c>
    </row>
    <row r="30" spans="2:9">
      <c r="B30" s="132" t="s">
        <v>21</v>
      </c>
      <c r="C30" s="929">
        <v>4476234</v>
      </c>
      <c r="D30" s="134">
        <v>81.14</v>
      </c>
      <c r="E30" s="132">
        <f t="shared" si="1"/>
        <v>1.2747103771259551</v>
      </c>
      <c r="F30" s="133">
        <f t="shared" si="2"/>
        <v>5705901.930244023</v>
      </c>
    </row>
    <row r="31" spans="2:9">
      <c r="B31" s="132" t="s">
        <v>23</v>
      </c>
      <c r="C31" s="929">
        <v>4476234</v>
      </c>
      <c r="D31" s="134">
        <v>81.53</v>
      </c>
      <c r="E31" s="132">
        <f t="shared" si="1"/>
        <v>1.2686127805715688</v>
      </c>
      <c r="F31" s="133">
        <f t="shared" si="2"/>
        <v>5678607.6612289958</v>
      </c>
    </row>
    <row r="32" spans="2:9">
      <c r="B32" s="132" t="s">
        <v>25</v>
      </c>
      <c r="C32" s="929">
        <v>4476234</v>
      </c>
      <c r="D32" s="134">
        <v>81.61</v>
      </c>
      <c r="E32" s="132">
        <f t="shared" si="1"/>
        <v>1.2673691949515991</v>
      </c>
      <c r="F32" s="133">
        <f t="shared" si="2"/>
        <v>5673041.0809949758</v>
      </c>
    </row>
    <row r="33" spans="2:9">
      <c r="B33" s="132" t="s">
        <v>27</v>
      </c>
      <c r="C33" s="929">
        <v>4476234</v>
      </c>
      <c r="D33" s="134">
        <v>81.73</v>
      </c>
      <c r="E33" s="132">
        <f t="shared" si="1"/>
        <v>1.2655083812553529</v>
      </c>
      <c r="F33" s="133">
        <f t="shared" si="2"/>
        <v>5664711.6434601732</v>
      </c>
    </row>
    <row r="34" spans="2:9">
      <c r="B34" s="132" t="s">
        <v>29</v>
      </c>
      <c r="C34" s="929">
        <v>4476234</v>
      </c>
      <c r="D34" s="134">
        <v>81.900000000000006</v>
      </c>
      <c r="E34" s="132">
        <f t="shared" si="1"/>
        <v>1.2628815628815628</v>
      </c>
      <c r="F34" s="133">
        <f t="shared" si="2"/>
        <v>5652953.3897435898</v>
      </c>
    </row>
    <row r="35" spans="2:9">
      <c r="B35" s="132" t="s">
        <v>31</v>
      </c>
      <c r="C35" s="929">
        <v>4476234</v>
      </c>
      <c r="D35" s="134">
        <v>82.01</v>
      </c>
      <c r="E35" s="132">
        <f t="shared" si="1"/>
        <v>1.2611876600414584</v>
      </c>
      <c r="F35" s="133">
        <f t="shared" si="2"/>
        <v>5645371.0842580181</v>
      </c>
    </row>
    <row r="36" spans="2:9">
      <c r="B36" s="132" t="s">
        <v>33</v>
      </c>
      <c r="C36" s="929">
        <v>4476234</v>
      </c>
      <c r="D36" s="134">
        <v>82.14</v>
      </c>
      <c r="E36" s="132">
        <f t="shared" si="1"/>
        <v>1.2591916240564891</v>
      </c>
      <c r="F36" s="133">
        <f t="shared" si="2"/>
        <v>5636436.3601168748</v>
      </c>
    </row>
    <row r="37" spans="2:9">
      <c r="B37" s="132" t="s">
        <v>34</v>
      </c>
      <c r="C37" s="929">
        <v>4476234</v>
      </c>
      <c r="D37" s="134">
        <v>82.25</v>
      </c>
      <c r="E37" s="132">
        <f t="shared" si="1"/>
        <v>1.2575075987841946</v>
      </c>
      <c r="F37" s="133">
        <f t="shared" si="2"/>
        <v>5628898.2689361703</v>
      </c>
    </row>
    <row r="38" spans="2:9">
      <c r="B38" s="132" t="s">
        <v>35</v>
      </c>
      <c r="C38" s="929">
        <v>4476234</v>
      </c>
      <c r="D38" s="134">
        <v>82.47</v>
      </c>
      <c r="E38" s="132">
        <f t="shared" si="1"/>
        <v>1.2541530253425488</v>
      </c>
      <c r="F38" s="133">
        <f t="shared" si="2"/>
        <v>5613882.4132411787</v>
      </c>
    </row>
    <row r="39" spans="2:9">
      <c r="B39" s="132" t="s">
        <v>101</v>
      </c>
      <c r="C39" s="929">
        <v>944150</v>
      </c>
      <c r="D39" s="134">
        <v>81.61</v>
      </c>
      <c r="E39" s="132">
        <f t="shared" si="1"/>
        <v>1.2673691949515991</v>
      </c>
      <c r="F39" s="133">
        <f t="shared" si="2"/>
        <v>1196586.6254135522</v>
      </c>
    </row>
    <row r="40" spans="2:9">
      <c r="B40" s="132" t="s">
        <v>102</v>
      </c>
      <c r="C40" s="929">
        <v>1597422</v>
      </c>
      <c r="D40" s="134">
        <v>81.53</v>
      </c>
      <c r="E40" s="132">
        <f t="shared" si="1"/>
        <v>1.2686127805715688</v>
      </c>
      <c r="F40" s="133">
        <f t="shared" si="2"/>
        <v>2026509.9651661965</v>
      </c>
    </row>
    <row r="41" spans="2:9">
      <c r="B41" s="132" t="s">
        <v>103</v>
      </c>
      <c r="C41" s="929">
        <v>153352</v>
      </c>
      <c r="D41" s="134">
        <v>81.53</v>
      </c>
      <c r="E41" s="132">
        <f t="shared" si="1"/>
        <v>1.2686127805715688</v>
      </c>
      <c r="F41" s="133">
        <f t="shared" si="2"/>
        <v>194544.30712621121</v>
      </c>
    </row>
    <row r="42" spans="2:9">
      <c r="B42" s="132" t="s">
        <v>104</v>
      </c>
      <c r="C42" s="929">
        <v>1677293</v>
      </c>
      <c r="D42" s="134">
        <v>81.53</v>
      </c>
      <c r="E42" s="132">
        <f t="shared" si="1"/>
        <v>1.2686127805715688</v>
      </c>
      <c r="F42" s="133">
        <f t="shared" si="2"/>
        <v>2127835.3365632282</v>
      </c>
    </row>
    <row r="43" spans="2:9">
      <c r="B43" s="132" t="s">
        <v>95</v>
      </c>
      <c r="C43" s="929">
        <v>4885381</v>
      </c>
      <c r="D43" s="134">
        <v>82.25</v>
      </c>
      <c r="E43" s="132">
        <f t="shared" si="1"/>
        <v>1.2575075987841946</v>
      </c>
      <c r="F43" s="133">
        <f t="shared" si="2"/>
        <v>6143403.7304559276</v>
      </c>
    </row>
    <row r="44" spans="2:9">
      <c r="B44" s="132" t="s">
        <v>96</v>
      </c>
      <c r="C44" s="133"/>
      <c r="D44" s="134"/>
      <c r="E44" s="132"/>
      <c r="F44" s="133">
        <f>SUM(F27:F43)</f>
        <v>79866394.302406102</v>
      </c>
    </row>
    <row r="45" spans="2:9">
      <c r="B45" s="132" t="s">
        <v>98</v>
      </c>
      <c r="C45" s="133"/>
      <c r="D45" s="134"/>
      <c r="E45" s="132"/>
      <c r="F45" s="133">
        <f>+C61+D61+E61</f>
        <v>4833169.3599999994</v>
      </c>
    </row>
    <row r="46" spans="2:9">
      <c r="B46" s="132" t="s">
        <v>99</v>
      </c>
      <c r="C46" s="133"/>
      <c r="D46" s="134"/>
      <c r="E46" s="132"/>
      <c r="F46" s="133">
        <f>+F44-F45</f>
        <v>75033224.942406103</v>
      </c>
    </row>
    <row r="47" spans="2:9">
      <c r="B47" s="2559" t="s">
        <v>1012</v>
      </c>
      <c r="C47" s="2559"/>
      <c r="D47" s="2559"/>
      <c r="E47" s="2559"/>
      <c r="F47" s="2559"/>
      <c r="G47" s="2559"/>
      <c r="H47" s="2559"/>
      <c r="I47" s="2559"/>
    </row>
    <row r="48" spans="2:9" ht="25.5">
      <c r="B48" s="830" t="s">
        <v>11</v>
      </c>
      <c r="C48" s="830" t="s">
        <v>1006</v>
      </c>
      <c r="D48" s="984" t="s">
        <v>1007</v>
      </c>
      <c r="E48" s="830" t="s">
        <v>974</v>
      </c>
      <c r="F48" s="984" t="s">
        <v>186</v>
      </c>
      <c r="G48" s="984" t="s">
        <v>1008</v>
      </c>
      <c r="H48" s="830" t="s">
        <v>82</v>
      </c>
      <c r="I48" s="830" t="s">
        <v>83</v>
      </c>
    </row>
    <row r="49" spans="2:9">
      <c r="B49" s="132" t="s">
        <v>16</v>
      </c>
      <c r="C49" s="133">
        <f>+C27*0.04</f>
        <v>179049.36000000002</v>
      </c>
      <c r="D49" s="135">
        <v>179000</v>
      </c>
      <c r="E49" s="135">
        <v>44760</v>
      </c>
      <c r="F49" s="135">
        <v>380500</v>
      </c>
      <c r="G49" s="135">
        <v>537200</v>
      </c>
      <c r="H49" s="135">
        <v>559500</v>
      </c>
      <c r="I49" s="135">
        <v>760960</v>
      </c>
    </row>
    <row r="50" spans="2:9">
      <c r="B50" s="132" t="s">
        <v>17</v>
      </c>
      <c r="C50" s="133">
        <v>179000</v>
      </c>
      <c r="D50" s="135">
        <v>179000</v>
      </c>
      <c r="E50" s="135">
        <v>44760</v>
      </c>
      <c r="F50" s="135">
        <v>380500</v>
      </c>
      <c r="G50" s="135">
        <v>537200</v>
      </c>
      <c r="H50" s="135">
        <v>559500</v>
      </c>
      <c r="I50" s="135">
        <v>760960</v>
      </c>
    </row>
    <row r="51" spans="2:9">
      <c r="B51" s="132" t="s">
        <v>19</v>
      </c>
      <c r="C51" s="133">
        <v>179000</v>
      </c>
      <c r="D51" s="135">
        <v>179000</v>
      </c>
      <c r="E51" s="135">
        <v>44760</v>
      </c>
      <c r="F51" s="135">
        <v>380500</v>
      </c>
      <c r="G51" s="135">
        <v>537200</v>
      </c>
      <c r="H51" s="135">
        <v>559500</v>
      </c>
      <c r="I51" s="135">
        <v>760960</v>
      </c>
    </row>
    <row r="52" spans="2:9">
      <c r="B52" s="132" t="s">
        <v>21</v>
      </c>
      <c r="C52" s="133">
        <v>179000</v>
      </c>
      <c r="D52" s="135">
        <v>179000</v>
      </c>
      <c r="E52" s="135">
        <v>44760</v>
      </c>
      <c r="F52" s="135">
        <v>380500</v>
      </c>
      <c r="G52" s="135">
        <v>537200</v>
      </c>
      <c r="H52" s="135">
        <v>559500</v>
      </c>
      <c r="I52" s="135">
        <v>760960</v>
      </c>
    </row>
    <row r="53" spans="2:9">
      <c r="B53" s="132" t="s">
        <v>23</v>
      </c>
      <c r="C53" s="133">
        <v>179000</v>
      </c>
      <c r="D53" s="135">
        <v>179000</v>
      </c>
      <c r="E53" s="135">
        <v>44760</v>
      </c>
      <c r="F53" s="135">
        <v>380500</v>
      </c>
      <c r="G53" s="135">
        <v>537200</v>
      </c>
      <c r="H53" s="135">
        <v>559500</v>
      </c>
      <c r="I53" s="135">
        <v>760960</v>
      </c>
    </row>
    <row r="54" spans="2:9">
      <c r="B54" s="132" t="s">
        <v>25</v>
      </c>
      <c r="C54" s="133">
        <v>179000</v>
      </c>
      <c r="D54" s="135">
        <v>179000</v>
      </c>
      <c r="E54" s="135">
        <v>44760</v>
      </c>
      <c r="F54" s="135">
        <v>380500</v>
      </c>
      <c r="G54" s="135">
        <v>537200</v>
      </c>
      <c r="H54" s="135">
        <v>559500</v>
      </c>
      <c r="I54" s="135">
        <v>760960</v>
      </c>
    </row>
    <row r="55" spans="2:9">
      <c r="B55" s="132" t="s">
        <v>27</v>
      </c>
      <c r="C55" s="133">
        <v>179000</v>
      </c>
      <c r="D55" s="135">
        <v>179000</v>
      </c>
      <c r="E55" s="135">
        <v>44760</v>
      </c>
      <c r="F55" s="135">
        <v>380500</v>
      </c>
      <c r="G55" s="135">
        <v>537200</v>
      </c>
      <c r="H55" s="135">
        <v>559500</v>
      </c>
      <c r="I55" s="135">
        <v>760960</v>
      </c>
    </row>
    <row r="56" spans="2:9">
      <c r="B56" s="132" t="s">
        <v>29</v>
      </c>
      <c r="C56" s="133">
        <v>179000</v>
      </c>
      <c r="D56" s="135">
        <v>179000</v>
      </c>
      <c r="E56" s="135">
        <v>44760</v>
      </c>
      <c r="F56" s="135">
        <v>380500</v>
      </c>
      <c r="G56" s="135">
        <v>537200</v>
      </c>
      <c r="H56" s="135">
        <v>559500</v>
      </c>
      <c r="I56" s="135">
        <v>760960</v>
      </c>
    </row>
    <row r="57" spans="2:9">
      <c r="B57" s="132" t="s">
        <v>31</v>
      </c>
      <c r="C57" s="133">
        <v>179000</v>
      </c>
      <c r="D57" s="135">
        <v>179000</v>
      </c>
      <c r="E57" s="135">
        <v>44760</v>
      </c>
      <c r="F57" s="135">
        <v>380500</v>
      </c>
      <c r="G57" s="135">
        <v>537200</v>
      </c>
      <c r="H57" s="135">
        <v>559500</v>
      </c>
      <c r="I57" s="135">
        <v>760960</v>
      </c>
    </row>
    <row r="58" spans="2:9">
      <c r="B58" s="132" t="s">
        <v>33</v>
      </c>
      <c r="C58" s="133">
        <v>179000</v>
      </c>
      <c r="D58" s="135">
        <v>179000</v>
      </c>
      <c r="E58" s="135">
        <v>44760</v>
      </c>
      <c r="F58" s="135">
        <v>380500</v>
      </c>
      <c r="G58" s="135">
        <v>537200</v>
      </c>
      <c r="H58" s="135">
        <v>559500</v>
      </c>
      <c r="I58" s="135">
        <v>760960</v>
      </c>
    </row>
    <row r="59" spans="2:9">
      <c r="B59" s="132" t="s">
        <v>34</v>
      </c>
      <c r="C59" s="133">
        <v>179000</v>
      </c>
      <c r="D59" s="135">
        <v>179000</v>
      </c>
      <c r="E59" s="135">
        <v>44760</v>
      </c>
      <c r="F59" s="135">
        <v>380500</v>
      </c>
      <c r="G59" s="135">
        <v>537200</v>
      </c>
      <c r="H59" s="135">
        <v>559500</v>
      </c>
      <c r="I59" s="135">
        <v>760960</v>
      </c>
    </row>
    <row r="60" spans="2:9">
      <c r="B60" s="132" t="s">
        <v>35</v>
      </c>
      <c r="C60" s="133">
        <v>179000</v>
      </c>
      <c r="D60" s="135">
        <v>179000</v>
      </c>
      <c r="E60" s="135">
        <v>44760</v>
      </c>
      <c r="F60" s="135">
        <v>380500</v>
      </c>
      <c r="G60" s="135">
        <v>537200</v>
      </c>
      <c r="H60" s="135">
        <v>559500</v>
      </c>
      <c r="I60" s="135">
        <v>760960</v>
      </c>
    </row>
    <row r="61" spans="2:9">
      <c r="B61" s="1194" t="s">
        <v>1011</v>
      </c>
      <c r="C61" s="930">
        <f>SUM(C49:C60)</f>
        <v>2148049.36</v>
      </c>
      <c r="D61" s="930">
        <f t="shared" ref="D61:I61" si="3">SUM(D49:D60)</f>
        <v>2148000</v>
      </c>
      <c r="E61" s="930">
        <f t="shared" si="3"/>
        <v>537120</v>
      </c>
      <c r="F61" s="930">
        <f t="shared" si="3"/>
        <v>4566000</v>
      </c>
      <c r="G61" s="930">
        <f t="shared" si="3"/>
        <v>6446400</v>
      </c>
      <c r="H61" s="930">
        <f t="shared" si="3"/>
        <v>6714000</v>
      </c>
      <c r="I61" s="930">
        <f t="shared" si="3"/>
        <v>9131520</v>
      </c>
    </row>
    <row r="63" spans="2:9">
      <c r="B63" s="122" t="s">
        <v>11</v>
      </c>
      <c r="C63" s="144" t="s">
        <v>13</v>
      </c>
      <c r="D63" s="122" t="s">
        <v>76</v>
      </c>
      <c r="E63" s="122" t="s">
        <v>77</v>
      </c>
      <c r="F63" s="144" t="s">
        <v>57</v>
      </c>
    </row>
    <row r="64" spans="2:9">
      <c r="B64" s="132" t="s">
        <v>16</v>
      </c>
      <c r="C64" s="133">
        <v>4744808</v>
      </c>
      <c r="D64" s="134">
        <v>83</v>
      </c>
      <c r="E64" s="132">
        <f>+$C$11/D64</f>
        <v>1.2461445783132532</v>
      </c>
      <c r="F64" s="133">
        <f>+C64*E64</f>
        <v>5912716.7643373506</v>
      </c>
    </row>
    <row r="65" spans="2:6">
      <c r="B65" s="132" t="s">
        <v>17</v>
      </c>
      <c r="C65" s="133">
        <v>4744808</v>
      </c>
      <c r="D65" s="134">
        <v>83.96</v>
      </c>
      <c r="E65" s="132">
        <f t="shared" ref="E65:E80" si="4">+$C$11/D65</f>
        <v>1.2318961410195333</v>
      </c>
      <c r="F65" s="133">
        <f t="shared" ref="F65:F80" si="5">+C65*E65</f>
        <v>5845110.6650786093</v>
      </c>
    </row>
    <row r="66" spans="2:6">
      <c r="B66" s="132" t="s">
        <v>19</v>
      </c>
      <c r="C66" s="133">
        <v>4744808</v>
      </c>
      <c r="D66" s="134">
        <v>84.45</v>
      </c>
      <c r="E66" s="132">
        <f t="shared" si="4"/>
        <v>1.2247483718176435</v>
      </c>
      <c r="F66" s="133">
        <f t="shared" si="5"/>
        <v>5811195.8725873297</v>
      </c>
    </row>
    <row r="67" spans="2:6">
      <c r="B67" s="132" t="s">
        <v>21</v>
      </c>
      <c r="C67" s="133">
        <v>4744808</v>
      </c>
      <c r="D67" s="134">
        <v>84.9</v>
      </c>
      <c r="E67" s="132">
        <f t="shared" si="4"/>
        <v>1.2182567726737339</v>
      </c>
      <c r="F67" s="133">
        <f t="shared" si="5"/>
        <v>5780394.481036514</v>
      </c>
    </row>
    <row r="68" spans="2:6">
      <c r="B68" s="132" t="s">
        <v>23</v>
      </c>
      <c r="C68" s="133">
        <v>4744808</v>
      </c>
      <c r="D68" s="134">
        <v>85.12</v>
      </c>
      <c r="E68" s="132">
        <f t="shared" si="4"/>
        <v>1.2151080827067668</v>
      </c>
      <c r="F68" s="133">
        <f t="shared" si="5"/>
        <v>5765454.5516917286</v>
      </c>
    </row>
    <row r="69" spans="2:6">
      <c r="B69" s="132" t="s">
        <v>25</v>
      </c>
      <c r="C69" s="133">
        <v>4744808</v>
      </c>
      <c r="D69" s="134">
        <v>85.21</v>
      </c>
      <c r="E69" s="132">
        <f t="shared" si="4"/>
        <v>1.2138246684661427</v>
      </c>
      <c r="F69" s="133">
        <f t="shared" si="5"/>
        <v>5759364.9975355016</v>
      </c>
    </row>
    <row r="70" spans="2:6">
      <c r="B70" s="132" t="s">
        <v>27</v>
      </c>
      <c r="C70" s="133">
        <v>4744808</v>
      </c>
      <c r="D70" s="134">
        <v>85.37</v>
      </c>
      <c r="E70" s="132">
        <f t="shared" si="4"/>
        <v>1.2115497247276561</v>
      </c>
      <c r="F70" s="133">
        <f t="shared" si="5"/>
        <v>5748570.8262855802</v>
      </c>
    </row>
    <row r="71" spans="2:6">
      <c r="B71" s="132" t="s">
        <v>29</v>
      </c>
      <c r="C71" s="133">
        <v>4744808</v>
      </c>
      <c r="D71" s="134">
        <v>85.78</v>
      </c>
      <c r="E71" s="132">
        <f t="shared" si="4"/>
        <v>1.2057589181627419</v>
      </c>
      <c r="F71" s="133">
        <f t="shared" si="5"/>
        <v>5721094.5609699236</v>
      </c>
    </row>
    <row r="72" spans="2:6">
      <c r="B72" s="132" t="s">
        <v>31</v>
      </c>
      <c r="C72" s="133">
        <v>4744808</v>
      </c>
      <c r="D72" s="134">
        <v>86.39</v>
      </c>
      <c r="E72" s="132">
        <f t="shared" si="4"/>
        <v>1.1972450515105917</v>
      </c>
      <c r="F72" s="133">
        <f t="shared" si="5"/>
        <v>5680697.8983678678</v>
      </c>
    </row>
    <row r="73" spans="2:6">
      <c r="B73" s="132" t="s">
        <v>33</v>
      </c>
      <c r="C73" s="133">
        <v>4744808</v>
      </c>
      <c r="D73" s="134">
        <v>86.98</v>
      </c>
      <c r="E73" s="132">
        <f t="shared" si="4"/>
        <v>1.1891239365371351</v>
      </c>
      <c r="F73" s="133">
        <f t="shared" si="5"/>
        <v>5642164.7670728909</v>
      </c>
    </row>
    <row r="74" spans="2:6">
      <c r="B74" s="132" t="s">
        <v>34</v>
      </c>
      <c r="C74" s="133">
        <v>4744808</v>
      </c>
      <c r="D74" s="134">
        <v>87.51</v>
      </c>
      <c r="E74" s="132">
        <f t="shared" si="4"/>
        <v>1.1819220660495944</v>
      </c>
      <c r="F74" s="133">
        <f t="shared" si="5"/>
        <v>5607993.2743686438</v>
      </c>
    </row>
    <row r="75" spans="2:6">
      <c r="B75" s="132" t="s">
        <v>35</v>
      </c>
      <c r="C75" s="133">
        <v>0</v>
      </c>
      <c r="D75" s="134">
        <v>88.05</v>
      </c>
      <c r="E75" s="132">
        <f t="shared" si="4"/>
        <v>1.1746734809767179</v>
      </c>
      <c r="F75" s="133">
        <f t="shared" si="5"/>
        <v>0</v>
      </c>
    </row>
    <row r="76" spans="2:6">
      <c r="B76" s="132" t="s">
        <v>101</v>
      </c>
      <c r="C76" s="133">
        <v>2372404</v>
      </c>
      <c r="D76" s="134">
        <v>85.21</v>
      </c>
      <c r="E76" s="132">
        <f t="shared" si="4"/>
        <v>1.2138246684661427</v>
      </c>
      <c r="F76" s="133">
        <f t="shared" si="5"/>
        <v>2879682.4987677508</v>
      </c>
    </row>
    <row r="77" spans="2:6">
      <c r="B77" s="132" t="s">
        <v>102</v>
      </c>
      <c r="C77" s="133">
        <v>3254944</v>
      </c>
      <c r="D77" s="134">
        <v>85.12</v>
      </c>
      <c r="E77" s="132">
        <f t="shared" si="4"/>
        <v>1.2151080827067668</v>
      </c>
      <c r="F77" s="133">
        <f t="shared" si="5"/>
        <v>3955108.7631578944</v>
      </c>
    </row>
    <row r="78" spans="2:6">
      <c r="B78" s="132" t="s">
        <v>103</v>
      </c>
      <c r="C78" s="133">
        <v>316321</v>
      </c>
      <c r="D78" s="134">
        <v>85.12</v>
      </c>
      <c r="E78" s="132">
        <f t="shared" si="4"/>
        <v>1.2151080827067668</v>
      </c>
      <c r="F78" s="133">
        <f t="shared" si="5"/>
        <v>384364.20382988721</v>
      </c>
    </row>
    <row r="79" spans="2:6">
      <c r="B79" s="132" t="s">
        <v>104</v>
      </c>
      <c r="C79" s="133">
        <v>3417691</v>
      </c>
      <c r="D79" s="134">
        <v>85.12</v>
      </c>
      <c r="E79" s="132">
        <f t="shared" si="4"/>
        <v>1.2151080827067668</v>
      </c>
      <c r="F79" s="133">
        <f t="shared" si="5"/>
        <v>4152863.9582941728</v>
      </c>
    </row>
    <row r="80" spans="2:6">
      <c r="B80" s="132" t="s">
        <v>95</v>
      </c>
      <c r="C80" s="133">
        <v>5105053</v>
      </c>
      <c r="D80" s="134">
        <v>88.05</v>
      </c>
      <c r="E80" s="132">
        <f t="shared" si="4"/>
        <v>1.1746734809767179</v>
      </c>
      <c r="F80" s="133">
        <f t="shared" si="5"/>
        <v>5996770.3780806363</v>
      </c>
    </row>
    <row r="81" spans="2:9">
      <c r="B81" s="132" t="s">
        <v>96</v>
      </c>
      <c r="C81" s="133"/>
      <c r="D81" s="134"/>
      <c r="E81" s="132"/>
      <c r="F81" s="133">
        <f>SUM(F64:F80)</f>
        <v>80643548.461462274</v>
      </c>
    </row>
    <row r="82" spans="2:9">
      <c r="B82" s="132" t="s">
        <v>98</v>
      </c>
      <c r="C82" s="133"/>
      <c r="D82" s="134"/>
      <c r="E82" s="132"/>
      <c r="F82" s="133">
        <f>+C99+D99+E99</f>
        <v>4697550</v>
      </c>
    </row>
    <row r="83" spans="2:9">
      <c r="B83" s="132" t="s">
        <v>99</v>
      </c>
      <c r="C83" s="133"/>
      <c r="D83" s="134"/>
      <c r="E83" s="132"/>
      <c r="F83" s="133">
        <f>+F81-F82</f>
        <v>75945998.461462274</v>
      </c>
    </row>
    <row r="85" spans="2:9">
      <c r="B85" s="2559" t="s">
        <v>1013</v>
      </c>
      <c r="C85" s="2559"/>
      <c r="D85" s="2559"/>
      <c r="E85" s="2559"/>
      <c r="F85" s="2559"/>
      <c r="G85" s="2559"/>
      <c r="H85" s="2559"/>
      <c r="I85" s="2559"/>
    </row>
    <row r="86" spans="2:9" ht="25.5">
      <c r="B86" s="793" t="s">
        <v>11</v>
      </c>
      <c r="C86" s="794" t="s">
        <v>1006</v>
      </c>
      <c r="D86" s="794" t="s">
        <v>1007</v>
      </c>
      <c r="E86" s="793" t="s">
        <v>974</v>
      </c>
      <c r="F86" s="794" t="s">
        <v>186</v>
      </c>
      <c r="G86" s="794" t="s">
        <v>1008</v>
      </c>
      <c r="H86" s="793" t="s">
        <v>1009</v>
      </c>
      <c r="I86" s="793" t="s">
        <v>1010</v>
      </c>
    </row>
    <row r="87" spans="2:9">
      <c r="B87" s="132" t="s">
        <v>16</v>
      </c>
      <c r="C87" s="133">
        <v>189800</v>
      </c>
      <c r="D87" s="135">
        <v>189800</v>
      </c>
      <c r="E87" s="135">
        <v>47450</v>
      </c>
      <c r="F87" s="135">
        <v>403300</v>
      </c>
      <c r="G87" s="135">
        <v>569400</v>
      </c>
      <c r="H87" s="135">
        <v>593100</v>
      </c>
      <c r="I87" s="135">
        <v>806650</v>
      </c>
    </row>
    <row r="88" spans="2:9">
      <c r="B88" s="132" t="s">
        <v>17</v>
      </c>
      <c r="C88" s="133">
        <v>189800</v>
      </c>
      <c r="D88" s="135">
        <v>189800</v>
      </c>
      <c r="E88" s="135">
        <v>47450</v>
      </c>
      <c r="F88" s="135">
        <v>403300</v>
      </c>
      <c r="G88" s="135">
        <v>569400</v>
      </c>
      <c r="H88" s="135">
        <v>593100</v>
      </c>
      <c r="I88" s="135">
        <v>806650</v>
      </c>
    </row>
    <row r="89" spans="2:9">
      <c r="B89" s="132" t="s">
        <v>19</v>
      </c>
      <c r="C89" s="133">
        <v>189800</v>
      </c>
      <c r="D89" s="135">
        <v>189800</v>
      </c>
      <c r="E89" s="135">
        <v>47450</v>
      </c>
      <c r="F89" s="135">
        <v>403300</v>
      </c>
      <c r="G89" s="135">
        <v>569400</v>
      </c>
      <c r="H89" s="135">
        <v>593100</v>
      </c>
      <c r="I89" s="135">
        <v>806650</v>
      </c>
    </row>
    <row r="90" spans="2:9">
      <c r="B90" s="132" t="s">
        <v>21</v>
      </c>
      <c r="C90" s="133">
        <v>189800</v>
      </c>
      <c r="D90" s="135">
        <v>189800</v>
      </c>
      <c r="E90" s="135">
        <v>47450</v>
      </c>
      <c r="F90" s="135">
        <v>403300</v>
      </c>
      <c r="G90" s="135">
        <v>569400</v>
      </c>
      <c r="H90" s="135">
        <v>593100</v>
      </c>
      <c r="I90" s="135">
        <v>806650</v>
      </c>
    </row>
    <row r="91" spans="2:9">
      <c r="B91" s="132" t="s">
        <v>23</v>
      </c>
      <c r="C91" s="133">
        <v>189800</v>
      </c>
      <c r="D91" s="135">
        <v>189800</v>
      </c>
      <c r="E91" s="135">
        <v>47450</v>
      </c>
      <c r="F91" s="135">
        <v>403300</v>
      </c>
      <c r="G91" s="135">
        <v>569400</v>
      </c>
      <c r="H91" s="135">
        <v>593100</v>
      </c>
      <c r="I91" s="135">
        <v>806650</v>
      </c>
    </row>
    <row r="92" spans="2:9">
      <c r="B92" s="132" t="s">
        <v>25</v>
      </c>
      <c r="C92" s="133">
        <v>189800</v>
      </c>
      <c r="D92" s="135">
        <v>189800</v>
      </c>
      <c r="E92" s="135">
        <v>47450</v>
      </c>
      <c r="F92" s="135">
        <v>403300</v>
      </c>
      <c r="G92" s="135">
        <v>569400</v>
      </c>
      <c r="H92" s="135">
        <v>593100</v>
      </c>
      <c r="I92" s="135">
        <v>806650</v>
      </c>
    </row>
    <row r="93" spans="2:9">
      <c r="B93" s="132" t="s">
        <v>27</v>
      </c>
      <c r="C93" s="133">
        <v>189800</v>
      </c>
      <c r="D93" s="135">
        <v>189800</v>
      </c>
      <c r="E93" s="135">
        <v>47450</v>
      </c>
      <c r="F93" s="135">
        <v>403300</v>
      </c>
      <c r="G93" s="135">
        <v>569400</v>
      </c>
      <c r="H93" s="135">
        <v>593100</v>
      </c>
      <c r="I93" s="135">
        <v>806650</v>
      </c>
    </row>
    <row r="94" spans="2:9">
      <c r="B94" s="132" t="s">
        <v>29</v>
      </c>
      <c r="C94" s="133">
        <v>189800</v>
      </c>
      <c r="D94" s="135">
        <v>189800</v>
      </c>
      <c r="E94" s="135">
        <v>47450</v>
      </c>
      <c r="F94" s="135">
        <v>403300</v>
      </c>
      <c r="G94" s="135">
        <v>569400</v>
      </c>
      <c r="H94" s="135">
        <v>593100</v>
      </c>
      <c r="I94" s="135">
        <v>806650</v>
      </c>
    </row>
    <row r="95" spans="2:9">
      <c r="B95" s="132" t="s">
        <v>31</v>
      </c>
      <c r="C95" s="133">
        <v>189800</v>
      </c>
      <c r="D95" s="135">
        <v>189800</v>
      </c>
      <c r="E95" s="135">
        <v>47450</v>
      </c>
      <c r="F95" s="135">
        <v>403300</v>
      </c>
      <c r="G95" s="135">
        <v>569400</v>
      </c>
      <c r="H95" s="135">
        <v>593100</v>
      </c>
      <c r="I95" s="135">
        <v>806650</v>
      </c>
    </row>
    <row r="96" spans="2:9">
      <c r="B96" s="132" t="s">
        <v>33</v>
      </c>
      <c r="C96" s="133">
        <v>189800</v>
      </c>
      <c r="D96" s="135">
        <v>189800</v>
      </c>
      <c r="E96" s="135">
        <v>47450</v>
      </c>
      <c r="F96" s="135">
        <v>403300</v>
      </c>
      <c r="G96" s="135">
        <v>569400</v>
      </c>
      <c r="H96" s="135">
        <v>593100</v>
      </c>
      <c r="I96" s="135">
        <v>806650</v>
      </c>
    </row>
    <row r="97" spans="2:9">
      <c r="B97" s="132" t="s">
        <v>34</v>
      </c>
      <c r="C97" s="133">
        <v>189800</v>
      </c>
      <c r="D97" s="135">
        <v>189800</v>
      </c>
      <c r="E97" s="135">
        <v>47450</v>
      </c>
      <c r="F97" s="135">
        <v>403300</v>
      </c>
      <c r="G97" s="135">
        <v>569400</v>
      </c>
      <c r="H97" s="135">
        <v>593100</v>
      </c>
      <c r="I97" s="135">
        <v>806650</v>
      </c>
    </row>
    <row r="98" spans="2:9">
      <c r="B98" s="132" t="s">
        <v>35</v>
      </c>
      <c r="C98" s="133">
        <v>0</v>
      </c>
      <c r="D98" s="135">
        <v>0</v>
      </c>
      <c r="E98" s="135">
        <v>0</v>
      </c>
      <c r="F98" s="135">
        <v>0</v>
      </c>
      <c r="G98" s="135">
        <v>0</v>
      </c>
      <c r="H98" s="135">
        <v>0</v>
      </c>
      <c r="I98" s="135">
        <v>0</v>
      </c>
    </row>
    <row r="99" spans="2:9">
      <c r="B99" s="728" t="s">
        <v>190</v>
      </c>
      <c r="C99" s="1501">
        <f t="shared" ref="C99:I99" si="6">SUM(C87:C98)</f>
        <v>2087800</v>
      </c>
      <c r="D99" s="1501">
        <f t="shared" si="6"/>
        <v>2087800</v>
      </c>
      <c r="E99" s="1501">
        <f t="shared" si="6"/>
        <v>521950</v>
      </c>
      <c r="F99" s="1501">
        <f t="shared" si="6"/>
        <v>4436300</v>
      </c>
      <c r="G99" s="1501">
        <f t="shared" si="6"/>
        <v>6263400</v>
      </c>
      <c r="H99" s="1501">
        <f t="shared" si="6"/>
        <v>6524100</v>
      </c>
      <c r="I99" s="1501">
        <f t="shared" si="6"/>
        <v>8873150</v>
      </c>
    </row>
    <row r="101" spans="2:9">
      <c r="B101" s="1512"/>
      <c r="C101" s="139" t="s">
        <v>208</v>
      </c>
      <c r="D101" s="1485"/>
      <c r="E101" s="1489"/>
      <c r="F101" s="139"/>
    </row>
    <row r="102" spans="2:9">
      <c r="B102" s="122" t="s">
        <v>185</v>
      </c>
      <c r="C102" s="139"/>
      <c r="D102" s="1482" t="s">
        <v>76</v>
      </c>
      <c r="E102" s="1498" t="s">
        <v>77</v>
      </c>
      <c r="F102" s="122" t="s">
        <v>57</v>
      </c>
    </row>
    <row r="103" spans="2:9">
      <c r="B103" s="122">
        <v>2013</v>
      </c>
      <c r="C103" s="142">
        <f>(C13*60)/360</f>
        <v>707146</v>
      </c>
      <c r="D103" s="1483">
        <v>79.56</v>
      </c>
      <c r="E103" s="1483">
        <f>+$C$11/D103</f>
        <v>1.3000251382604324</v>
      </c>
      <c r="F103" s="142">
        <f>+C103*E103</f>
        <v>919307.5764203117</v>
      </c>
    </row>
    <row r="104" spans="2:9">
      <c r="B104" s="122">
        <v>2014</v>
      </c>
      <c r="C104" s="142">
        <f>(C27*360)/360</f>
        <v>4476234</v>
      </c>
      <c r="D104" s="1483">
        <v>82.47</v>
      </c>
      <c r="E104" s="1483">
        <f>+$C$11/D104</f>
        <v>1.2541530253425488</v>
      </c>
      <c r="F104" s="142">
        <f>+C104*E104</f>
        <v>5613882.4132411787</v>
      </c>
    </row>
    <row r="105" spans="2:9">
      <c r="B105" s="122">
        <v>2015</v>
      </c>
      <c r="C105" s="142">
        <f>(C64*329)/360</f>
        <v>4336227.3111111112</v>
      </c>
      <c r="D105" s="1483">
        <v>88.05</v>
      </c>
      <c r="E105" s="1483">
        <f>+$C$11/D105</f>
        <v>1.1746734809767179</v>
      </c>
      <c r="F105" s="142">
        <f>+C105*E105</f>
        <v>5093651.2298492026</v>
      </c>
    </row>
    <row r="106" spans="2:9">
      <c r="B106" s="122"/>
      <c r="C106" s="142"/>
      <c r="D106" s="1484" t="s">
        <v>211</v>
      </c>
      <c r="E106" s="1489"/>
      <c r="F106" s="142">
        <f>SUM(F103:F105)</f>
        <v>11626841.219510693</v>
      </c>
    </row>
    <row r="107" spans="2:9">
      <c r="B107" s="126"/>
      <c r="C107" s="123"/>
      <c r="D107" s="126"/>
      <c r="E107" s="126"/>
      <c r="F107" s="126"/>
    </row>
    <row r="108" spans="2:9">
      <c r="B108" s="1512"/>
      <c r="C108" s="142" t="s">
        <v>212</v>
      </c>
      <c r="D108" s="1485"/>
      <c r="E108" s="1489"/>
      <c r="F108" s="142"/>
    </row>
    <row r="109" spans="2:9">
      <c r="B109" s="122" t="s">
        <v>185</v>
      </c>
      <c r="C109" s="142"/>
      <c r="D109" s="1482" t="s">
        <v>76</v>
      </c>
      <c r="E109" s="1498" t="s">
        <v>77</v>
      </c>
      <c r="F109" s="144" t="s">
        <v>57</v>
      </c>
    </row>
    <row r="110" spans="2:9">
      <c r="B110" s="122">
        <v>2013</v>
      </c>
      <c r="C110" s="142">
        <f>+(C103*60*0.12)/360</f>
        <v>14142.92</v>
      </c>
      <c r="D110" s="1483">
        <v>79.56</v>
      </c>
      <c r="E110" s="1489">
        <v>1.3000251382604324</v>
      </c>
      <c r="F110" s="142">
        <f>+C110*E110</f>
        <v>18386.151528406233</v>
      </c>
    </row>
    <row r="111" spans="2:9">
      <c r="B111" s="122">
        <v>2014</v>
      </c>
      <c r="C111" s="142">
        <f>+(C104*360*0.12)/360</f>
        <v>537148.07999999996</v>
      </c>
      <c r="D111" s="1483">
        <v>82.47</v>
      </c>
      <c r="E111" s="1489">
        <v>1.2541530253425488</v>
      </c>
      <c r="F111" s="142">
        <f>+C111*E111</f>
        <v>673665.88958894135</v>
      </c>
    </row>
    <row r="112" spans="2:9">
      <c r="B112" s="122">
        <v>2015</v>
      </c>
      <c r="C112" s="142">
        <f>+(C105*329*0.12)/360</f>
        <v>475539.59511851851</v>
      </c>
      <c r="D112" s="1483">
        <v>88.05</v>
      </c>
      <c r="E112" s="1489">
        <v>1.1746734809767179</v>
      </c>
      <c r="F112" s="142">
        <f>+C112*E112</f>
        <v>558603.75154012919</v>
      </c>
    </row>
    <row r="113" spans="1:12">
      <c r="B113" s="139"/>
      <c r="C113" s="139"/>
      <c r="D113" s="1485" t="s">
        <v>213</v>
      </c>
      <c r="E113" s="1489"/>
      <c r="F113" s="142">
        <f>SUM(F110:F112)</f>
        <v>1250655.7926574768</v>
      </c>
    </row>
    <row r="115" spans="1:12">
      <c r="B115" s="132" t="s">
        <v>192</v>
      </c>
      <c r="C115" s="133"/>
      <c r="D115" s="132"/>
      <c r="E115" s="132"/>
      <c r="F115" s="133">
        <f>+F16+F44+F81</f>
        <v>172767506.35681403</v>
      </c>
    </row>
    <row r="116" spans="1:12">
      <c r="B116" s="132" t="s">
        <v>193</v>
      </c>
      <c r="C116" s="133"/>
      <c r="D116" s="132"/>
      <c r="E116" s="132"/>
      <c r="F116" s="133">
        <f>+F17+F45+F82</f>
        <v>10294406.959999999</v>
      </c>
    </row>
    <row r="117" spans="1:12">
      <c r="B117" s="737" t="s">
        <v>1014</v>
      </c>
      <c r="C117" s="737"/>
      <c r="D117" s="737"/>
      <c r="E117" s="737"/>
      <c r="F117" s="999">
        <f>+F106+F113</f>
        <v>12877497.012168169</v>
      </c>
    </row>
    <row r="118" spans="1:12">
      <c r="B118" s="139" t="s">
        <v>194</v>
      </c>
      <c r="C118" s="142"/>
      <c r="D118" s="139"/>
      <c r="E118" s="139"/>
      <c r="F118" s="142">
        <f>F115-F116+F117</f>
        <v>175350596.40898219</v>
      </c>
    </row>
    <row r="120" spans="1:12">
      <c r="B120" s="728" t="s">
        <v>1015</v>
      </c>
      <c r="C120" s="944" t="s">
        <v>1016</v>
      </c>
    </row>
    <row r="121" spans="1:12">
      <c r="B121" s="737" t="s">
        <v>1017</v>
      </c>
      <c r="C121" s="929">
        <v>828116</v>
      </c>
    </row>
    <row r="122" spans="1:12">
      <c r="B122" s="728" t="s">
        <v>61</v>
      </c>
      <c r="C122" s="930">
        <f>+C121*10</f>
        <v>8281160</v>
      </c>
    </row>
    <row r="124" spans="1:12">
      <c r="B124" s="728" t="s">
        <v>164</v>
      </c>
      <c r="C124" s="1501">
        <f>+C122+F118</f>
        <v>183631756.40898219</v>
      </c>
    </row>
    <row r="125" spans="1:12">
      <c r="B125" s="2559" t="s">
        <v>957</v>
      </c>
      <c r="C125" s="2559"/>
      <c r="D125" s="2559"/>
      <c r="E125" s="2559"/>
      <c r="F125" s="2559"/>
      <c r="G125" s="2559"/>
      <c r="H125" s="2559"/>
      <c r="I125" s="1284"/>
    </row>
    <row r="126" spans="1:12" ht="25.5">
      <c r="B126" s="794" t="s">
        <v>206</v>
      </c>
      <c r="C126" s="794" t="s">
        <v>10</v>
      </c>
      <c r="D126" s="2727" t="s">
        <v>996</v>
      </c>
      <c r="E126" s="2727"/>
      <c r="F126" s="794" t="s">
        <v>43</v>
      </c>
      <c r="G126" s="794" t="s">
        <v>129</v>
      </c>
      <c r="H126" s="794" t="s">
        <v>706</v>
      </c>
      <c r="I126" s="921" t="s">
        <v>1018</v>
      </c>
    </row>
    <row r="127" spans="1:12">
      <c r="A127" s="791">
        <v>1</v>
      </c>
      <c r="B127" s="16">
        <v>43748</v>
      </c>
      <c r="C127" s="16">
        <v>43769</v>
      </c>
      <c r="D127" s="796">
        <v>0</v>
      </c>
      <c r="E127" s="796">
        <v>4.41E-2</v>
      </c>
      <c r="F127" s="905">
        <f>((1+E127)^(1/365)-1)</f>
        <v>1.1824060716802975E-4</v>
      </c>
      <c r="G127" s="1284">
        <f>+$F$118+$C$122</f>
        <v>183631756.40898219</v>
      </c>
      <c r="H127" s="1018">
        <f>+_xlfn.DAYS(C127,B127)+1</f>
        <v>22</v>
      </c>
      <c r="I127" s="1284">
        <f>+G127*F127*H127</f>
        <v>477680.06820885546</v>
      </c>
      <c r="K127" s="854">
        <v>43748</v>
      </c>
    </row>
    <row r="128" spans="1:12">
      <c r="A128" s="791">
        <v>2</v>
      </c>
      <c r="B128" s="16">
        <v>43770</v>
      </c>
      <c r="C128" s="16">
        <v>43799</v>
      </c>
      <c r="D128" s="796">
        <v>0</v>
      </c>
      <c r="E128" s="796">
        <v>4.4299999999999999E-2</v>
      </c>
      <c r="F128" s="905">
        <f t="shared" ref="F128:F156" si="7">((1+E128)^(1/365)-1)</f>
        <v>1.187654205565547E-4</v>
      </c>
      <c r="G128" s="1284">
        <f t="shared" ref="G128:G156" si="8">+$F$118+$C$122</f>
        <v>183631756.40898219</v>
      </c>
      <c r="H128" s="1018">
        <f>+_xlfn.DAYS(C128,B128)+1</f>
        <v>30</v>
      </c>
      <c r="I128" s="1284">
        <f t="shared" ref="I128:I148" si="9">+G128*F128*H128</f>
        <v>654273.08332354738</v>
      </c>
      <c r="K128" s="854">
        <v>44321</v>
      </c>
      <c r="L128" s="791" t="s">
        <v>1019</v>
      </c>
    </row>
    <row r="129" spans="1:12">
      <c r="A129" s="791">
        <v>3</v>
      </c>
      <c r="B129" s="16">
        <v>43800</v>
      </c>
      <c r="C129" s="16">
        <v>43830</v>
      </c>
      <c r="D129" s="796">
        <v>0</v>
      </c>
      <c r="E129" s="796">
        <v>4.5199999999999997E-2</v>
      </c>
      <c r="F129" s="905">
        <f t="shared" si="7"/>
        <v>1.2112584107204505E-4</v>
      </c>
      <c r="G129" s="1284">
        <f t="shared" si="8"/>
        <v>183631756.40898219</v>
      </c>
      <c r="H129" s="1018">
        <f>+_xlfn.DAYS(C129,B129)+1</f>
        <v>31</v>
      </c>
      <c r="I129" s="1284">
        <f t="shared" si="9"/>
        <v>689519.07921982091</v>
      </c>
      <c r="K129" s="854">
        <v>44663</v>
      </c>
      <c r="L129" s="791" t="s">
        <v>1020</v>
      </c>
    </row>
    <row r="130" spans="1:12">
      <c r="A130" s="791">
        <v>4</v>
      </c>
      <c r="B130" s="16">
        <v>43831</v>
      </c>
      <c r="C130" s="16">
        <v>43840</v>
      </c>
      <c r="D130" s="796">
        <v>0</v>
      </c>
      <c r="E130" s="796">
        <v>4.5400000000000003E-2</v>
      </c>
      <c r="F130" s="905">
        <f t="shared" si="7"/>
        <v>1.2165010369624696E-4</v>
      </c>
      <c r="G130" s="1284">
        <f t="shared" si="8"/>
        <v>183631756.40898219</v>
      </c>
      <c r="H130" s="1018">
        <f>+_xlfn.DAYS(C130,B130)+1</f>
        <v>10</v>
      </c>
      <c r="I130" s="1284">
        <f>+G130*F130*H130</f>
        <v>223388.22209076647</v>
      </c>
    </row>
    <row r="131" spans="1:12">
      <c r="A131" s="791">
        <v>5</v>
      </c>
      <c r="B131" s="16">
        <v>43841</v>
      </c>
      <c r="C131" s="16">
        <v>43861</v>
      </c>
      <c r="D131" s="796">
        <v>0</v>
      </c>
      <c r="E131" s="796">
        <v>4.5400000000000003E-2</v>
      </c>
      <c r="F131" s="905">
        <f>((1+E131)^(1/365)-1)</f>
        <v>1.2165010369624696E-4</v>
      </c>
      <c r="G131" s="1284">
        <f t="shared" si="8"/>
        <v>183631756.40898219</v>
      </c>
      <c r="H131" s="1018">
        <v>0</v>
      </c>
      <c r="I131" s="1284">
        <f>+G131*F131*H131</f>
        <v>0</v>
      </c>
    </row>
    <row r="132" spans="1:12">
      <c r="A132" s="791">
        <v>6</v>
      </c>
      <c r="B132" s="16">
        <v>43862</v>
      </c>
      <c r="C132" s="16">
        <v>43889</v>
      </c>
      <c r="D132" s="796">
        <v>0</v>
      </c>
      <c r="E132" s="796">
        <v>4.4600000000000001E-2</v>
      </c>
      <c r="F132" s="905">
        <f t="shared" si="7"/>
        <v>1.1955245272932125E-4</v>
      </c>
      <c r="G132" s="1284">
        <f t="shared" si="8"/>
        <v>183631756.40898219</v>
      </c>
      <c r="H132" s="1018">
        <v>0</v>
      </c>
      <c r="I132" s="1284">
        <f t="shared" si="9"/>
        <v>0</v>
      </c>
    </row>
    <row r="133" spans="1:12">
      <c r="A133" s="791">
        <v>7</v>
      </c>
      <c r="B133" s="16">
        <v>43891</v>
      </c>
      <c r="C133" s="16">
        <v>43921</v>
      </c>
      <c r="D133" s="796">
        <v>0</v>
      </c>
      <c r="E133" s="796">
        <v>4.4999999999999998E-2</v>
      </c>
      <c r="F133" s="905">
        <f t="shared" si="7"/>
        <v>1.2060147839498825E-4</v>
      </c>
      <c r="G133" s="1284">
        <f t="shared" si="8"/>
        <v>183631756.40898219</v>
      </c>
      <c r="H133" s="1018">
        <v>0</v>
      </c>
      <c r="I133" s="1284">
        <f t="shared" si="9"/>
        <v>0</v>
      </c>
    </row>
    <row r="134" spans="1:12">
      <c r="A134" s="791">
        <v>8</v>
      </c>
      <c r="B134" s="16">
        <v>43922</v>
      </c>
      <c r="C134" s="16">
        <v>43951</v>
      </c>
      <c r="D134" s="796">
        <v>0</v>
      </c>
      <c r="E134" s="796">
        <v>4.5499999999999999E-2</v>
      </c>
      <c r="F134" s="905">
        <f t="shared" si="7"/>
        <v>1.2191219750046223E-4</v>
      </c>
      <c r="G134" s="1284">
        <f t="shared" si="8"/>
        <v>183631756.40898219</v>
      </c>
      <c r="H134" s="1018">
        <v>0</v>
      </c>
      <c r="I134" s="1284">
        <f t="shared" si="9"/>
        <v>0</v>
      </c>
    </row>
    <row r="135" spans="1:12">
      <c r="A135" s="791">
        <v>9</v>
      </c>
      <c r="B135" s="16">
        <v>43952</v>
      </c>
      <c r="C135" s="16">
        <v>43981</v>
      </c>
      <c r="D135" s="796">
        <v>0</v>
      </c>
      <c r="E135" s="796">
        <v>4.2900000000000001E-2</v>
      </c>
      <c r="F135" s="905">
        <f t="shared" si="7"/>
        <v>1.1508961995976286E-4</v>
      </c>
      <c r="G135" s="1284">
        <f t="shared" si="8"/>
        <v>183631756.40898219</v>
      </c>
      <c r="H135" s="1018">
        <v>0</v>
      </c>
      <c r="I135" s="1284">
        <f t="shared" si="9"/>
        <v>0</v>
      </c>
    </row>
    <row r="136" spans="1:12">
      <c r="A136" s="791">
        <v>10</v>
      </c>
      <c r="B136" s="16">
        <v>43983</v>
      </c>
      <c r="C136" s="16">
        <v>44012</v>
      </c>
      <c r="D136" s="796">
        <v>0</v>
      </c>
      <c r="E136" s="796">
        <v>3.7600000000000001E-2</v>
      </c>
      <c r="F136" s="905">
        <f t="shared" si="7"/>
        <v>1.0112937081929729E-4</v>
      </c>
      <c r="G136" s="1284">
        <f t="shared" si="8"/>
        <v>183631756.40898219</v>
      </c>
      <c r="H136" s="1018">
        <v>0</v>
      </c>
      <c r="I136" s="1284">
        <f t="shared" si="9"/>
        <v>0</v>
      </c>
    </row>
    <row r="137" spans="1:12">
      <c r="A137" s="791">
        <v>11</v>
      </c>
      <c r="B137" s="16">
        <v>44013</v>
      </c>
      <c r="C137" s="16">
        <v>44043</v>
      </c>
      <c r="D137" s="796">
        <v>0</v>
      </c>
      <c r="E137" s="796">
        <v>3.3399999999999999E-2</v>
      </c>
      <c r="F137" s="905">
        <f t="shared" si="7"/>
        <v>9.0015933029263806E-5</v>
      </c>
      <c r="G137" s="1284">
        <f t="shared" si="8"/>
        <v>183631756.40898219</v>
      </c>
      <c r="H137" s="1018">
        <v>0</v>
      </c>
      <c r="I137" s="1284">
        <f t="shared" si="9"/>
        <v>0</v>
      </c>
    </row>
    <row r="138" spans="1:12">
      <c r="A138" s="791">
        <v>12</v>
      </c>
      <c r="B138" s="16">
        <v>44044</v>
      </c>
      <c r="C138" s="16">
        <v>44053</v>
      </c>
      <c r="D138" s="796">
        <v>0</v>
      </c>
      <c r="E138" s="796">
        <v>2.7900000000000001E-2</v>
      </c>
      <c r="F138" s="905">
        <f t="shared" si="7"/>
        <v>7.5394310601994974E-5</v>
      </c>
      <c r="G138" s="1284">
        <f t="shared" si="8"/>
        <v>183631756.40898219</v>
      </c>
      <c r="H138" s="1018">
        <v>0</v>
      </c>
      <c r="I138" s="1284">
        <f t="shared" si="9"/>
        <v>0</v>
      </c>
    </row>
    <row r="139" spans="1:12">
      <c r="A139" s="791">
        <v>13</v>
      </c>
      <c r="B139" s="16">
        <v>44054</v>
      </c>
      <c r="C139" s="16">
        <v>44074</v>
      </c>
      <c r="D139" s="1016">
        <v>0.18290000000000001</v>
      </c>
      <c r="E139" s="796">
        <f>+D139*1.5</f>
        <v>0.27434999999999998</v>
      </c>
      <c r="F139" s="905">
        <f t="shared" si="7"/>
        <v>6.6442952514544906E-4</v>
      </c>
      <c r="G139" s="1284">
        <f t="shared" si="8"/>
        <v>183631756.40898219</v>
      </c>
      <c r="H139" s="1018">
        <v>0</v>
      </c>
      <c r="I139" s="1284">
        <f t="shared" si="9"/>
        <v>0</v>
      </c>
    </row>
    <row r="140" spans="1:12">
      <c r="A140" s="791">
        <v>14</v>
      </c>
      <c r="B140" s="16">
        <v>44075</v>
      </c>
      <c r="C140" s="16">
        <v>44104</v>
      </c>
      <c r="D140" s="1016">
        <v>0.1835</v>
      </c>
      <c r="E140" s="796">
        <f t="shared" ref="E140:E156" si="10">+D140*1.5</f>
        <v>0.27524999999999999</v>
      </c>
      <c r="F140" s="905">
        <f t="shared" si="7"/>
        <v>6.6636503991857055E-4</v>
      </c>
      <c r="G140" s="1284">
        <f t="shared" si="8"/>
        <v>183631756.40898219</v>
      </c>
      <c r="H140" s="1018">
        <v>0</v>
      </c>
      <c r="I140" s="1284">
        <f t="shared" si="9"/>
        <v>0</v>
      </c>
    </row>
    <row r="141" spans="1:12">
      <c r="A141" s="791">
        <v>15</v>
      </c>
      <c r="B141" s="16">
        <v>44105</v>
      </c>
      <c r="C141" s="16">
        <v>44135</v>
      </c>
      <c r="D141" s="1016">
        <v>0.18090000000000001</v>
      </c>
      <c r="E141" s="796">
        <f t="shared" si="10"/>
        <v>0.27134999999999998</v>
      </c>
      <c r="F141" s="905">
        <f t="shared" si="7"/>
        <v>6.5796794962613703E-4</v>
      </c>
      <c r="G141" s="1284">
        <f t="shared" si="8"/>
        <v>183631756.40898219</v>
      </c>
      <c r="H141" s="1018">
        <v>0</v>
      </c>
      <c r="I141" s="1284">
        <f t="shared" si="9"/>
        <v>0</v>
      </c>
    </row>
    <row r="142" spans="1:12">
      <c r="A142" s="791">
        <v>16</v>
      </c>
      <c r="B142" s="16">
        <v>44136</v>
      </c>
      <c r="C142" s="16">
        <v>44165</v>
      </c>
      <c r="D142" s="1016">
        <v>0.1784</v>
      </c>
      <c r="E142" s="796">
        <f t="shared" si="10"/>
        <v>0.2676</v>
      </c>
      <c r="F142" s="905">
        <f t="shared" si="7"/>
        <v>6.4986956374091243E-4</v>
      </c>
      <c r="G142" s="1284">
        <f t="shared" si="8"/>
        <v>183631756.40898219</v>
      </c>
      <c r="H142" s="1018">
        <v>0</v>
      </c>
      <c r="I142" s="1284">
        <f t="shared" si="9"/>
        <v>0</v>
      </c>
    </row>
    <row r="143" spans="1:12">
      <c r="A143" s="791">
        <v>17</v>
      </c>
      <c r="B143" s="16">
        <v>44166</v>
      </c>
      <c r="C143" s="16">
        <v>44196</v>
      </c>
      <c r="D143" s="1016">
        <v>0.17460000000000001</v>
      </c>
      <c r="E143" s="796">
        <f t="shared" si="10"/>
        <v>0.26190000000000002</v>
      </c>
      <c r="F143" s="905">
        <f t="shared" si="7"/>
        <v>6.3751414410861962E-4</v>
      </c>
      <c r="G143" s="1284">
        <f t="shared" si="8"/>
        <v>183631756.40898219</v>
      </c>
      <c r="H143" s="1018">
        <v>0</v>
      </c>
      <c r="I143" s="1284">
        <f t="shared" si="9"/>
        <v>0</v>
      </c>
    </row>
    <row r="144" spans="1:12">
      <c r="A144" s="791">
        <v>18</v>
      </c>
      <c r="B144" s="16">
        <v>44197</v>
      </c>
      <c r="C144" s="16">
        <v>44227</v>
      </c>
      <c r="D144" s="1016">
        <v>0.17319999999999999</v>
      </c>
      <c r="E144" s="796">
        <f t="shared" si="10"/>
        <v>0.25979999999999998</v>
      </c>
      <c r="F144" s="905">
        <f t="shared" si="7"/>
        <v>6.3294811266723094E-4</v>
      </c>
      <c r="G144" s="1284">
        <f t="shared" si="8"/>
        <v>183631756.40898219</v>
      </c>
      <c r="H144" s="1018">
        <v>0</v>
      </c>
      <c r="I144" s="1284">
        <f t="shared" si="9"/>
        <v>0</v>
      </c>
    </row>
    <row r="145" spans="1:9">
      <c r="A145" s="791">
        <v>19</v>
      </c>
      <c r="B145" s="16">
        <v>44228</v>
      </c>
      <c r="C145" s="16">
        <v>44255</v>
      </c>
      <c r="D145" s="1016">
        <v>0.1754</v>
      </c>
      <c r="E145" s="796">
        <f t="shared" si="10"/>
        <v>0.2631</v>
      </c>
      <c r="F145" s="905">
        <f t="shared" si="7"/>
        <v>6.4011990387169426E-4</v>
      </c>
      <c r="G145" s="1284">
        <f t="shared" si="8"/>
        <v>183631756.40898219</v>
      </c>
      <c r="H145" s="1018">
        <v>0</v>
      </c>
      <c r="I145" s="1284">
        <f t="shared" si="9"/>
        <v>0</v>
      </c>
    </row>
    <row r="146" spans="1:9">
      <c r="A146" s="791">
        <v>20</v>
      </c>
      <c r="B146" s="16">
        <v>44256</v>
      </c>
      <c r="C146" s="16">
        <v>44286</v>
      </c>
      <c r="D146" s="1016">
        <v>0.1741</v>
      </c>
      <c r="E146" s="796">
        <f t="shared" si="10"/>
        <v>0.26114999999999999</v>
      </c>
      <c r="F146" s="905">
        <f t="shared" si="7"/>
        <v>6.3588428907812578E-4</v>
      </c>
      <c r="G146" s="1284">
        <f t="shared" si="8"/>
        <v>183631756.40898219</v>
      </c>
      <c r="H146" s="1018">
        <v>0</v>
      </c>
      <c r="I146" s="1284">
        <f t="shared" si="9"/>
        <v>0</v>
      </c>
    </row>
    <row r="147" spans="1:9">
      <c r="A147" s="791">
        <v>21</v>
      </c>
      <c r="B147" s="16">
        <v>44287</v>
      </c>
      <c r="C147" s="16">
        <v>44316</v>
      </c>
      <c r="D147" s="1016">
        <v>0.1731</v>
      </c>
      <c r="E147" s="796">
        <f t="shared" si="10"/>
        <v>0.25964999999999999</v>
      </c>
      <c r="F147" s="905">
        <f t="shared" si="7"/>
        <v>6.326216771728177E-4</v>
      </c>
      <c r="G147" s="1284">
        <f t="shared" si="8"/>
        <v>183631756.40898219</v>
      </c>
      <c r="H147" s="1018">
        <v>0</v>
      </c>
      <c r="I147" s="1284">
        <f t="shared" si="9"/>
        <v>0</v>
      </c>
    </row>
    <row r="148" spans="1:9">
      <c r="A148" s="791">
        <v>22</v>
      </c>
      <c r="B148" s="59">
        <v>44317</v>
      </c>
      <c r="C148" s="16">
        <v>44347</v>
      </c>
      <c r="D148" s="1016">
        <v>0.17219999999999999</v>
      </c>
      <c r="E148" s="796">
        <f t="shared" si="10"/>
        <v>0.25829999999999997</v>
      </c>
      <c r="F148" s="905">
        <f t="shared" si="7"/>
        <v>6.2968201205726437E-4</v>
      </c>
      <c r="G148" s="1284">
        <f t="shared" si="8"/>
        <v>183631756.40898219</v>
      </c>
      <c r="H148" s="1018">
        <v>0</v>
      </c>
      <c r="I148" s="1284">
        <f t="shared" si="9"/>
        <v>0</v>
      </c>
    </row>
    <row r="149" spans="1:9">
      <c r="A149" s="791">
        <v>24</v>
      </c>
      <c r="B149" s="16">
        <v>44348</v>
      </c>
      <c r="C149" s="16">
        <v>44377</v>
      </c>
      <c r="D149" s="1016">
        <v>0.1721</v>
      </c>
      <c r="E149" s="796">
        <f t="shared" si="10"/>
        <v>0.25814999999999999</v>
      </c>
      <c r="F149" s="905">
        <f t="shared" si="7"/>
        <v>6.2935518846773952E-4</v>
      </c>
      <c r="G149" s="1284">
        <f t="shared" si="8"/>
        <v>183631756.40898219</v>
      </c>
      <c r="H149" s="1018">
        <v>0</v>
      </c>
      <c r="I149" s="1284">
        <f t="shared" ref="I149:I156" si="11">+G149*F149*H149</f>
        <v>0</v>
      </c>
    </row>
    <row r="150" spans="1:9">
      <c r="A150" s="791">
        <v>25</v>
      </c>
      <c r="B150" s="16">
        <v>44378</v>
      </c>
      <c r="C150" s="16">
        <v>44408</v>
      </c>
      <c r="D150" s="1016">
        <v>0.17180000000000001</v>
      </c>
      <c r="E150" s="796">
        <f t="shared" si="10"/>
        <v>0.25770000000000004</v>
      </c>
      <c r="F150" s="905">
        <f t="shared" si="7"/>
        <v>6.2837448450037137E-4</v>
      </c>
      <c r="G150" s="1284">
        <f t="shared" si="8"/>
        <v>183631756.40898219</v>
      </c>
      <c r="H150" s="1018">
        <v>0</v>
      </c>
      <c r="I150" s="1284">
        <f t="shared" si="11"/>
        <v>0</v>
      </c>
    </row>
    <row r="151" spans="1:9">
      <c r="A151" s="791">
        <v>26</v>
      </c>
      <c r="B151" s="16">
        <v>44409</v>
      </c>
      <c r="C151" s="16">
        <v>44439</v>
      </c>
      <c r="D151" s="1016">
        <v>0.1724</v>
      </c>
      <c r="E151" s="796">
        <f t="shared" si="10"/>
        <v>0.2586</v>
      </c>
      <c r="F151" s="905">
        <f t="shared" si="7"/>
        <v>6.3033554269220637E-4</v>
      </c>
      <c r="G151" s="1284">
        <f t="shared" si="8"/>
        <v>183631756.40898219</v>
      </c>
      <c r="H151" s="1018">
        <v>0</v>
      </c>
      <c r="I151" s="1284">
        <f t="shared" si="11"/>
        <v>0</v>
      </c>
    </row>
    <row r="152" spans="1:9">
      <c r="A152" s="791">
        <v>27</v>
      </c>
      <c r="B152" s="16">
        <v>44440</v>
      </c>
      <c r="C152" s="16">
        <v>44451</v>
      </c>
      <c r="D152" s="1016">
        <v>0.1719</v>
      </c>
      <c r="E152" s="796">
        <f t="shared" si="10"/>
        <v>0.25785000000000002</v>
      </c>
      <c r="F152" s="905">
        <f t="shared" si="7"/>
        <v>6.2870142469861889E-4</v>
      </c>
      <c r="G152" s="1284">
        <f t="shared" si="8"/>
        <v>183631756.40898219</v>
      </c>
      <c r="H152" s="1018">
        <v>0</v>
      </c>
      <c r="I152" s="1284">
        <f t="shared" si="11"/>
        <v>0</v>
      </c>
    </row>
    <row r="153" spans="1:9">
      <c r="A153" s="791">
        <v>28</v>
      </c>
      <c r="B153" s="16">
        <v>44452</v>
      </c>
      <c r="C153" s="16">
        <v>44469</v>
      </c>
      <c r="D153" s="1016">
        <v>0.1719</v>
      </c>
      <c r="E153" s="796">
        <f>+D153*1.5</f>
        <v>0.25785000000000002</v>
      </c>
      <c r="F153" s="905">
        <f>((1+E153)^(1/365)-1)</f>
        <v>6.2870142469861889E-4</v>
      </c>
      <c r="G153" s="1284">
        <f t="shared" si="8"/>
        <v>183631756.40898219</v>
      </c>
      <c r="H153" s="1018">
        <f>+_xlfn.DAYS(C153,B153)+1</f>
        <v>18</v>
      </c>
      <c r="I153" s="1284">
        <f t="shared" si="11"/>
        <v>2078091.843736263</v>
      </c>
    </row>
    <row r="154" spans="1:9">
      <c r="A154" s="791">
        <v>29</v>
      </c>
      <c r="B154" s="16">
        <v>44470</v>
      </c>
      <c r="C154" s="16">
        <v>44500</v>
      </c>
      <c r="D154" s="1016">
        <v>0.17080000000000001</v>
      </c>
      <c r="E154" s="796">
        <f t="shared" si="10"/>
        <v>0.25619999999999998</v>
      </c>
      <c r="F154" s="905">
        <f t="shared" si="7"/>
        <v>6.2510294214179751E-4</v>
      </c>
      <c r="G154" s="1284">
        <f t="shared" si="8"/>
        <v>183631756.40898219</v>
      </c>
      <c r="H154" s="1018">
        <f>+_xlfn.DAYS(C154,B154)+1</f>
        <v>31</v>
      </c>
      <c r="I154" s="1284">
        <f t="shared" si="11"/>
        <v>3558451.2872595401</v>
      </c>
    </row>
    <row r="155" spans="1:9">
      <c r="A155" s="791">
        <v>30</v>
      </c>
      <c r="B155" s="16">
        <v>44501</v>
      </c>
      <c r="C155" s="16">
        <v>44530</v>
      </c>
      <c r="D155" s="1016">
        <v>0.17269999999999999</v>
      </c>
      <c r="E155" s="796">
        <f t="shared" si="10"/>
        <v>0.25905</v>
      </c>
      <c r="F155" s="905">
        <f t="shared" si="7"/>
        <v>6.3131554742335005E-4</v>
      </c>
      <c r="G155" s="1284">
        <f t="shared" si="8"/>
        <v>183631756.40898219</v>
      </c>
      <c r="H155" s="1018">
        <f>+_xlfn.DAYS(C155,B155)+1</f>
        <v>30</v>
      </c>
      <c r="I155" s="1284">
        <f t="shared" si="11"/>
        <v>3477887.4846494356</v>
      </c>
    </row>
    <row r="156" spans="1:9">
      <c r="A156" s="791">
        <v>31</v>
      </c>
      <c r="B156" s="16">
        <v>44531</v>
      </c>
      <c r="C156" s="16">
        <v>44558</v>
      </c>
      <c r="D156" s="1016">
        <v>0.17460000000000001</v>
      </c>
      <c r="E156" s="796">
        <f t="shared" si="10"/>
        <v>0.26190000000000002</v>
      </c>
      <c r="F156" s="905">
        <f t="shared" si="7"/>
        <v>6.3751414410861962E-4</v>
      </c>
      <c r="G156" s="1284">
        <f t="shared" si="8"/>
        <v>183631756.40898219</v>
      </c>
      <c r="H156" s="1018">
        <f>+_xlfn.DAYS(C156,B156)+1</f>
        <v>28</v>
      </c>
      <c r="I156" s="1284">
        <f t="shared" si="11"/>
        <v>3277899.5765105747</v>
      </c>
    </row>
    <row r="157" spans="1:9">
      <c r="B157" s="126"/>
      <c r="C157" s="123"/>
      <c r="D157" s="126"/>
      <c r="E157" s="126"/>
      <c r="F157" s="123"/>
      <c r="G157" s="2729" t="s">
        <v>117</v>
      </c>
      <c r="H157" s="2729"/>
      <c r="I157" s="142">
        <f>SUM(I127:I156)</f>
        <v>14437190.644998804</v>
      </c>
    </row>
    <row r="158" spans="1:9">
      <c r="B158" s="2687" t="s">
        <v>55</v>
      </c>
      <c r="C158" s="2688"/>
      <c r="D158" s="126"/>
      <c r="E158" s="126"/>
      <c r="F158" s="123"/>
      <c r="G158" s="126"/>
      <c r="H158" s="123"/>
      <c r="I158" s="123"/>
    </row>
    <row r="159" spans="1:9">
      <c r="B159" s="726" t="s">
        <v>56</v>
      </c>
      <c r="C159" s="726"/>
      <c r="D159" s="126"/>
      <c r="E159" s="126"/>
      <c r="F159" s="123"/>
      <c r="G159" s="126"/>
      <c r="H159" s="123"/>
      <c r="I159" s="123"/>
    </row>
    <row r="160" spans="1:9">
      <c r="B160" s="741" t="s">
        <v>164</v>
      </c>
      <c r="C160" s="857">
        <f>+F118+C122</f>
        <v>183631756.40898219</v>
      </c>
      <c r="D160" s="126"/>
      <c r="E160" s="126"/>
      <c r="F160" s="123"/>
      <c r="G160" s="126"/>
      <c r="H160" s="123"/>
      <c r="I160" s="123"/>
    </row>
    <row r="161" spans="1:9">
      <c r="B161" s="741" t="s">
        <v>134</v>
      </c>
      <c r="C161" s="858">
        <f>+I157</f>
        <v>14437190.644998804</v>
      </c>
      <c r="D161" s="126"/>
      <c r="E161" s="126"/>
      <c r="F161" s="123"/>
      <c r="G161" s="126"/>
      <c r="H161" s="123"/>
      <c r="I161" s="123"/>
    </row>
    <row r="162" spans="1:9">
      <c r="B162" s="741" t="s">
        <v>1021</v>
      </c>
      <c r="C162" s="858">
        <v>5508000</v>
      </c>
      <c r="D162" s="126"/>
      <c r="E162" s="126"/>
      <c r="F162" s="123"/>
      <c r="G162" s="126"/>
      <c r="H162" s="123"/>
      <c r="I162" s="123"/>
    </row>
    <row r="163" spans="1:9">
      <c r="B163" s="916" t="s">
        <v>61</v>
      </c>
      <c r="C163" s="858">
        <f>SUM(C160:C162)</f>
        <v>203576947.05398101</v>
      </c>
      <c r="D163" s="126"/>
      <c r="E163" s="126"/>
      <c r="F163" s="123"/>
      <c r="G163" s="126"/>
      <c r="H163" s="123"/>
      <c r="I163" s="123"/>
    </row>
    <row r="164" spans="1:9">
      <c r="A164" s="147"/>
      <c r="B164" s="719" t="s">
        <v>62</v>
      </c>
    </row>
    <row r="165" spans="1:9">
      <c r="A165" s="147"/>
      <c r="B165" s="911"/>
    </row>
    <row r="166" spans="1:9">
      <c r="A166" s="147"/>
      <c r="B166" s="911"/>
    </row>
    <row r="167" spans="1:9">
      <c r="A167" s="147"/>
      <c r="B167" s="719" t="s">
        <v>63</v>
      </c>
    </row>
    <row r="168" spans="1:9">
      <c r="A168" s="147"/>
      <c r="B168" s="719" t="s">
        <v>64</v>
      </c>
    </row>
    <row r="169" spans="1:9">
      <c r="A169" s="147"/>
      <c r="B169" s="719" t="s">
        <v>65</v>
      </c>
    </row>
  </sheetData>
  <mergeCells count="7">
    <mergeCell ref="G157:H157"/>
    <mergeCell ref="B158:C158"/>
    <mergeCell ref="B20:I20"/>
    <mergeCell ref="B47:I47"/>
    <mergeCell ref="B85:I85"/>
    <mergeCell ref="B125:H125"/>
    <mergeCell ref="D126:E126"/>
  </mergeCells>
  <pageMargins left="0.7" right="0.7" top="0.75" bottom="0.75" header="0.3" footer="0.3"/>
  <pageSetup paperSize="135"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4A7FC-8B0F-45D6-8646-9FD9FE11E672}">
  <sheetPr codeName="Hoja50"/>
  <dimension ref="A3:J49"/>
  <sheetViews>
    <sheetView topLeftCell="A29" zoomScale="110" zoomScaleNormal="110" workbookViewId="0">
      <selection activeCell="D19" sqref="D19"/>
    </sheetView>
  </sheetViews>
  <sheetFormatPr defaultColWidth="11.42578125" defaultRowHeight="12.75"/>
  <cols>
    <col min="1" max="1" width="2.5703125" style="791" customWidth="1"/>
    <col min="2" max="2" width="17.5703125" style="791" customWidth="1"/>
    <col min="3" max="3" width="12" style="791" customWidth="1"/>
    <col min="4" max="4" width="7.85546875" style="791" customWidth="1"/>
    <col min="5" max="5" width="9.42578125" style="791" customWidth="1"/>
    <col min="6" max="6" width="8.140625" style="791" customWidth="1"/>
    <col min="7" max="7" width="10.85546875" style="791" customWidth="1"/>
    <col min="8" max="8" width="7.7109375" style="791" customWidth="1"/>
    <col min="9" max="9" width="11.28515625" style="791" customWidth="1"/>
    <col min="10" max="10" width="12.85546875" style="791" customWidth="1"/>
    <col min="11" max="16384" width="11.42578125" style="791"/>
  </cols>
  <sheetData>
    <row r="3" spans="1:10">
      <c r="B3" s="789" t="s">
        <v>825</v>
      </c>
      <c r="C3" s="737" t="s">
        <v>1022</v>
      </c>
    </row>
    <row r="4" spans="1:10">
      <c r="B4" s="728" t="s">
        <v>129</v>
      </c>
      <c r="C4" s="850">
        <v>91691504</v>
      </c>
      <c r="D4" s="1170"/>
    </row>
    <row r="5" spans="1:10">
      <c r="B5" s="728" t="s">
        <v>220</v>
      </c>
      <c r="C5" s="1307" t="s">
        <v>1023</v>
      </c>
      <c r="D5" s="1472"/>
    </row>
    <row r="6" spans="1:10">
      <c r="B6" s="1474" t="s">
        <v>999</v>
      </c>
      <c r="C6" s="1475" t="s">
        <v>1024</v>
      </c>
      <c r="D6" s="1472"/>
    </row>
    <row r="7" spans="1:10">
      <c r="B7" s="888" t="s">
        <v>1025</v>
      </c>
      <c r="C7" s="1475" t="s">
        <v>1026</v>
      </c>
      <c r="D7" s="1472"/>
    </row>
    <row r="8" spans="1:10">
      <c r="B8" s="1474" t="s">
        <v>1000</v>
      </c>
      <c r="C8" s="1475" t="s">
        <v>1027</v>
      </c>
      <c r="D8" s="1472"/>
    </row>
    <row r="9" spans="1:10">
      <c r="B9" s="1474" t="s">
        <v>1028</v>
      </c>
      <c r="C9" s="1475" t="s">
        <v>1029</v>
      </c>
      <c r="D9" s="1472"/>
    </row>
    <row r="10" spans="1:10">
      <c r="B10" s="1474" t="s">
        <v>1002</v>
      </c>
      <c r="C10" s="724">
        <v>43798</v>
      </c>
      <c r="D10" s="1472"/>
    </row>
    <row r="11" spans="1:10">
      <c r="B11" s="728" t="s">
        <v>700</v>
      </c>
      <c r="C11" s="724" t="s">
        <v>820</v>
      </c>
      <c r="D11" s="886"/>
    </row>
    <row r="12" spans="1:10">
      <c r="B12" s="2644" t="s">
        <v>1030</v>
      </c>
      <c r="C12" s="2645"/>
      <c r="D12" s="2645"/>
      <c r="E12" s="2645"/>
      <c r="F12" s="2645"/>
      <c r="G12" s="2645"/>
      <c r="H12" s="2645"/>
      <c r="I12" s="2646"/>
    </row>
    <row r="13" spans="1:10" ht="34.5" customHeight="1">
      <c r="B13" s="1009" t="s">
        <v>206</v>
      </c>
      <c r="C13" s="1009" t="s">
        <v>10</v>
      </c>
      <c r="D13" s="2712" t="s">
        <v>1031</v>
      </c>
      <c r="E13" s="2713"/>
      <c r="F13" s="794" t="s">
        <v>88</v>
      </c>
      <c r="G13" s="794" t="s">
        <v>129</v>
      </c>
      <c r="H13" s="794" t="s">
        <v>706</v>
      </c>
      <c r="I13" s="794" t="s">
        <v>48</v>
      </c>
      <c r="J13" s="1473"/>
    </row>
    <row r="14" spans="1:10">
      <c r="A14" s="791">
        <v>1</v>
      </c>
      <c r="B14" s="724">
        <v>43920</v>
      </c>
      <c r="C14" s="724">
        <v>43921</v>
      </c>
      <c r="D14" s="897">
        <v>0</v>
      </c>
      <c r="E14" s="796">
        <v>4.4999999999999998E-2</v>
      </c>
      <c r="F14" s="897">
        <f>((1+E14)^(1/365)-1)</f>
        <v>1.2060147839498825E-4</v>
      </c>
      <c r="G14" s="1080">
        <f>+$C$4</f>
        <v>91691504</v>
      </c>
      <c r="H14" s="931">
        <f>+_xlfn.DAYS(C14,B14)+1</f>
        <v>2</v>
      </c>
      <c r="I14" s="790">
        <f>+G14*F14*H14</f>
        <v>22116.261877319957</v>
      </c>
    </row>
    <row r="15" spans="1:10">
      <c r="A15" s="791">
        <v>2</v>
      </c>
      <c r="B15" s="724">
        <v>43922</v>
      </c>
      <c r="C15" s="724">
        <v>43951</v>
      </c>
      <c r="D15" s="897">
        <v>0</v>
      </c>
      <c r="E15" s="796">
        <v>4.5499999999999999E-2</v>
      </c>
      <c r="F15" s="897">
        <f t="shared" ref="F15:F36" si="0">((1+E15)^(1/365)-1)</f>
        <v>1.2191219750046223E-4</v>
      </c>
      <c r="G15" s="1080">
        <f t="shared" ref="G15:G36" si="1">+$C$4</f>
        <v>91691504</v>
      </c>
      <c r="H15" s="931">
        <f t="shared" ref="H15:H36" si="2">+_xlfn.DAYS(C15,B15)+1</f>
        <v>30</v>
      </c>
      <c r="I15" s="790">
        <f t="shared" ref="I15:I36" si="3">+G15*F15*H15</f>
        <v>335349.38234287268</v>
      </c>
    </row>
    <row r="16" spans="1:10">
      <c r="A16" s="791">
        <v>3</v>
      </c>
      <c r="B16" s="724">
        <v>43952</v>
      </c>
      <c r="C16" s="724">
        <v>43982</v>
      </c>
      <c r="D16" s="897">
        <v>0</v>
      </c>
      <c r="E16" s="796">
        <v>4.2900000000000001E-2</v>
      </c>
      <c r="F16" s="897">
        <f t="shared" si="0"/>
        <v>1.1508961995976286E-4</v>
      </c>
      <c r="G16" s="1080">
        <f t="shared" si="1"/>
        <v>91691504</v>
      </c>
      <c r="H16" s="931">
        <f t="shared" si="2"/>
        <v>31</v>
      </c>
      <c r="I16" s="790">
        <f t="shared" si="3"/>
        <v>327134.95081587136</v>
      </c>
    </row>
    <row r="17" spans="1:9">
      <c r="A17" s="791">
        <v>4</v>
      </c>
      <c r="B17" s="724">
        <v>43983</v>
      </c>
      <c r="C17" s="724">
        <v>44012</v>
      </c>
      <c r="D17" s="897">
        <v>0</v>
      </c>
      <c r="E17" s="796">
        <v>3.7600000000000001E-2</v>
      </c>
      <c r="F17" s="897">
        <f t="shared" si="0"/>
        <v>1.0112937081929729E-4</v>
      </c>
      <c r="G17" s="1080">
        <f t="shared" si="1"/>
        <v>91691504</v>
      </c>
      <c r="H17" s="931">
        <f t="shared" si="2"/>
        <v>30</v>
      </c>
      <c r="I17" s="790">
        <f t="shared" si="3"/>
        <v>278181.12326985243</v>
      </c>
    </row>
    <row r="18" spans="1:9">
      <c r="A18" s="791">
        <v>5</v>
      </c>
      <c r="B18" s="724">
        <v>44013</v>
      </c>
      <c r="C18" s="724">
        <v>44043</v>
      </c>
      <c r="D18" s="897">
        <v>0</v>
      </c>
      <c r="E18" s="796">
        <v>3.3399999999999999E-2</v>
      </c>
      <c r="F18" s="897">
        <f t="shared" si="0"/>
        <v>9.0015933029263806E-5</v>
      </c>
      <c r="G18" s="1080">
        <f t="shared" si="1"/>
        <v>91691504</v>
      </c>
      <c r="H18" s="931">
        <f t="shared" si="2"/>
        <v>31</v>
      </c>
      <c r="I18" s="790">
        <f t="shared" si="3"/>
        <v>255864.58478591073</v>
      </c>
    </row>
    <row r="19" spans="1:9">
      <c r="A19" s="791">
        <v>6</v>
      </c>
      <c r="B19" s="724">
        <v>44044</v>
      </c>
      <c r="C19" s="724">
        <v>44074</v>
      </c>
      <c r="D19" s="897">
        <v>0</v>
      </c>
      <c r="E19" s="842">
        <v>2.7900000000000001E-2</v>
      </c>
      <c r="F19" s="897">
        <f t="shared" si="0"/>
        <v>7.5394310601994974E-5</v>
      </c>
      <c r="G19" s="1080">
        <f t="shared" si="1"/>
        <v>91691504</v>
      </c>
      <c r="H19" s="931">
        <f t="shared" si="2"/>
        <v>31</v>
      </c>
      <c r="I19" s="790">
        <f t="shared" si="3"/>
        <v>214303.549696342</v>
      </c>
    </row>
    <row r="20" spans="1:9">
      <c r="A20" s="791">
        <v>7</v>
      </c>
      <c r="B20" s="724">
        <v>44075</v>
      </c>
      <c r="C20" s="724">
        <v>44104</v>
      </c>
      <c r="D20" s="897">
        <v>0</v>
      </c>
      <c r="E20" s="842">
        <v>2.3900000000000001E-2</v>
      </c>
      <c r="F20" s="897">
        <f t="shared" si="0"/>
        <v>6.4711314504917183E-5</v>
      </c>
      <c r="G20" s="1080">
        <f t="shared" si="1"/>
        <v>91691504</v>
      </c>
      <c r="H20" s="931">
        <f t="shared" si="2"/>
        <v>30</v>
      </c>
      <c r="I20" s="790">
        <f t="shared" si="3"/>
        <v>178004.33258318616</v>
      </c>
    </row>
    <row r="21" spans="1:9">
      <c r="A21" s="791">
        <v>8</v>
      </c>
      <c r="B21" s="724">
        <v>44105</v>
      </c>
      <c r="C21" s="724">
        <v>44135</v>
      </c>
      <c r="D21" s="897">
        <v>0</v>
      </c>
      <c r="E21" s="842">
        <v>2.0299999999999999E-2</v>
      </c>
      <c r="F21" s="897">
        <f t="shared" si="0"/>
        <v>5.5060972509624051E-5</v>
      </c>
      <c r="G21" s="1080">
        <f t="shared" si="1"/>
        <v>91691504</v>
      </c>
      <c r="H21" s="931">
        <f t="shared" si="2"/>
        <v>31</v>
      </c>
      <c r="I21" s="790">
        <f t="shared" si="3"/>
        <v>156507.3248144126</v>
      </c>
    </row>
    <row r="22" spans="1:9">
      <c r="A22" s="791">
        <v>9</v>
      </c>
      <c r="B22" s="724">
        <v>44136</v>
      </c>
      <c r="C22" s="724">
        <v>44165</v>
      </c>
      <c r="D22" s="897">
        <v>0</v>
      </c>
      <c r="E22" s="842">
        <v>1.9599999999999999E-2</v>
      </c>
      <c r="F22" s="897">
        <f t="shared" si="0"/>
        <v>5.3180574364875E-5</v>
      </c>
      <c r="G22" s="1080">
        <f t="shared" si="1"/>
        <v>91691504</v>
      </c>
      <c r="H22" s="931">
        <f t="shared" si="2"/>
        <v>30</v>
      </c>
      <c r="I22" s="790">
        <f t="shared" si="3"/>
        <v>146286.205412977</v>
      </c>
    </row>
    <row r="23" spans="1:9">
      <c r="A23" s="791">
        <v>10</v>
      </c>
      <c r="B23" s="724">
        <v>44166</v>
      </c>
      <c r="C23" s="724">
        <v>44196</v>
      </c>
      <c r="D23" s="897">
        <v>0</v>
      </c>
      <c r="E23" s="842">
        <v>1.9300000000000001E-2</v>
      </c>
      <c r="F23" s="897">
        <f t="shared" si="0"/>
        <v>5.2374295299806306E-5</v>
      </c>
      <c r="G23" s="1080">
        <f t="shared" si="1"/>
        <v>91691504</v>
      </c>
      <c r="H23" s="931">
        <f t="shared" si="2"/>
        <v>31</v>
      </c>
      <c r="I23" s="790">
        <f t="shared" si="3"/>
        <v>148870.61511636051</v>
      </c>
    </row>
    <row r="24" spans="1:9">
      <c r="A24" s="791">
        <v>11</v>
      </c>
      <c r="B24" s="724">
        <v>44197</v>
      </c>
      <c r="C24" s="724">
        <v>44226</v>
      </c>
      <c r="D24" s="897">
        <v>0</v>
      </c>
      <c r="E24" s="842">
        <v>1.9099999999999999E-2</v>
      </c>
      <c r="F24" s="897">
        <f t="shared" si="0"/>
        <v>5.1836644438196799E-5</v>
      </c>
      <c r="G24" s="1080">
        <f t="shared" si="1"/>
        <v>91691504</v>
      </c>
      <c r="H24" s="931">
        <f t="shared" si="2"/>
        <v>30</v>
      </c>
      <c r="I24" s="790">
        <f t="shared" si="3"/>
        <v>142589.396725545</v>
      </c>
    </row>
    <row r="25" spans="1:9">
      <c r="B25" s="724">
        <v>44227</v>
      </c>
      <c r="C25" s="724">
        <v>44227</v>
      </c>
      <c r="D25" s="796">
        <v>0.17319999999999999</v>
      </c>
      <c r="E25" s="842">
        <f>+D25*1.5</f>
        <v>0.25979999999999998</v>
      </c>
      <c r="F25" s="897">
        <f>((1+E25)^(1/365)-1)</f>
        <v>6.3294811266723094E-4</v>
      </c>
      <c r="G25" s="1080">
        <f t="shared" si="1"/>
        <v>91691504</v>
      </c>
      <c r="H25" s="931">
        <f t="shared" si="2"/>
        <v>1</v>
      </c>
      <c r="I25" s="790">
        <f t="shared" si="3"/>
        <v>58035.964404419858</v>
      </c>
    </row>
    <row r="26" spans="1:9">
      <c r="A26" s="791">
        <v>12</v>
      </c>
      <c r="B26" s="724">
        <v>44228</v>
      </c>
      <c r="C26" s="724">
        <v>44255</v>
      </c>
      <c r="D26" s="796">
        <v>0.1754</v>
      </c>
      <c r="E26" s="842">
        <f t="shared" ref="E26:E36" si="4">+D26*1.5</f>
        <v>0.2631</v>
      </c>
      <c r="F26" s="897">
        <f t="shared" si="0"/>
        <v>6.4011990387169426E-4</v>
      </c>
      <c r="G26" s="1080">
        <f t="shared" si="1"/>
        <v>91691504</v>
      </c>
      <c r="H26" s="931">
        <f t="shared" si="2"/>
        <v>28</v>
      </c>
      <c r="I26" s="790">
        <f t="shared" si="3"/>
        <v>1643419.5883372701</v>
      </c>
    </row>
    <row r="27" spans="1:9">
      <c r="A27" s="791">
        <v>13</v>
      </c>
      <c r="B27" s="724">
        <v>44256</v>
      </c>
      <c r="C27" s="724">
        <v>44286</v>
      </c>
      <c r="D27" s="796">
        <v>0.1741</v>
      </c>
      <c r="E27" s="842">
        <f t="shared" si="4"/>
        <v>0.26114999999999999</v>
      </c>
      <c r="F27" s="897">
        <f t="shared" si="0"/>
        <v>6.3588428907812578E-4</v>
      </c>
      <c r="G27" s="1080">
        <f t="shared" si="1"/>
        <v>91691504</v>
      </c>
      <c r="H27" s="931">
        <f t="shared" si="2"/>
        <v>31</v>
      </c>
      <c r="I27" s="790">
        <f t="shared" si="3"/>
        <v>1807460.7919018678</v>
      </c>
    </row>
    <row r="28" spans="1:9">
      <c r="A28" s="791">
        <v>14</v>
      </c>
      <c r="B28" s="724">
        <v>44287</v>
      </c>
      <c r="C28" s="724">
        <v>44316</v>
      </c>
      <c r="D28" s="796">
        <v>0.1731</v>
      </c>
      <c r="E28" s="842">
        <f t="shared" si="4"/>
        <v>0.25964999999999999</v>
      </c>
      <c r="F28" s="897">
        <f t="shared" si="0"/>
        <v>6.326216771728177E-4</v>
      </c>
      <c r="G28" s="1080">
        <f t="shared" si="1"/>
        <v>91691504</v>
      </c>
      <c r="H28" s="931">
        <f t="shared" si="2"/>
        <v>30</v>
      </c>
      <c r="I28" s="790">
        <f t="shared" si="3"/>
        <v>1740180.9912893437</v>
      </c>
    </row>
    <row r="29" spans="1:9">
      <c r="A29" s="791">
        <v>15</v>
      </c>
      <c r="B29" s="724">
        <v>44317</v>
      </c>
      <c r="C29" s="724">
        <v>44347</v>
      </c>
      <c r="D29" s="796">
        <v>0.17219999999999999</v>
      </c>
      <c r="E29" s="842">
        <f t="shared" si="4"/>
        <v>0.25829999999999997</v>
      </c>
      <c r="F29" s="897">
        <f t="shared" si="0"/>
        <v>6.2968201205726437E-4</v>
      </c>
      <c r="G29" s="1080">
        <f t="shared" si="1"/>
        <v>91691504</v>
      </c>
      <c r="H29" s="931">
        <f t="shared" si="2"/>
        <v>31</v>
      </c>
      <c r="I29" s="790">
        <f t="shared" si="3"/>
        <v>1789831.2125455777</v>
      </c>
    </row>
    <row r="30" spans="1:9">
      <c r="A30" s="791">
        <v>16</v>
      </c>
      <c r="B30" s="724">
        <v>44348</v>
      </c>
      <c r="C30" s="724">
        <v>44377</v>
      </c>
      <c r="D30" s="796">
        <v>0.1721</v>
      </c>
      <c r="E30" s="842">
        <f t="shared" si="4"/>
        <v>0.25814999999999999</v>
      </c>
      <c r="F30" s="897">
        <f t="shared" si="0"/>
        <v>6.2935518846773952E-4</v>
      </c>
      <c r="G30" s="1080">
        <f t="shared" si="1"/>
        <v>91691504</v>
      </c>
      <c r="H30" s="931">
        <f t="shared" si="2"/>
        <v>30</v>
      </c>
      <c r="I30" s="790">
        <f t="shared" si="3"/>
        <v>1731195.7134243147</v>
      </c>
    </row>
    <row r="31" spans="1:9">
      <c r="A31" s="791">
        <v>17</v>
      </c>
      <c r="B31" s="724">
        <v>44378</v>
      </c>
      <c r="C31" s="724">
        <v>44408</v>
      </c>
      <c r="D31" s="796">
        <v>0.17180000000000001</v>
      </c>
      <c r="E31" s="842">
        <f t="shared" si="4"/>
        <v>0.25770000000000004</v>
      </c>
      <c r="F31" s="897">
        <f t="shared" si="0"/>
        <v>6.2837448450037137E-4</v>
      </c>
      <c r="G31" s="1080">
        <f t="shared" si="1"/>
        <v>91691504</v>
      </c>
      <c r="H31" s="931">
        <f t="shared" si="2"/>
        <v>31</v>
      </c>
      <c r="I31" s="790">
        <f t="shared" si="3"/>
        <v>1786114.648330976</v>
      </c>
    </row>
    <row r="32" spans="1:9">
      <c r="A32" s="791">
        <v>18</v>
      </c>
      <c r="B32" s="724">
        <v>44409</v>
      </c>
      <c r="C32" s="724">
        <v>44439</v>
      </c>
      <c r="D32" s="796">
        <v>0.1724</v>
      </c>
      <c r="E32" s="842">
        <f t="shared" si="4"/>
        <v>0.2586</v>
      </c>
      <c r="F32" s="897">
        <f t="shared" si="0"/>
        <v>6.3033554269220637E-4</v>
      </c>
      <c r="G32" s="1080">
        <f t="shared" si="1"/>
        <v>91691504</v>
      </c>
      <c r="H32" s="931">
        <f t="shared" si="2"/>
        <v>31</v>
      </c>
      <c r="I32" s="790">
        <f t="shared" si="3"/>
        <v>1791688.8319572429</v>
      </c>
    </row>
    <row r="33" spans="1:9">
      <c r="A33" s="791">
        <v>19</v>
      </c>
      <c r="B33" s="724">
        <v>44440</v>
      </c>
      <c r="C33" s="724">
        <v>44469</v>
      </c>
      <c r="D33" s="796">
        <v>0.1719</v>
      </c>
      <c r="E33" s="842">
        <f t="shared" si="4"/>
        <v>0.25785000000000002</v>
      </c>
      <c r="F33" s="897">
        <f t="shared" si="0"/>
        <v>6.2870142469861889E-4</v>
      </c>
      <c r="G33" s="1080">
        <f t="shared" si="1"/>
        <v>91691504</v>
      </c>
      <c r="H33" s="931">
        <f t="shared" si="2"/>
        <v>30</v>
      </c>
      <c r="I33" s="790">
        <f t="shared" si="3"/>
        <v>1729397.3759267733</v>
      </c>
    </row>
    <row r="34" spans="1:9">
      <c r="A34" s="791">
        <v>20</v>
      </c>
      <c r="B34" s="724">
        <v>44470</v>
      </c>
      <c r="C34" s="724">
        <v>44500</v>
      </c>
      <c r="D34" s="796">
        <v>0.17080000000000001</v>
      </c>
      <c r="E34" s="842">
        <f t="shared" si="4"/>
        <v>0.25619999999999998</v>
      </c>
      <c r="F34" s="897">
        <f t="shared" si="0"/>
        <v>6.2510294214179751E-4</v>
      </c>
      <c r="G34" s="1080">
        <f t="shared" si="1"/>
        <v>91691504</v>
      </c>
      <c r="H34" s="931">
        <f t="shared" si="2"/>
        <v>31</v>
      </c>
      <c r="I34" s="790">
        <f t="shared" si="3"/>
        <v>1776815.4965139984</v>
      </c>
    </row>
    <row r="35" spans="1:9">
      <c r="A35" s="791">
        <v>21</v>
      </c>
      <c r="B35" s="724">
        <v>44501</v>
      </c>
      <c r="C35" s="724">
        <v>44530</v>
      </c>
      <c r="D35" s="796">
        <v>0.17269999999999999</v>
      </c>
      <c r="E35" s="842">
        <f t="shared" si="4"/>
        <v>0.25905</v>
      </c>
      <c r="F35" s="897">
        <f t="shared" si="0"/>
        <v>6.3131554742335005E-4</v>
      </c>
      <c r="G35" s="1080">
        <f t="shared" si="1"/>
        <v>91691504</v>
      </c>
      <c r="H35" s="931">
        <f t="shared" si="2"/>
        <v>30</v>
      </c>
      <c r="I35" s="790">
        <f t="shared" si="3"/>
        <v>1736588.1612549089</v>
      </c>
    </row>
    <row r="36" spans="1:9">
      <c r="A36" s="791">
        <v>22</v>
      </c>
      <c r="B36" s="724">
        <v>44531</v>
      </c>
      <c r="C36" s="724">
        <v>44557</v>
      </c>
      <c r="D36" s="796">
        <v>0.17460000000000001</v>
      </c>
      <c r="E36" s="842">
        <f t="shared" si="4"/>
        <v>0.26190000000000002</v>
      </c>
      <c r="F36" s="897">
        <f t="shared" si="0"/>
        <v>6.3751414410861962E-4</v>
      </c>
      <c r="G36" s="1080">
        <f t="shared" si="1"/>
        <v>91691504</v>
      </c>
      <c r="H36" s="931">
        <f t="shared" si="2"/>
        <v>27</v>
      </c>
      <c r="I36" s="790">
        <f t="shared" si="3"/>
        <v>1578275.0287539859</v>
      </c>
    </row>
    <row r="37" spans="1:9">
      <c r="G37" s="2559" t="s">
        <v>913</v>
      </c>
      <c r="H37" s="2559"/>
      <c r="I37" s="1077">
        <f>SUM(I14:I36)</f>
        <v>21374211.532081332</v>
      </c>
    </row>
    <row r="38" spans="1:9">
      <c r="B38" s="2686" t="s">
        <v>55</v>
      </c>
      <c r="C38" s="2686"/>
    </row>
    <row r="39" spans="1:9">
      <c r="B39" s="726" t="s">
        <v>56</v>
      </c>
      <c r="C39" s="726"/>
    </row>
    <row r="40" spans="1:9">
      <c r="B40" s="741" t="s">
        <v>164</v>
      </c>
      <c r="C40" s="857">
        <f>+C4</f>
        <v>91691504</v>
      </c>
    </row>
    <row r="41" spans="1:9">
      <c r="B41" s="741" t="s">
        <v>134</v>
      </c>
      <c r="C41" s="858">
        <f>+I37</f>
        <v>21374211.532081332</v>
      </c>
    </row>
    <row r="42" spans="1:9" ht="13.5" thickBot="1">
      <c r="B42" s="817" t="s">
        <v>61</v>
      </c>
      <c r="C42" s="859">
        <f>SUM(C40:C41)</f>
        <v>113065715.53208134</v>
      </c>
    </row>
    <row r="43" spans="1:9" ht="13.5" thickTop="1"/>
    <row r="44" spans="1:9">
      <c r="B44" s="719" t="s">
        <v>62</v>
      </c>
    </row>
    <row r="45" spans="1:9">
      <c r="B45" s="911"/>
    </row>
    <row r="46" spans="1:9">
      <c r="B46" s="911"/>
    </row>
    <row r="47" spans="1:9">
      <c r="B47" s="719" t="s">
        <v>63</v>
      </c>
    </row>
    <row r="48" spans="1:9">
      <c r="B48" s="719" t="s">
        <v>64</v>
      </c>
    </row>
    <row r="49" spans="2:2">
      <c r="B49" s="719" t="s">
        <v>65</v>
      </c>
    </row>
  </sheetData>
  <mergeCells count="4">
    <mergeCell ref="B12:I12"/>
    <mergeCell ref="B38:C38"/>
    <mergeCell ref="D13:E13"/>
    <mergeCell ref="G37:H37"/>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C9F12-BD37-4665-9883-A3055FB96111}">
  <sheetPr codeName="Hoja53"/>
  <dimension ref="A2:I44"/>
  <sheetViews>
    <sheetView topLeftCell="A22" zoomScale="120" zoomScaleNormal="120" workbookViewId="0">
      <selection activeCell="C9" sqref="C9"/>
    </sheetView>
  </sheetViews>
  <sheetFormatPr defaultColWidth="11.42578125" defaultRowHeight="12.75"/>
  <cols>
    <col min="1" max="1" width="2.5703125" customWidth="1"/>
    <col min="2" max="2" width="15.140625" customWidth="1"/>
    <col min="3" max="3" width="11.42578125" customWidth="1"/>
    <col min="4" max="5" width="10.42578125" customWidth="1"/>
    <col min="6" max="6" width="10.140625" customWidth="1"/>
    <col min="7" max="7" width="14.140625" customWidth="1"/>
    <col min="8" max="8" width="6" customWidth="1"/>
    <col min="9" max="9" width="14.85546875" customWidth="1"/>
  </cols>
  <sheetData>
    <row r="2" spans="1:9" ht="23.25" customHeight="1">
      <c r="B2" s="1078" t="s">
        <v>121</v>
      </c>
      <c r="C2" s="845" t="s">
        <v>1032</v>
      </c>
      <c r="D2" s="791"/>
      <c r="E2" s="791"/>
      <c r="F2" s="791"/>
      <c r="G2" s="791"/>
      <c r="H2" s="791"/>
      <c r="I2" s="791"/>
    </row>
    <row r="3" spans="1:9" ht="13.5">
      <c r="B3" s="728" t="s">
        <v>67</v>
      </c>
      <c r="C3" s="850">
        <v>277358683.27999997</v>
      </c>
      <c r="D3" s="791"/>
      <c r="E3" s="791"/>
      <c r="F3" s="791"/>
      <c r="G3" s="791"/>
      <c r="H3" s="791"/>
      <c r="I3" s="791"/>
    </row>
    <row r="4" spans="1:9" ht="13.5">
      <c r="B4" s="728" t="s">
        <v>4</v>
      </c>
      <c r="C4" s="953">
        <v>43818</v>
      </c>
      <c r="D4" s="791"/>
      <c r="E4" s="791"/>
      <c r="F4" s="791"/>
      <c r="G4" s="791"/>
      <c r="H4" s="791"/>
      <c r="I4" s="791"/>
    </row>
    <row r="5" spans="1:9" ht="13.5">
      <c r="B5" s="728" t="s">
        <v>291</v>
      </c>
      <c r="C5" s="737" t="s">
        <v>1033</v>
      </c>
      <c r="D5" s="791"/>
      <c r="E5" s="791"/>
      <c r="F5" s="791"/>
      <c r="G5" s="791"/>
      <c r="H5" s="791"/>
      <c r="I5" s="791"/>
    </row>
    <row r="6" spans="1:9" ht="25.5" customHeight="1">
      <c r="B6" s="893" t="s">
        <v>154</v>
      </c>
      <c r="C6" s="953">
        <v>43845</v>
      </c>
      <c r="D6" s="791"/>
      <c r="E6" s="791"/>
      <c r="F6" s="791"/>
      <c r="G6" s="791"/>
      <c r="H6" s="791"/>
      <c r="I6" s="791"/>
    </row>
    <row r="7" spans="1:9" ht="22.5" customHeight="1">
      <c r="B7" s="893" t="s">
        <v>1034</v>
      </c>
      <c r="C7" s="953">
        <v>43811</v>
      </c>
      <c r="D7" s="791"/>
      <c r="E7" s="791"/>
      <c r="F7" s="791"/>
      <c r="G7" s="791"/>
      <c r="H7" s="791"/>
      <c r="I7" s="791"/>
    </row>
    <row r="8" spans="1:9" ht="21" customHeight="1">
      <c r="B8" s="893" t="s">
        <v>1035</v>
      </c>
      <c r="C8" s="1079" t="s">
        <v>1036</v>
      </c>
      <c r="D8" s="791"/>
      <c r="E8" s="791"/>
      <c r="F8" s="791"/>
      <c r="G8" s="791"/>
      <c r="H8" s="791"/>
      <c r="I8" s="791"/>
    </row>
    <row r="9" spans="1:9" ht="13.5">
      <c r="B9" s="728" t="s">
        <v>1037</v>
      </c>
      <c r="C9" s="944" t="s">
        <v>1038</v>
      </c>
      <c r="D9" s="791"/>
      <c r="E9" s="791"/>
      <c r="F9" s="791"/>
      <c r="G9" s="791"/>
      <c r="H9" s="791"/>
      <c r="I9" s="791"/>
    </row>
    <row r="10" spans="1:9" ht="13.5">
      <c r="B10" s="2559" t="s">
        <v>1039</v>
      </c>
      <c r="C10" s="2559"/>
      <c r="D10" s="2559"/>
      <c r="E10" s="2559"/>
      <c r="F10" s="2559"/>
      <c r="G10" s="2559"/>
      <c r="H10" s="2559"/>
      <c r="I10" s="2559"/>
    </row>
    <row r="11" spans="1:9" ht="21.75" customHeight="1">
      <c r="B11" s="794" t="s">
        <v>206</v>
      </c>
      <c r="C11" s="794" t="s">
        <v>10</v>
      </c>
      <c r="D11" s="2712" t="s">
        <v>1040</v>
      </c>
      <c r="E11" s="2713"/>
      <c r="F11" s="793" t="s">
        <v>43</v>
      </c>
      <c r="G11" s="794" t="s">
        <v>129</v>
      </c>
      <c r="H11" s="795" t="s">
        <v>86</v>
      </c>
      <c r="I11" s="794" t="s">
        <v>48</v>
      </c>
    </row>
    <row r="12" spans="1:9" ht="13.5">
      <c r="A12" s="791">
        <v>1</v>
      </c>
      <c r="B12" s="953">
        <v>43967</v>
      </c>
      <c r="C12" s="953">
        <v>43982</v>
      </c>
      <c r="D12" s="796">
        <v>0</v>
      </c>
      <c r="E12" s="896">
        <v>4.2900000000000001E-2</v>
      </c>
      <c r="F12" s="959">
        <f>((1+E12)^(1/365)-1)</f>
        <v>1.1508961995976286E-4</v>
      </c>
      <c r="G12" s="895">
        <f>+$C$3</f>
        <v>277358683.27999997</v>
      </c>
      <c r="H12" s="797">
        <f>_xlfn.DAYS(C12,B12)+1</f>
        <v>16</v>
      </c>
      <c r="I12" s="850">
        <f>+F12*G12*H12</f>
        <v>510737.68721976684</v>
      </c>
    </row>
    <row r="13" spans="1:9" ht="13.5">
      <c r="A13" s="791">
        <v>2</v>
      </c>
      <c r="B13" s="953">
        <v>43983</v>
      </c>
      <c r="C13" s="953">
        <v>44012</v>
      </c>
      <c r="D13" s="796">
        <v>0</v>
      </c>
      <c r="E13" s="896">
        <v>3.7600000000000001E-2</v>
      </c>
      <c r="F13" s="959">
        <f t="shared" ref="F13:F22" si="0">((1+E13)^(1/365)-1)</f>
        <v>1.0112937081929729E-4</v>
      </c>
      <c r="G13" s="895">
        <f t="shared" ref="G13:G32" si="1">+$C$3</f>
        <v>277358683.27999997</v>
      </c>
      <c r="H13" s="797">
        <f t="shared" ref="H13:H25" si="2">_xlfn.DAYS(C13,B13)+1</f>
        <v>30</v>
      </c>
      <c r="I13" s="850">
        <f t="shared" ref="I13:I27" si="3">+F13*G13*H13</f>
        <v>841473.27394125448</v>
      </c>
    </row>
    <row r="14" spans="1:9" ht="13.5">
      <c r="A14" s="791">
        <v>3</v>
      </c>
      <c r="B14" s="953">
        <v>44013</v>
      </c>
      <c r="C14" s="953">
        <v>44043</v>
      </c>
      <c r="D14" s="796">
        <v>0</v>
      </c>
      <c r="E14" s="896">
        <v>3.3399999999999999E-2</v>
      </c>
      <c r="F14" s="959">
        <f t="shared" si="0"/>
        <v>9.0015933029263806E-5</v>
      </c>
      <c r="G14" s="895">
        <f t="shared" si="1"/>
        <v>277358683.27999997</v>
      </c>
      <c r="H14" s="797">
        <f t="shared" si="2"/>
        <v>31</v>
      </c>
      <c r="I14" s="850">
        <f t="shared" si="3"/>
        <v>773967.7204357353</v>
      </c>
    </row>
    <row r="15" spans="1:9" ht="13.5">
      <c r="A15" s="791">
        <v>4</v>
      </c>
      <c r="B15" s="953">
        <v>44044</v>
      </c>
      <c r="C15" s="953">
        <v>44074</v>
      </c>
      <c r="D15" s="796">
        <v>0</v>
      </c>
      <c r="E15" s="896">
        <v>2.7900000000000001E-2</v>
      </c>
      <c r="F15" s="959">
        <f t="shared" si="0"/>
        <v>7.5394310601994974E-5</v>
      </c>
      <c r="G15" s="895">
        <f t="shared" si="1"/>
        <v>277358683.27999997</v>
      </c>
      <c r="H15" s="797">
        <f t="shared" si="2"/>
        <v>31</v>
      </c>
      <c r="I15" s="850">
        <f t="shared" si="3"/>
        <v>648249.26817655272</v>
      </c>
    </row>
    <row r="16" spans="1:9" ht="13.5">
      <c r="A16" s="791">
        <v>5</v>
      </c>
      <c r="B16" s="953">
        <v>44075</v>
      </c>
      <c r="C16" s="953">
        <v>44104</v>
      </c>
      <c r="D16" s="796">
        <v>0</v>
      </c>
      <c r="E16" s="896">
        <v>2.3900000000000001E-2</v>
      </c>
      <c r="F16" s="959">
        <f t="shared" si="0"/>
        <v>6.4711314504917183E-5</v>
      </c>
      <c r="G16" s="895">
        <f t="shared" si="1"/>
        <v>277358683.27999997</v>
      </c>
      <c r="H16" s="797">
        <f t="shared" si="2"/>
        <v>30</v>
      </c>
      <c r="I16" s="850">
        <f t="shared" si="3"/>
        <v>538447.34953205381</v>
      </c>
    </row>
    <row r="17" spans="1:9" ht="13.5">
      <c r="A17" s="791">
        <v>6</v>
      </c>
      <c r="B17" s="953">
        <v>44105</v>
      </c>
      <c r="C17" s="953">
        <v>44135</v>
      </c>
      <c r="D17" s="796">
        <v>0</v>
      </c>
      <c r="E17" s="896">
        <v>2.0299999999999999E-2</v>
      </c>
      <c r="F17" s="959">
        <f t="shared" si="0"/>
        <v>5.5060972509624051E-5</v>
      </c>
      <c r="G17" s="895">
        <f t="shared" si="1"/>
        <v>277358683.27999997</v>
      </c>
      <c r="H17" s="797">
        <f t="shared" si="2"/>
        <v>31</v>
      </c>
      <c r="I17" s="850">
        <f t="shared" si="3"/>
        <v>473420.80389695364</v>
      </c>
    </row>
    <row r="18" spans="1:9" ht="13.5">
      <c r="A18" s="791">
        <v>7</v>
      </c>
      <c r="B18" s="953">
        <v>44136</v>
      </c>
      <c r="C18" s="953">
        <v>44165</v>
      </c>
      <c r="D18" s="796">
        <v>0</v>
      </c>
      <c r="E18" s="896">
        <v>1.9599999999999999E-2</v>
      </c>
      <c r="F18" s="959">
        <f t="shared" si="0"/>
        <v>5.3180574364875E-5</v>
      </c>
      <c r="G18" s="895">
        <f t="shared" si="1"/>
        <v>277358683.27999997</v>
      </c>
      <c r="H18" s="797">
        <f t="shared" si="2"/>
        <v>30</v>
      </c>
      <c r="I18" s="850">
        <f t="shared" si="3"/>
        <v>442502.82245747553</v>
      </c>
    </row>
    <row r="19" spans="1:9" ht="13.5">
      <c r="A19" s="791">
        <v>8</v>
      </c>
      <c r="B19" s="953">
        <v>44166</v>
      </c>
      <c r="C19" s="953">
        <v>44196</v>
      </c>
      <c r="D19" s="796">
        <v>0</v>
      </c>
      <c r="E19" s="896">
        <v>1.9300000000000001E-2</v>
      </c>
      <c r="F19" s="959">
        <f t="shared" si="0"/>
        <v>5.2374295299806306E-5</v>
      </c>
      <c r="G19" s="895">
        <f t="shared" si="1"/>
        <v>277358683.27999997</v>
      </c>
      <c r="H19" s="797">
        <f t="shared" si="2"/>
        <v>31</v>
      </c>
      <c r="I19" s="850">
        <f t="shared" si="3"/>
        <v>450320.43304423726</v>
      </c>
    </row>
    <row r="20" spans="1:9" ht="13.5">
      <c r="A20" s="791">
        <v>9</v>
      </c>
      <c r="B20" s="953">
        <v>44197</v>
      </c>
      <c r="C20" s="953">
        <v>44227</v>
      </c>
      <c r="D20" s="796">
        <v>0</v>
      </c>
      <c r="E20" s="896">
        <v>1.9099999999999999E-2</v>
      </c>
      <c r="F20" s="959">
        <f t="shared" si="0"/>
        <v>5.1836644438196799E-5</v>
      </c>
      <c r="G20" s="895">
        <f t="shared" si="1"/>
        <v>277358683.27999997</v>
      </c>
      <c r="H20" s="797">
        <f t="shared" si="2"/>
        <v>31</v>
      </c>
      <c r="I20" s="850">
        <f t="shared" si="3"/>
        <v>445697.64685798576</v>
      </c>
    </row>
    <row r="21" spans="1:9" ht="13.5">
      <c r="A21" s="791">
        <v>10</v>
      </c>
      <c r="B21" s="953">
        <v>44228</v>
      </c>
      <c r="C21" s="953">
        <v>44255</v>
      </c>
      <c r="D21" s="796">
        <v>0</v>
      </c>
      <c r="E21" s="896">
        <v>1.8100000000000002E-2</v>
      </c>
      <c r="F21" s="959">
        <f t="shared" si="0"/>
        <v>4.9146810763511795E-5</v>
      </c>
      <c r="G21" s="895">
        <f t="shared" si="1"/>
        <v>277358683.27999997</v>
      </c>
      <c r="H21" s="797">
        <f t="shared" si="2"/>
        <v>28</v>
      </c>
      <c r="I21" s="850">
        <f t="shared" si="3"/>
        <v>381676.25218181091</v>
      </c>
    </row>
    <row r="22" spans="1:9" ht="13.5">
      <c r="A22" s="791">
        <v>11</v>
      </c>
      <c r="B22" s="953">
        <v>44256</v>
      </c>
      <c r="C22" s="953">
        <v>44271</v>
      </c>
      <c r="D22" s="796">
        <v>0</v>
      </c>
      <c r="E22" s="896">
        <v>1.77E-2</v>
      </c>
      <c r="F22" s="959">
        <f t="shared" si="0"/>
        <v>4.8070139484934771E-5</v>
      </c>
      <c r="G22" s="895">
        <f t="shared" si="1"/>
        <v>277358683.27999997</v>
      </c>
      <c r="H22" s="797">
        <f>_xlfn.DAYS(C22,B22)+1</f>
        <v>16</v>
      </c>
      <c r="I22" s="850">
        <f>+F22*G22*H22</f>
        <v>213322.72948203911</v>
      </c>
    </row>
    <row r="23" spans="1:9" ht="13.5">
      <c r="A23" s="791">
        <v>12</v>
      </c>
      <c r="B23" s="953">
        <v>44272</v>
      </c>
      <c r="C23" s="953">
        <v>44286</v>
      </c>
      <c r="D23" s="796">
        <v>0.1741</v>
      </c>
      <c r="E23" s="896">
        <f t="shared" ref="E23:E32" si="4">+D23*1.5</f>
        <v>0.26114999999999999</v>
      </c>
      <c r="F23" s="959">
        <f t="shared" ref="F23:F32" si="5">((1+E23)^(1/365)-1)</f>
        <v>6.3588428907812578E-4</v>
      </c>
      <c r="G23" s="895">
        <f t="shared" si="1"/>
        <v>277358683.27999997</v>
      </c>
      <c r="H23" s="797">
        <f t="shared" si="2"/>
        <v>15</v>
      </c>
      <c r="I23" s="850">
        <f>+F23*G23*H23</f>
        <v>2645520.4370572176</v>
      </c>
    </row>
    <row r="24" spans="1:9" ht="13.5">
      <c r="A24" s="791">
        <v>13</v>
      </c>
      <c r="B24" s="953">
        <v>44287</v>
      </c>
      <c r="C24" s="953">
        <v>44316</v>
      </c>
      <c r="D24" s="796">
        <v>0.1731</v>
      </c>
      <c r="E24" s="896">
        <f t="shared" si="4"/>
        <v>0.25964999999999999</v>
      </c>
      <c r="F24" s="959">
        <f t="shared" si="5"/>
        <v>6.326216771728177E-4</v>
      </c>
      <c r="G24" s="895">
        <f t="shared" si="1"/>
        <v>277358683.27999997</v>
      </c>
      <c r="H24" s="797">
        <f t="shared" si="2"/>
        <v>30</v>
      </c>
      <c r="I24" s="850">
        <f t="shared" si="3"/>
        <v>5263893.4618511377</v>
      </c>
    </row>
    <row r="25" spans="1:9" ht="13.5">
      <c r="A25" s="791">
        <v>14</v>
      </c>
      <c r="B25" s="953">
        <v>44317</v>
      </c>
      <c r="C25" s="953">
        <v>44347</v>
      </c>
      <c r="D25" s="796">
        <v>0.17219999999999999</v>
      </c>
      <c r="E25" s="896">
        <f t="shared" si="4"/>
        <v>0.25829999999999997</v>
      </c>
      <c r="F25" s="959">
        <f t="shared" si="5"/>
        <v>6.2968201205726437E-4</v>
      </c>
      <c r="G25" s="895">
        <f t="shared" si="1"/>
        <v>277358683.27999997</v>
      </c>
      <c r="H25" s="797">
        <f t="shared" si="2"/>
        <v>31</v>
      </c>
      <c r="I25" s="850">
        <f t="shared" si="3"/>
        <v>5414080.9862284213</v>
      </c>
    </row>
    <row r="26" spans="1:9" ht="13.5">
      <c r="A26" s="791">
        <v>15</v>
      </c>
      <c r="B26" s="953">
        <v>44348</v>
      </c>
      <c r="C26" s="953">
        <v>44377</v>
      </c>
      <c r="D26" s="796">
        <v>0.1721</v>
      </c>
      <c r="E26" s="896">
        <f t="shared" si="4"/>
        <v>0.25814999999999999</v>
      </c>
      <c r="F26" s="959">
        <f t="shared" si="5"/>
        <v>6.2935518846773952E-4</v>
      </c>
      <c r="G26" s="895">
        <f t="shared" si="1"/>
        <v>277358683.27999997</v>
      </c>
      <c r="H26" s="797">
        <f t="shared" ref="H26:H32" si="6">_xlfn.DAYS(C26,B26)+1</f>
        <v>30</v>
      </c>
      <c r="I26" s="850">
        <f t="shared" si="3"/>
        <v>5236713.7916654544</v>
      </c>
    </row>
    <row r="27" spans="1:9" ht="13.5">
      <c r="A27" s="791">
        <v>16</v>
      </c>
      <c r="B27" s="953">
        <v>44378</v>
      </c>
      <c r="C27" s="953">
        <v>44408</v>
      </c>
      <c r="D27" s="796">
        <v>0.17180000000000001</v>
      </c>
      <c r="E27" s="896">
        <f t="shared" si="4"/>
        <v>0.25770000000000004</v>
      </c>
      <c r="F27" s="959">
        <f t="shared" si="5"/>
        <v>6.2837448450037137E-4</v>
      </c>
      <c r="G27" s="895">
        <f t="shared" si="1"/>
        <v>277358683.27999997</v>
      </c>
      <c r="H27" s="797">
        <f t="shared" si="6"/>
        <v>31</v>
      </c>
      <c r="I27" s="850">
        <f t="shared" si="3"/>
        <v>5402838.7084609242</v>
      </c>
    </row>
    <row r="28" spans="1:9" ht="13.5">
      <c r="A28" s="791">
        <v>17</v>
      </c>
      <c r="B28" s="953">
        <v>44409</v>
      </c>
      <c r="C28" s="953">
        <v>44439</v>
      </c>
      <c r="D28" s="796">
        <v>0.1724</v>
      </c>
      <c r="E28" s="796">
        <f t="shared" si="4"/>
        <v>0.2586</v>
      </c>
      <c r="F28" s="959">
        <f t="shared" si="5"/>
        <v>6.3033554269220637E-4</v>
      </c>
      <c r="G28" s="895">
        <f t="shared" si="1"/>
        <v>277358683.27999997</v>
      </c>
      <c r="H28" s="797">
        <f t="shared" si="6"/>
        <v>31</v>
      </c>
      <c r="I28" s="850">
        <f>+F28*G28*H28</f>
        <v>5419700.1205165312</v>
      </c>
    </row>
    <row r="29" spans="1:9" ht="13.5">
      <c r="A29" s="791">
        <v>18</v>
      </c>
      <c r="B29" s="953">
        <v>44440</v>
      </c>
      <c r="C29" s="953">
        <v>44469</v>
      </c>
      <c r="D29" s="796">
        <v>0.1719</v>
      </c>
      <c r="E29" s="896">
        <f t="shared" si="4"/>
        <v>0.25785000000000002</v>
      </c>
      <c r="F29" s="959">
        <f t="shared" si="5"/>
        <v>6.2870142469861889E-4</v>
      </c>
      <c r="G29" s="895">
        <f t="shared" si="1"/>
        <v>277358683.27999997</v>
      </c>
      <c r="H29" s="797">
        <f t="shared" si="6"/>
        <v>30</v>
      </c>
      <c r="I29" s="850">
        <f>+F29*G29*H29</f>
        <v>5231273.9799200697</v>
      </c>
    </row>
    <row r="30" spans="1:9" ht="13.5">
      <c r="A30" s="791">
        <v>19</v>
      </c>
      <c r="B30" s="953">
        <v>44470</v>
      </c>
      <c r="C30" s="953">
        <v>44500</v>
      </c>
      <c r="D30" s="796">
        <v>0.17080000000000001</v>
      </c>
      <c r="E30" s="796">
        <f t="shared" si="4"/>
        <v>0.25619999999999998</v>
      </c>
      <c r="F30" s="959">
        <f t="shared" si="5"/>
        <v>6.2510294214179751E-4</v>
      </c>
      <c r="G30" s="895">
        <f t="shared" si="1"/>
        <v>277358683.27999997</v>
      </c>
      <c r="H30" s="797">
        <f t="shared" si="6"/>
        <v>31</v>
      </c>
      <c r="I30" s="850">
        <f>+F30*G30*H30</f>
        <v>5374709.5973539921</v>
      </c>
    </row>
    <row r="31" spans="1:9" ht="13.5">
      <c r="A31" s="791">
        <v>20</v>
      </c>
      <c r="B31" s="953">
        <v>44501</v>
      </c>
      <c r="C31" s="953">
        <v>44530</v>
      </c>
      <c r="D31" s="796">
        <v>0.17269999999999999</v>
      </c>
      <c r="E31" s="896">
        <f t="shared" si="4"/>
        <v>0.25905</v>
      </c>
      <c r="F31" s="959">
        <f t="shared" si="5"/>
        <v>6.3131554742335005E-4</v>
      </c>
      <c r="G31" s="895">
        <f t="shared" si="1"/>
        <v>277358683.27999997</v>
      </c>
      <c r="H31" s="797">
        <f t="shared" si="6"/>
        <v>30</v>
      </c>
      <c r="I31" s="850">
        <f>+F31*G31*H31</f>
        <v>5253025.4690259825</v>
      </c>
    </row>
    <row r="32" spans="1:9" ht="13.5">
      <c r="A32" s="791">
        <v>21</v>
      </c>
      <c r="B32" s="953">
        <v>44531</v>
      </c>
      <c r="C32" s="953">
        <v>44558</v>
      </c>
      <c r="D32" s="796">
        <v>0.17460000000000001</v>
      </c>
      <c r="E32" s="796">
        <f t="shared" si="4"/>
        <v>0.26190000000000002</v>
      </c>
      <c r="F32" s="959">
        <f t="shared" si="5"/>
        <v>6.3751414410861962E-4</v>
      </c>
      <c r="G32" s="895">
        <f t="shared" si="1"/>
        <v>277358683.27999997</v>
      </c>
      <c r="H32" s="797">
        <f t="shared" si="6"/>
        <v>28</v>
      </c>
      <c r="I32" s="850">
        <f>+F32*G32*H32</f>
        <v>4950962.3403056012</v>
      </c>
    </row>
    <row r="33" spans="2:9" ht="13.5">
      <c r="B33" s="791"/>
      <c r="C33" s="791"/>
      <c r="D33" s="791"/>
      <c r="E33" s="791"/>
      <c r="F33" s="791"/>
      <c r="G33" s="728" t="s">
        <v>913</v>
      </c>
      <c r="H33" s="728"/>
      <c r="I33" s="907">
        <f>SUM(I12:I32)</f>
        <v>55912534.879611202</v>
      </c>
    </row>
    <row r="34" spans="2:9" ht="13.5">
      <c r="B34" s="2559" t="s">
        <v>55</v>
      </c>
      <c r="C34" s="2559"/>
      <c r="D34" s="2559"/>
      <c r="E34" s="791"/>
      <c r="F34" s="791"/>
      <c r="G34" s="848"/>
      <c r="H34" s="791"/>
      <c r="I34" s="1076"/>
    </row>
    <row r="35" spans="2:9" ht="13.5">
      <c r="B35" s="2730" t="s">
        <v>1041</v>
      </c>
      <c r="C35" s="2731"/>
      <c r="D35" s="913">
        <f>+C3</f>
        <v>277358683.27999997</v>
      </c>
    </row>
    <row r="36" spans="2:9" ht="13.5">
      <c r="B36" s="2730" t="s">
        <v>1042</v>
      </c>
      <c r="C36" s="2731"/>
      <c r="D36" s="895">
        <f>+I33</f>
        <v>55912534.879611202</v>
      </c>
    </row>
    <row r="37" spans="2:9" ht="13.5">
      <c r="B37" s="728" t="s">
        <v>1043</v>
      </c>
      <c r="C37" s="728"/>
      <c r="D37" s="907">
        <f>SUM(D35:D36)</f>
        <v>333271218.15961117</v>
      </c>
    </row>
    <row r="38" spans="2:9" ht="13.5">
      <c r="B38" s="719" t="s">
        <v>62</v>
      </c>
      <c r="C38" s="791"/>
    </row>
    <row r="39" spans="2:9" ht="13.5">
      <c r="B39" s="911"/>
      <c r="C39" s="791"/>
    </row>
    <row r="40" spans="2:9" ht="13.5">
      <c r="B40" s="911"/>
      <c r="C40" s="791"/>
    </row>
    <row r="41" spans="2:9" ht="13.5">
      <c r="B41" s="719" t="s">
        <v>63</v>
      </c>
      <c r="C41" s="791"/>
    </row>
    <row r="42" spans="2:9" ht="13.5">
      <c r="B42" s="719" t="s">
        <v>64</v>
      </c>
      <c r="C42" s="791"/>
    </row>
    <row r="43" spans="2:9" ht="13.5">
      <c r="B43" s="719" t="s">
        <v>65</v>
      </c>
      <c r="C43" s="791"/>
    </row>
    <row r="44" spans="2:9">
      <c r="B44" s="697"/>
      <c r="C44" s="697"/>
    </row>
  </sheetData>
  <mergeCells count="5">
    <mergeCell ref="B36:C36"/>
    <mergeCell ref="B10:I10"/>
    <mergeCell ref="D11:E11"/>
    <mergeCell ref="B34:D34"/>
    <mergeCell ref="B35:C35"/>
  </mergeCells>
  <pageMargins left="0.7" right="0.7" top="0.75" bottom="0.75" header="0.3" footer="0.3"/>
  <pageSetup paperSize="5" scale="97"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73E24-AAF8-4498-A07D-C97F096B62D0}">
  <sheetPr codeName="Hoja92"/>
  <dimension ref="A2:I44"/>
  <sheetViews>
    <sheetView topLeftCell="A22" zoomScale="120" zoomScaleNormal="120" workbookViewId="0">
      <selection activeCell="A48" sqref="A48"/>
    </sheetView>
  </sheetViews>
  <sheetFormatPr defaultColWidth="11.42578125" defaultRowHeight="12.75"/>
  <cols>
    <col min="1" max="1" width="2.5703125" customWidth="1"/>
    <col min="2" max="2" width="12.85546875" customWidth="1"/>
    <col min="3" max="3" width="11.42578125" customWidth="1"/>
    <col min="4" max="4" width="12.5703125" customWidth="1"/>
    <col min="5" max="5" width="10.42578125" customWidth="1"/>
    <col min="6" max="6" width="10.140625" customWidth="1"/>
    <col min="7" max="7" width="15.7109375" customWidth="1"/>
    <col min="8" max="8" width="6" customWidth="1"/>
    <col min="9" max="9" width="14.85546875" customWidth="1"/>
  </cols>
  <sheetData>
    <row r="2" spans="1:9" ht="23.25" customHeight="1">
      <c r="B2" s="1078" t="s">
        <v>121</v>
      </c>
      <c r="C2" s="845" t="s">
        <v>1032</v>
      </c>
      <c r="D2" s="791"/>
      <c r="E2" s="791"/>
      <c r="F2" s="791"/>
      <c r="G2" s="791"/>
      <c r="H2" s="791"/>
      <c r="I2" s="791"/>
    </row>
    <row r="3" spans="1:9" ht="13.5">
      <c r="B3" s="728" t="s">
        <v>67</v>
      </c>
      <c r="C3" s="790">
        <v>277358683.27999997</v>
      </c>
      <c r="D3" s="791"/>
      <c r="E3" s="791"/>
      <c r="F3" s="791"/>
      <c r="G3" s="791"/>
      <c r="H3" s="791"/>
      <c r="I3" s="791"/>
    </row>
    <row r="4" spans="1:9" ht="13.5">
      <c r="B4" s="728" t="s">
        <v>4</v>
      </c>
      <c r="C4" s="953">
        <v>43818</v>
      </c>
      <c r="D4" s="791"/>
      <c r="E4" s="791"/>
      <c r="F4" s="791"/>
      <c r="G4" s="791"/>
      <c r="H4" s="791"/>
      <c r="I4" s="791"/>
    </row>
    <row r="5" spans="1:9" ht="13.5">
      <c r="B5" s="728" t="s">
        <v>291</v>
      </c>
      <c r="C5" s="737" t="s">
        <v>1033</v>
      </c>
      <c r="D5" s="791"/>
      <c r="E5" s="791"/>
      <c r="F5" s="791"/>
      <c r="G5" s="791"/>
      <c r="H5" s="791"/>
      <c r="I5" s="791"/>
    </row>
    <row r="6" spans="1:9" ht="25.5" customHeight="1">
      <c r="B6" s="893" t="s">
        <v>154</v>
      </c>
      <c r="C6" s="953">
        <v>43845</v>
      </c>
      <c r="D6" s="791"/>
      <c r="E6" s="791"/>
      <c r="F6" s="791"/>
      <c r="G6" s="791"/>
      <c r="H6" s="791"/>
      <c r="I6" s="791"/>
    </row>
    <row r="7" spans="1:9" ht="22.5" customHeight="1">
      <c r="B7" s="893" t="s">
        <v>1034</v>
      </c>
      <c r="C7" s="953">
        <v>43811</v>
      </c>
      <c r="D7" s="791"/>
      <c r="E7" s="791"/>
      <c r="F7" s="791"/>
      <c r="G7" s="791"/>
      <c r="H7" s="791"/>
      <c r="I7" s="791"/>
    </row>
    <row r="8" spans="1:9" ht="21" customHeight="1">
      <c r="B8" s="893" t="s">
        <v>1035</v>
      </c>
      <c r="C8" s="1079" t="s">
        <v>1036</v>
      </c>
      <c r="D8" s="791"/>
      <c r="E8" s="791"/>
      <c r="F8" s="791"/>
      <c r="G8" s="791"/>
      <c r="H8" s="791"/>
      <c r="I8" s="791"/>
    </row>
    <row r="9" spans="1:9" ht="13.5">
      <c r="B9" s="728" t="s">
        <v>1037</v>
      </c>
      <c r="C9" s="944" t="s">
        <v>1038</v>
      </c>
      <c r="D9" s="791"/>
      <c r="E9" s="791"/>
      <c r="F9" s="791"/>
      <c r="G9" s="791"/>
      <c r="H9" s="791"/>
      <c r="I9" s="791"/>
    </row>
    <row r="10" spans="1:9" ht="13.5">
      <c r="B10" s="2559" t="s">
        <v>1039</v>
      </c>
      <c r="C10" s="2559"/>
      <c r="D10" s="2559"/>
      <c r="E10" s="2559"/>
      <c r="F10" s="2559"/>
      <c r="G10" s="2559"/>
      <c r="H10" s="2559"/>
      <c r="I10" s="2559"/>
    </row>
    <row r="11" spans="1:9" ht="21.75" customHeight="1">
      <c r="B11" s="794" t="s">
        <v>206</v>
      </c>
      <c r="C11" s="794" t="s">
        <v>10</v>
      </c>
      <c r="D11" s="2712" t="s">
        <v>1040</v>
      </c>
      <c r="E11" s="2713"/>
      <c r="F11" s="793" t="s">
        <v>43</v>
      </c>
      <c r="G11" s="794" t="s">
        <v>129</v>
      </c>
      <c r="H11" s="795" t="s">
        <v>86</v>
      </c>
      <c r="I11" s="794" t="s">
        <v>48</v>
      </c>
    </row>
    <row r="12" spans="1:9" ht="13.5">
      <c r="A12" s="737">
        <v>1</v>
      </c>
      <c r="B12" s="953">
        <v>43967</v>
      </c>
      <c r="C12" s="953">
        <v>43982</v>
      </c>
      <c r="D12" s="796">
        <v>0</v>
      </c>
      <c r="E12" s="896">
        <v>4.2900000000000001E-2</v>
      </c>
      <c r="F12" s="959">
        <f>((1+E12)^(1/365)-1)</f>
        <v>1.1508961995976286E-4</v>
      </c>
      <c r="G12" s="941">
        <f>+$C$3</f>
        <v>277358683.27999997</v>
      </c>
      <c r="H12" s="797">
        <f>_xlfn.DAYS(C12,B12)+1</f>
        <v>16</v>
      </c>
      <c r="I12" s="941">
        <f>+F12*G12*H12</f>
        <v>510737.68721976684</v>
      </c>
    </row>
    <row r="13" spans="1:9" ht="13.5">
      <c r="A13" s="737">
        <v>2</v>
      </c>
      <c r="B13" s="953">
        <v>43983</v>
      </c>
      <c r="C13" s="953">
        <v>44012</v>
      </c>
      <c r="D13" s="796">
        <v>0</v>
      </c>
      <c r="E13" s="896">
        <v>3.7600000000000001E-2</v>
      </c>
      <c r="F13" s="959">
        <f t="shared" ref="F13:F22" si="0">((1+E13)^(1/365)-1)</f>
        <v>1.0112937081929729E-4</v>
      </c>
      <c r="G13" s="941">
        <f t="shared" ref="G13:G32" si="1">+$C$3</f>
        <v>277358683.27999997</v>
      </c>
      <c r="H13" s="797">
        <f t="shared" ref="H13:H32" si="2">_xlfn.DAYS(C13,B13)+1</f>
        <v>30</v>
      </c>
      <c r="I13" s="941">
        <f t="shared" ref="I13:I30" si="3">+F13*G13*H13</f>
        <v>841473.27394125448</v>
      </c>
    </row>
    <row r="14" spans="1:9" ht="13.5">
      <c r="A14" s="737">
        <v>3</v>
      </c>
      <c r="B14" s="953">
        <v>44013</v>
      </c>
      <c r="C14" s="953">
        <v>44043</v>
      </c>
      <c r="D14" s="796">
        <v>0</v>
      </c>
      <c r="E14" s="896">
        <v>3.3399999999999999E-2</v>
      </c>
      <c r="F14" s="959">
        <f t="shared" si="0"/>
        <v>9.0015933029263806E-5</v>
      </c>
      <c r="G14" s="941">
        <f t="shared" si="1"/>
        <v>277358683.27999997</v>
      </c>
      <c r="H14" s="797">
        <f t="shared" si="2"/>
        <v>31</v>
      </c>
      <c r="I14" s="941">
        <f t="shared" si="3"/>
        <v>773967.7204357353</v>
      </c>
    </row>
    <row r="15" spans="1:9" ht="13.5">
      <c r="A15" s="737">
        <v>4</v>
      </c>
      <c r="B15" s="953">
        <v>44044</v>
      </c>
      <c r="C15" s="953">
        <v>44074</v>
      </c>
      <c r="D15" s="796">
        <v>0</v>
      </c>
      <c r="E15" s="896">
        <v>2.7900000000000001E-2</v>
      </c>
      <c r="F15" s="959">
        <f t="shared" si="0"/>
        <v>7.5394310601994974E-5</v>
      </c>
      <c r="G15" s="941">
        <f t="shared" si="1"/>
        <v>277358683.27999997</v>
      </c>
      <c r="H15" s="797">
        <f t="shared" si="2"/>
        <v>31</v>
      </c>
      <c r="I15" s="941">
        <f t="shared" si="3"/>
        <v>648249.26817655272</v>
      </c>
    </row>
    <row r="16" spans="1:9" ht="13.5">
      <c r="A16" s="737">
        <v>5</v>
      </c>
      <c r="B16" s="953">
        <v>44075</v>
      </c>
      <c r="C16" s="953">
        <v>44104</v>
      </c>
      <c r="D16" s="796">
        <v>0</v>
      </c>
      <c r="E16" s="896">
        <v>2.3900000000000001E-2</v>
      </c>
      <c r="F16" s="959">
        <f t="shared" si="0"/>
        <v>6.4711314504917183E-5</v>
      </c>
      <c r="G16" s="941">
        <f t="shared" si="1"/>
        <v>277358683.27999997</v>
      </c>
      <c r="H16" s="797">
        <f t="shared" si="2"/>
        <v>30</v>
      </c>
      <c r="I16" s="941">
        <f t="shared" si="3"/>
        <v>538447.34953205381</v>
      </c>
    </row>
    <row r="17" spans="1:9" ht="13.5">
      <c r="A17" s="737">
        <v>6</v>
      </c>
      <c r="B17" s="953">
        <v>44105</v>
      </c>
      <c r="C17" s="953">
        <v>44135</v>
      </c>
      <c r="D17" s="796">
        <v>0</v>
      </c>
      <c r="E17" s="896">
        <v>2.0299999999999999E-2</v>
      </c>
      <c r="F17" s="959">
        <f t="shared" si="0"/>
        <v>5.5060972509624051E-5</v>
      </c>
      <c r="G17" s="941">
        <f t="shared" si="1"/>
        <v>277358683.27999997</v>
      </c>
      <c r="H17" s="797">
        <f t="shared" si="2"/>
        <v>31</v>
      </c>
      <c r="I17" s="941">
        <f t="shared" si="3"/>
        <v>473420.80389695364</v>
      </c>
    </row>
    <row r="18" spans="1:9" ht="13.5">
      <c r="A18" s="737">
        <v>7</v>
      </c>
      <c r="B18" s="953">
        <v>44136</v>
      </c>
      <c r="C18" s="953">
        <v>44165</v>
      </c>
      <c r="D18" s="796">
        <v>0</v>
      </c>
      <c r="E18" s="896">
        <v>1.9599999999999999E-2</v>
      </c>
      <c r="F18" s="959">
        <f t="shared" si="0"/>
        <v>5.3180574364875E-5</v>
      </c>
      <c r="G18" s="941">
        <f t="shared" si="1"/>
        <v>277358683.27999997</v>
      </c>
      <c r="H18" s="797">
        <f t="shared" si="2"/>
        <v>30</v>
      </c>
      <c r="I18" s="941">
        <f t="shared" si="3"/>
        <v>442502.82245747553</v>
      </c>
    </row>
    <row r="19" spans="1:9" ht="13.5">
      <c r="A19" s="737">
        <v>8</v>
      </c>
      <c r="B19" s="953">
        <v>44166</v>
      </c>
      <c r="C19" s="953">
        <v>44196</v>
      </c>
      <c r="D19" s="796">
        <v>0</v>
      </c>
      <c r="E19" s="896">
        <v>1.9300000000000001E-2</v>
      </c>
      <c r="F19" s="959">
        <f t="shared" si="0"/>
        <v>5.2374295299806306E-5</v>
      </c>
      <c r="G19" s="941">
        <f t="shared" si="1"/>
        <v>277358683.27999997</v>
      </c>
      <c r="H19" s="797">
        <f t="shared" si="2"/>
        <v>31</v>
      </c>
      <c r="I19" s="941">
        <f t="shared" si="3"/>
        <v>450320.43304423726</v>
      </c>
    </row>
    <row r="20" spans="1:9" ht="13.5">
      <c r="A20" s="737">
        <v>9</v>
      </c>
      <c r="B20" s="953">
        <v>44197</v>
      </c>
      <c r="C20" s="953">
        <v>44227</v>
      </c>
      <c r="D20" s="796">
        <v>0</v>
      </c>
      <c r="E20" s="896">
        <v>1.9099999999999999E-2</v>
      </c>
      <c r="F20" s="959">
        <f t="shared" si="0"/>
        <v>5.1836644438196799E-5</v>
      </c>
      <c r="G20" s="941">
        <f t="shared" si="1"/>
        <v>277358683.27999997</v>
      </c>
      <c r="H20" s="797">
        <f t="shared" si="2"/>
        <v>31</v>
      </c>
      <c r="I20" s="941">
        <f t="shared" si="3"/>
        <v>445697.64685798576</v>
      </c>
    </row>
    <row r="21" spans="1:9" ht="13.5">
      <c r="A21" s="737">
        <v>10</v>
      </c>
      <c r="B21" s="953">
        <v>44228</v>
      </c>
      <c r="C21" s="953">
        <v>44255</v>
      </c>
      <c r="D21" s="796">
        <v>0</v>
      </c>
      <c r="E21" s="896">
        <v>1.8100000000000002E-2</v>
      </c>
      <c r="F21" s="959">
        <f t="shared" si="0"/>
        <v>4.9146810763511795E-5</v>
      </c>
      <c r="G21" s="941">
        <f t="shared" si="1"/>
        <v>277358683.27999997</v>
      </c>
      <c r="H21" s="797">
        <f t="shared" si="2"/>
        <v>28</v>
      </c>
      <c r="I21" s="941">
        <f t="shared" si="3"/>
        <v>381676.25218181091</v>
      </c>
    </row>
    <row r="22" spans="1:9" ht="13.5">
      <c r="A22" s="737">
        <v>11</v>
      </c>
      <c r="B22" s="953">
        <v>44256</v>
      </c>
      <c r="C22" s="953">
        <v>44271</v>
      </c>
      <c r="D22" s="796">
        <v>0</v>
      </c>
      <c r="E22" s="896">
        <v>1.77E-2</v>
      </c>
      <c r="F22" s="959">
        <f t="shared" si="0"/>
        <v>4.8070139484934771E-5</v>
      </c>
      <c r="G22" s="941">
        <f t="shared" si="1"/>
        <v>277358683.27999997</v>
      </c>
      <c r="H22" s="797">
        <f t="shared" si="2"/>
        <v>16</v>
      </c>
      <c r="I22" s="941">
        <f>+F22*G22*H22</f>
        <v>213322.72948203911</v>
      </c>
    </row>
    <row r="23" spans="1:9" ht="13.5">
      <c r="A23" s="737">
        <v>12</v>
      </c>
      <c r="B23" s="953">
        <v>44272</v>
      </c>
      <c r="C23" s="953">
        <v>44286</v>
      </c>
      <c r="D23" s="796">
        <v>0.1741</v>
      </c>
      <c r="E23" s="896">
        <f>+D23*1.5</f>
        <v>0.26114999999999999</v>
      </c>
      <c r="F23" s="959">
        <f>((1+E23)^(1/365)-1)</f>
        <v>6.3588428907812578E-4</v>
      </c>
      <c r="G23" s="941">
        <f t="shared" si="1"/>
        <v>277358683.27999997</v>
      </c>
      <c r="H23" s="797">
        <f t="shared" si="2"/>
        <v>15</v>
      </c>
      <c r="I23" s="941">
        <f>+F23*G23*H23</f>
        <v>2645520.4370572176</v>
      </c>
    </row>
    <row r="24" spans="1:9" ht="13.5">
      <c r="A24" s="737">
        <v>13</v>
      </c>
      <c r="B24" s="953">
        <v>44287</v>
      </c>
      <c r="C24" s="953">
        <v>44316</v>
      </c>
      <c r="D24" s="796">
        <v>0.1731</v>
      </c>
      <c r="E24" s="896">
        <f t="shared" ref="E24:E32" si="4">+D24*1.5</f>
        <v>0.25964999999999999</v>
      </c>
      <c r="F24" s="959">
        <f t="shared" ref="F24:F30" si="5">((1+E24)^(1/365)-1)</f>
        <v>6.326216771728177E-4</v>
      </c>
      <c r="G24" s="941">
        <f t="shared" si="1"/>
        <v>277358683.27999997</v>
      </c>
      <c r="H24" s="797">
        <f t="shared" si="2"/>
        <v>30</v>
      </c>
      <c r="I24" s="941">
        <f t="shared" si="3"/>
        <v>5263893.4618511377</v>
      </c>
    </row>
    <row r="25" spans="1:9" ht="13.5">
      <c r="A25" s="737">
        <v>14</v>
      </c>
      <c r="B25" s="953">
        <v>44317</v>
      </c>
      <c r="C25" s="953">
        <v>44347</v>
      </c>
      <c r="D25" s="796">
        <v>0.17219999999999999</v>
      </c>
      <c r="E25" s="896">
        <f t="shared" si="4"/>
        <v>0.25829999999999997</v>
      </c>
      <c r="F25" s="959">
        <f t="shared" si="5"/>
        <v>6.2968201205726437E-4</v>
      </c>
      <c r="G25" s="941">
        <f t="shared" si="1"/>
        <v>277358683.27999997</v>
      </c>
      <c r="H25" s="797">
        <f t="shared" si="2"/>
        <v>31</v>
      </c>
      <c r="I25" s="941">
        <f t="shared" si="3"/>
        <v>5414080.9862284213</v>
      </c>
    </row>
    <row r="26" spans="1:9" ht="13.5">
      <c r="A26" s="737">
        <v>15</v>
      </c>
      <c r="B26" s="953">
        <v>44348</v>
      </c>
      <c r="C26" s="953">
        <v>44377</v>
      </c>
      <c r="D26" s="796">
        <v>0.1721</v>
      </c>
      <c r="E26" s="896">
        <f t="shared" si="4"/>
        <v>0.25814999999999999</v>
      </c>
      <c r="F26" s="959">
        <f t="shared" si="5"/>
        <v>6.2935518846773952E-4</v>
      </c>
      <c r="G26" s="941">
        <f t="shared" si="1"/>
        <v>277358683.27999997</v>
      </c>
      <c r="H26" s="797">
        <f t="shared" si="2"/>
        <v>30</v>
      </c>
      <c r="I26" s="941">
        <f t="shared" si="3"/>
        <v>5236713.7916654544</v>
      </c>
    </row>
    <row r="27" spans="1:9" ht="13.5">
      <c r="A27" s="737">
        <v>16</v>
      </c>
      <c r="B27" s="953">
        <v>44378</v>
      </c>
      <c r="C27" s="953">
        <v>44408</v>
      </c>
      <c r="D27" s="796">
        <v>0.17180000000000001</v>
      </c>
      <c r="E27" s="896">
        <f t="shared" si="4"/>
        <v>0.25770000000000004</v>
      </c>
      <c r="F27" s="959">
        <f t="shared" si="5"/>
        <v>6.2837448450037137E-4</v>
      </c>
      <c r="G27" s="941">
        <f t="shared" si="1"/>
        <v>277358683.27999997</v>
      </c>
      <c r="H27" s="797">
        <f t="shared" si="2"/>
        <v>31</v>
      </c>
      <c r="I27" s="941">
        <f t="shared" si="3"/>
        <v>5402838.7084609242</v>
      </c>
    </row>
    <row r="28" spans="1:9" ht="13.5">
      <c r="A28" s="737">
        <v>17</v>
      </c>
      <c r="B28" s="953">
        <v>44409</v>
      </c>
      <c r="C28" s="953">
        <v>44439</v>
      </c>
      <c r="D28" s="796">
        <v>0.1724</v>
      </c>
      <c r="E28" s="796">
        <f t="shared" si="4"/>
        <v>0.2586</v>
      </c>
      <c r="F28" s="959">
        <f t="shared" si="5"/>
        <v>6.3033554269220637E-4</v>
      </c>
      <c r="G28" s="941">
        <f t="shared" si="1"/>
        <v>277358683.27999997</v>
      </c>
      <c r="H28" s="797">
        <f t="shared" si="2"/>
        <v>31</v>
      </c>
      <c r="I28" s="941">
        <f t="shared" si="3"/>
        <v>5419700.1205165312</v>
      </c>
    </row>
    <row r="29" spans="1:9" ht="13.5">
      <c r="A29" s="737">
        <v>18</v>
      </c>
      <c r="B29" s="953">
        <v>44440</v>
      </c>
      <c r="C29" s="953">
        <v>44469</v>
      </c>
      <c r="D29" s="796">
        <v>0.1719</v>
      </c>
      <c r="E29" s="896">
        <f t="shared" si="4"/>
        <v>0.25785000000000002</v>
      </c>
      <c r="F29" s="959">
        <f t="shared" si="5"/>
        <v>6.2870142469861889E-4</v>
      </c>
      <c r="G29" s="941">
        <f t="shared" si="1"/>
        <v>277358683.27999997</v>
      </c>
      <c r="H29" s="797">
        <f t="shared" si="2"/>
        <v>30</v>
      </c>
      <c r="I29" s="941">
        <f t="shared" si="3"/>
        <v>5231273.9799200697</v>
      </c>
    </row>
    <row r="30" spans="1:9" ht="13.5">
      <c r="A30" s="737">
        <v>19</v>
      </c>
      <c r="B30" s="953">
        <v>44470</v>
      </c>
      <c r="C30" s="953">
        <v>44500</v>
      </c>
      <c r="D30" s="796">
        <v>0.17080000000000001</v>
      </c>
      <c r="E30" s="796">
        <f t="shared" si="4"/>
        <v>0.25619999999999998</v>
      </c>
      <c r="F30" s="959">
        <f t="shared" si="5"/>
        <v>6.2510294214179751E-4</v>
      </c>
      <c r="G30" s="941">
        <f t="shared" si="1"/>
        <v>277358683.27999997</v>
      </c>
      <c r="H30" s="797">
        <f t="shared" si="2"/>
        <v>31</v>
      </c>
      <c r="I30" s="941">
        <f t="shared" si="3"/>
        <v>5374709.5973539921</v>
      </c>
    </row>
    <row r="31" spans="1:9" ht="13.5">
      <c r="A31" s="737">
        <v>20</v>
      </c>
      <c r="B31" s="953">
        <v>44501</v>
      </c>
      <c r="C31" s="953">
        <v>44530</v>
      </c>
      <c r="D31" s="796">
        <v>0.17269999999999999</v>
      </c>
      <c r="E31" s="896">
        <f t="shared" si="4"/>
        <v>0.25905</v>
      </c>
      <c r="F31" s="959">
        <f>((1+E31)^(1/365)-1)</f>
        <v>6.3131554742335005E-4</v>
      </c>
      <c r="G31" s="941">
        <f t="shared" si="1"/>
        <v>277358683.27999997</v>
      </c>
      <c r="H31" s="797">
        <f t="shared" si="2"/>
        <v>30</v>
      </c>
      <c r="I31" s="941">
        <f>+F31*G31*H31</f>
        <v>5253025.4690259825</v>
      </c>
    </row>
    <row r="32" spans="1:9" ht="13.5">
      <c r="A32" s="737">
        <v>21</v>
      </c>
      <c r="B32" s="953">
        <v>44531</v>
      </c>
      <c r="C32" s="953">
        <v>44558</v>
      </c>
      <c r="D32" s="796">
        <v>0.17460000000000001</v>
      </c>
      <c r="E32" s="796">
        <f t="shared" si="4"/>
        <v>0.26190000000000002</v>
      </c>
      <c r="F32" s="959">
        <f>((1+E32)^(1/365)-1)</f>
        <v>6.3751414410861962E-4</v>
      </c>
      <c r="G32" s="941">
        <f t="shared" si="1"/>
        <v>277358683.27999997</v>
      </c>
      <c r="H32" s="797">
        <f t="shared" si="2"/>
        <v>28</v>
      </c>
      <c r="I32" s="941">
        <f>+F32*G32*H32</f>
        <v>4950962.3403056012</v>
      </c>
    </row>
    <row r="33" spans="2:9" ht="13.5">
      <c r="B33" s="791"/>
      <c r="C33" s="791"/>
      <c r="D33" s="791"/>
      <c r="E33" s="791"/>
      <c r="F33" s="791"/>
      <c r="G33" s="728" t="s">
        <v>913</v>
      </c>
      <c r="H33" s="728"/>
      <c r="I33" s="1077">
        <f>SUM(I12:I32)</f>
        <v>55912534.879611202</v>
      </c>
    </row>
    <row r="34" spans="2:9" ht="13.5">
      <c r="B34" s="2559" t="s">
        <v>55</v>
      </c>
      <c r="C34" s="2559"/>
      <c r="D34" s="2559"/>
      <c r="E34" s="791"/>
      <c r="F34" s="791"/>
      <c r="G34" s="848"/>
      <c r="H34" s="791"/>
      <c r="I34" s="1076"/>
    </row>
    <row r="35" spans="2:9" ht="13.5">
      <c r="B35" s="2730" t="s">
        <v>1041</v>
      </c>
      <c r="C35" s="2731"/>
      <c r="D35" s="1755">
        <f>+C3</f>
        <v>277358683.27999997</v>
      </c>
      <c r="G35" s="8"/>
    </row>
    <row r="36" spans="2:9" ht="13.5">
      <c r="B36" s="2730" t="s">
        <v>1042</v>
      </c>
      <c r="C36" s="2731"/>
      <c r="D36" s="941">
        <f>+I33</f>
        <v>55912534.879611202</v>
      </c>
      <c r="G36" s="8"/>
    </row>
    <row r="37" spans="2:9" ht="13.5">
      <c r="B37" s="728" t="s">
        <v>1043</v>
      </c>
      <c r="C37" s="728"/>
      <c r="D37" s="1077">
        <f>SUM(D35:D36)</f>
        <v>333271218.15961117</v>
      </c>
      <c r="G37" s="8"/>
    </row>
    <row r="38" spans="2:9" ht="13.5">
      <c r="B38" s="719" t="s">
        <v>62</v>
      </c>
      <c r="C38" s="791"/>
      <c r="G38" s="8"/>
    </row>
    <row r="39" spans="2:9" ht="13.5">
      <c r="B39" s="911"/>
      <c r="C39" s="791"/>
    </row>
    <row r="40" spans="2:9" ht="13.5">
      <c r="B40" s="911"/>
      <c r="C40" s="791"/>
    </row>
    <row r="41" spans="2:9" ht="13.5">
      <c r="B41" s="719" t="s">
        <v>63</v>
      </c>
      <c r="C41" s="791"/>
    </row>
    <row r="42" spans="2:9" ht="13.5">
      <c r="B42" s="719" t="s">
        <v>64</v>
      </c>
      <c r="C42" s="791"/>
    </row>
    <row r="43" spans="2:9" ht="13.5">
      <c r="B43" s="719" t="s">
        <v>65</v>
      </c>
      <c r="C43" s="791"/>
    </row>
    <row r="44" spans="2:9">
      <c r="B44" s="697"/>
      <c r="C44" s="697"/>
    </row>
  </sheetData>
  <mergeCells count="5">
    <mergeCell ref="B10:I10"/>
    <mergeCell ref="D11:E11"/>
    <mergeCell ref="B34:D34"/>
    <mergeCell ref="B35:C35"/>
    <mergeCell ref="B36:C36"/>
  </mergeCells>
  <pageMargins left="0.7" right="0.7" top="0.75" bottom="0.75" header="0.3" footer="0.3"/>
  <pageSetup paperSize="5" scale="93"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665F0-567E-408C-A5CA-DD005BEAA0C5}">
  <sheetPr codeName="Hoja52"/>
  <dimension ref="A3:J79"/>
  <sheetViews>
    <sheetView workbookViewId="0">
      <selection activeCell="E59" sqref="E59"/>
    </sheetView>
  </sheetViews>
  <sheetFormatPr defaultColWidth="11.42578125" defaultRowHeight="12.75"/>
  <cols>
    <col min="1" max="1" width="3.140625" customWidth="1"/>
    <col min="2" max="2" width="15.42578125" customWidth="1"/>
    <col min="3" max="3" width="13.42578125" customWidth="1"/>
    <col min="4" max="4" width="13" customWidth="1"/>
    <col min="6" max="6" width="12.28515625" customWidth="1"/>
    <col min="7" max="7" width="13.42578125" customWidth="1"/>
    <col min="8" max="8" width="7.28515625" customWidth="1"/>
    <col min="9" max="9" width="12.28515625" customWidth="1"/>
    <col min="10" max="10" width="13.85546875" bestFit="1" customWidth="1"/>
  </cols>
  <sheetData>
    <row r="3" spans="1:10" ht="13.5">
      <c r="B3" s="789" t="s">
        <v>121</v>
      </c>
      <c r="C3" s="737" t="s">
        <v>1044</v>
      </c>
      <c r="D3" s="791"/>
      <c r="E3" s="791"/>
      <c r="F3" s="791"/>
      <c r="G3" s="791"/>
      <c r="H3" s="791"/>
      <c r="I3" s="791"/>
    </row>
    <row r="4" spans="1:10" ht="13.5">
      <c r="B4" s="728" t="s">
        <v>67</v>
      </c>
      <c r="C4" s="847">
        <v>180000000</v>
      </c>
      <c r="D4" s="791"/>
      <c r="E4" s="791"/>
      <c r="F4" s="791"/>
      <c r="G4" s="791"/>
      <c r="H4" s="791"/>
      <c r="I4" s="791"/>
    </row>
    <row r="5" spans="1:10" ht="13.5">
      <c r="B5" s="728" t="s">
        <v>4</v>
      </c>
      <c r="C5" s="953">
        <v>43747</v>
      </c>
      <c r="D5" s="791"/>
      <c r="E5" s="791"/>
      <c r="F5" s="791"/>
      <c r="G5" s="791"/>
      <c r="H5" s="791"/>
      <c r="I5" s="791"/>
    </row>
    <row r="6" spans="1:10" ht="13.5">
      <c r="B6" s="728" t="s">
        <v>291</v>
      </c>
      <c r="C6" s="737" t="s">
        <v>1045</v>
      </c>
      <c r="D6" s="791"/>
      <c r="E6" s="791"/>
      <c r="F6" s="791"/>
      <c r="G6" s="791"/>
      <c r="H6" s="791"/>
      <c r="I6" s="791"/>
    </row>
    <row r="7" spans="1:10" ht="25.5">
      <c r="B7" s="789" t="s">
        <v>1046</v>
      </c>
      <c r="C7" s="953">
        <v>43879</v>
      </c>
      <c r="D7" s="791"/>
      <c r="E7" s="791"/>
      <c r="F7" s="791"/>
      <c r="G7" s="791"/>
      <c r="H7" s="791"/>
      <c r="I7" s="791"/>
    </row>
    <row r="8" spans="1:10" ht="25.5">
      <c r="B8" s="893" t="s">
        <v>154</v>
      </c>
      <c r="C8" s="953">
        <v>43756</v>
      </c>
      <c r="D8" s="791"/>
      <c r="E8" s="791"/>
      <c r="F8" s="791"/>
      <c r="G8" s="791"/>
      <c r="H8" s="791"/>
      <c r="I8" s="791"/>
    </row>
    <row r="9" spans="1:10" ht="13.5">
      <c r="B9" s="728" t="s">
        <v>1037</v>
      </c>
      <c r="C9" s="953" t="s">
        <v>1047</v>
      </c>
      <c r="D9" s="791"/>
      <c r="E9" s="791"/>
      <c r="F9" s="791"/>
      <c r="G9" s="791"/>
      <c r="H9" s="791"/>
      <c r="I9" s="791"/>
    </row>
    <row r="10" spans="1:10" ht="13.5">
      <c r="A10" s="2"/>
      <c r="B10" s="2559" t="s">
        <v>1039</v>
      </c>
      <c r="C10" s="2559"/>
      <c r="D10" s="2559"/>
      <c r="E10" s="2559"/>
      <c r="F10" s="2559"/>
      <c r="G10" s="2559"/>
      <c r="H10" s="2559"/>
      <c r="I10" s="2559"/>
    </row>
    <row r="11" spans="1:10" ht="27" customHeight="1">
      <c r="A11" s="2"/>
      <c r="B11" s="1081" t="s">
        <v>206</v>
      </c>
      <c r="C11" s="1009" t="s">
        <v>10</v>
      </c>
      <c r="D11" s="2712" t="s">
        <v>1040</v>
      </c>
      <c r="E11" s="2713"/>
      <c r="F11" s="793" t="s">
        <v>43</v>
      </c>
      <c r="G11" s="794" t="s">
        <v>129</v>
      </c>
      <c r="H11" s="794" t="s">
        <v>706</v>
      </c>
      <c r="I11" s="794" t="s">
        <v>48</v>
      </c>
    </row>
    <row r="12" spans="1:10" ht="13.5">
      <c r="A12" s="2">
        <v>1</v>
      </c>
      <c r="B12" s="953">
        <v>43756</v>
      </c>
      <c r="C12" s="953">
        <v>43769</v>
      </c>
      <c r="D12" s="796">
        <v>0</v>
      </c>
      <c r="E12" s="796">
        <v>0</v>
      </c>
      <c r="F12" s="897">
        <f t="shared" ref="F12:F17" si="0">((1+E12)^(1/365)-1)</f>
        <v>0</v>
      </c>
      <c r="G12" s="882">
        <f>+$C$4</f>
        <v>180000000</v>
      </c>
      <c r="H12" s="931">
        <f>+_xlfn.DAYS(C12,B12)+1</f>
        <v>14</v>
      </c>
      <c r="I12" s="850">
        <f t="shared" ref="I12:I17" si="1">+G12*H12*F12</f>
        <v>0</v>
      </c>
      <c r="J12" s="32"/>
    </row>
    <row r="13" spans="1:10" ht="13.5">
      <c r="A13" s="2">
        <v>2</v>
      </c>
      <c r="B13" s="953">
        <v>43770</v>
      </c>
      <c r="C13" s="953">
        <v>43799</v>
      </c>
      <c r="D13" s="796">
        <v>0</v>
      </c>
      <c r="E13" s="796">
        <v>0</v>
      </c>
      <c r="F13" s="897">
        <f t="shared" si="0"/>
        <v>0</v>
      </c>
      <c r="G13" s="882">
        <f t="shared" ref="G13:G40" si="2">+$C$4</f>
        <v>180000000</v>
      </c>
      <c r="H13" s="931">
        <f t="shared" ref="H13:H21" si="3">+_xlfn.DAYS(C13,B13)+1</f>
        <v>30</v>
      </c>
      <c r="I13" s="850">
        <f t="shared" si="1"/>
        <v>0</v>
      </c>
      <c r="J13" s="32"/>
    </row>
    <row r="14" spans="1:10" ht="13.5">
      <c r="A14" s="2">
        <v>3</v>
      </c>
      <c r="B14" s="953">
        <v>43800</v>
      </c>
      <c r="C14" s="953">
        <v>43830</v>
      </c>
      <c r="D14" s="796">
        <v>0</v>
      </c>
      <c r="E14" s="796">
        <v>0</v>
      </c>
      <c r="F14" s="897">
        <f t="shared" si="0"/>
        <v>0</v>
      </c>
      <c r="G14" s="882">
        <f t="shared" si="2"/>
        <v>180000000</v>
      </c>
      <c r="H14" s="931">
        <f t="shared" si="3"/>
        <v>31</v>
      </c>
      <c r="I14" s="850">
        <f t="shared" si="1"/>
        <v>0</v>
      </c>
      <c r="J14" s="32"/>
    </row>
    <row r="15" spans="1:10" ht="13.5">
      <c r="A15" s="2">
        <v>4</v>
      </c>
      <c r="B15" s="953">
        <v>43831</v>
      </c>
      <c r="C15" s="953">
        <v>43861</v>
      </c>
      <c r="D15" s="796">
        <v>0</v>
      </c>
      <c r="E15" s="796">
        <v>0</v>
      </c>
      <c r="F15" s="897">
        <f t="shared" si="0"/>
        <v>0</v>
      </c>
      <c r="G15" s="882">
        <f t="shared" si="2"/>
        <v>180000000</v>
      </c>
      <c r="H15" s="931">
        <f t="shared" si="3"/>
        <v>31</v>
      </c>
      <c r="I15" s="850">
        <f t="shared" si="1"/>
        <v>0</v>
      </c>
      <c r="J15" s="32"/>
    </row>
    <row r="16" spans="1:10" ht="13.5">
      <c r="A16" s="2">
        <v>5</v>
      </c>
      <c r="B16" s="953">
        <v>43862</v>
      </c>
      <c r="C16" s="953">
        <v>43879</v>
      </c>
      <c r="D16" s="796">
        <v>0</v>
      </c>
      <c r="E16" s="796">
        <v>0</v>
      </c>
      <c r="F16" s="897">
        <f t="shared" si="0"/>
        <v>0</v>
      </c>
      <c r="G16" s="882">
        <f t="shared" si="2"/>
        <v>180000000</v>
      </c>
      <c r="H16" s="931">
        <f t="shared" si="3"/>
        <v>18</v>
      </c>
      <c r="I16" s="850">
        <f t="shared" si="1"/>
        <v>0</v>
      </c>
      <c r="J16" s="32"/>
    </row>
    <row r="17" spans="1:10" ht="13.5">
      <c r="A17" s="2">
        <v>6</v>
      </c>
      <c r="B17" s="1510">
        <v>43880</v>
      </c>
      <c r="C17" s="953">
        <v>43889</v>
      </c>
      <c r="D17" s="796">
        <v>0</v>
      </c>
      <c r="E17" s="796">
        <v>4.4600000000000001E-2</v>
      </c>
      <c r="F17" s="897">
        <f t="shared" si="0"/>
        <v>1.1955245272932125E-4</v>
      </c>
      <c r="G17" s="882">
        <f t="shared" si="2"/>
        <v>180000000</v>
      </c>
      <c r="H17" s="931">
        <f t="shared" si="3"/>
        <v>10</v>
      </c>
      <c r="I17" s="850">
        <f t="shared" si="1"/>
        <v>215194.41491277824</v>
      </c>
      <c r="J17" s="8"/>
    </row>
    <row r="18" spans="1:10" ht="13.5">
      <c r="A18" s="2">
        <v>7</v>
      </c>
      <c r="B18" s="953">
        <v>43891</v>
      </c>
      <c r="C18" s="953">
        <v>43921</v>
      </c>
      <c r="D18" s="796">
        <v>0</v>
      </c>
      <c r="E18" s="796">
        <v>4.4999999999999998E-2</v>
      </c>
      <c r="F18" s="897">
        <f t="shared" ref="F18:F40" si="4">((1+E18)^(1/365)-1)</f>
        <v>1.2060147839498825E-4</v>
      </c>
      <c r="G18" s="882">
        <f t="shared" si="2"/>
        <v>180000000</v>
      </c>
      <c r="H18" s="931">
        <f t="shared" si="3"/>
        <v>31</v>
      </c>
      <c r="I18" s="850">
        <f t="shared" ref="I18:I40" si="5">+G18*H18*F18</f>
        <v>672956.24944403442</v>
      </c>
      <c r="J18" s="8"/>
    </row>
    <row r="19" spans="1:10" ht="13.5">
      <c r="A19" s="2">
        <v>8</v>
      </c>
      <c r="B19" s="953">
        <v>43922</v>
      </c>
      <c r="C19" s="953">
        <v>43951</v>
      </c>
      <c r="D19" s="796">
        <v>0</v>
      </c>
      <c r="E19" s="796">
        <v>4.5499999999999999E-2</v>
      </c>
      <c r="F19" s="897">
        <f t="shared" si="4"/>
        <v>1.2191219750046223E-4</v>
      </c>
      <c r="G19" s="882">
        <f t="shared" si="2"/>
        <v>180000000</v>
      </c>
      <c r="H19" s="931">
        <f t="shared" si="3"/>
        <v>30</v>
      </c>
      <c r="I19" s="850">
        <f t="shared" si="5"/>
        <v>658325.86650249606</v>
      </c>
      <c r="J19" s="8"/>
    </row>
    <row r="20" spans="1:10" ht="13.5">
      <c r="A20" s="2">
        <v>9</v>
      </c>
      <c r="B20" s="953">
        <v>43952</v>
      </c>
      <c r="C20" s="953">
        <v>43982</v>
      </c>
      <c r="D20" s="796">
        <v>0</v>
      </c>
      <c r="E20" s="796">
        <v>4.2900000000000001E-2</v>
      </c>
      <c r="F20" s="897">
        <f t="shared" si="4"/>
        <v>1.1508961995976286E-4</v>
      </c>
      <c r="G20" s="882">
        <f t="shared" si="2"/>
        <v>180000000</v>
      </c>
      <c r="H20" s="931">
        <f t="shared" si="3"/>
        <v>31</v>
      </c>
      <c r="I20" s="850">
        <f t="shared" si="5"/>
        <v>642200.07937547669</v>
      </c>
      <c r="J20" s="8"/>
    </row>
    <row r="21" spans="1:10" ht="13.5">
      <c r="A21" s="2">
        <v>10</v>
      </c>
      <c r="B21" s="953">
        <v>43983</v>
      </c>
      <c r="C21" s="953">
        <v>44012</v>
      </c>
      <c r="D21" s="796">
        <v>0</v>
      </c>
      <c r="E21" s="796">
        <v>3.7600000000000001E-2</v>
      </c>
      <c r="F21" s="897">
        <f t="shared" si="4"/>
        <v>1.0112937081929729E-4</v>
      </c>
      <c r="G21" s="882">
        <f t="shared" si="2"/>
        <v>180000000</v>
      </c>
      <c r="H21" s="931">
        <f t="shared" si="3"/>
        <v>30</v>
      </c>
      <c r="I21" s="850">
        <f t="shared" si="5"/>
        <v>546098.6024242054</v>
      </c>
      <c r="J21" s="8"/>
    </row>
    <row r="22" spans="1:10" ht="13.5">
      <c r="A22" s="2">
        <v>11</v>
      </c>
      <c r="B22" s="953">
        <v>44013</v>
      </c>
      <c r="C22" s="953">
        <v>44043</v>
      </c>
      <c r="D22" s="796">
        <v>0</v>
      </c>
      <c r="E22" s="910">
        <v>3.3399999999999999E-2</v>
      </c>
      <c r="F22" s="897">
        <f t="shared" si="4"/>
        <v>9.0015933029263806E-5</v>
      </c>
      <c r="G22" s="1509">
        <f t="shared" si="2"/>
        <v>180000000</v>
      </c>
      <c r="H22" s="931">
        <f t="shared" ref="H22:H29" si="6">+_xlfn.DAYS(C22,B22)+1</f>
        <v>31</v>
      </c>
      <c r="I22" s="850">
        <f t="shared" si="5"/>
        <v>502288.90630329202</v>
      </c>
      <c r="J22" s="8"/>
    </row>
    <row r="23" spans="1:10" ht="13.5">
      <c r="A23" s="2">
        <v>12</v>
      </c>
      <c r="B23" s="953">
        <v>44044</v>
      </c>
      <c r="C23" s="953">
        <v>44074</v>
      </c>
      <c r="D23" s="796">
        <v>0</v>
      </c>
      <c r="E23" s="796">
        <v>2.7900000000000001E-2</v>
      </c>
      <c r="F23" s="897">
        <f t="shared" si="4"/>
        <v>7.5394310601994974E-5</v>
      </c>
      <c r="G23" s="882">
        <f t="shared" si="2"/>
        <v>180000000</v>
      </c>
      <c r="H23" s="931">
        <f t="shared" si="6"/>
        <v>31</v>
      </c>
      <c r="I23" s="850">
        <f t="shared" si="5"/>
        <v>420700.25315913197</v>
      </c>
      <c r="J23" s="8"/>
    </row>
    <row r="24" spans="1:10" ht="13.5">
      <c r="A24" s="2">
        <v>13</v>
      </c>
      <c r="B24" s="953">
        <v>44075</v>
      </c>
      <c r="C24" s="953">
        <v>44104</v>
      </c>
      <c r="D24" s="796">
        <v>0</v>
      </c>
      <c r="E24" s="796">
        <v>2.3900000000000001E-2</v>
      </c>
      <c r="F24" s="897">
        <f t="shared" si="4"/>
        <v>6.4711314504917183E-5</v>
      </c>
      <c r="G24" s="882">
        <f t="shared" si="2"/>
        <v>180000000</v>
      </c>
      <c r="H24" s="931">
        <f t="shared" si="6"/>
        <v>30</v>
      </c>
      <c r="I24" s="850">
        <f t="shared" si="5"/>
        <v>349441.09832655278</v>
      </c>
      <c r="J24" s="8"/>
    </row>
    <row r="25" spans="1:10" ht="13.5">
      <c r="A25" s="2">
        <v>14</v>
      </c>
      <c r="B25" s="953">
        <v>44105</v>
      </c>
      <c r="C25" s="953">
        <v>44135</v>
      </c>
      <c r="D25" s="796">
        <v>0</v>
      </c>
      <c r="E25" s="796">
        <v>2.0299999999999999E-2</v>
      </c>
      <c r="F25" s="897">
        <f t="shared" si="4"/>
        <v>5.5060972509624051E-5</v>
      </c>
      <c r="G25" s="882">
        <f t="shared" si="2"/>
        <v>180000000</v>
      </c>
      <c r="H25" s="931">
        <f t="shared" si="6"/>
        <v>31</v>
      </c>
      <c r="I25" s="850">
        <f t="shared" si="5"/>
        <v>307240.22660370218</v>
      </c>
      <c r="J25" s="8"/>
    </row>
    <row r="26" spans="1:10" ht="13.5">
      <c r="A26" s="2">
        <v>15</v>
      </c>
      <c r="B26" s="953">
        <v>44136</v>
      </c>
      <c r="C26" s="953">
        <v>44165</v>
      </c>
      <c r="D26" s="796">
        <v>0</v>
      </c>
      <c r="E26" s="796">
        <v>1.9599999999999999E-2</v>
      </c>
      <c r="F26" s="897">
        <f t="shared" si="4"/>
        <v>5.3180574364875E-5</v>
      </c>
      <c r="G26" s="882">
        <f t="shared" si="2"/>
        <v>180000000</v>
      </c>
      <c r="H26" s="931">
        <f t="shared" si="6"/>
        <v>30</v>
      </c>
      <c r="I26" s="850">
        <f t="shared" si="5"/>
        <v>287175.10157032497</v>
      </c>
      <c r="J26" s="8"/>
    </row>
    <row r="27" spans="1:10" ht="13.5">
      <c r="A27" s="2">
        <v>16</v>
      </c>
      <c r="B27" s="953">
        <v>44166</v>
      </c>
      <c r="C27" s="953">
        <v>44184</v>
      </c>
      <c r="D27" s="796">
        <v>0</v>
      </c>
      <c r="E27" s="796">
        <v>1.9300000000000001E-2</v>
      </c>
      <c r="F27" s="897">
        <f t="shared" si="4"/>
        <v>5.2374295299806306E-5</v>
      </c>
      <c r="G27" s="882">
        <f t="shared" si="2"/>
        <v>180000000</v>
      </c>
      <c r="H27" s="931">
        <f t="shared" si="6"/>
        <v>19</v>
      </c>
      <c r="I27" s="850">
        <f t="shared" si="5"/>
        <v>179120.08992533755</v>
      </c>
      <c r="J27" s="8"/>
    </row>
    <row r="28" spans="1:10" ht="13.5">
      <c r="A28" s="2">
        <v>17</v>
      </c>
      <c r="B28" s="953">
        <v>44185</v>
      </c>
      <c r="C28" s="953">
        <v>44196</v>
      </c>
      <c r="D28" s="796">
        <v>0.17460000000000001</v>
      </c>
      <c r="E28" s="796">
        <f>+D28*1.5</f>
        <v>0.26190000000000002</v>
      </c>
      <c r="F28" s="897">
        <f t="shared" si="4"/>
        <v>6.3751414410861962E-4</v>
      </c>
      <c r="G28" s="882">
        <f t="shared" si="2"/>
        <v>180000000</v>
      </c>
      <c r="H28" s="931">
        <f t="shared" si="6"/>
        <v>12</v>
      </c>
      <c r="I28" s="850">
        <f t="shared" si="5"/>
        <v>1377030.5512746184</v>
      </c>
      <c r="J28" s="8"/>
    </row>
    <row r="29" spans="1:10" ht="13.5">
      <c r="A29" s="2">
        <v>18</v>
      </c>
      <c r="B29" s="953">
        <v>44197</v>
      </c>
      <c r="C29" s="953">
        <v>44227</v>
      </c>
      <c r="D29" s="796">
        <v>0.17319999999999999</v>
      </c>
      <c r="E29" s="796">
        <f t="shared" ref="E29:E40" si="7">+D29*1.5</f>
        <v>0.25979999999999998</v>
      </c>
      <c r="F29" s="897">
        <f t="shared" si="4"/>
        <v>6.3294811266723094E-4</v>
      </c>
      <c r="G29" s="882">
        <f t="shared" si="2"/>
        <v>180000000</v>
      </c>
      <c r="H29" s="931">
        <f t="shared" si="6"/>
        <v>31</v>
      </c>
      <c r="I29" s="850">
        <f t="shared" si="5"/>
        <v>3531850.4686831487</v>
      </c>
      <c r="J29" s="8"/>
    </row>
    <row r="30" spans="1:10" ht="13.5">
      <c r="A30" s="2">
        <v>19</v>
      </c>
      <c r="B30" s="953">
        <v>44228</v>
      </c>
      <c r="C30" s="953">
        <v>44255</v>
      </c>
      <c r="D30" s="796">
        <v>0.1754</v>
      </c>
      <c r="E30" s="796">
        <f t="shared" si="7"/>
        <v>0.2631</v>
      </c>
      <c r="F30" s="897">
        <f t="shared" si="4"/>
        <v>6.4011990387169426E-4</v>
      </c>
      <c r="G30" s="882">
        <f t="shared" si="2"/>
        <v>180000000</v>
      </c>
      <c r="H30" s="931">
        <f t="shared" ref="H30:H40" si="8">+_xlfn.DAYS(C30,B30)+1</f>
        <v>28</v>
      </c>
      <c r="I30" s="850">
        <f t="shared" si="5"/>
        <v>3226204.3155133389</v>
      </c>
      <c r="J30" s="8"/>
    </row>
    <row r="31" spans="1:10" ht="13.5">
      <c r="A31" s="2">
        <v>20</v>
      </c>
      <c r="B31" s="953">
        <v>44256</v>
      </c>
      <c r="C31" s="953">
        <v>44286</v>
      </c>
      <c r="D31" s="796">
        <v>0.1741</v>
      </c>
      <c r="E31" s="796">
        <f t="shared" si="7"/>
        <v>0.26114999999999999</v>
      </c>
      <c r="F31" s="897">
        <f t="shared" si="4"/>
        <v>6.3588428907812578E-4</v>
      </c>
      <c r="G31" s="882">
        <f t="shared" si="2"/>
        <v>180000000</v>
      </c>
      <c r="H31" s="931">
        <f t="shared" si="8"/>
        <v>31</v>
      </c>
      <c r="I31" s="850">
        <f t="shared" si="5"/>
        <v>3548234.3330559419</v>
      </c>
      <c r="J31" s="8"/>
    </row>
    <row r="32" spans="1:10" ht="13.5">
      <c r="A32" s="2">
        <v>21</v>
      </c>
      <c r="B32" s="953">
        <v>44287</v>
      </c>
      <c r="C32" s="953">
        <v>44316</v>
      </c>
      <c r="D32" s="796">
        <v>0.1731</v>
      </c>
      <c r="E32" s="796">
        <f t="shared" si="7"/>
        <v>0.25964999999999999</v>
      </c>
      <c r="F32" s="897">
        <f t="shared" si="4"/>
        <v>6.326216771728177E-4</v>
      </c>
      <c r="G32" s="882">
        <f t="shared" si="2"/>
        <v>180000000</v>
      </c>
      <c r="H32" s="931">
        <f t="shared" si="8"/>
        <v>30</v>
      </c>
      <c r="I32" s="850">
        <f t="shared" si="5"/>
        <v>3416157.0567332157</v>
      </c>
      <c r="J32" s="8"/>
    </row>
    <row r="33" spans="1:10" ht="13.5">
      <c r="A33" s="2">
        <v>22</v>
      </c>
      <c r="B33" s="953">
        <v>44317</v>
      </c>
      <c r="C33" s="953">
        <v>44347</v>
      </c>
      <c r="D33" s="796">
        <v>0.17219999999999999</v>
      </c>
      <c r="E33" s="796">
        <f t="shared" si="7"/>
        <v>0.25829999999999997</v>
      </c>
      <c r="F33" s="897">
        <f t="shared" si="4"/>
        <v>6.2968201205726437E-4</v>
      </c>
      <c r="G33" s="882">
        <f t="shared" si="2"/>
        <v>180000000</v>
      </c>
      <c r="H33" s="931">
        <f t="shared" si="8"/>
        <v>31</v>
      </c>
      <c r="I33" s="850">
        <f t="shared" si="5"/>
        <v>3513625.6272795354</v>
      </c>
      <c r="J33" s="8"/>
    </row>
    <row r="34" spans="1:10" ht="13.5">
      <c r="A34" s="2">
        <v>23</v>
      </c>
      <c r="B34" s="953">
        <v>44348</v>
      </c>
      <c r="C34" s="953">
        <v>44377</v>
      </c>
      <c r="D34" s="796">
        <v>0.1721</v>
      </c>
      <c r="E34" s="796">
        <f t="shared" si="7"/>
        <v>0.25814999999999999</v>
      </c>
      <c r="F34" s="897">
        <f t="shared" si="4"/>
        <v>6.2935518846773952E-4</v>
      </c>
      <c r="G34" s="882">
        <f t="shared" si="2"/>
        <v>180000000</v>
      </c>
      <c r="H34" s="931">
        <f t="shared" si="8"/>
        <v>30</v>
      </c>
      <c r="I34" s="850">
        <f t="shared" si="5"/>
        <v>3398518.0177257936</v>
      </c>
      <c r="J34" s="8"/>
    </row>
    <row r="35" spans="1:10" ht="13.5">
      <c r="A35" s="2">
        <v>24</v>
      </c>
      <c r="B35" s="953">
        <v>44378</v>
      </c>
      <c r="C35" s="953">
        <v>44408</v>
      </c>
      <c r="D35" s="796">
        <v>0.17180000000000001</v>
      </c>
      <c r="E35" s="796">
        <f t="shared" si="7"/>
        <v>0.25770000000000004</v>
      </c>
      <c r="F35" s="897">
        <f t="shared" si="4"/>
        <v>6.2837448450037137E-4</v>
      </c>
      <c r="G35" s="882">
        <f t="shared" si="2"/>
        <v>180000000</v>
      </c>
      <c r="H35" s="931">
        <f t="shared" si="8"/>
        <v>31</v>
      </c>
      <c r="I35" s="850">
        <f t="shared" si="5"/>
        <v>3506329.623512072</v>
      </c>
      <c r="J35" s="8"/>
    </row>
    <row r="36" spans="1:10" ht="13.5">
      <c r="A36" s="2">
        <v>25</v>
      </c>
      <c r="B36" s="953">
        <v>44409</v>
      </c>
      <c r="C36" s="953">
        <v>44439</v>
      </c>
      <c r="D36" s="796">
        <v>0.1724</v>
      </c>
      <c r="E36" s="796">
        <f t="shared" si="7"/>
        <v>0.2586</v>
      </c>
      <c r="F36" s="897">
        <f t="shared" si="4"/>
        <v>6.3033554269220637E-4</v>
      </c>
      <c r="G36" s="882">
        <f t="shared" si="2"/>
        <v>180000000</v>
      </c>
      <c r="H36" s="931">
        <f t="shared" si="8"/>
        <v>31</v>
      </c>
      <c r="I36" s="850">
        <f t="shared" si="5"/>
        <v>3517272.3282225113</v>
      </c>
      <c r="J36" s="8"/>
    </row>
    <row r="37" spans="1:10" ht="13.5">
      <c r="A37" s="2">
        <v>26</v>
      </c>
      <c r="B37" s="953">
        <v>44440</v>
      </c>
      <c r="C37" s="953">
        <v>44469</v>
      </c>
      <c r="D37" s="796">
        <v>0.1719</v>
      </c>
      <c r="E37" s="796">
        <f t="shared" si="7"/>
        <v>0.25785000000000002</v>
      </c>
      <c r="F37" s="897">
        <f t="shared" si="4"/>
        <v>6.2870142469861889E-4</v>
      </c>
      <c r="G37" s="882">
        <f t="shared" si="2"/>
        <v>180000000</v>
      </c>
      <c r="H37" s="931">
        <f t="shared" si="8"/>
        <v>30</v>
      </c>
      <c r="I37" s="850">
        <f t="shared" si="5"/>
        <v>3394987.693372542</v>
      </c>
      <c r="J37" s="8"/>
    </row>
    <row r="38" spans="1:10" ht="13.5">
      <c r="A38" s="2">
        <v>27</v>
      </c>
      <c r="B38" s="953">
        <v>44470</v>
      </c>
      <c r="C38" s="953">
        <v>44500</v>
      </c>
      <c r="D38" s="796">
        <v>0.17080000000000001</v>
      </c>
      <c r="E38" s="796">
        <f t="shared" si="7"/>
        <v>0.25619999999999998</v>
      </c>
      <c r="F38" s="897">
        <f t="shared" si="4"/>
        <v>6.2510294214179751E-4</v>
      </c>
      <c r="G38" s="882">
        <f t="shared" si="2"/>
        <v>180000000</v>
      </c>
      <c r="H38" s="931">
        <f t="shared" si="8"/>
        <v>31</v>
      </c>
      <c r="I38" s="850">
        <f t="shared" si="5"/>
        <v>3488074.4171512299</v>
      </c>
      <c r="J38" s="8"/>
    </row>
    <row r="39" spans="1:10" ht="13.5">
      <c r="A39" s="2">
        <v>28</v>
      </c>
      <c r="B39" s="953">
        <v>44501</v>
      </c>
      <c r="C39" s="953">
        <v>44530</v>
      </c>
      <c r="D39" s="796">
        <v>0.17269999999999999</v>
      </c>
      <c r="E39" s="796">
        <f t="shared" si="7"/>
        <v>0.25905</v>
      </c>
      <c r="F39" s="897">
        <f t="shared" si="4"/>
        <v>6.3131554742335005E-4</v>
      </c>
      <c r="G39" s="882">
        <f t="shared" si="2"/>
        <v>180000000</v>
      </c>
      <c r="H39" s="931">
        <f t="shared" si="8"/>
        <v>30</v>
      </c>
      <c r="I39" s="850">
        <f t="shared" si="5"/>
        <v>3409103.9560860903</v>
      </c>
      <c r="J39" s="8"/>
    </row>
    <row r="40" spans="1:10" ht="13.5">
      <c r="A40" s="2">
        <v>29</v>
      </c>
      <c r="B40" s="953">
        <v>44531</v>
      </c>
      <c r="C40" s="953">
        <v>44558</v>
      </c>
      <c r="D40" s="796">
        <v>0.17460000000000001</v>
      </c>
      <c r="E40" s="796">
        <f t="shared" si="7"/>
        <v>0.26190000000000002</v>
      </c>
      <c r="F40" s="897">
        <f t="shared" si="4"/>
        <v>6.3751414410861962E-4</v>
      </c>
      <c r="G40" s="882">
        <f t="shared" si="2"/>
        <v>180000000</v>
      </c>
      <c r="H40" s="931">
        <f t="shared" si="8"/>
        <v>28</v>
      </c>
      <c r="I40" s="850">
        <f t="shared" si="5"/>
        <v>3213071.2863074429</v>
      </c>
      <c r="J40" s="8"/>
    </row>
    <row r="41" spans="1:10" ht="13.5">
      <c r="A41" s="791"/>
      <c r="B41" s="1264"/>
      <c r="C41" s="791"/>
      <c r="D41" s="791"/>
      <c r="E41" s="791"/>
      <c r="F41" s="791"/>
      <c r="G41" s="2559" t="s">
        <v>812</v>
      </c>
      <c r="H41" s="2559"/>
      <c r="I41" s="895">
        <f>SUM(I12:I40)</f>
        <v>47321200.563464805</v>
      </c>
      <c r="J41" s="8"/>
    </row>
    <row r="42" spans="1:10" ht="13.5">
      <c r="A42" s="791"/>
      <c r="B42" s="791"/>
      <c r="C42" s="791"/>
      <c r="D42" s="791"/>
      <c r="E42" s="791"/>
      <c r="F42" s="791"/>
      <c r="G42" s="791"/>
      <c r="H42" s="791"/>
      <c r="I42" s="791"/>
      <c r="J42" s="46"/>
    </row>
    <row r="43" spans="1:10" ht="13.5">
      <c r="A43" s="791"/>
      <c r="B43" s="2559" t="s">
        <v>55</v>
      </c>
      <c r="C43" s="2559"/>
      <c r="D43" s="2559"/>
      <c r="E43" s="791"/>
      <c r="F43" s="791"/>
      <c r="G43" s="791"/>
      <c r="H43" s="791"/>
      <c r="I43" s="791"/>
    </row>
    <row r="44" spans="1:10" ht="13.5">
      <c r="A44" s="791"/>
      <c r="B44" s="2730" t="s">
        <v>1041</v>
      </c>
      <c r="C44" s="2731"/>
      <c r="D44" s="913">
        <f>+C4</f>
        <v>180000000</v>
      </c>
      <c r="E44" s="879">
        <f>+D44+D45</f>
        <v>227321200.56346482</v>
      </c>
      <c r="F44" s="982">
        <f>+E44/5</f>
        <v>45464240.112692967</v>
      </c>
      <c r="G44" s="791"/>
      <c r="H44" s="791"/>
      <c r="I44" s="791"/>
    </row>
    <row r="45" spans="1:10" ht="13.5">
      <c r="A45" s="791"/>
      <c r="B45" s="2730" t="s">
        <v>1042</v>
      </c>
      <c r="C45" s="2731"/>
      <c r="D45" s="895">
        <f>+I41</f>
        <v>47321200.563464805</v>
      </c>
      <c r="E45" s="791"/>
      <c r="F45" s="791"/>
      <c r="G45" s="791"/>
      <c r="H45" s="791"/>
      <c r="I45" s="791"/>
    </row>
    <row r="46" spans="1:10" ht="13.5">
      <c r="A46" s="791"/>
      <c r="B46" s="728" t="s">
        <v>1043</v>
      </c>
      <c r="C46" s="737"/>
      <c r="D46" s="895">
        <f>SUM(D44:D45)</f>
        <v>227321200.56346482</v>
      </c>
      <c r="E46" s="925"/>
      <c r="F46" s="791"/>
      <c r="G46" s="791"/>
      <c r="H46" s="791"/>
      <c r="I46" s="791"/>
    </row>
    <row r="47" spans="1:10" ht="13.5">
      <c r="A47" s="791"/>
      <c r="B47" s="791"/>
      <c r="C47" s="791"/>
      <c r="D47" s="791"/>
      <c r="E47" s="791"/>
      <c r="F47" s="791"/>
      <c r="G47" s="791"/>
      <c r="H47" s="791"/>
      <c r="I47" s="791"/>
    </row>
    <row r="48" spans="1:10" ht="13.5">
      <c r="A48" s="848" t="s">
        <v>1048</v>
      </c>
      <c r="B48" s="791"/>
      <c r="C48" s="791"/>
      <c r="D48" s="791"/>
      <c r="E48" s="791"/>
      <c r="F48" s="791"/>
      <c r="G48" s="791"/>
      <c r="H48" s="791"/>
      <c r="I48" s="791"/>
    </row>
    <row r="49" spans="1:9" ht="13.5">
      <c r="A49" s="2"/>
      <c r="B49" s="2732" t="s">
        <v>1049</v>
      </c>
      <c r="C49" s="2733"/>
      <c r="D49" s="728" t="s">
        <v>692</v>
      </c>
      <c r="E49" s="791"/>
      <c r="F49" s="791"/>
      <c r="G49" s="791"/>
      <c r="H49" s="791"/>
      <c r="I49" s="791"/>
    </row>
    <row r="50" spans="1:9" ht="13.5">
      <c r="A50" s="737">
        <v>1</v>
      </c>
      <c r="B50" s="737" t="s">
        <v>1050</v>
      </c>
      <c r="C50" s="737"/>
      <c r="D50" s="929">
        <v>45464240.112692967</v>
      </c>
      <c r="E50" s="791"/>
      <c r="F50" s="791"/>
      <c r="G50" s="791"/>
      <c r="H50" s="791"/>
      <c r="I50" s="791"/>
    </row>
    <row r="51" spans="1:9" ht="13.5">
      <c r="A51" s="737">
        <v>2</v>
      </c>
      <c r="B51" s="737" t="s">
        <v>1051</v>
      </c>
      <c r="C51" s="737"/>
      <c r="D51" s="929">
        <v>45464240.112692967</v>
      </c>
      <c r="E51" s="791"/>
      <c r="F51" s="982"/>
      <c r="G51" s="791"/>
      <c r="H51" s="791"/>
      <c r="I51" s="791"/>
    </row>
    <row r="52" spans="1:9" ht="13.5">
      <c r="A52" s="737">
        <v>3</v>
      </c>
      <c r="B52" s="737" t="s">
        <v>1052</v>
      </c>
      <c r="C52" s="737"/>
      <c r="D52" s="929">
        <v>45464240.112692967</v>
      </c>
      <c r="E52" s="791"/>
      <c r="F52" s="791"/>
      <c r="G52" s="791"/>
      <c r="H52" s="791"/>
      <c r="I52" s="791"/>
    </row>
    <row r="53" spans="1:9" ht="13.5">
      <c r="A53" s="737">
        <v>4</v>
      </c>
      <c r="B53" s="737" t="s">
        <v>1053</v>
      </c>
      <c r="C53" s="737"/>
      <c r="D53" s="929">
        <v>45464240.112692967</v>
      </c>
      <c r="E53" s="791"/>
      <c r="F53" s="791"/>
      <c r="G53" s="791"/>
      <c r="H53" s="791"/>
      <c r="I53" s="791"/>
    </row>
    <row r="54" spans="1:9" ht="13.5">
      <c r="A54" s="737">
        <v>5</v>
      </c>
      <c r="B54" s="737" t="s">
        <v>1054</v>
      </c>
      <c r="C54" s="737"/>
      <c r="D54" s="929">
        <v>45464240.112692967</v>
      </c>
      <c r="E54" s="791"/>
      <c r="F54" s="791"/>
      <c r="G54" s="791"/>
      <c r="H54" s="791"/>
      <c r="I54" s="791"/>
    </row>
    <row r="55" spans="1:9" ht="13.5">
      <c r="A55" s="737"/>
      <c r="B55" s="728" t="s">
        <v>97</v>
      </c>
      <c r="C55" s="728"/>
      <c r="D55" s="1511">
        <f>SUM(D50:D54)</f>
        <v>227321200.56346482</v>
      </c>
      <c r="E55" s="791"/>
      <c r="F55" s="791"/>
      <c r="G55" s="791"/>
      <c r="H55" s="791"/>
      <c r="I55" s="791"/>
    </row>
    <row r="56" spans="1:9" ht="13.5">
      <c r="A56" s="791"/>
      <c r="B56" s="791"/>
      <c r="C56" s="791"/>
      <c r="D56" s="791"/>
      <c r="E56" s="791"/>
      <c r="F56" s="791"/>
      <c r="G56" s="791"/>
      <c r="H56" s="791"/>
      <c r="I56" s="791"/>
    </row>
    <row r="57" spans="1:9" ht="13.5">
      <c r="A57" s="791"/>
      <c r="B57" s="719" t="s">
        <v>62</v>
      </c>
      <c r="C57" s="791"/>
      <c r="D57" s="791"/>
      <c r="E57" s="791"/>
      <c r="F57" s="791"/>
      <c r="G57" s="791"/>
      <c r="H57" s="791"/>
      <c r="I57" s="791"/>
    </row>
    <row r="58" spans="1:9" ht="13.5">
      <c r="A58" s="791"/>
      <c r="B58" s="911"/>
      <c r="C58" s="791"/>
      <c r="D58" s="791"/>
      <c r="E58" s="791"/>
      <c r="F58" s="791"/>
      <c r="G58" s="791"/>
      <c r="H58" s="791"/>
      <c r="I58" s="791"/>
    </row>
    <row r="59" spans="1:9" ht="13.5">
      <c r="A59" s="791"/>
      <c r="B59" s="911"/>
      <c r="C59" s="791"/>
      <c r="D59" s="791"/>
      <c r="E59" s="791"/>
      <c r="F59" s="791"/>
      <c r="G59" s="791"/>
      <c r="H59" s="791"/>
      <c r="I59" s="791"/>
    </row>
    <row r="60" spans="1:9" ht="13.5">
      <c r="A60" s="791"/>
      <c r="B60" s="719" t="s">
        <v>63</v>
      </c>
      <c r="C60" s="791"/>
      <c r="D60" s="791"/>
      <c r="E60" s="791"/>
      <c r="F60" s="791"/>
      <c r="G60" s="791"/>
      <c r="H60" s="791"/>
      <c r="I60" s="791"/>
    </row>
    <row r="61" spans="1:9" ht="13.5">
      <c r="A61" s="791"/>
      <c r="B61" s="719" t="s">
        <v>64</v>
      </c>
      <c r="C61" s="791"/>
      <c r="D61" s="791"/>
      <c r="E61" s="791"/>
      <c r="F61" s="791"/>
      <c r="G61" s="791"/>
      <c r="H61" s="791"/>
      <c r="I61" s="791"/>
    </row>
    <row r="62" spans="1:9" ht="13.5">
      <c r="A62" s="791"/>
      <c r="B62" s="719" t="s">
        <v>65</v>
      </c>
      <c r="C62" s="791"/>
      <c r="D62" s="791"/>
      <c r="E62" s="791"/>
      <c r="F62" s="791"/>
      <c r="G62" s="791"/>
      <c r="H62" s="791"/>
      <c r="I62" s="791"/>
    </row>
    <row r="63" spans="1:9" ht="13.5">
      <c r="A63" s="791"/>
      <c r="B63" s="791"/>
      <c r="C63" s="791"/>
      <c r="D63" s="791"/>
      <c r="E63" s="791"/>
      <c r="F63" s="791"/>
      <c r="G63" s="791"/>
      <c r="H63" s="791"/>
      <c r="I63" s="791"/>
    </row>
    <row r="64" spans="1:9" ht="13.5">
      <c r="A64" s="791"/>
      <c r="B64" s="791"/>
      <c r="C64" s="791"/>
      <c r="D64" s="791"/>
      <c r="E64" s="791"/>
      <c r="F64" s="791"/>
      <c r="G64" s="791"/>
      <c r="H64" s="791"/>
      <c r="I64" s="791"/>
    </row>
    <row r="65" spans="1:9" ht="13.5">
      <c r="A65" s="791"/>
      <c r="B65" s="791"/>
      <c r="C65" s="791"/>
      <c r="D65" s="791"/>
      <c r="E65" s="791"/>
      <c r="F65" s="791"/>
      <c r="G65" s="791"/>
      <c r="H65" s="791"/>
      <c r="I65" s="791"/>
    </row>
    <row r="66" spans="1:9" ht="13.5">
      <c r="A66" s="791"/>
      <c r="B66" s="791"/>
      <c r="C66" s="791"/>
      <c r="D66" s="791"/>
      <c r="E66" s="791"/>
      <c r="F66" s="791"/>
      <c r="G66" s="791"/>
      <c r="H66" s="791"/>
      <c r="I66" s="791"/>
    </row>
    <row r="67" spans="1:9" ht="13.5">
      <c r="A67" s="791"/>
      <c r="B67" s="791"/>
      <c r="C67" s="791"/>
      <c r="D67" s="791"/>
      <c r="E67" s="791"/>
      <c r="F67" s="791"/>
      <c r="G67" s="791"/>
      <c r="H67" s="791"/>
      <c r="I67" s="791"/>
    </row>
    <row r="68" spans="1:9" ht="13.5">
      <c r="A68" s="791"/>
      <c r="B68" s="791"/>
      <c r="C68" s="791"/>
      <c r="D68" s="791"/>
      <c r="E68" s="791"/>
      <c r="F68" s="791"/>
      <c r="G68" s="791"/>
      <c r="H68" s="791"/>
      <c r="I68" s="791"/>
    </row>
    <row r="69" spans="1:9" ht="13.5">
      <c r="H69" s="791"/>
      <c r="I69" s="791"/>
    </row>
    <row r="70" spans="1:9" ht="13.5">
      <c r="H70" s="791"/>
      <c r="I70" s="791"/>
    </row>
    <row r="73" spans="1:9">
      <c r="B73" s="147"/>
      <c r="C73" s="147"/>
      <c r="D73" s="147"/>
    </row>
    <row r="74" spans="1:9" ht="13.5">
      <c r="B74" s="719" t="s">
        <v>62</v>
      </c>
      <c r="C74" s="791"/>
    </row>
    <row r="75" spans="1:9" ht="13.5">
      <c r="B75" s="911"/>
      <c r="C75" s="791"/>
    </row>
    <row r="76" spans="1:9" ht="13.5">
      <c r="B76" s="911"/>
      <c r="C76" s="791"/>
    </row>
    <row r="77" spans="1:9" ht="13.5">
      <c r="B77" s="719" t="s">
        <v>63</v>
      </c>
      <c r="C77" s="791"/>
    </row>
    <row r="78" spans="1:9" ht="13.5">
      <c r="B78" s="719" t="s">
        <v>64</v>
      </c>
      <c r="C78" s="791"/>
    </row>
    <row r="79" spans="1:9" ht="13.5">
      <c r="B79" s="719" t="s">
        <v>65</v>
      </c>
      <c r="C79" s="791"/>
    </row>
  </sheetData>
  <mergeCells count="7">
    <mergeCell ref="B49:C49"/>
    <mergeCell ref="B45:C45"/>
    <mergeCell ref="B10:I10"/>
    <mergeCell ref="D11:E11"/>
    <mergeCell ref="B43:D43"/>
    <mergeCell ref="B44:C44"/>
    <mergeCell ref="G41:H41"/>
  </mergeCell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4"/>
  <dimension ref="A2:I284"/>
  <sheetViews>
    <sheetView topLeftCell="A45" zoomScale="124" zoomScaleNormal="124" workbookViewId="0">
      <selection activeCell="H12" sqref="H12"/>
    </sheetView>
  </sheetViews>
  <sheetFormatPr defaultColWidth="9.140625" defaultRowHeight="12.75"/>
  <cols>
    <col min="1" max="1" width="3.28515625" style="791" customWidth="1"/>
    <col min="2" max="2" width="22.85546875" style="791" customWidth="1"/>
    <col min="3" max="3" width="14.7109375" style="791" customWidth="1"/>
    <col min="4" max="4" width="11.7109375" style="791" customWidth="1"/>
    <col min="5" max="5" width="11.28515625" style="791" customWidth="1"/>
    <col min="6" max="6" width="11.42578125" style="791" customWidth="1"/>
    <col min="7" max="7" width="5.28515625" style="791" customWidth="1"/>
    <col min="8" max="8" width="12.28515625" style="791" customWidth="1"/>
    <col min="9" max="9" width="12.5703125" style="791" customWidth="1"/>
    <col min="10" max="257" width="11.42578125" style="791" customWidth="1"/>
    <col min="258" max="16384" width="9.140625" style="791"/>
  </cols>
  <sheetData>
    <row r="2" spans="1:8">
      <c r="B2" s="2738"/>
      <c r="C2" s="2738"/>
    </row>
    <row r="3" spans="1:8">
      <c r="B3" s="728" t="s">
        <v>219</v>
      </c>
      <c r="C3" s="737" t="s">
        <v>1055</v>
      </c>
      <c r="D3" s="737"/>
      <c r="E3" s="737"/>
    </row>
    <row r="4" spans="1:8">
      <c r="B4" s="728" t="s">
        <v>1056</v>
      </c>
      <c r="C4" s="737" t="s">
        <v>1057</v>
      </c>
      <c r="D4" s="737"/>
      <c r="E4" s="737"/>
    </row>
    <row r="5" spans="1:8">
      <c r="B5" s="728" t="s">
        <v>220</v>
      </c>
      <c r="C5" s="737" t="s">
        <v>1058</v>
      </c>
      <c r="D5" s="737"/>
      <c r="E5" s="737"/>
    </row>
    <row r="6" spans="1:8">
      <c r="B6" s="728" t="s">
        <v>1059</v>
      </c>
      <c r="C6" s="737" t="s">
        <v>1060</v>
      </c>
      <c r="D6" s="737"/>
      <c r="E6" s="737"/>
      <c r="H6" s="844"/>
    </row>
    <row r="7" spans="1:8">
      <c r="B7" s="728" t="s">
        <v>1061</v>
      </c>
      <c r="C7" s="737" t="s">
        <v>1062</v>
      </c>
      <c r="D7" s="737"/>
      <c r="E7" s="737"/>
    </row>
    <row r="8" spans="1:8">
      <c r="B8" s="728" t="s">
        <v>825</v>
      </c>
      <c r="C8" s="737" t="s">
        <v>1063</v>
      </c>
      <c r="D8" s="737"/>
      <c r="E8" s="737"/>
    </row>
    <row r="9" spans="1:8">
      <c r="B9" s="728" t="s">
        <v>1064</v>
      </c>
      <c r="C9" s="737" t="s">
        <v>1065</v>
      </c>
      <c r="D9" s="737"/>
      <c r="E9" s="737"/>
    </row>
    <row r="10" spans="1:8">
      <c r="B10" s="728" t="s">
        <v>180</v>
      </c>
      <c r="C10" s="737" t="s">
        <v>1066</v>
      </c>
      <c r="D10" s="737"/>
      <c r="E10" s="737"/>
    </row>
    <row r="11" spans="1:8" ht="51">
      <c r="B11" s="728" t="s">
        <v>1067</v>
      </c>
      <c r="C11" s="845" t="s">
        <v>1068</v>
      </c>
      <c r="D11" s="737"/>
      <c r="E11" s="846">
        <v>0.5</v>
      </c>
    </row>
    <row r="12" spans="1:8">
      <c r="B12" s="728" t="s">
        <v>1069</v>
      </c>
      <c r="C12" s="850">
        <v>877802</v>
      </c>
      <c r="D12" s="1525">
        <f>+C12*180</f>
        <v>158004360</v>
      </c>
      <c r="E12" s="850">
        <f>+D12/2</f>
        <v>79002180</v>
      </c>
      <c r="H12" s="925"/>
    </row>
    <row r="13" spans="1:8">
      <c r="B13" s="791" t="s">
        <v>1070</v>
      </c>
    </row>
    <row r="14" spans="1:8">
      <c r="B14" s="791" t="s">
        <v>1071</v>
      </c>
    </row>
    <row r="15" spans="1:8">
      <c r="B15" s="848" t="s">
        <v>1015</v>
      </c>
    </row>
    <row r="16" spans="1:8" ht="24" customHeight="1">
      <c r="A16" s="737"/>
      <c r="B16" s="793" t="s">
        <v>1072</v>
      </c>
      <c r="C16" s="921" t="s">
        <v>1073</v>
      </c>
      <c r="D16" s="1313" t="s">
        <v>1074</v>
      </c>
      <c r="E16" s="921" t="s">
        <v>1075</v>
      </c>
    </row>
    <row r="17" spans="1:5" ht="25.5">
      <c r="A17" s="737">
        <v>1</v>
      </c>
      <c r="B17" s="849" t="s">
        <v>1076</v>
      </c>
      <c r="C17" s="737">
        <v>30</v>
      </c>
      <c r="D17" s="850">
        <f t="shared" ref="D17:D25" si="0">+($C$12*C17)*50%</f>
        <v>13167030</v>
      </c>
      <c r="E17" s="850">
        <v>17374240</v>
      </c>
    </row>
    <row r="18" spans="1:5" ht="25.5">
      <c r="A18" s="737">
        <v>2</v>
      </c>
      <c r="B18" s="849" t="s">
        <v>1077</v>
      </c>
      <c r="C18" s="737">
        <v>20</v>
      </c>
      <c r="D18" s="850">
        <f t="shared" si="0"/>
        <v>8778020</v>
      </c>
      <c r="E18" s="850">
        <v>11582827</v>
      </c>
    </row>
    <row r="19" spans="1:5" ht="25.5">
      <c r="A19" s="737">
        <v>3</v>
      </c>
      <c r="B19" s="849" t="s">
        <v>1078</v>
      </c>
      <c r="C19" s="737">
        <v>20</v>
      </c>
      <c r="D19" s="850">
        <f t="shared" si="0"/>
        <v>8778020</v>
      </c>
      <c r="E19" s="850">
        <v>11582827</v>
      </c>
    </row>
    <row r="20" spans="1:5" ht="25.5">
      <c r="A20" s="737">
        <v>4</v>
      </c>
      <c r="B20" s="849" t="s">
        <v>1079</v>
      </c>
      <c r="C20" s="737">
        <v>10</v>
      </c>
      <c r="D20" s="850">
        <f t="shared" si="0"/>
        <v>4389010</v>
      </c>
      <c r="E20" s="850">
        <v>5791413</v>
      </c>
    </row>
    <row r="21" spans="1:5" ht="25.5">
      <c r="A21" s="737">
        <v>5</v>
      </c>
      <c r="B21" s="849" t="s">
        <v>1080</v>
      </c>
      <c r="C21" s="737">
        <v>10</v>
      </c>
      <c r="D21" s="850">
        <f t="shared" si="0"/>
        <v>4389010</v>
      </c>
      <c r="E21" s="850">
        <v>5791413</v>
      </c>
    </row>
    <row r="22" spans="1:5" ht="25.5">
      <c r="A22" s="737">
        <v>6</v>
      </c>
      <c r="B22" s="849" t="s">
        <v>1081</v>
      </c>
      <c r="C22" s="737">
        <v>10</v>
      </c>
      <c r="D22" s="850">
        <f t="shared" si="0"/>
        <v>4389010</v>
      </c>
      <c r="E22" s="850">
        <v>5791413</v>
      </c>
    </row>
    <row r="23" spans="1:5" ht="25.5">
      <c r="A23" s="737">
        <v>7</v>
      </c>
      <c r="B23" s="849" t="s">
        <v>1082</v>
      </c>
      <c r="C23" s="737">
        <v>10</v>
      </c>
      <c r="D23" s="850">
        <f t="shared" si="0"/>
        <v>4389010</v>
      </c>
      <c r="E23" s="850">
        <v>5791413</v>
      </c>
    </row>
    <row r="24" spans="1:5" ht="25.5">
      <c r="A24" s="737">
        <v>8</v>
      </c>
      <c r="B24" s="849" t="s">
        <v>1083</v>
      </c>
      <c r="C24" s="737">
        <v>10</v>
      </c>
      <c r="D24" s="850">
        <f t="shared" si="0"/>
        <v>4389010</v>
      </c>
      <c r="E24" s="850">
        <v>5791413</v>
      </c>
    </row>
    <row r="25" spans="1:5">
      <c r="A25" s="737">
        <v>9</v>
      </c>
      <c r="B25" s="849" t="s">
        <v>1084</v>
      </c>
      <c r="C25" s="737">
        <v>10</v>
      </c>
      <c r="D25" s="850">
        <f t="shared" si="0"/>
        <v>4389010</v>
      </c>
      <c r="E25" s="850">
        <v>5791413</v>
      </c>
    </row>
    <row r="26" spans="1:5">
      <c r="D26" s="851"/>
    </row>
    <row r="27" spans="1:5">
      <c r="B27" s="848" t="s">
        <v>1085</v>
      </c>
      <c r="D27" s="851"/>
      <c r="E27" s="848" t="s">
        <v>1086</v>
      </c>
    </row>
    <row r="28" spans="1:5" ht="21.75" customHeight="1">
      <c r="A28" s="791">
        <v>10</v>
      </c>
      <c r="B28" s="852" t="s">
        <v>1076</v>
      </c>
      <c r="C28" s="791">
        <v>50</v>
      </c>
      <c r="D28" s="851">
        <f>+($C$12*C28)*50%</f>
        <v>21945050</v>
      </c>
      <c r="E28" s="851">
        <v>17374240</v>
      </c>
    </row>
    <row r="29" spans="1:5">
      <c r="D29" s="851"/>
    </row>
    <row r="30" spans="1:5">
      <c r="B30" s="848" t="s">
        <v>1087</v>
      </c>
    </row>
    <row r="31" spans="1:5">
      <c r="B31" s="848" t="s">
        <v>1085</v>
      </c>
    </row>
    <row r="32" spans="1:5" ht="25.5">
      <c r="B32" s="852" t="s">
        <v>1076</v>
      </c>
      <c r="E32" s="851">
        <v>17374240</v>
      </c>
    </row>
    <row r="33" spans="1:9" ht="13.5" thickBot="1">
      <c r="A33" s="880" t="s">
        <v>1088</v>
      </c>
      <c r="B33" s="860"/>
      <c r="C33" s="851">
        <f>SUM(D17:D28)</f>
        <v>79002180</v>
      </c>
      <c r="D33" s="851"/>
      <c r="E33" s="853">
        <f>SUM(E17:E32)+0.4</f>
        <v>110036852.40000001</v>
      </c>
    </row>
    <row r="34" spans="1:9" ht="13.5" thickTop="1"/>
    <row r="35" spans="1:9">
      <c r="B35" s="791" t="s">
        <v>1089</v>
      </c>
    </row>
    <row r="36" spans="1:9">
      <c r="B36" s="791" t="s">
        <v>180</v>
      </c>
      <c r="C36" s="727">
        <v>44167</v>
      </c>
    </row>
    <row r="37" spans="1:9" ht="25.5">
      <c r="A37" s="791">
        <v>1</v>
      </c>
      <c r="B37" s="866" t="s">
        <v>1076</v>
      </c>
      <c r="C37" s="867">
        <f>30+50</f>
        <v>80</v>
      </c>
      <c r="D37" s="868">
        <f>+($C$12*C37)*50%</f>
        <v>35112080</v>
      </c>
    </row>
    <row r="38" spans="1:9" ht="34.5" customHeight="1">
      <c r="B38" s="969" t="s">
        <v>206</v>
      </c>
      <c r="C38" s="969" t="s">
        <v>10</v>
      </c>
      <c r="D38" s="2739" t="s">
        <v>1090</v>
      </c>
      <c r="E38" s="2740"/>
      <c r="F38" s="969" t="s">
        <v>202</v>
      </c>
      <c r="G38" s="969" t="s">
        <v>1091</v>
      </c>
      <c r="H38" s="969" t="s">
        <v>204</v>
      </c>
      <c r="I38" s="969" t="s">
        <v>205</v>
      </c>
    </row>
    <row r="39" spans="1:9">
      <c r="B39" s="727">
        <v>44173</v>
      </c>
      <c r="C39" s="727">
        <v>44196</v>
      </c>
      <c r="D39" s="869">
        <v>0</v>
      </c>
      <c r="E39" s="870">
        <v>1.9300000000000001E-2</v>
      </c>
      <c r="F39" s="871">
        <f>+$D$37</f>
        <v>35112080</v>
      </c>
      <c r="G39" s="872">
        <f>_xlfn.DAYS(C39,B39)+1</f>
        <v>24</v>
      </c>
      <c r="H39" s="873">
        <f>((1+E39)^(1/365)-1)</f>
        <v>5.2374295299806306E-5</v>
      </c>
      <c r="I39" s="874">
        <f>+F39*G39*H39</f>
        <v>44135.290716250151</v>
      </c>
    </row>
    <row r="40" spans="1:9">
      <c r="B40" s="724">
        <v>44197</v>
      </c>
      <c r="C40" s="724">
        <v>44227</v>
      </c>
      <c r="D40" s="796">
        <v>0</v>
      </c>
      <c r="E40" s="840">
        <v>1.9099999999999999E-2</v>
      </c>
      <c r="F40" s="836">
        <f t="shared" ref="F40:F53" si="1">+$D$37</f>
        <v>35112080</v>
      </c>
      <c r="G40" s="841">
        <f t="shared" ref="G40:G52" si="2">_xlfn.DAYS(C40,B40)+1</f>
        <v>31</v>
      </c>
      <c r="H40" s="838">
        <f t="shared" ref="H40:H52" si="3">((1+E40)^(1/365)-1)</f>
        <v>5.1836644438196799E-5</v>
      </c>
      <c r="I40" s="839">
        <f>+F40*G40*H40</f>
        <v>56422.864599811153</v>
      </c>
    </row>
    <row r="41" spans="1:9">
      <c r="B41" s="724">
        <v>44228</v>
      </c>
      <c r="C41" s="724">
        <v>44255</v>
      </c>
      <c r="D41" s="796">
        <v>0</v>
      </c>
      <c r="E41" s="840">
        <v>1.8100000000000002E-2</v>
      </c>
      <c r="F41" s="836">
        <f t="shared" si="1"/>
        <v>35112080</v>
      </c>
      <c r="G41" s="841">
        <f t="shared" si="2"/>
        <v>28</v>
      </c>
      <c r="H41" s="838">
        <f t="shared" si="3"/>
        <v>4.9146810763511795E-5</v>
      </c>
      <c r="I41" s="839">
        <f>+F41*G41*H41</f>
        <v>48318.109035652044</v>
      </c>
    </row>
    <row r="42" spans="1:9">
      <c r="B42" s="724">
        <v>44256</v>
      </c>
      <c r="C42" s="724">
        <v>44263</v>
      </c>
      <c r="D42" s="796">
        <v>0</v>
      </c>
      <c r="E42" s="840">
        <v>1.77E-2</v>
      </c>
      <c r="F42" s="836">
        <f t="shared" si="1"/>
        <v>35112080</v>
      </c>
      <c r="G42" s="841">
        <f t="shared" si="2"/>
        <v>8</v>
      </c>
      <c r="H42" s="838">
        <f t="shared" si="3"/>
        <v>4.8070139484934771E-5</v>
      </c>
      <c r="I42" s="839">
        <f>+F42*G42*H42</f>
        <v>13502.740665649508</v>
      </c>
    </row>
    <row r="43" spans="1:9">
      <c r="B43" s="724">
        <v>44259</v>
      </c>
      <c r="C43" s="724">
        <v>44286</v>
      </c>
      <c r="D43" s="796">
        <v>0</v>
      </c>
      <c r="E43" s="840">
        <v>1.77E-2</v>
      </c>
      <c r="F43" s="836">
        <f t="shared" si="1"/>
        <v>35112080</v>
      </c>
      <c r="G43" s="841">
        <f>_xlfn.DAYS(C43,B43)+1</f>
        <v>28</v>
      </c>
      <c r="H43" s="838">
        <f>((1+E43)^(1/365)-1)</f>
        <v>4.8070139484934771E-5</v>
      </c>
      <c r="I43" s="839">
        <v>0</v>
      </c>
    </row>
    <row r="44" spans="1:9">
      <c r="B44" s="724">
        <v>44287</v>
      </c>
      <c r="C44" s="724">
        <v>44316</v>
      </c>
      <c r="D44" s="796">
        <v>0</v>
      </c>
      <c r="E44" s="840">
        <v>1.7600000000000001E-2</v>
      </c>
      <c r="F44" s="836">
        <f t="shared" si="1"/>
        <v>35112080</v>
      </c>
      <c r="G44" s="841">
        <f t="shared" si="2"/>
        <v>30</v>
      </c>
      <c r="H44" s="838">
        <f t="shared" si="3"/>
        <v>4.7800905724759701E-5</v>
      </c>
      <c r="I44" s="839">
        <v>0</v>
      </c>
    </row>
    <row r="45" spans="1:9">
      <c r="B45" s="724">
        <v>44317</v>
      </c>
      <c r="C45" s="724">
        <v>44347</v>
      </c>
      <c r="D45" s="796">
        <v>0</v>
      </c>
      <c r="E45" s="840">
        <v>1.8200000000000001E-2</v>
      </c>
      <c r="F45" s="836">
        <f t="shared" si="1"/>
        <v>35112080</v>
      </c>
      <c r="G45" s="841">
        <f t="shared" si="2"/>
        <v>31</v>
      </c>
      <c r="H45" s="838">
        <f t="shared" si="3"/>
        <v>4.9415912668715478E-5</v>
      </c>
      <c r="I45" s="839">
        <v>0</v>
      </c>
    </row>
    <row r="46" spans="1:9">
      <c r="B46" s="724">
        <v>44348</v>
      </c>
      <c r="C46" s="724">
        <v>44377</v>
      </c>
      <c r="D46" s="796">
        <v>0</v>
      </c>
      <c r="E46" s="840">
        <v>1.9099999999999999E-2</v>
      </c>
      <c r="F46" s="836">
        <f t="shared" si="1"/>
        <v>35112080</v>
      </c>
      <c r="G46" s="841">
        <f t="shared" si="2"/>
        <v>30</v>
      </c>
      <c r="H46" s="838">
        <f t="shared" si="3"/>
        <v>5.1836644438196799E-5</v>
      </c>
      <c r="I46" s="839">
        <v>0</v>
      </c>
    </row>
    <row r="47" spans="1:9">
      <c r="B47" s="724">
        <v>44378</v>
      </c>
      <c r="C47" s="724">
        <v>44408</v>
      </c>
      <c r="D47" s="796">
        <v>0</v>
      </c>
      <c r="E47" s="840">
        <v>1.9E-2</v>
      </c>
      <c r="F47" s="836">
        <f t="shared" si="1"/>
        <v>35112080</v>
      </c>
      <c r="G47" s="841">
        <f t="shared" si="2"/>
        <v>31</v>
      </c>
      <c r="H47" s="838">
        <f t="shared" si="3"/>
        <v>5.1567779546513037E-5</v>
      </c>
      <c r="I47" s="839">
        <v>0</v>
      </c>
    </row>
    <row r="48" spans="1:9">
      <c r="B48" s="724">
        <v>44409</v>
      </c>
      <c r="C48" s="724">
        <v>44439</v>
      </c>
      <c r="D48" s="796">
        <v>0</v>
      </c>
      <c r="E48" s="840">
        <v>1.9900000000000001E-2</v>
      </c>
      <c r="F48" s="836">
        <f t="shared" si="1"/>
        <v>35112080</v>
      </c>
      <c r="G48" s="841">
        <f t="shared" si="2"/>
        <v>31</v>
      </c>
      <c r="H48" s="838">
        <f t="shared" si="3"/>
        <v>5.3986616880719041E-5</v>
      </c>
      <c r="I48" s="839">
        <v>0</v>
      </c>
    </row>
    <row r="49" spans="1:9">
      <c r="B49" s="724">
        <v>44440</v>
      </c>
      <c r="C49" s="724">
        <v>44442</v>
      </c>
      <c r="D49" s="796">
        <v>0</v>
      </c>
      <c r="E49" s="840">
        <v>1.9900000000000001E-2</v>
      </c>
      <c r="F49" s="836">
        <f t="shared" si="1"/>
        <v>35112080</v>
      </c>
      <c r="G49" s="841">
        <f t="shared" si="2"/>
        <v>3</v>
      </c>
      <c r="H49" s="838">
        <f>((1+E49)^(1/365)-1)</f>
        <v>5.3986616880719041E-5</v>
      </c>
      <c r="I49" s="839">
        <v>0</v>
      </c>
    </row>
    <row r="50" spans="1:9">
      <c r="B50" s="724">
        <v>44443</v>
      </c>
      <c r="C50" s="724">
        <v>44469</v>
      </c>
      <c r="D50" s="796">
        <v>0.1719</v>
      </c>
      <c r="E50" s="840">
        <f>+D50*1.5</f>
        <v>0.25785000000000002</v>
      </c>
      <c r="F50" s="836">
        <f t="shared" si="1"/>
        <v>35112080</v>
      </c>
      <c r="G50" s="841">
        <f t="shared" si="2"/>
        <v>27</v>
      </c>
      <c r="H50" s="838">
        <f t="shared" si="3"/>
        <v>6.2870142469861889E-4</v>
      </c>
      <c r="I50" s="839">
        <v>0</v>
      </c>
    </row>
    <row r="51" spans="1:9">
      <c r="B51" s="724">
        <v>44470</v>
      </c>
      <c r="C51" s="724">
        <v>44500</v>
      </c>
      <c r="D51" s="796">
        <v>0.17080000000000001</v>
      </c>
      <c r="E51" s="840">
        <f>+D51*1.5</f>
        <v>0.25619999999999998</v>
      </c>
      <c r="F51" s="836">
        <f t="shared" si="1"/>
        <v>35112080</v>
      </c>
      <c r="G51" s="841">
        <f t="shared" si="2"/>
        <v>31</v>
      </c>
      <c r="H51" s="838">
        <f t="shared" si="3"/>
        <v>6.2510294214179751E-4</v>
      </c>
      <c r="I51" s="839">
        <v>0</v>
      </c>
    </row>
    <row r="52" spans="1:9">
      <c r="B52" s="724">
        <v>44501</v>
      </c>
      <c r="C52" s="724">
        <v>44530</v>
      </c>
      <c r="D52" s="796">
        <v>0.17269999999999999</v>
      </c>
      <c r="E52" s="842">
        <f>+D52*1.5</f>
        <v>0.25905</v>
      </c>
      <c r="F52" s="836">
        <f t="shared" si="1"/>
        <v>35112080</v>
      </c>
      <c r="G52" s="841">
        <f t="shared" si="2"/>
        <v>30</v>
      </c>
      <c r="H52" s="838">
        <f t="shared" si="3"/>
        <v>6.3131554742335005E-4</v>
      </c>
      <c r="I52" s="839">
        <v>0</v>
      </c>
    </row>
    <row r="53" spans="1:9">
      <c r="B53" s="724">
        <v>44531</v>
      </c>
      <c r="C53" s="724">
        <v>44559</v>
      </c>
      <c r="D53" s="796">
        <v>0.17460000000000001</v>
      </c>
      <c r="E53" s="842">
        <f>+D53*1.5</f>
        <v>0.26190000000000002</v>
      </c>
      <c r="F53" s="836">
        <f t="shared" si="1"/>
        <v>35112080</v>
      </c>
      <c r="G53" s="841">
        <f>_xlfn.DAYS(C53,B53)+1</f>
        <v>29</v>
      </c>
      <c r="H53" s="838">
        <f>((1+E53)^(1/365)-1)</f>
        <v>6.3751414410861962E-4</v>
      </c>
      <c r="I53" s="839">
        <v>0</v>
      </c>
    </row>
    <row r="54" spans="1:9">
      <c r="F54" s="2735" t="s">
        <v>162</v>
      </c>
      <c r="G54" s="2736"/>
      <c r="H54" s="2737"/>
      <c r="I54" s="839">
        <f>SUM(I39:I53)</f>
        <v>162379.00501736286</v>
      </c>
    </row>
    <row r="55" spans="1:9" ht="30" customHeight="1">
      <c r="B55" s="2734" t="s">
        <v>1092</v>
      </c>
      <c r="C55" s="2734"/>
    </row>
    <row r="56" spans="1:9">
      <c r="B56" s="726" t="s">
        <v>56</v>
      </c>
      <c r="C56" s="726" t="s">
        <v>163</v>
      </c>
    </row>
    <row r="57" spans="1:9">
      <c r="B57" s="741" t="s">
        <v>133</v>
      </c>
      <c r="C57" s="857">
        <f>+D37</f>
        <v>35112080</v>
      </c>
    </row>
    <row r="58" spans="1:9">
      <c r="B58" s="741" t="s">
        <v>134</v>
      </c>
      <c r="C58" s="858">
        <f>+I54</f>
        <v>162379.00501736286</v>
      </c>
    </row>
    <row r="59" spans="1:9" ht="13.5" thickBot="1">
      <c r="B59" s="817" t="s">
        <v>61</v>
      </c>
      <c r="C59" s="859">
        <f>SUM(C57:C58)</f>
        <v>35274459.005017363</v>
      </c>
    </row>
    <row r="60" spans="1:9" ht="13.5" thickTop="1">
      <c r="C60" s="854"/>
    </row>
    <row r="61" spans="1:9" ht="25.5">
      <c r="A61" s="791">
        <v>2</v>
      </c>
      <c r="B61" s="866" t="s">
        <v>1077</v>
      </c>
      <c r="C61" s="867" t="s">
        <v>1093</v>
      </c>
      <c r="D61" s="868">
        <v>8778020</v>
      </c>
    </row>
    <row r="62" spans="1:9" ht="38.25" customHeight="1">
      <c r="B62" s="969" t="s">
        <v>206</v>
      </c>
      <c r="C62" s="969" t="s">
        <v>10</v>
      </c>
      <c r="D62" s="2719" t="s">
        <v>1090</v>
      </c>
      <c r="E62" s="2720"/>
      <c r="F62" s="974" t="s">
        <v>202</v>
      </c>
      <c r="G62" s="969" t="s">
        <v>1091</v>
      </c>
      <c r="H62" s="974" t="s">
        <v>204</v>
      </c>
      <c r="I62" s="974" t="s">
        <v>205</v>
      </c>
    </row>
    <row r="63" spans="1:9">
      <c r="B63" s="727">
        <v>44173</v>
      </c>
      <c r="C63" s="727">
        <v>44196</v>
      </c>
      <c r="D63" s="869">
        <v>0</v>
      </c>
      <c r="E63" s="870">
        <v>1.9300000000000001E-2</v>
      </c>
      <c r="F63" s="871">
        <f>$D$61</f>
        <v>8778020</v>
      </c>
      <c r="G63" s="872">
        <f t="shared" ref="G63:G77" si="4">_xlfn.DAYS(C63,B63)+1</f>
        <v>24</v>
      </c>
      <c r="H63" s="873">
        <f>((1+E63)^(1/365)-1)</f>
        <v>5.2374295299806306E-5</v>
      </c>
      <c r="I63" s="874">
        <f>+F63*G63*H63</f>
        <v>11033.822679062538</v>
      </c>
    </row>
    <row r="64" spans="1:9">
      <c r="B64" s="724">
        <v>44197</v>
      </c>
      <c r="C64" s="724">
        <v>44227</v>
      </c>
      <c r="D64" s="796">
        <v>0</v>
      </c>
      <c r="E64" s="840">
        <v>1.9099999999999999E-2</v>
      </c>
      <c r="F64" s="871">
        <f t="shared" ref="F64:F76" si="5">$D$61</f>
        <v>8778020</v>
      </c>
      <c r="G64" s="841">
        <f t="shared" si="4"/>
        <v>31</v>
      </c>
      <c r="H64" s="838">
        <f t="shared" ref="H64:H72" si="6">((1+E64)^(1/365)-1)</f>
        <v>5.1836644438196799E-5</v>
      </c>
      <c r="I64" s="839">
        <f>+F64*G64*H64</f>
        <v>14105.716149952788</v>
      </c>
    </row>
    <row r="65" spans="2:9">
      <c r="B65" s="724">
        <v>44228</v>
      </c>
      <c r="C65" s="724">
        <v>44255</v>
      </c>
      <c r="D65" s="796">
        <v>0</v>
      </c>
      <c r="E65" s="840">
        <v>1.8100000000000002E-2</v>
      </c>
      <c r="F65" s="871">
        <f t="shared" si="5"/>
        <v>8778020</v>
      </c>
      <c r="G65" s="841">
        <f t="shared" si="4"/>
        <v>28</v>
      </c>
      <c r="H65" s="838">
        <f t="shared" si="6"/>
        <v>4.9146810763511795E-5</v>
      </c>
      <c r="I65" s="839">
        <f>+F65*G65*H65</f>
        <v>12079.527258913011</v>
      </c>
    </row>
    <row r="66" spans="2:9">
      <c r="B66" s="724">
        <v>44256</v>
      </c>
      <c r="C66" s="724">
        <v>44263</v>
      </c>
      <c r="D66" s="796">
        <v>0</v>
      </c>
      <c r="E66" s="840">
        <v>1.77E-2</v>
      </c>
      <c r="F66" s="871">
        <f t="shared" si="5"/>
        <v>8778020</v>
      </c>
      <c r="G66" s="841">
        <f t="shared" si="4"/>
        <v>8</v>
      </c>
      <c r="H66" s="838">
        <f t="shared" si="6"/>
        <v>4.8070139484934771E-5</v>
      </c>
      <c r="I66" s="839">
        <f>+F66*G66*H66</f>
        <v>3375.6851664123769</v>
      </c>
    </row>
    <row r="67" spans="2:9">
      <c r="B67" s="724">
        <v>44259</v>
      </c>
      <c r="C67" s="724">
        <v>44286</v>
      </c>
      <c r="D67" s="796">
        <v>0</v>
      </c>
      <c r="E67" s="840">
        <v>1.77E-2</v>
      </c>
      <c r="F67" s="871">
        <f t="shared" si="5"/>
        <v>8778020</v>
      </c>
      <c r="G67" s="841">
        <f>_xlfn.DAYS(C67,B67)+1</f>
        <v>28</v>
      </c>
      <c r="H67" s="838">
        <f>((1+E67)^(1/365)-1)</f>
        <v>4.8070139484934771E-5</v>
      </c>
      <c r="I67" s="839">
        <v>0</v>
      </c>
    </row>
    <row r="68" spans="2:9">
      <c r="B68" s="724">
        <v>44287</v>
      </c>
      <c r="C68" s="724">
        <v>44316</v>
      </c>
      <c r="D68" s="796">
        <v>0</v>
      </c>
      <c r="E68" s="840">
        <v>1.7600000000000001E-2</v>
      </c>
      <c r="F68" s="871">
        <f t="shared" si="5"/>
        <v>8778020</v>
      </c>
      <c r="G68" s="841">
        <f t="shared" si="4"/>
        <v>30</v>
      </c>
      <c r="H68" s="838">
        <f t="shared" si="6"/>
        <v>4.7800905724759701E-5</v>
      </c>
      <c r="I68" s="839">
        <v>0</v>
      </c>
    </row>
    <row r="69" spans="2:9">
      <c r="B69" s="724">
        <v>44317</v>
      </c>
      <c r="C69" s="724">
        <v>44347</v>
      </c>
      <c r="D69" s="796">
        <v>0</v>
      </c>
      <c r="E69" s="840">
        <v>1.8200000000000001E-2</v>
      </c>
      <c r="F69" s="871">
        <f t="shared" si="5"/>
        <v>8778020</v>
      </c>
      <c r="G69" s="841">
        <f t="shared" si="4"/>
        <v>31</v>
      </c>
      <c r="H69" s="838">
        <f t="shared" si="6"/>
        <v>4.9415912668715478E-5</v>
      </c>
      <c r="I69" s="839">
        <v>0</v>
      </c>
    </row>
    <row r="70" spans="2:9">
      <c r="B70" s="724">
        <v>44348</v>
      </c>
      <c r="C70" s="724">
        <v>44377</v>
      </c>
      <c r="D70" s="796">
        <v>0</v>
      </c>
      <c r="E70" s="840">
        <v>1.9099999999999999E-2</v>
      </c>
      <c r="F70" s="871">
        <f t="shared" si="5"/>
        <v>8778020</v>
      </c>
      <c r="G70" s="841">
        <f t="shared" si="4"/>
        <v>30</v>
      </c>
      <c r="H70" s="838">
        <f t="shared" si="6"/>
        <v>5.1836644438196799E-5</v>
      </c>
      <c r="I70" s="839">
        <v>0</v>
      </c>
    </row>
    <row r="71" spans="2:9">
      <c r="B71" s="724">
        <v>44378</v>
      </c>
      <c r="C71" s="724">
        <v>44408</v>
      </c>
      <c r="D71" s="796">
        <v>0</v>
      </c>
      <c r="E71" s="840">
        <v>1.9E-2</v>
      </c>
      <c r="F71" s="871">
        <f t="shared" si="5"/>
        <v>8778020</v>
      </c>
      <c r="G71" s="841">
        <f t="shared" si="4"/>
        <v>31</v>
      </c>
      <c r="H71" s="838">
        <f t="shared" si="6"/>
        <v>5.1567779546513037E-5</v>
      </c>
      <c r="I71" s="839">
        <v>0</v>
      </c>
    </row>
    <row r="72" spans="2:9">
      <c r="B72" s="724">
        <v>44409</v>
      </c>
      <c r="C72" s="724">
        <v>44439</v>
      </c>
      <c r="D72" s="796">
        <v>0</v>
      </c>
      <c r="E72" s="840">
        <v>1.9900000000000001E-2</v>
      </c>
      <c r="F72" s="871">
        <f t="shared" si="5"/>
        <v>8778020</v>
      </c>
      <c r="G72" s="841">
        <f t="shared" si="4"/>
        <v>31</v>
      </c>
      <c r="H72" s="838">
        <f t="shared" si="6"/>
        <v>5.3986616880719041E-5</v>
      </c>
      <c r="I72" s="839">
        <v>0</v>
      </c>
    </row>
    <row r="73" spans="2:9">
      <c r="B73" s="724">
        <v>44440</v>
      </c>
      <c r="C73" s="724">
        <v>44442</v>
      </c>
      <c r="D73" s="796">
        <v>0</v>
      </c>
      <c r="E73" s="840">
        <v>1.9900000000000001E-2</v>
      </c>
      <c r="F73" s="871">
        <f t="shared" si="5"/>
        <v>8778020</v>
      </c>
      <c r="G73" s="841">
        <f t="shared" si="4"/>
        <v>3</v>
      </c>
      <c r="H73" s="838">
        <f>((1+E73)^(1/365)-1)</f>
        <v>5.3986616880719041E-5</v>
      </c>
      <c r="I73" s="839">
        <v>0</v>
      </c>
    </row>
    <row r="74" spans="2:9">
      <c r="B74" s="724">
        <v>44443</v>
      </c>
      <c r="C74" s="724">
        <v>44469</v>
      </c>
      <c r="D74" s="796">
        <v>0.1719</v>
      </c>
      <c r="E74" s="840">
        <f>+D74*1.5</f>
        <v>0.25785000000000002</v>
      </c>
      <c r="F74" s="871">
        <f t="shared" si="5"/>
        <v>8778020</v>
      </c>
      <c r="G74" s="841">
        <f t="shared" si="4"/>
        <v>27</v>
      </c>
      <c r="H74" s="838">
        <f>((1+E74)^(1/365)-1)</f>
        <v>6.2870142469861889E-4</v>
      </c>
      <c r="I74" s="839">
        <v>0</v>
      </c>
    </row>
    <row r="75" spans="2:9">
      <c r="B75" s="724">
        <v>44470</v>
      </c>
      <c r="C75" s="724">
        <v>44500</v>
      </c>
      <c r="D75" s="796">
        <v>0.17080000000000001</v>
      </c>
      <c r="E75" s="840">
        <f>+D75*1.5</f>
        <v>0.25619999999999998</v>
      </c>
      <c r="F75" s="871">
        <f t="shared" si="5"/>
        <v>8778020</v>
      </c>
      <c r="G75" s="841">
        <f t="shared" si="4"/>
        <v>31</v>
      </c>
      <c r="H75" s="838">
        <f>((1+E75)^(1/365)-1)</f>
        <v>6.2510294214179751E-4</v>
      </c>
      <c r="I75" s="839">
        <v>0</v>
      </c>
    </row>
    <row r="76" spans="2:9">
      <c r="B76" s="724">
        <v>44501</v>
      </c>
      <c r="C76" s="724">
        <v>44530</v>
      </c>
      <c r="D76" s="796">
        <v>0.17269999999999999</v>
      </c>
      <c r="E76" s="842">
        <f>+D76*1.5</f>
        <v>0.25905</v>
      </c>
      <c r="F76" s="871">
        <f t="shared" si="5"/>
        <v>8778020</v>
      </c>
      <c r="G76" s="841">
        <f t="shared" si="4"/>
        <v>30</v>
      </c>
      <c r="H76" s="838">
        <f>((1+E76)^(1/365)-1)</f>
        <v>6.3131554742335005E-4</v>
      </c>
      <c r="I76" s="839">
        <v>0</v>
      </c>
    </row>
    <row r="77" spans="2:9">
      <c r="B77" s="724">
        <v>44531</v>
      </c>
      <c r="C77" s="724">
        <v>44559</v>
      </c>
      <c r="D77" s="796">
        <v>0.17460000000000001</v>
      </c>
      <c r="E77" s="842">
        <f>+D77*1.5</f>
        <v>0.26190000000000002</v>
      </c>
      <c r="F77" s="836">
        <f>+$D$37</f>
        <v>35112080</v>
      </c>
      <c r="G77" s="841">
        <f t="shared" si="4"/>
        <v>29</v>
      </c>
      <c r="H77" s="838">
        <f>((1+E77)^(1/365)-1)</f>
        <v>6.3751414410861962E-4</v>
      </c>
      <c r="I77" s="839">
        <v>0</v>
      </c>
    </row>
    <row r="78" spans="2:9" ht="18.75" customHeight="1">
      <c r="F78" s="2735" t="s">
        <v>162</v>
      </c>
      <c r="G78" s="2736"/>
      <c r="H78" s="2737"/>
      <c r="I78" s="839">
        <f>SUM(I63:I77)</f>
        <v>40594.751254340714</v>
      </c>
    </row>
    <row r="79" spans="2:9" ht="33.75" customHeight="1">
      <c r="B79" s="916" t="s">
        <v>1094</v>
      </c>
      <c r="C79" s="726" t="s">
        <v>163</v>
      </c>
    </row>
    <row r="80" spans="2:9">
      <c r="B80" s="741" t="s">
        <v>133</v>
      </c>
      <c r="C80" s="857">
        <f>+D61</f>
        <v>8778020</v>
      </c>
    </row>
    <row r="81" spans="1:9">
      <c r="B81" s="741" t="s">
        <v>134</v>
      </c>
      <c r="C81" s="858">
        <f>+I78</f>
        <v>40594.751254340714</v>
      </c>
    </row>
    <row r="82" spans="1:9" ht="13.5" thickBot="1">
      <c r="B82" s="817" t="s">
        <v>61</v>
      </c>
      <c r="C82" s="859">
        <f>SUM(C80:C81)</f>
        <v>8818614.7512543406</v>
      </c>
    </row>
    <row r="83" spans="1:9" ht="13.5" thickTop="1">
      <c r="C83" s="854"/>
    </row>
    <row r="84" spans="1:9" ht="24" customHeight="1">
      <c r="A84" s="791">
        <v>3</v>
      </c>
      <c r="B84" s="875" t="s">
        <v>1078</v>
      </c>
      <c r="C84" s="867" t="s">
        <v>1093</v>
      </c>
      <c r="D84" s="868">
        <f>+D19</f>
        <v>8778020</v>
      </c>
    </row>
    <row r="85" spans="1:9" ht="38.25">
      <c r="B85" s="969" t="s">
        <v>206</v>
      </c>
      <c r="C85" s="969" t="s">
        <v>10</v>
      </c>
      <c r="D85" s="2719" t="s">
        <v>1090</v>
      </c>
      <c r="E85" s="2720"/>
      <c r="F85" s="974" t="s">
        <v>202</v>
      </c>
      <c r="G85" s="969" t="s">
        <v>706</v>
      </c>
      <c r="H85" s="974" t="s">
        <v>204</v>
      </c>
      <c r="I85" s="974" t="s">
        <v>205</v>
      </c>
    </row>
    <row r="86" spans="1:9">
      <c r="B86" s="727">
        <v>44173</v>
      </c>
      <c r="C86" s="727">
        <v>44196</v>
      </c>
      <c r="D86" s="869">
        <v>0</v>
      </c>
      <c r="E86" s="870">
        <v>1.9300000000000001E-2</v>
      </c>
      <c r="F86" s="871">
        <f>$D$84</f>
        <v>8778020</v>
      </c>
      <c r="G86" s="872">
        <f>_xlfn.DAYS(C86,B86)+1</f>
        <v>24</v>
      </c>
      <c r="H86" s="873">
        <f>((1+E86)^(1/365)-1)</f>
        <v>5.2374295299806306E-5</v>
      </c>
      <c r="I86" s="874">
        <f>+F86*G86*H86</f>
        <v>11033.822679062538</v>
      </c>
    </row>
    <row r="87" spans="1:9">
      <c r="B87" s="724">
        <v>44197</v>
      </c>
      <c r="C87" s="724">
        <v>44227</v>
      </c>
      <c r="D87" s="796">
        <v>0</v>
      </c>
      <c r="E87" s="840">
        <v>1.9099999999999999E-2</v>
      </c>
      <c r="F87" s="871">
        <f t="shared" ref="F87:F99" si="7">$D$84</f>
        <v>8778020</v>
      </c>
      <c r="G87" s="841">
        <f>_xlfn.DAYS(C87,B87)+1</f>
        <v>31</v>
      </c>
      <c r="H87" s="838">
        <f t="shared" ref="H87:H95" si="8">((1+E87)^(1/365)-1)</f>
        <v>5.1836644438196799E-5</v>
      </c>
      <c r="I87" s="839">
        <f>+F87*G87*H87</f>
        <v>14105.716149952788</v>
      </c>
    </row>
    <row r="88" spans="1:9">
      <c r="B88" s="724">
        <v>44228</v>
      </c>
      <c r="C88" s="724">
        <v>44255</v>
      </c>
      <c r="D88" s="796">
        <v>0</v>
      </c>
      <c r="E88" s="840">
        <v>1.8100000000000002E-2</v>
      </c>
      <c r="F88" s="871">
        <f t="shared" si="7"/>
        <v>8778020</v>
      </c>
      <c r="G88" s="841">
        <f>_xlfn.DAYS(C88,B88)+1</f>
        <v>28</v>
      </c>
      <c r="H88" s="838">
        <f t="shared" si="8"/>
        <v>4.9146810763511795E-5</v>
      </c>
      <c r="I88" s="839">
        <f>+F88*G88*H88</f>
        <v>12079.527258913011</v>
      </c>
    </row>
    <row r="89" spans="1:9">
      <c r="B89" s="724">
        <v>44256</v>
      </c>
      <c r="C89" s="724">
        <v>44263</v>
      </c>
      <c r="D89" s="796">
        <v>0</v>
      </c>
      <c r="E89" s="840">
        <v>1.77E-2</v>
      </c>
      <c r="F89" s="871">
        <f t="shared" si="7"/>
        <v>8778020</v>
      </c>
      <c r="G89" s="841">
        <f>_xlfn.DAYS(C89,B89)+1</f>
        <v>8</v>
      </c>
      <c r="H89" s="838">
        <f t="shared" si="8"/>
        <v>4.8070139484934771E-5</v>
      </c>
      <c r="I89" s="839">
        <f>+F89*G89*H89</f>
        <v>3375.6851664123769</v>
      </c>
    </row>
    <row r="90" spans="1:9">
      <c r="B90" s="724">
        <v>44259</v>
      </c>
      <c r="C90" s="724">
        <v>44286</v>
      </c>
      <c r="D90" s="796">
        <v>0</v>
      </c>
      <c r="E90" s="840">
        <v>1.77E-2</v>
      </c>
      <c r="F90" s="871">
        <f t="shared" si="7"/>
        <v>8778020</v>
      </c>
      <c r="G90" s="841">
        <f t="shared" ref="G90:G100" si="9">_xlfn.DAYS(C90,B90)+1</f>
        <v>28</v>
      </c>
      <c r="H90" s="838">
        <f>((1+E90)^(1/365)-1)</f>
        <v>4.8070139484934771E-5</v>
      </c>
      <c r="I90" s="839">
        <v>0</v>
      </c>
    </row>
    <row r="91" spans="1:9">
      <c r="B91" s="724">
        <v>44287</v>
      </c>
      <c r="C91" s="724">
        <v>44316</v>
      </c>
      <c r="D91" s="796">
        <v>0</v>
      </c>
      <c r="E91" s="840">
        <v>1.7600000000000001E-2</v>
      </c>
      <c r="F91" s="871">
        <f t="shared" si="7"/>
        <v>8778020</v>
      </c>
      <c r="G91" s="841">
        <f t="shared" si="9"/>
        <v>30</v>
      </c>
      <c r="H91" s="838">
        <f t="shared" si="8"/>
        <v>4.7800905724759701E-5</v>
      </c>
      <c r="I91" s="839">
        <v>0</v>
      </c>
    </row>
    <row r="92" spans="1:9">
      <c r="B92" s="724">
        <v>44317</v>
      </c>
      <c r="C92" s="724">
        <v>44347</v>
      </c>
      <c r="D92" s="796">
        <v>0</v>
      </c>
      <c r="E92" s="840">
        <v>1.8200000000000001E-2</v>
      </c>
      <c r="F92" s="871">
        <f t="shared" si="7"/>
        <v>8778020</v>
      </c>
      <c r="G92" s="841">
        <f t="shared" si="9"/>
        <v>31</v>
      </c>
      <c r="H92" s="838">
        <f t="shared" si="8"/>
        <v>4.9415912668715478E-5</v>
      </c>
      <c r="I92" s="839">
        <v>0</v>
      </c>
    </row>
    <row r="93" spans="1:9">
      <c r="B93" s="724">
        <v>44348</v>
      </c>
      <c r="C93" s="724">
        <v>44377</v>
      </c>
      <c r="D93" s="796">
        <v>0</v>
      </c>
      <c r="E93" s="840">
        <v>1.9099999999999999E-2</v>
      </c>
      <c r="F93" s="871">
        <f t="shared" si="7"/>
        <v>8778020</v>
      </c>
      <c r="G93" s="841">
        <f t="shared" si="9"/>
        <v>30</v>
      </c>
      <c r="H93" s="838">
        <f t="shared" si="8"/>
        <v>5.1836644438196799E-5</v>
      </c>
      <c r="I93" s="839">
        <v>0</v>
      </c>
    </row>
    <row r="94" spans="1:9">
      <c r="B94" s="724">
        <v>44378</v>
      </c>
      <c r="C94" s="724">
        <v>44408</v>
      </c>
      <c r="D94" s="796">
        <v>0</v>
      </c>
      <c r="E94" s="840">
        <v>1.9E-2</v>
      </c>
      <c r="F94" s="871">
        <f t="shared" si="7"/>
        <v>8778020</v>
      </c>
      <c r="G94" s="841">
        <f t="shared" si="9"/>
        <v>31</v>
      </c>
      <c r="H94" s="838">
        <f t="shared" si="8"/>
        <v>5.1567779546513037E-5</v>
      </c>
      <c r="I94" s="839">
        <v>0</v>
      </c>
    </row>
    <row r="95" spans="1:9">
      <c r="B95" s="724">
        <v>44409</v>
      </c>
      <c r="C95" s="724">
        <v>44439</v>
      </c>
      <c r="D95" s="796">
        <v>0</v>
      </c>
      <c r="E95" s="840">
        <v>1.9900000000000001E-2</v>
      </c>
      <c r="F95" s="871">
        <f t="shared" si="7"/>
        <v>8778020</v>
      </c>
      <c r="G95" s="841">
        <f t="shared" si="9"/>
        <v>31</v>
      </c>
      <c r="H95" s="838">
        <f t="shared" si="8"/>
        <v>5.3986616880719041E-5</v>
      </c>
      <c r="I95" s="839">
        <v>0</v>
      </c>
    </row>
    <row r="96" spans="1:9">
      <c r="B96" s="724">
        <v>44440</v>
      </c>
      <c r="C96" s="724">
        <v>44442</v>
      </c>
      <c r="D96" s="796">
        <v>0</v>
      </c>
      <c r="E96" s="840">
        <v>1.9900000000000001E-2</v>
      </c>
      <c r="F96" s="871">
        <f t="shared" si="7"/>
        <v>8778020</v>
      </c>
      <c r="G96" s="841">
        <f t="shared" si="9"/>
        <v>3</v>
      </c>
      <c r="H96" s="838">
        <f>((1+E96)^(1/365)-1)</f>
        <v>5.3986616880719041E-5</v>
      </c>
      <c r="I96" s="839">
        <v>0</v>
      </c>
    </row>
    <row r="97" spans="1:9">
      <c r="B97" s="724">
        <v>44443</v>
      </c>
      <c r="C97" s="724">
        <v>44469</v>
      </c>
      <c r="D97" s="796">
        <v>0.1719</v>
      </c>
      <c r="E97" s="840">
        <f>+D97*1.5</f>
        <v>0.25785000000000002</v>
      </c>
      <c r="F97" s="871">
        <f t="shared" si="7"/>
        <v>8778020</v>
      </c>
      <c r="G97" s="841">
        <f t="shared" si="9"/>
        <v>27</v>
      </c>
      <c r="H97" s="838">
        <f>((1+E97)^(1/365)-1)</f>
        <v>6.2870142469861889E-4</v>
      </c>
      <c r="I97" s="839">
        <v>0</v>
      </c>
    </row>
    <row r="98" spans="1:9">
      <c r="B98" s="724">
        <v>44470</v>
      </c>
      <c r="C98" s="724">
        <v>44500</v>
      </c>
      <c r="D98" s="796">
        <v>0.17080000000000001</v>
      </c>
      <c r="E98" s="840">
        <f>+D98*1.5</f>
        <v>0.25619999999999998</v>
      </c>
      <c r="F98" s="871">
        <f t="shared" si="7"/>
        <v>8778020</v>
      </c>
      <c r="G98" s="841">
        <f t="shared" si="9"/>
        <v>31</v>
      </c>
      <c r="H98" s="838">
        <f>((1+E98)^(1/365)-1)</f>
        <v>6.2510294214179751E-4</v>
      </c>
      <c r="I98" s="839">
        <v>0</v>
      </c>
    </row>
    <row r="99" spans="1:9">
      <c r="B99" s="724">
        <v>44501</v>
      </c>
      <c r="C99" s="724">
        <v>44530</v>
      </c>
      <c r="D99" s="796">
        <v>0.17269999999999999</v>
      </c>
      <c r="E99" s="842">
        <f>+D99*1.5</f>
        <v>0.25905</v>
      </c>
      <c r="F99" s="871">
        <f t="shared" si="7"/>
        <v>8778020</v>
      </c>
      <c r="G99" s="841">
        <f t="shared" si="9"/>
        <v>30</v>
      </c>
      <c r="H99" s="838">
        <f>((1+E99)^(1/365)-1)</f>
        <v>6.3131554742335005E-4</v>
      </c>
      <c r="I99" s="839">
        <v>0</v>
      </c>
    </row>
    <row r="100" spans="1:9">
      <c r="B100" s="724">
        <v>44531</v>
      </c>
      <c r="C100" s="724">
        <v>44559</v>
      </c>
      <c r="D100" s="796">
        <v>0.17460000000000001</v>
      </c>
      <c r="E100" s="842">
        <f>+D100*1.5</f>
        <v>0.26190000000000002</v>
      </c>
      <c r="F100" s="836">
        <f>+$D$37</f>
        <v>35112080</v>
      </c>
      <c r="G100" s="841">
        <f t="shared" si="9"/>
        <v>29</v>
      </c>
      <c r="H100" s="838">
        <f>((1+E100)^(1/365)-1)</f>
        <v>6.3751414410861962E-4</v>
      </c>
      <c r="I100" s="839">
        <v>0</v>
      </c>
    </row>
    <row r="101" spans="1:9" ht="13.5" customHeight="1">
      <c r="F101" s="2735" t="s">
        <v>162</v>
      </c>
      <c r="G101" s="2736"/>
      <c r="H101" s="2737"/>
      <c r="I101" s="839">
        <f>SUM(I86:I100)</f>
        <v>40594.751254340714</v>
      </c>
    </row>
    <row r="102" spans="1:9" ht="38.25">
      <c r="B102" s="916" t="s">
        <v>1095</v>
      </c>
      <c r="C102" s="923" t="s">
        <v>163</v>
      </c>
    </row>
    <row r="103" spans="1:9">
      <c r="B103" s="741" t="s">
        <v>133</v>
      </c>
      <c r="C103" s="857">
        <f>+D84</f>
        <v>8778020</v>
      </c>
    </row>
    <row r="104" spans="1:9">
      <c r="B104" s="741" t="s">
        <v>134</v>
      </c>
      <c r="C104" s="858">
        <f>+I101</f>
        <v>40594.751254340714</v>
      </c>
    </row>
    <row r="105" spans="1:9" ht="13.5" thickBot="1">
      <c r="B105" s="817" t="s">
        <v>61</v>
      </c>
      <c r="C105" s="859">
        <f>SUM(C103:C104)</f>
        <v>8818614.7512543406</v>
      </c>
    </row>
    <row r="106" spans="1:9" ht="13.5" thickTop="1">
      <c r="C106" s="854"/>
    </row>
    <row r="107" spans="1:9" ht="25.5">
      <c r="A107" s="791">
        <v>4</v>
      </c>
      <c r="B107" s="875" t="s">
        <v>1079</v>
      </c>
      <c r="C107" s="867" t="s">
        <v>1096</v>
      </c>
      <c r="D107" s="868">
        <f>+D20</f>
        <v>4389010</v>
      </c>
    </row>
    <row r="108" spans="1:9" ht="38.25">
      <c r="B108" s="969" t="s">
        <v>206</v>
      </c>
      <c r="C108" s="969" t="s">
        <v>10</v>
      </c>
      <c r="D108" s="2719" t="s">
        <v>1090</v>
      </c>
      <c r="E108" s="2720"/>
      <c r="F108" s="974" t="s">
        <v>202</v>
      </c>
      <c r="G108" s="969" t="s">
        <v>706</v>
      </c>
      <c r="H108" s="974" t="s">
        <v>204</v>
      </c>
      <c r="I108" s="974" t="s">
        <v>205</v>
      </c>
    </row>
    <row r="109" spans="1:9">
      <c r="B109" s="727">
        <v>44173</v>
      </c>
      <c r="C109" s="727">
        <v>44196</v>
      </c>
      <c r="D109" s="869">
        <v>0</v>
      </c>
      <c r="E109" s="870">
        <v>1.9300000000000001E-2</v>
      </c>
      <c r="F109" s="871">
        <f>$D$107</f>
        <v>4389010</v>
      </c>
      <c r="G109" s="872">
        <f t="shared" ref="G109:G123" si="10">_xlfn.DAYS(C109,B109)+1</f>
        <v>24</v>
      </c>
      <c r="H109" s="873">
        <f>((1+E109)^(1/365)-1)</f>
        <v>5.2374295299806306E-5</v>
      </c>
      <c r="I109" s="874">
        <f>+F109*G109*H109</f>
        <v>5516.9113395312688</v>
      </c>
    </row>
    <row r="110" spans="1:9">
      <c r="B110" s="724">
        <v>44197</v>
      </c>
      <c r="C110" s="724">
        <v>44227</v>
      </c>
      <c r="D110" s="796">
        <v>0</v>
      </c>
      <c r="E110" s="840">
        <v>1.9099999999999999E-2</v>
      </c>
      <c r="F110" s="871">
        <f t="shared" ref="F110:F122" si="11">$D$107</f>
        <v>4389010</v>
      </c>
      <c r="G110" s="841">
        <f t="shared" si="10"/>
        <v>31</v>
      </c>
      <c r="H110" s="838">
        <f t="shared" ref="H110:H118" si="12">((1+E110)^(1/365)-1)</f>
        <v>5.1836644438196799E-5</v>
      </c>
      <c r="I110" s="839">
        <f>+F110*G110*H110</f>
        <v>7052.8580749763942</v>
      </c>
    </row>
    <row r="111" spans="1:9">
      <c r="B111" s="724">
        <v>44228</v>
      </c>
      <c r="C111" s="724">
        <v>44255</v>
      </c>
      <c r="D111" s="796">
        <v>0</v>
      </c>
      <c r="E111" s="840">
        <v>1.8100000000000002E-2</v>
      </c>
      <c r="F111" s="871">
        <f t="shared" si="11"/>
        <v>4389010</v>
      </c>
      <c r="G111" s="841">
        <f t="shared" si="10"/>
        <v>28</v>
      </c>
      <c r="H111" s="838">
        <f t="shared" si="12"/>
        <v>4.9146810763511795E-5</v>
      </c>
      <c r="I111" s="839">
        <f>+F111*G111*H111</f>
        <v>6039.7636294565054</v>
      </c>
    </row>
    <row r="112" spans="1:9">
      <c r="B112" s="724">
        <v>44256</v>
      </c>
      <c r="C112" s="724">
        <v>44263</v>
      </c>
      <c r="D112" s="796">
        <v>0</v>
      </c>
      <c r="E112" s="840">
        <v>1.77E-2</v>
      </c>
      <c r="F112" s="871">
        <f t="shared" si="11"/>
        <v>4389010</v>
      </c>
      <c r="G112" s="841">
        <f>_xlfn.DAYS(C112,B112)+1</f>
        <v>8</v>
      </c>
      <c r="H112" s="838">
        <f t="shared" si="12"/>
        <v>4.8070139484934771E-5</v>
      </c>
      <c r="I112" s="839">
        <f>+F112*G112*H112</f>
        <v>1687.8425832061885</v>
      </c>
    </row>
    <row r="113" spans="2:9">
      <c r="B113" s="724">
        <v>44259</v>
      </c>
      <c r="C113" s="724">
        <v>44286</v>
      </c>
      <c r="D113" s="796">
        <v>0</v>
      </c>
      <c r="E113" s="840">
        <v>1.77E-2</v>
      </c>
      <c r="F113" s="871">
        <f t="shared" si="11"/>
        <v>4389010</v>
      </c>
      <c r="G113" s="841">
        <f>_xlfn.DAYS(C113,B113)+1</f>
        <v>28</v>
      </c>
      <c r="H113" s="838">
        <f>((1+E113)^(1/365)-1)</f>
        <v>4.8070139484934771E-5</v>
      </c>
      <c r="I113" s="839">
        <v>0</v>
      </c>
    </row>
    <row r="114" spans="2:9">
      <c r="B114" s="724">
        <v>44287</v>
      </c>
      <c r="C114" s="724">
        <v>44316</v>
      </c>
      <c r="D114" s="796">
        <v>0</v>
      </c>
      <c r="E114" s="840">
        <v>1.7600000000000001E-2</v>
      </c>
      <c r="F114" s="871">
        <f t="shared" si="11"/>
        <v>4389010</v>
      </c>
      <c r="G114" s="841">
        <f t="shared" si="10"/>
        <v>30</v>
      </c>
      <c r="H114" s="838">
        <f t="shared" si="12"/>
        <v>4.7800905724759701E-5</v>
      </c>
      <c r="I114" s="839">
        <v>0</v>
      </c>
    </row>
    <row r="115" spans="2:9">
      <c r="B115" s="724">
        <v>44317</v>
      </c>
      <c r="C115" s="724">
        <v>44347</v>
      </c>
      <c r="D115" s="796">
        <v>0</v>
      </c>
      <c r="E115" s="840">
        <v>1.8200000000000001E-2</v>
      </c>
      <c r="F115" s="871">
        <f t="shared" si="11"/>
        <v>4389010</v>
      </c>
      <c r="G115" s="841">
        <f t="shared" si="10"/>
        <v>31</v>
      </c>
      <c r="H115" s="838">
        <f t="shared" si="12"/>
        <v>4.9415912668715478E-5</v>
      </c>
      <c r="I115" s="839">
        <v>0</v>
      </c>
    </row>
    <row r="116" spans="2:9">
      <c r="B116" s="724">
        <v>44348</v>
      </c>
      <c r="C116" s="724">
        <v>44377</v>
      </c>
      <c r="D116" s="796">
        <v>0</v>
      </c>
      <c r="E116" s="840">
        <v>1.9099999999999999E-2</v>
      </c>
      <c r="F116" s="871">
        <f t="shared" si="11"/>
        <v>4389010</v>
      </c>
      <c r="G116" s="841">
        <f t="shared" si="10"/>
        <v>30</v>
      </c>
      <c r="H116" s="838">
        <f t="shared" si="12"/>
        <v>5.1836644438196799E-5</v>
      </c>
      <c r="I116" s="839">
        <v>0</v>
      </c>
    </row>
    <row r="117" spans="2:9">
      <c r="B117" s="724">
        <v>44378</v>
      </c>
      <c r="C117" s="724">
        <v>44408</v>
      </c>
      <c r="D117" s="796">
        <v>0</v>
      </c>
      <c r="E117" s="840">
        <v>1.9E-2</v>
      </c>
      <c r="F117" s="871">
        <f t="shared" si="11"/>
        <v>4389010</v>
      </c>
      <c r="G117" s="841">
        <f t="shared" si="10"/>
        <v>31</v>
      </c>
      <c r="H117" s="838">
        <f t="shared" si="12"/>
        <v>5.1567779546513037E-5</v>
      </c>
      <c r="I117" s="839">
        <v>0</v>
      </c>
    </row>
    <row r="118" spans="2:9">
      <c r="B118" s="724">
        <v>44409</v>
      </c>
      <c r="C118" s="724">
        <v>44439</v>
      </c>
      <c r="D118" s="796">
        <v>0</v>
      </c>
      <c r="E118" s="840">
        <v>1.9900000000000001E-2</v>
      </c>
      <c r="F118" s="871">
        <f t="shared" si="11"/>
        <v>4389010</v>
      </c>
      <c r="G118" s="841">
        <f t="shared" si="10"/>
        <v>31</v>
      </c>
      <c r="H118" s="838">
        <f t="shared" si="12"/>
        <v>5.3986616880719041E-5</v>
      </c>
      <c r="I118" s="839">
        <v>0</v>
      </c>
    </row>
    <row r="119" spans="2:9">
      <c r="B119" s="724">
        <v>44440</v>
      </c>
      <c r="C119" s="724">
        <v>44442</v>
      </c>
      <c r="D119" s="796">
        <v>0</v>
      </c>
      <c r="E119" s="840">
        <v>1.9900000000000001E-2</v>
      </c>
      <c r="F119" s="871">
        <f t="shared" si="11"/>
        <v>4389010</v>
      </c>
      <c r="G119" s="841">
        <f t="shared" si="10"/>
        <v>3</v>
      </c>
      <c r="H119" s="838">
        <f>((1+E119)^(1/365)-1)</f>
        <v>5.3986616880719041E-5</v>
      </c>
      <c r="I119" s="839">
        <v>0</v>
      </c>
    </row>
    <row r="120" spans="2:9">
      <c r="B120" s="724">
        <v>44443</v>
      </c>
      <c r="C120" s="724">
        <v>44469</v>
      </c>
      <c r="D120" s="796">
        <v>0.1719</v>
      </c>
      <c r="E120" s="840">
        <f>+D120*1.5</f>
        <v>0.25785000000000002</v>
      </c>
      <c r="F120" s="871">
        <f t="shared" si="11"/>
        <v>4389010</v>
      </c>
      <c r="G120" s="841">
        <f t="shared" si="10"/>
        <v>27</v>
      </c>
      <c r="H120" s="838">
        <f>((1+E120)^(1/365)-1)</f>
        <v>6.2870142469861889E-4</v>
      </c>
      <c r="I120" s="839">
        <v>0</v>
      </c>
    </row>
    <row r="121" spans="2:9">
      <c r="B121" s="724">
        <v>44470</v>
      </c>
      <c r="C121" s="724">
        <v>44500</v>
      </c>
      <c r="D121" s="796">
        <v>0.17080000000000001</v>
      </c>
      <c r="E121" s="840">
        <f>+D121*1.5</f>
        <v>0.25619999999999998</v>
      </c>
      <c r="F121" s="871">
        <f t="shared" si="11"/>
        <v>4389010</v>
      </c>
      <c r="G121" s="841">
        <f t="shared" si="10"/>
        <v>31</v>
      </c>
      <c r="H121" s="838">
        <f>((1+E121)^(1/365)-1)</f>
        <v>6.2510294214179751E-4</v>
      </c>
      <c r="I121" s="839">
        <v>0</v>
      </c>
    </row>
    <row r="122" spans="2:9">
      <c r="B122" s="724">
        <v>44501</v>
      </c>
      <c r="C122" s="724">
        <v>44530</v>
      </c>
      <c r="D122" s="796">
        <v>0.17269999999999999</v>
      </c>
      <c r="E122" s="842">
        <f>+D122*1.5</f>
        <v>0.25905</v>
      </c>
      <c r="F122" s="871">
        <f t="shared" si="11"/>
        <v>4389010</v>
      </c>
      <c r="G122" s="841">
        <f t="shared" si="10"/>
        <v>30</v>
      </c>
      <c r="H122" s="838">
        <f>((1+E122)^(1/365)-1)</f>
        <v>6.3131554742335005E-4</v>
      </c>
      <c r="I122" s="839">
        <v>0</v>
      </c>
    </row>
    <row r="123" spans="2:9">
      <c r="B123" s="724">
        <v>44531</v>
      </c>
      <c r="C123" s="724">
        <v>44559</v>
      </c>
      <c r="D123" s="796">
        <v>0.17460000000000001</v>
      </c>
      <c r="E123" s="842">
        <f>+D123*1.5</f>
        <v>0.26190000000000002</v>
      </c>
      <c r="F123" s="836">
        <f>+$D$37</f>
        <v>35112080</v>
      </c>
      <c r="G123" s="841">
        <f t="shared" si="10"/>
        <v>29</v>
      </c>
      <c r="H123" s="838">
        <f>((1+E123)^(1/365)-1)</f>
        <v>6.3751414410861962E-4</v>
      </c>
      <c r="I123" s="839">
        <v>0</v>
      </c>
    </row>
    <row r="124" spans="2:9" ht="13.5" customHeight="1">
      <c r="F124" s="2735" t="s">
        <v>162</v>
      </c>
      <c r="G124" s="2736"/>
      <c r="H124" s="2737"/>
      <c r="I124" s="839">
        <f>SUM(I109:I123)</f>
        <v>20297.375627170357</v>
      </c>
    </row>
    <row r="125" spans="2:9" ht="38.25">
      <c r="B125" s="916" t="s">
        <v>1097</v>
      </c>
      <c r="C125" s="923" t="s">
        <v>163</v>
      </c>
    </row>
    <row r="126" spans="2:9">
      <c r="B126" s="741" t="s">
        <v>133</v>
      </c>
      <c r="C126" s="857">
        <f>+D107</f>
        <v>4389010</v>
      </c>
    </row>
    <row r="127" spans="2:9">
      <c r="B127" s="741" t="s">
        <v>134</v>
      </c>
      <c r="C127" s="858">
        <f>+I124</f>
        <v>20297.375627170357</v>
      </c>
    </row>
    <row r="128" spans="2:9" ht="13.5" thickBot="1">
      <c r="B128" s="817" t="s">
        <v>61</v>
      </c>
      <c r="C128" s="859">
        <f>+C126+C127+3</f>
        <v>4409310.3756271703</v>
      </c>
    </row>
    <row r="129" spans="1:9" ht="13.5" thickTop="1">
      <c r="B129" s="876"/>
      <c r="C129" s="877"/>
    </row>
    <row r="130" spans="1:9" ht="25.5">
      <c r="A130" s="791">
        <v>5</v>
      </c>
      <c r="B130" s="875" t="s">
        <v>1080</v>
      </c>
      <c r="C130" s="867" t="s">
        <v>1096</v>
      </c>
      <c r="D130" s="868">
        <f>+$D$21</f>
        <v>4389010</v>
      </c>
    </row>
    <row r="131" spans="1:9" ht="38.25">
      <c r="B131" s="969" t="s">
        <v>206</v>
      </c>
      <c r="C131" s="969" t="s">
        <v>10</v>
      </c>
      <c r="D131" s="2719" t="s">
        <v>1090</v>
      </c>
      <c r="E131" s="2720"/>
      <c r="F131" s="974" t="s">
        <v>202</v>
      </c>
      <c r="G131" s="969" t="s">
        <v>706</v>
      </c>
      <c r="H131" s="974" t="s">
        <v>204</v>
      </c>
      <c r="I131" s="974" t="s">
        <v>205</v>
      </c>
    </row>
    <row r="132" spans="1:9">
      <c r="B132" s="727">
        <v>44173</v>
      </c>
      <c r="C132" s="727">
        <v>44196</v>
      </c>
      <c r="D132" s="869">
        <v>0</v>
      </c>
      <c r="E132" s="870">
        <v>1.9300000000000001E-2</v>
      </c>
      <c r="F132" s="871">
        <f>+$D$130</f>
        <v>4389010</v>
      </c>
      <c r="G132" s="872">
        <f t="shared" ref="G132:G146" si="13">_xlfn.DAYS(C132,B132)+1</f>
        <v>24</v>
      </c>
      <c r="H132" s="873">
        <f>((1+E132)^(1/365)-1)</f>
        <v>5.2374295299806306E-5</v>
      </c>
      <c r="I132" s="874">
        <f>+F132*G132*H132</f>
        <v>5516.9113395312688</v>
      </c>
    </row>
    <row r="133" spans="1:9">
      <c r="B133" s="724">
        <v>44197</v>
      </c>
      <c r="C133" s="724">
        <v>44227</v>
      </c>
      <c r="D133" s="796">
        <v>0</v>
      </c>
      <c r="E133" s="840">
        <v>1.9099999999999999E-2</v>
      </c>
      <c r="F133" s="871">
        <f t="shared" ref="F133:F145" si="14">+$D$130</f>
        <v>4389010</v>
      </c>
      <c r="G133" s="841">
        <f t="shared" si="13"/>
        <v>31</v>
      </c>
      <c r="H133" s="838">
        <f t="shared" ref="H133:H141" si="15">((1+E133)^(1/365)-1)</f>
        <v>5.1836644438196799E-5</v>
      </c>
      <c r="I133" s="839">
        <f>+F133*G133*H133</f>
        <v>7052.8580749763942</v>
      </c>
    </row>
    <row r="134" spans="1:9">
      <c r="B134" s="724">
        <v>44228</v>
      </c>
      <c r="C134" s="724">
        <v>44255</v>
      </c>
      <c r="D134" s="796">
        <v>0</v>
      </c>
      <c r="E134" s="840">
        <v>1.8100000000000002E-2</v>
      </c>
      <c r="F134" s="871">
        <f t="shared" si="14"/>
        <v>4389010</v>
      </c>
      <c r="G134" s="841">
        <f t="shared" si="13"/>
        <v>28</v>
      </c>
      <c r="H134" s="838">
        <f t="shared" si="15"/>
        <v>4.9146810763511795E-5</v>
      </c>
      <c r="I134" s="839">
        <f>+F134*G134*H134</f>
        <v>6039.7636294565054</v>
      </c>
    </row>
    <row r="135" spans="1:9">
      <c r="B135" s="724">
        <v>44256</v>
      </c>
      <c r="C135" s="724">
        <v>44263</v>
      </c>
      <c r="D135" s="796">
        <v>0</v>
      </c>
      <c r="E135" s="840">
        <v>1.77E-2</v>
      </c>
      <c r="F135" s="871">
        <f t="shared" si="14"/>
        <v>4389010</v>
      </c>
      <c r="G135" s="841">
        <f t="shared" si="13"/>
        <v>8</v>
      </c>
      <c r="H135" s="838">
        <f t="shared" si="15"/>
        <v>4.8070139484934771E-5</v>
      </c>
      <c r="I135" s="839">
        <f>+F135*G135*H135</f>
        <v>1687.8425832061885</v>
      </c>
    </row>
    <row r="136" spans="1:9">
      <c r="B136" s="724">
        <v>44259</v>
      </c>
      <c r="C136" s="724">
        <v>44286</v>
      </c>
      <c r="D136" s="796">
        <v>0</v>
      </c>
      <c r="E136" s="840">
        <v>1.77E-2</v>
      </c>
      <c r="F136" s="871">
        <f t="shared" si="14"/>
        <v>4389010</v>
      </c>
      <c r="G136" s="841">
        <f>_xlfn.DAYS(C136,B136)+1</f>
        <v>28</v>
      </c>
      <c r="H136" s="838">
        <f>((1+E136)^(1/365)-1)</f>
        <v>4.8070139484934771E-5</v>
      </c>
      <c r="I136" s="839">
        <v>0</v>
      </c>
    </row>
    <row r="137" spans="1:9">
      <c r="B137" s="724">
        <v>44287</v>
      </c>
      <c r="C137" s="724">
        <v>44316</v>
      </c>
      <c r="D137" s="796">
        <v>0</v>
      </c>
      <c r="E137" s="840">
        <v>1.7600000000000001E-2</v>
      </c>
      <c r="F137" s="871">
        <f t="shared" si="14"/>
        <v>4389010</v>
      </c>
      <c r="G137" s="841">
        <f t="shared" si="13"/>
        <v>30</v>
      </c>
      <c r="H137" s="838">
        <f t="shared" si="15"/>
        <v>4.7800905724759701E-5</v>
      </c>
      <c r="I137" s="839">
        <v>0</v>
      </c>
    </row>
    <row r="138" spans="1:9">
      <c r="B138" s="724">
        <v>44317</v>
      </c>
      <c r="C138" s="724">
        <v>44347</v>
      </c>
      <c r="D138" s="796">
        <v>0</v>
      </c>
      <c r="E138" s="840">
        <v>1.8200000000000001E-2</v>
      </c>
      <c r="F138" s="871">
        <f t="shared" si="14"/>
        <v>4389010</v>
      </c>
      <c r="G138" s="841">
        <f t="shared" si="13"/>
        <v>31</v>
      </c>
      <c r="H138" s="838">
        <f t="shared" si="15"/>
        <v>4.9415912668715478E-5</v>
      </c>
      <c r="I138" s="839">
        <v>0</v>
      </c>
    </row>
    <row r="139" spans="1:9">
      <c r="B139" s="724">
        <v>44348</v>
      </c>
      <c r="C139" s="724">
        <v>44377</v>
      </c>
      <c r="D139" s="796">
        <v>0</v>
      </c>
      <c r="E139" s="840">
        <v>1.9099999999999999E-2</v>
      </c>
      <c r="F139" s="871">
        <f t="shared" si="14"/>
        <v>4389010</v>
      </c>
      <c r="G139" s="841">
        <f t="shared" si="13"/>
        <v>30</v>
      </c>
      <c r="H139" s="838">
        <f t="shared" si="15"/>
        <v>5.1836644438196799E-5</v>
      </c>
      <c r="I139" s="839">
        <v>0</v>
      </c>
    </row>
    <row r="140" spans="1:9">
      <c r="B140" s="724">
        <v>44378</v>
      </c>
      <c r="C140" s="724">
        <v>44408</v>
      </c>
      <c r="D140" s="796">
        <v>0</v>
      </c>
      <c r="E140" s="840">
        <v>1.9E-2</v>
      </c>
      <c r="F140" s="871">
        <f t="shared" si="14"/>
        <v>4389010</v>
      </c>
      <c r="G140" s="841">
        <f t="shared" si="13"/>
        <v>31</v>
      </c>
      <c r="H140" s="838">
        <f t="shared" si="15"/>
        <v>5.1567779546513037E-5</v>
      </c>
      <c r="I140" s="839">
        <v>0</v>
      </c>
    </row>
    <row r="141" spans="1:9">
      <c r="B141" s="724">
        <v>44409</v>
      </c>
      <c r="C141" s="724">
        <v>44439</v>
      </c>
      <c r="D141" s="796">
        <v>0</v>
      </c>
      <c r="E141" s="840">
        <v>1.9900000000000001E-2</v>
      </c>
      <c r="F141" s="871">
        <f t="shared" si="14"/>
        <v>4389010</v>
      </c>
      <c r="G141" s="841">
        <f t="shared" si="13"/>
        <v>31</v>
      </c>
      <c r="H141" s="838">
        <f t="shared" si="15"/>
        <v>5.3986616880719041E-5</v>
      </c>
      <c r="I141" s="839">
        <v>0</v>
      </c>
    </row>
    <row r="142" spans="1:9">
      <c r="B142" s="724">
        <v>44440</v>
      </c>
      <c r="C142" s="724">
        <v>44442</v>
      </c>
      <c r="D142" s="796">
        <v>0</v>
      </c>
      <c r="E142" s="840">
        <v>1.9900000000000001E-2</v>
      </c>
      <c r="F142" s="871">
        <f t="shared" si="14"/>
        <v>4389010</v>
      </c>
      <c r="G142" s="841">
        <f t="shared" si="13"/>
        <v>3</v>
      </c>
      <c r="H142" s="838">
        <f>((1+E142)^(1/365)-1)</f>
        <v>5.3986616880719041E-5</v>
      </c>
      <c r="I142" s="839">
        <v>0</v>
      </c>
    </row>
    <row r="143" spans="1:9">
      <c r="B143" s="724">
        <v>44443</v>
      </c>
      <c r="C143" s="724">
        <v>44469</v>
      </c>
      <c r="D143" s="796">
        <v>0.1719</v>
      </c>
      <c r="E143" s="840">
        <f>+D143*1.5</f>
        <v>0.25785000000000002</v>
      </c>
      <c r="F143" s="871">
        <f t="shared" si="14"/>
        <v>4389010</v>
      </c>
      <c r="G143" s="841">
        <f t="shared" si="13"/>
        <v>27</v>
      </c>
      <c r="H143" s="838">
        <f>((1+E143)^(1/365)-1)</f>
        <v>6.2870142469861889E-4</v>
      </c>
      <c r="I143" s="839">
        <v>0</v>
      </c>
    </row>
    <row r="144" spans="1:9">
      <c r="B144" s="724">
        <v>44470</v>
      </c>
      <c r="C144" s="724">
        <v>44500</v>
      </c>
      <c r="D144" s="796">
        <v>0.17080000000000001</v>
      </c>
      <c r="E144" s="840">
        <f>+D144*1.5</f>
        <v>0.25619999999999998</v>
      </c>
      <c r="F144" s="871">
        <f t="shared" si="14"/>
        <v>4389010</v>
      </c>
      <c r="G144" s="841">
        <f t="shared" si="13"/>
        <v>31</v>
      </c>
      <c r="H144" s="838">
        <f>((1+E144)^(1/365)-1)</f>
        <v>6.2510294214179751E-4</v>
      </c>
      <c r="I144" s="839">
        <v>0</v>
      </c>
    </row>
    <row r="145" spans="1:9">
      <c r="B145" s="724">
        <v>44501</v>
      </c>
      <c r="C145" s="724">
        <v>44530</v>
      </c>
      <c r="D145" s="796">
        <v>0.17269999999999999</v>
      </c>
      <c r="E145" s="842">
        <f>+D145*1.5</f>
        <v>0.25905</v>
      </c>
      <c r="F145" s="871">
        <f t="shared" si="14"/>
        <v>4389010</v>
      </c>
      <c r="G145" s="841">
        <f t="shared" si="13"/>
        <v>30</v>
      </c>
      <c r="H145" s="838">
        <f>((1+E145)^(1/365)-1)</f>
        <v>6.3131554742335005E-4</v>
      </c>
      <c r="I145" s="839">
        <v>0</v>
      </c>
    </row>
    <row r="146" spans="1:9">
      <c r="B146" s="724">
        <v>44531</v>
      </c>
      <c r="C146" s="724">
        <v>44559</v>
      </c>
      <c r="D146" s="796">
        <v>0.17460000000000001</v>
      </c>
      <c r="E146" s="842">
        <f>+D146*1.5</f>
        <v>0.26190000000000002</v>
      </c>
      <c r="F146" s="836">
        <f>+$D$37</f>
        <v>35112080</v>
      </c>
      <c r="G146" s="841">
        <f t="shared" si="13"/>
        <v>29</v>
      </c>
      <c r="H146" s="838">
        <f>((1+E146)^(1/365)-1)</f>
        <v>6.3751414410861962E-4</v>
      </c>
      <c r="I146" s="839">
        <v>0</v>
      </c>
    </row>
    <row r="147" spans="1:9" ht="13.5" customHeight="1">
      <c r="F147" s="2735" t="s">
        <v>162</v>
      </c>
      <c r="G147" s="2736"/>
      <c r="H147" s="2737"/>
      <c r="I147" s="839">
        <f>SUM(I132:I146)</f>
        <v>20297.375627170357</v>
      </c>
    </row>
    <row r="148" spans="1:9" ht="38.25">
      <c r="B148" s="916" t="s">
        <v>1098</v>
      </c>
      <c r="C148" s="924" t="s">
        <v>163</v>
      </c>
    </row>
    <row r="149" spans="1:9">
      <c r="B149" s="741" t="s">
        <v>133</v>
      </c>
      <c r="C149" s="857">
        <f>+D130</f>
        <v>4389010</v>
      </c>
    </row>
    <row r="150" spans="1:9">
      <c r="B150" s="741" t="s">
        <v>134</v>
      </c>
      <c r="C150" s="858">
        <f>+I147</f>
        <v>20297.375627170357</v>
      </c>
    </row>
    <row r="151" spans="1:9" ht="13.5" thickBot="1">
      <c r="B151" s="817" t="s">
        <v>61</v>
      </c>
      <c r="C151" s="859">
        <f>SUM(C149:C150)+3</f>
        <v>4409310.3756271703</v>
      </c>
    </row>
    <row r="152" spans="1:9" ht="13.5" thickTop="1">
      <c r="C152" s="854"/>
    </row>
    <row r="153" spans="1:9" ht="25.5">
      <c r="A153" s="791">
        <v>6</v>
      </c>
      <c r="B153" s="875" t="s">
        <v>1081</v>
      </c>
      <c r="C153" s="867" t="s">
        <v>1096</v>
      </c>
      <c r="D153" s="868">
        <f>+D22</f>
        <v>4389010</v>
      </c>
    </row>
    <row r="154" spans="1:9" ht="38.25">
      <c r="B154" s="969" t="s">
        <v>206</v>
      </c>
      <c r="C154" s="969" t="s">
        <v>10</v>
      </c>
      <c r="D154" s="2719" t="s">
        <v>1090</v>
      </c>
      <c r="E154" s="2720"/>
      <c r="F154" s="974" t="s">
        <v>202</v>
      </c>
      <c r="G154" s="969" t="s">
        <v>706</v>
      </c>
      <c r="H154" s="974" t="s">
        <v>204</v>
      </c>
      <c r="I154" s="974" t="s">
        <v>205</v>
      </c>
    </row>
    <row r="155" spans="1:9">
      <c r="B155" s="727">
        <v>44173</v>
      </c>
      <c r="C155" s="727">
        <v>44196</v>
      </c>
      <c r="D155" s="869">
        <v>0</v>
      </c>
      <c r="E155" s="870">
        <v>1.9300000000000001E-2</v>
      </c>
      <c r="F155" s="871">
        <f>+$D$130</f>
        <v>4389010</v>
      </c>
      <c r="G155" s="872">
        <f t="shared" ref="G155:G169" si="16">_xlfn.DAYS(C155,B155)+1</f>
        <v>24</v>
      </c>
      <c r="H155" s="873">
        <f>((1+E155)^(1/365)-1)</f>
        <v>5.2374295299806306E-5</v>
      </c>
      <c r="I155" s="874">
        <f>+F155*G155*H155</f>
        <v>5516.9113395312688</v>
      </c>
    </row>
    <row r="156" spans="1:9">
      <c r="B156" s="724">
        <v>44197</v>
      </c>
      <c r="C156" s="724">
        <v>44227</v>
      </c>
      <c r="D156" s="796">
        <v>0</v>
      </c>
      <c r="E156" s="840">
        <v>1.9099999999999999E-2</v>
      </c>
      <c r="F156" s="871">
        <f t="shared" ref="F156:F168" si="17">+$D$130</f>
        <v>4389010</v>
      </c>
      <c r="G156" s="841">
        <f t="shared" si="16"/>
        <v>31</v>
      </c>
      <c r="H156" s="838">
        <f t="shared" ref="H156:H164" si="18">((1+E156)^(1/365)-1)</f>
        <v>5.1836644438196799E-5</v>
      </c>
      <c r="I156" s="839">
        <f>+F156*G156*H156</f>
        <v>7052.8580749763942</v>
      </c>
    </row>
    <row r="157" spans="1:9">
      <c r="B157" s="724">
        <v>44228</v>
      </c>
      <c r="C157" s="724">
        <v>44255</v>
      </c>
      <c r="D157" s="796">
        <v>0</v>
      </c>
      <c r="E157" s="840">
        <v>1.8100000000000002E-2</v>
      </c>
      <c r="F157" s="871">
        <f t="shared" si="17"/>
        <v>4389010</v>
      </c>
      <c r="G157" s="841">
        <f t="shared" si="16"/>
        <v>28</v>
      </c>
      <c r="H157" s="838">
        <f t="shared" si="18"/>
        <v>4.9146810763511795E-5</v>
      </c>
      <c r="I157" s="839">
        <f>+F157*G157*H157</f>
        <v>6039.7636294565054</v>
      </c>
    </row>
    <row r="158" spans="1:9">
      <c r="B158" s="724">
        <v>44256</v>
      </c>
      <c r="C158" s="724">
        <v>44263</v>
      </c>
      <c r="D158" s="796">
        <v>0</v>
      </c>
      <c r="E158" s="840">
        <v>1.77E-2</v>
      </c>
      <c r="F158" s="871">
        <f t="shared" si="17"/>
        <v>4389010</v>
      </c>
      <c r="G158" s="841">
        <f t="shared" si="16"/>
        <v>8</v>
      </c>
      <c r="H158" s="838">
        <f t="shared" si="18"/>
        <v>4.8070139484934771E-5</v>
      </c>
      <c r="I158" s="839">
        <f>+F158*G158*H158</f>
        <v>1687.8425832061885</v>
      </c>
    </row>
    <row r="159" spans="1:9">
      <c r="B159" s="724">
        <v>44259</v>
      </c>
      <c r="C159" s="724">
        <v>44286</v>
      </c>
      <c r="D159" s="796">
        <v>0</v>
      </c>
      <c r="E159" s="840">
        <v>1.77E-2</v>
      </c>
      <c r="F159" s="871">
        <f t="shared" si="17"/>
        <v>4389010</v>
      </c>
      <c r="G159" s="841">
        <f>_xlfn.DAYS(C159,B159)+1</f>
        <v>28</v>
      </c>
      <c r="H159" s="838">
        <f>((1+E159)^(1/365)-1)</f>
        <v>4.8070139484934771E-5</v>
      </c>
      <c r="I159" s="839">
        <v>0</v>
      </c>
    </row>
    <row r="160" spans="1:9">
      <c r="B160" s="724">
        <v>44287</v>
      </c>
      <c r="C160" s="724">
        <v>44316</v>
      </c>
      <c r="D160" s="796">
        <v>0</v>
      </c>
      <c r="E160" s="840">
        <v>1.7600000000000001E-2</v>
      </c>
      <c r="F160" s="871">
        <f t="shared" si="17"/>
        <v>4389010</v>
      </c>
      <c r="G160" s="841">
        <f t="shared" si="16"/>
        <v>30</v>
      </c>
      <c r="H160" s="838">
        <f t="shared" si="18"/>
        <v>4.7800905724759701E-5</v>
      </c>
      <c r="I160" s="839">
        <v>0</v>
      </c>
    </row>
    <row r="161" spans="1:9">
      <c r="B161" s="724">
        <v>44317</v>
      </c>
      <c r="C161" s="724">
        <v>44347</v>
      </c>
      <c r="D161" s="796">
        <v>0</v>
      </c>
      <c r="E161" s="840">
        <v>1.8200000000000001E-2</v>
      </c>
      <c r="F161" s="871">
        <f t="shared" si="17"/>
        <v>4389010</v>
      </c>
      <c r="G161" s="841">
        <f t="shared" si="16"/>
        <v>31</v>
      </c>
      <c r="H161" s="838">
        <f t="shared" si="18"/>
        <v>4.9415912668715478E-5</v>
      </c>
      <c r="I161" s="839">
        <v>0</v>
      </c>
    </row>
    <row r="162" spans="1:9">
      <c r="B162" s="724">
        <v>44348</v>
      </c>
      <c r="C162" s="724">
        <v>44377</v>
      </c>
      <c r="D162" s="796">
        <v>0</v>
      </c>
      <c r="E162" s="840">
        <v>1.9099999999999999E-2</v>
      </c>
      <c r="F162" s="871">
        <f t="shared" si="17"/>
        <v>4389010</v>
      </c>
      <c r="G162" s="841">
        <f t="shared" si="16"/>
        <v>30</v>
      </c>
      <c r="H162" s="838">
        <f t="shared" si="18"/>
        <v>5.1836644438196799E-5</v>
      </c>
      <c r="I162" s="839">
        <v>0</v>
      </c>
    </row>
    <row r="163" spans="1:9">
      <c r="B163" s="724">
        <v>44378</v>
      </c>
      <c r="C163" s="724">
        <v>44408</v>
      </c>
      <c r="D163" s="796">
        <v>0</v>
      </c>
      <c r="E163" s="840">
        <v>1.9E-2</v>
      </c>
      <c r="F163" s="871">
        <f t="shared" si="17"/>
        <v>4389010</v>
      </c>
      <c r="G163" s="841">
        <f t="shared" si="16"/>
        <v>31</v>
      </c>
      <c r="H163" s="838">
        <f t="shared" si="18"/>
        <v>5.1567779546513037E-5</v>
      </c>
      <c r="I163" s="839">
        <v>0</v>
      </c>
    </row>
    <row r="164" spans="1:9">
      <c r="B164" s="724">
        <v>44409</v>
      </c>
      <c r="C164" s="724">
        <v>44439</v>
      </c>
      <c r="D164" s="796">
        <v>0</v>
      </c>
      <c r="E164" s="840">
        <v>1.9900000000000001E-2</v>
      </c>
      <c r="F164" s="871">
        <f t="shared" si="17"/>
        <v>4389010</v>
      </c>
      <c r="G164" s="841">
        <f t="shared" si="16"/>
        <v>31</v>
      </c>
      <c r="H164" s="838">
        <f t="shared" si="18"/>
        <v>5.3986616880719041E-5</v>
      </c>
      <c r="I164" s="839">
        <v>0</v>
      </c>
    </row>
    <row r="165" spans="1:9">
      <c r="B165" s="724">
        <v>44440</v>
      </c>
      <c r="C165" s="724">
        <v>44442</v>
      </c>
      <c r="D165" s="796">
        <v>0</v>
      </c>
      <c r="E165" s="840">
        <v>1.9900000000000001E-2</v>
      </c>
      <c r="F165" s="871">
        <f t="shared" si="17"/>
        <v>4389010</v>
      </c>
      <c r="G165" s="841">
        <f t="shared" si="16"/>
        <v>3</v>
      </c>
      <c r="H165" s="838">
        <f>((1+E165)^(1/365)-1)</f>
        <v>5.3986616880719041E-5</v>
      </c>
      <c r="I165" s="839">
        <v>0</v>
      </c>
    </row>
    <row r="166" spans="1:9">
      <c r="B166" s="724">
        <v>44443</v>
      </c>
      <c r="C166" s="724">
        <v>44469</v>
      </c>
      <c r="D166" s="796">
        <v>0.1719</v>
      </c>
      <c r="E166" s="840">
        <f>+D166*1.5</f>
        <v>0.25785000000000002</v>
      </c>
      <c r="F166" s="871">
        <f t="shared" si="17"/>
        <v>4389010</v>
      </c>
      <c r="G166" s="841">
        <f t="shared" si="16"/>
        <v>27</v>
      </c>
      <c r="H166" s="838">
        <f>((1+E166)^(1/365)-1)</f>
        <v>6.2870142469861889E-4</v>
      </c>
      <c r="I166" s="839">
        <v>0</v>
      </c>
    </row>
    <row r="167" spans="1:9">
      <c r="B167" s="724">
        <v>44470</v>
      </c>
      <c r="C167" s="724">
        <v>44500</v>
      </c>
      <c r="D167" s="796">
        <v>0.17080000000000001</v>
      </c>
      <c r="E167" s="840">
        <f>+D167*1.5</f>
        <v>0.25619999999999998</v>
      </c>
      <c r="F167" s="871">
        <f t="shared" si="17"/>
        <v>4389010</v>
      </c>
      <c r="G167" s="841">
        <f t="shared" si="16"/>
        <v>31</v>
      </c>
      <c r="H167" s="838">
        <f>((1+E167)^(1/365)-1)</f>
        <v>6.2510294214179751E-4</v>
      </c>
      <c r="I167" s="839">
        <v>0</v>
      </c>
    </row>
    <row r="168" spans="1:9">
      <c r="B168" s="724">
        <v>44501</v>
      </c>
      <c r="C168" s="724">
        <v>44530</v>
      </c>
      <c r="D168" s="796">
        <v>0.17269999999999999</v>
      </c>
      <c r="E168" s="842">
        <f>+D168*1.5</f>
        <v>0.25905</v>
      </c>
      <c r="F168" s="871">
        <f t="shared" si="17"/>
        <v>4389010</v>
      </c>
      <c r="G168" s="841">
        <f t="shared" si="16"/>
        <v>30</v>
      </c>
      <c r="H168" s="838">
        <f>((1+E168)^(1/365)-1)</f>
        <v>6.3131554742335005E-4</v>
      </c>
      <c r="I168" s="839">
        <v>0</v>
      </c>
    </row>
    <row r="169" spans="1:9">
      <c r="B169" s="724">
        <v>44531</v>
      </c>
      <c r="C169" s="724">
        <v>44559</v>
      </c>
      <c r="D169" s="796">
        <v>0.17460000000000001</v>
      </c>
      <c r="E169" s="842">
        <f>+D169*1.5</f>
        <v>0.26190000000000002</v>
      </c>
      <c r="F169" s="836">
        <f>+$D$37</f>
        <v>35112080</v>
      </c>
      <c r="G169" s="841">
        <f t="shared" si="16"/>
        <v>29</v>
      </c>
      <c r="H169" s="838">
        <f>((1+E169)^(1/365)-1)</f>
        <v>6.3751414410861962E-4</v>
      </c>
      <c r="I169" s="839">
        <v>0</v>
      </c>
    </row>
    <row r="170" spans="1:9" ht="13.5" customHeight="1">
      <c r="F170" s="2735" t="s">
        <v>162</v>
      </c>
      <c r="G170" s="2736"/>
      <c r="H170" s="2737"/>
      <c r="I170" s="839">
        <f>SUM(I155:I169)</f>
        <v>20297.375627170357</v>
      </c>
    </row>
    <row r="171" spans="1:9" ht="38.25">
      <c r="B171" s="916" t="s">
        <v>1099</v>
      </c>
      <c r="C171" s="923" t="s">
        <v>163</v>
      </c>
    </row>
    <row r="172" spans="1:9">
      <c r="B172" s="741" t="s">
        <v>133</v>
      </c>
      <c r="C172" s="857">
        <f>+D153</f>
        <v>4389010</v>
      </c>
    </row>
    <row r="173" spans="1:9">
      <c r="B173" s="741" t="s">
        <v>134</v>
      </c>
      <c r="C173" s="858">
        <f>+I170</f>
        <v>20297.375627170357</v>
      </c>
    </row>
    <row r="174" spans="1:9" ht="13.5" thickBot="1">
      <c r="B174" s="817" t="s">
        <v>61</v>
      </c>
      <c r="C174" s="859">
        <f>SUM(C172:C173)+3</f>
        <v>4409310.3756271703</v>
      </c>
    </row>
    <row r="175" spans="1:9" ht="13.5" thickTop="1">
      <c r="C175" s="854"/>
    </row>
    <row r="176" spans="1:9" ht="25.5">
      <c r="A176" s="791">
        <v>7</v>
      </c>
      <c r="B176" s="875" t="s">
        <v>1082</v>
      </c>
      <c r="C176" s="867" t="s">
        <v>1096</v>
      </c>
      <c r="D176" s="868">
        <f>+D24</f>
        <v>4389010</v>
      </c>
    </row>
    <row r="177" spans="2:9" ht="38.25">
      <c r="B177" s="969" t="s">
        <v>206</v>
      </c>
      <c r="C177" s="969" t="s">
        <v>10</v>
      </c>
      <c r="D177" s="2719" t="s">
        <v>1090</v>
      </c>
      <c r="E177" s="2720"/>
      <c r="F177" s="974" t="s">
        <v>202</v>
      </c>
      <c r="G177" s="969" t="s">
        <v>706</v>
      </c>
      <c r="H177" s="974" t="s">
        <v>204</v>
      </c>
      <c r="I177" s="974" t="s">
        <v>205</v>
      </c>
    </row>
    <row r="178" spans="2:9">
      <c r="B178" s="727">
        <v>44173</v>
      </c>
      <c r="C178" s="727">
        <v>44196</v>
      </c>
      <c r="D178" s="869">
        <v>0</v>
      </c>
      <c r="E178" s="870">
        <v>1.9300000000000001E-2</v>
      </c>
      <c r="F178" s="871">
        <f>+$D$130</f>
        <v>4389010</v>
      </c>
      <c r="G178" s="872">
        <f t="shared" ref="G178:G192" si="19">_xlfn.DAYS(C178,B178)+1</f>
        <v>24</v>
      </c>
      <c r="H178" s="873">
        <f>((1+E178)^(1/365)-1)</f>
        <v>5.2374295299806306E-5</v>
      </c>
      <c r="I178" s="874">
        <f>+F178*G178*H178</f>
        <v>5516.9113395312688</v>
      </c>
    </row>
    <row r="179" spans="2:9">
      <c r="B179" s="724">
        <v>44197</v>
      </c>
      <c r="C179" s="724">
        <v>44227</v>
      </c>
      <c r="D179" s="796">
        <v>0</v>
      </c>
      <c r="E179" s="840">
        <v>1.9099999999999999E-2</v>
      </c>
      <c r="F179" s="871">
        <f t="shared" ref="F179:F191" si="20">+$D$130</f>
        <v>4389010</v>
      </c>
      <c r="G179" s="841">
        <f t="shared" si="19"/>
        <v>31</v>
      </c>
      <c r="H179" s="838">
        <f t="shared" ref="H179:H187" si="21">((1+E179)^(1/365)-1)</f>
        <v>5.1836644438196799E-5</v>
      </c>
      <c r="I179" s="839">
        <f>+F179*G179*H179</f>
        <v>7052.8580749763942</v>
      </c>
    </row>
    <row r="180" spans="2:9">
      <c r="B180" s="724">
        <v>44228</v>
      </c>
      <c r="C180" s="724">
        <v>44255</v>
      </c>
      <c r="D180" s="796">
        <v>0</v>
      </c>
      <c r="E180" s="840">
        <v>1.8100000000000002E-2</v>
      </c>
      <c r="F180" s="871">
        <f t="shared" si="20"/>
        <v>4389010</v>
      </c>
      <c r="G180" s="841">
        <f t="shared" si="19"/>
        <v>28</v>
      </c>
      <c r="H180" s="838">
        <f t="shared" si="21"/>
        <v>4.9146810763511795E-5</v>
      </c>
      <c r="I180" s="839">
        <f>+F180*G180*H180</f>
        <v>6039.7636294565054</v>
      </c>
    </row>
    <row r="181" spans="2:9">
      <c r="B181" s="724">
        <v>44256</v>
      </c>
      <c r="C181" s="724">
        <v>44263</v>
      </c>
      <c r="D181" s="796">
        <v>0</v>
      </c>
      <c r="E181" s="840">
        <v>1.77E-2</v>
      </c>
      <c r="F181" s="871">
        <f t="shared" si="20"/>
        <v>4389010</v>
      </c>
      <c r="G181" s="841">
        <f t="shared" si="19"/>
        <v>8</v>
      </c>
      <c r="H181" s="838">
        <f t="shared" si="21"/>
        <v>4.8070139484934771E-5</v>
      </c>
      <c r="I181" s="839">
        <f>+F181*G181*H181</f>
        <v>1687.8425832061885</v>
      </c>
    </row>
    <row r="182" spans="2:9">
      <c r="B182" s="724">
        <v>44259</v>
      </c>
      <c r="C182" s="724">
        <v>44286</v>
      </c>
      <c r="D182" s="796">
        <v>0</v>
      </c>
      <c r="E182" s="840">
        <v>1.77E-2</v>
      </c>
      <c r="F182" s="871">
        <f t="shared" si="20"/>
        <v>4389010</v>
      </c>
      <c r="G182" s="841">
        <f>_xlfn.DAYS(C182,B182)+1</f>
        <v>28</v>
      </c>
      <c r="H182" s="838">
        <f>((1+E182)^(1/365)-1)</f>
        <v>4.8070139484934771E-5</v>
      </c>
      <c r="I182" s="839">
        <v>0</v>
      </c>
    </row>
    <row r="183" spans="2:9">
      <c r="B183" s="724">
        <v>44287</v>
      </c>
      <c r="C183" s="724">
        <v>44316</v>
      </c>
      <c r="D183" s="796">
        <v>0</v>
      </c>
      <c r="E183" s="840">
        <v>1.7600000000000001E-2</v>
      </c>
      <c r="F183" s="871">
        <f t="shared" si="20"/>
        <v>4389010</v>
      </c>
      <c r="G183" s="841">
        <f t="shared" si="19"/>
        <v>30</v>
      </c>
      <c r="H183" s="838">
        <f t="shared" si="21"/>
        <v>4.7800905724759701E-5</v>
      </c>
      <c r="I183" s="839">
        <v>0</v>
      </c>
    </row>
    <row r="184" spans="2:9">
      <c r="B184" s="724">
        <v>44317</v>
      </c>
      <c r="C184" s="724">
        <v>44347</v>
      </c>
      <c r="D184" s="796">
        <v>0</v>
      </c>
      <c r="E184" s="840">
        <v>1.8200000000000001E-2</v>
      </c>
      <c r="F184" s="871">
        <f t="shared" si="20"/>
        <v>4389010</v>
      </c>
      <c r="G184" s="841">
        <f t="shared" si="19"/>
        <v>31</v>
      </c>
      <c r="H184" s="838">
        <f t="shared" si="21"/>
        <v>4.9415912668715478E-5</v>
      </c>
      <c r="I184" s="839">
        <v>0</v>
      </c>
    </row>
    <row r="185" spans="2:9">
      <c r="B185" s="724">
        <v>44348</v>
      </c>
      <c r="C185" s="724">
        <v>44377</v>
      </c>
      <c r="D185" s="796">
        <v>0</v>
      </c>
      <c r="E185" s="840">
        <v>1.9099999999999999E-2</v>
      </c>
      <c r="F185" s="871">
        <f t="shared" si="20"/>
        <v>4389010</v>
      </c>
      <c r="G185" s="841">
        <f t="shared" si="19"/>
        <v>30</v>
      </c>
      <c r="H185" s="838">
        <f t="shared" si="21"/>
        <v>5.1836644438196799E-5</v>
      </c>
      <c r="I185" s="839">
        <v>0</v>
      </c>
    </row>
    <row r="186" spans="2:9">
      <c r="B186" s="724">
        <v>44378</v>
      </c>
      <c r="C186" s="724">
        <v>44408</v>
      </c>
      <c r="D186" s="796">
        <v>0</v>
      </c>
      <c r="E186" s="840">
        <v>1.9E-2</v>
      </c>
      <c r="F186" s="871">
        <f t="shared" si="20"/>
        <v>4389010</v>
      </c>
      <c r="G186" s="841">
        <f t="shared" si="19"/>
        <v>31</v>
      </c>
      <c r="H186" s="838">
        <f t="shared" si="21"/>
        <v>5.1567779546513037E-5</v>
      </c>
      <c r="I186" s="839">
        <v>0</v>
      </c>
    </row>
    <row r="187" spans="2:9">
      <c r="B187" s="724">
        <v>44409</v>
      </c>
      <c r="C187" s="724">
        <v>44439</v>
      </c>
      <c r="D187" s="796">
        <v>0</v>
      </c>
      <c r="E187" s="840">
        <v>1.9900000000000001E-2</v>
      </c>
      <c r="F187" s="871">
        <f t="shared" si="20"/>
        <v>4389010</v>
      </c>
      <c r="G187" s="841">
        <f t="shared" si="19"/>
        <v>31</v>
      </c>
      <c r="H187" s="838">
        <f t="shared" si="21"/>
        <v>5.3986616880719041E-5</v>
      </c>
      <c r="I187" s="839">
        <v>0</v>
      </c>
    </row>
    <row r="188" spans="2:9">
      <c r="B188" s="724">
        <v>44440</v>
      </c>
      <c r="C188" s="724">
        <v>44442</v>
      </c>
      <c r="D188" s="796">
        <v>0</v>
      </c>
      <c r="E188" s="840">
        <v>1.9900000000000001E-2</v>
      </c>
      <c r="F188" s="871">
        <f t="shared" si="20"/>
        <v>4389010</v>
      </c>
      <c r="G188" s="841">
        <f t="shared" si="19"/>
        <v>3</v>
      </c>
      <c r="H188" s="838">
        <f>((1+E188)^(1/365)-1)</f>
        <v>5.3986616880719041E-5</v>
      </c>
      <c r="I188" s="839">
        <v>0</v>
      </c>
    </row>
    <row r="189" spans="2:9">
      <c r="B189" s="724">
        <v>44443</v>
      </c>
      <c r="C189" s="724">
        <v>44469</v>
      </c>
      <c r="D189" s="796">
        <v>0.1719</v>
      </c>
      <c r="E189" s="840">
        <f>+D189*1.5</f>
        <v>0.25785000000000002</v>
      </c>
      <c r="F189" s="871">
        <f t="shared" si="20"/>
        <v>4389010</v>
      </c>
      <c r="G189" s="841">
        <f t="shared" si="19"/>
        <v>27</v>
      </c>
      <c r="H189" s="838">
        <f>((1+E189)^(1/365)-1)</f>
        <v>6.2870142469861889E-4</v>
      </c>
      <c r="I189" s="839">
        <v>0</v>
      </c>
    </row>
    <row r="190" spans="2:9">
      <c r="B190" s="724">
        <v>44470</v>
      </c>
      <c r="C190" s="724">
        <v>44500</v>
      </c>
      <c r="D190" s="796">
        <v>0.17080000000000001</v>
      </c>
      <c r="E190" s="840">
        <f>+D190*1.5</f>
        <v>0.25619999999999998</v>
      </c>
      <c r="F190" s="871">
        <f t="shared" si="20"/>
        <v>4389010</v>
      </c>
      <c r="G190" s="841">
        <f t="shared" si="19"/>
        <v>31</v>
      </c>
      <c r="H190" s="838">
        <f>((1+E190)^(1/365)-1)</f>
        <v>6.2510294214179751E-4</v>
      </c>
      <c r="I190" s="839">
        <v>0</v>
      </c>
    </row>
    <row r="191" spans="2:9">
      <c r="B191" s="724">
        <v>44501</v>
      </c>
      <c r="C191" s="724">
        <v>44530</v>
      </c>
      <c r="D191" s="796">
        <v>0.17269999999999999</v>
      </c>
      <c r="E191" s="842">
        <f>+D191*1.5</f>
        <v>0.25905</v>
      </c>
      <c r="F191" s="871">
        <f t="shared" si="20"/>
        <v>4389010</v>
      </c>
      <c r="G191" s="841">
        <f t="shared" si="19"/>
        <v>30</v>
      </c>
      <c r="H191" s="838">
        <f>((1+E191)^(1/365)-1)</f>
        <v>6.3131554742335005E-4</v>
      </c>
      <c r="I191" s="839">
        <v>0</v>
      </c>
    </row>
    <row r="192" spans="2:9">
      <c r="B192" s="724">
        <v>44531</v>
      </c>
      <c r="C192" s="724">
        <v>44559</v>
      </c>
      <c r="D192" s="796">
        <v>0.17460000000000001</v>
      </c>
      <c r="E192" s="842">
        <f>+D192*1.5</f>
        <v>0.26190000000000002</v>
      </c>
      <c r="F192" s="836">
        <f>+$D$37</f>
        <v>35112080</v>
      </c>
      <c r="G192" s="841">
        <f t="shared" si="19"/>
        <v>29</v>
      </c>
      <c r="H192" s="838">
        <f>((1+E192)^(1/365)-1)</f>
        <v>6.3751414410861962E-4</v>
      </c>
      <c r="I192" s="839">
        <v>0</v>
      </c>
    </row>
    <row r="193" spans="1:9" ht="13.5" customHeight="1">
      <c r="F193" s="2735" t="s">
        <v>162</v>
      </c>
      <c r="G193" s="2736"/>
      <c r="H193" s="2737"/>
      <c r="I193" s="2017">
        <f>SUM(I178:I192)</f>
        <v>20297.375627170357</v>
      </c>
    </row>
    <row r="194" spans="1:9" ht="38.25">
      <c r="B194" s="970" t="s">
        <v>1100</v>
      </c>
      <c r="C194" s="923" t="s">
        <v>163</v>
      </c>
    </row>
    <row r="195" spans="1:9">
      <c r="B195" s="741" t="s">
        <v>133</v>
      </c>
      <c r="C195" s="857">
        <f>+D176</f>
        <v>4389010</v>
      </c>
    </row>
    <row r="196" spans="1:9" ht="13.5" customHeight="1">
      <c r="B196" s="741" t="s">
        <v>134</v>
      </c>
      <c r="C196" s="858">
        <f>+I193</f>
        <v>20297.375627170357</v>
      </c>
    </row>
    <row r="197" spans="1:9" ht="13.5" thickBot="1">
      <c r="B197" s="817" t="s">
        <v>61</v>
      </c>
      <c r="C197" s="859">
        <f>SUM(C195:C196)+3</f>
        <v>4409310.3756271703</v>
      </c>
    </row>
    <row r="198" spans="1:9" ht="13.5" thickTop="1">
      <c r="C198" s="854"/>
    </row>
    <row r="199" spans="1:9" ht="25.5">
      <c r="A199" s="791">
        <v>8</v>
      </c>
      <c r="B199" s="875" t="s">
        <v>1083</v>
      </c>
      <c r="C199" s="867" t="s">
        <v>1096</v>
      </c>
      <c r="D199" s="868">
        <f>+D24</f>
        <v>4389010</v>
      </c>
    </row>
    <row r="200" spans="1:9" ht="38.25">
      <c r="B200" s="969" t="s">
        <v>206</v>
      </c>
      <c r="C200" s="969" t="s">
        <v>10</v>
      </c>
      <c r="D200" s="2719" t="s">
        <v>1090</v>
      </c>
      <c r="E200" s="2720"/>
      <c r="F200" s="974" t="s">
        <v>202</v>
      </c>
      <c r="G200" s="969" t="s">
        <v>706</v>
      </c>
      <c r="H200" s="974" t="s">
        <v>204</v>
      </c>
      <c r="I200" s="974" t="s">
        <v>205</v>
      </c>
    </row>
    <row r="201" spans="1:9">
      <c r="B201" s="727">
        <v>44173</v>
      </c>
      <c r="C201" s="727">
        <v>44196</v>
      </c>
      <c r="D201" s="869">
        <v>0</v>
      </c>
      <c r="E201" s="870">
        <v>1.9300000000000001E-2</v>
      </c>
      <c r="F201" s="871">
        <f>+$D$130</f>
        <v>4389010</v>
      </c>
      <c r="G201" s="872">
        <f t="shared" ref="G201:G215" si="22">_xlfn.DAYS(C201,B201)+1</f>
        <v>24</v>
      </c>
      <c r="H201" s="873">
        <f>((1+E201)^(1/365)-1)</f>
        <v>5.2374295299806306E-5</v>
      </c>
      <c r="I201" s="874">
        <f>+F201*G201*H201</f>
        <v>5516.9113395312688</v>
      </c>
    </row>
    <row r="202" spans="1:9">
      <c r="B202" s="724">
        <v>44197</v>
      </c>
      <c r="C202" s="724">
        <v>44227</v>
      </c>
      <c r="D202" s="796">
        <v>0</v>
      </c>
      <c r="E202" s="840">
        <v>1.9099999999999999E-2</v>
      </c>
      <c r="F202" s="871">
        <f t="shared" ref="F202:F214" si="23">+$D$130</f>
        <v>4389010</v>
      </c>
      <c r="G202" s="841">
        <f t="shared" si="22"/>
        <v>31</v>
      </c>
      <c r="H202" s="838">
        <f t="shared" ref="H202:H210" si="24">((1+E202)^(1/365)-1)</f>
        <v>5.1836644438196799E-5</v>
      </c>
      <c r="I202" s="839">
        <f>+F202*G202*H202</f>
        <v>7052.8580749763942</v>
      </c>
    </row>
    <row r="203" spans="1:9">
      <c r="B203" s="724">
        <v>44228</v>
      </c>
      <c r="C203" s="724">
        <v>44255</v>
      </c>
      <c r="D203" s="796">
        <v>0</v>
      </c>
      <c r="E203" s="840">
        <v>1.8100000000000002E-2</v>
      </c>
      <c r="F203" s="871">
        <f t="shared" si="23"/>
        <v>4389010</v>
      </c>
      <c r="G203" s="841">
        <f t="shared" si="22"/>
        <v>28</v>
      </c>
      <c r="H203" s="838">
        <f t="shared" si="24"/>
        <v>4.9146810763511795E-5</v>
      </c>
      <c r="I203" s="839">
        <f>+F203*G203*H203</f>
        <v>6039.7636294565054</v>
      </c>
    </row>
    <row r="204" spans="1:9">
      <c r="B204" s="724">
        <v>44256</v>
      </c>
      <c r="C204" s="724">
        <v>44263</v>
      </c>
      <c r="D204" s="796">
        <v>0</v>
      </c>
      <c r="E204" s="840">
        <v>1.77E-2</v>
      </c>
      <c r="F204" s="871">
        <f t="shared" si="23"/>
        <v>4389010</v>
      </c>
      <c r="G204" s="841">
        <f t="shared" si="22"/>
        <v>8</v>
      </c>
      <c r="H204" s="838">
        <f t="shared" si="24"/>
        <v>4.8070139484934771E-5</v>
      </c>
      <c r="I204" s="839">
        <f>+F204*G204*H204</f>
        <v>1687.8425832061885</v>
      </c>
    </row>
    <row r="205" spans="1:9">
      <c r="B205" s="724">
        <v>44259</v>
      </c>
      <c r="C205" s="724">
        <v>44286</v>
      </c>
      <c r="D205" s="796">
        <v>0</v>
      </c>
      <c r="E205" s="840">
        <v>1.77E-2</v>
      </c>
      <c r="F205" s="871">
        <f t="shared" si="23"/>
        <v>4389010</v>
      </c>
      <c r="G205" s="841">
        <f>_xlfn.DAYS(C205,B205)+1</f>
        <v>28</v>
      </c>
      <c r="H205" s="838">
        <f>((1+E205)^(1/365)-1)</f>
        <v>4.8070139484934771E-5</v>
      </c>
      <c r="I205" s="839">
        <v>0</v>
      </c>
    </row>
    <row r="206" spans="1:9">
      <c r="B206" s="724">
        <v>44287</v>
      </c>
      <c r="C206" s="724">
        <v>44316</v>
      </c>
      <c r="D206" s="796">
        <v>0</v>
      </c>
      <c r="E206" s="840">
        <v>1.7600000000000001E-2</v>
      </c>
      <c r="F206" s="871">
        <f t="shared" si="23"/>
        <v>4389010</v>
      </c>
      <c r="G206" s="841">
        <f t="shared" si="22"/>
        <v>30</v>
      </c>
      <c r="H206" s="838">
        <f t="shared" si="24"/>
        <v>4.7800905724759701E-5</v>
      </c>
      <c r="I206" s="839">
        <v>0</v>
      </c>
    </row>
    <row r="207" spans="1:9">
      <c r="B207" s="724">
        <v>44317</v>
      </c>
      <c r="C207" s="724">
        <v>44347</v>
      </c>
      <c r="D207" s="796">
        <v>0</v>
      </c>
      <c r="E207" s="840">
        <v>1.8200000000000001E-2</v>
      </c>
      <c r="F207" s="871">
        <f t="shared" si="23"/>
        <v>4389010</v>
      </c>
      <c r="G207" s="841">
        <f t="shared" si="22"/>
        <v>31</v>
      </c>
      <c r="H207" s="838">
        <f t="shared" si="24"/>
        <v>4.9415912668715478E-5</v>
      </c>
      <c r="I207" s="839">
        <v>0</v>
      </c>
    </row>
    <row r="208" spans="1:9">
      <c r="B208" s="724">
        <v>44348</v>
      </c>
      <c r="C208" s="724">
        <v>44377</v>
      </c>
      <c r="D208" s="796">
        <v>0</v>
      </c>
      <c r="E208" s="840">
        <v>1.9099999999999999E-2</v>
      </c>
      <c r="F208" s="871">
        <f t="shared" si="23"/>
        <v>4389010</v>
      </c>
      <c r="G208" s="841">
        <f t="shared" si="22"/>
        <v>30</v>
      </c>
      <c r="H208" s="838">
        <f t="shared" si="24"/>
        <v>5.1836644438196799E-5</v>
      </c>
      <c r="I208" s="839">
        <v>0</v>
      </c>
    </row>
    <row r="209" spans="1:9">
      <c r="B209" s="724">
        <v>44378</v>
      </c>
      <c r="C209" s="724">
        <v>44408</v>
      </c>
      <c r="D209" s="796">
        <v>0</v>
      </c>
      <c r="E209" s="840">
        <v>1.9E-2</v>
      </c>
      <c r="F209" s="871">
        <f t="shared" si="23"/>
        <v>4389010</v>
      </c>
      <c r="G209" s="841">
        <f t="shared" si="22"/>
        <v>31</v>
      </c>
      <c r="H209" s="838">
        <f t="shared" si="24"/>
        <v>5.1567779546513037E-5</v>
      </c>
      <c r="I209" s="839">
        <v>0</v>
      </c>
    </row>
    <row r="210" spans="1:9">
      <c r="B210" s="724">
        <v>44409</v>
      </c>
      <c r="C210" s="724">
        <v>44439</v>
      </c>
      <c r="D210" s="796">
        <v>0</v>
      </c>
      <c r="E210" s="840">
        <v>1.9900000000000001E-2</v>
      </c>
      <c r="F210" s="871">
        <f t="shared" si="23"/>
        <v>4389010</v>
      </c>
      <c r="G210" s="841">
        <f t="shared" si="22"/>
        <v>31</v>
      </c>
      <c r="H210" s="838">
        <f t="shared" si="24"/>
        <v>5.3986616880719041E-5</v>
      </c>
      <c r="I210" s="839">
        <v>0</v>
      </c>
    </row>
    <row r="211" spans="1:9">
      <c r="B211" s="724">
        <v>44440</v>
      </c>
      <c r="C211" s="724">
        <v>44442</v>
      </c>
      <c r="D211" s="796">
        <v>0</v>
      </c>
      <c r="E211" s="840">
        <v>1.9900000000000001E-2</v>
      </c>
      <c r="F211" s="871">
        <f t="shared" si="23"/>
        <v>4389010</v>
      </c>
      <c r="G211" s="841">
        <f t="shared" si="22"/>
        <v>3</v>
      </c>
      <c r="H211" s="838">
        <f>((1+E211)^(1/365)-1)</f>
        <v>5.3986616880719041E-5</v>
      </c>
      <c r="I211" s="839">
        <v>0</v>
      </c>
    </row>
    <row r="212" spans="1:9">
      <c r="B212" s="724">
        <v>44443</v>
      </c>
      <c r="C212" s="724">
        <v>44469</v>
      </c>
      <c r="D212" s="796">
        <v>0.1719</v>
      </c>
      <c r="E212" s="840">
        <f>+D212*1.5</f>
        <v>0.25785000000000002</v>
      </c>
      <c r="F212" s="871">
        <f t="shared" si="23"/>
        <v>4389010</v>
      </c>
      <c r="G212" s="841">
        <f t="shared" si="22"/>
        <v>27</v>
      </c>
      <c r="H212" s="838">
        <f>((1+E212)^(1/365)-1)</f>
        <v>6.2870142469861889E-4</v>
      </c>
      <c r="I212" s="839">
        <v>0</v>
      </c>
    </row>
    <row r="213" spans="1:9">
      <c r="B213" s="724">
        <v>44470</v>
      </c>
      <c r="C213" s="724">
        <v>44500</v>
      </c>
      <c r="D213" s="796">
        <v>0.17080000000000001</v>
      </c>
      <c r="E213" s="840">
        <f>+D213*1.5</f>
        <v>0.25619999999999998</v>
      </c>
      <c r="F213" s="871">
        <f t="shared" si="23"/>
        <v>4389010</v>
      </c>
      <c r="G213" s="841">
        <f t="shared" si="22"/>
        <v>31</v>
      </c>
      <c r="H213" s="838">
        <f>((1+E213)^(1/365)-1)</f>
        <v>6.2510294214179751E-4</v>
      </c>
      <c r="I213" s="839">
        <v>0</v>
      </c>
    </row>
    <row r="214" spans="1:9">
      <c r="B214" s="724">
        <v>44501</v>
      </c>
      <c r="C214" s="724">
        <v>44530</v>
      </c>
      <c r="D214" s="796">
        <v>0.17269999999999999</v>
      </c>
      <c r="E214" s="842">
        <f>+D214*1.5</f>
        <v>0.25905</v>
      </c>
      <c r="F214" s="871">
        <f t="shared" si="23"/>
        <v>4389010</v>
      </c>
      <c r="G214" s="841">
        <f t="shared" si="22"/>
        <v>30</v>
      </c>
      <c r="H214" s="838">
        <f>((1+E214)^(1/365)-1)</f>
        <v>6.3131554742335005E-4</v>
      </c>
      <c r="I214" s="839">
        <v>0</v>
      </c>
    </row>
    <row r="215" spans="1:9">
      <c r="B215" s="724">
        <v>44531</v>
      </c>
      <c r="C215" s="724">
        <v>44559</v>
      </c>
      <c r="D215" s="796">
        <v>0.17460000000000001</v>
      </c>
      <c r="E215" s="842">
        <f>+D215*1.5</f>
        <v>0.26190000000000002</v>
      </c>
      <c r="F215" s="836">
        <f>+$D$37</f>
        <v>35112080</v>
      </c>
      <c r="G215" s="841">
        <f t="shared" si="22"/>
        <v>29</v>
      </c>
      <c r="H215" s="838">
        <f>((1+E215)^(1/365)-1)</f>
        <v>6.3751414410861962E-4</v>
      </c>
      <c r="I215" s="839">
        <v>0</v>
      </c>
    </row>
    <row r="216" spans="1:9" ht="13.5" customHeight="1">
      <c r="F216" s="2735" t="s">
        <v>162</v>
      </c>
      <c r="G216" s="2736"/>
      <c r="H216" s="2737"/>
      <c r="I216" s="839">
        <f>SUM(I201:I215)</f>
        <v>20297.375627170357</v>
      </c>
    </row>
    <row r="217" spans="1:9" ht="38.25">
      <c r="B217" s="916" t="s">
        <v>1101</v>
      </c>
      <c r="C217" s="924" t="s">
        <v>163</v>
      </c>
    </row>
    <row r="218" spans="1:9">
      <c r="B218" s="741" t="s">
        <v>133</v>
      </c>
      <c r="C218" s="857">
        <f>+D199</f>
        <v>4389010</v>
      </c>
    </row>
    <row r="219" spans="1:9">
      <c r="B219" s="741" t="s">
        <v>134</v>
      </c>
      <c r="C219" s="858">
        <f>+I216</f>
        <v>20297.375627170357</v>
      </c>
    </row>
    <row r="220" spans="1:9" ht="13.5" thickBot="1">
      <c r="B220" s="817" t="s">
        <v>61</v>
      </c>
      <c r="C220" s="859">
        <f>SUM(C218:C219)+3</f>
        <v>4409310.3756271703</v>
      </c>
    </row>
    <row r="221" spans="1:9" ht="13.5" thickTop="1">
      <c r="B221" s="876"/>
      <c r="C221" s="877"/>
    </row>
    <row r="222" spans="1:9" ht="25.5">
      <c r="A222" s="791">
        <v>9</v>
      </c>
      <c r="B222" s="971" t="s">
        <v>1084</v>
      </c>
      <c r="C222" s="972" t="s">
        <v>1096</v>
      </c>
      <c r="D222" s="973">
        <f>+D25</f>
        <v>4389010</v>
      </c>
    </row>
    <row r="223" spans="1:9" ht="39" customHeight="1">
      <c r="B223" s="969" t="s">
        <v>206</v>
      </c>
      <c r="C223" s="969" t="s">
        <v>10</v>
      </c>
      <c r="D223" s="2719" t="s">
        <v>1090</v>
      </c>
      <c r="E223" s="2720"/>
      <c r="F223" s="974" t="s">
        <v>202</v>
      </c>
      <c r="G223" s="969" t="s">
        <v>706</v>
      </c>
      <c r="H223" s="974" t="s">
        <v>204</v>
      </c>
      <c r="I223" s="974" t="s">
        <v>205</v>
      </c>
    </row>
    <row r="224" spans="1:9">
      <c r="B224" s="727">
        <v>44173</v>
      </c>
      <c r="C224" s="727">
        <v>44196</v>
      </c>
      <c r="D224" s="869">
        <v>0</v>
      </c>
      <c r="E224" s="870">
        <v>1.9300000000000001E-2</v>
      </c>
      <c r="F224" s="871">
        <f>+$D$130</f>
        <v>4389010</v>
      </c>
      <c r="G224" s="872">
        <f t="shared" ref="G224:G237" si="25">_xlfn.DAYS(C224,B224)+1</f>
        <v>24</v>
      </c>
      <c r="H224" s="873">
        <f>((1+E224)^(1/365)-1)</f>
        <v>5.2374295299806306E-5</v>
      </c>
      <c r="I224" s="874">
        <f>+F224*G224*H224</f>
        <v>5516.9113395312688</v>
      </c>
    </row>
    <row r="225" spans="2:9">
      <c r="B225" s="724">
        <v>44197</v>
      </c>
      <c r="C225" s="724">
        <v>44227</v>
      </c>
      <c r="D225" s="796">
        <v>0</v>
      </c>
      <c r="E225" s="840">
        <v>1.9099999999999999E-2</v>
      </c>
      <c r="F225" s="871">
        <f t="shared" ref="F225:F238" si="26">+$D$130</f>
        <v>4389010</v>
      </c>
      <c r="G225" s="841">
        <f t="shared" si="25"/>
        <v>31</v>
      </c>
      <c r="H225" s="838">
        <f t="shared" ref="H225:H233" si="27">((1+E225)^(1/365)-1)</f>
        <v>5.1836644438196799E-5</v>
      </c>
      <c r="I225" s="839">
        <f>+F225*G225*H225</f>
        <v>7052.8580749763942</v>
      </c>
    </row>
    <row r="226" spans="2:9">
      <c r="B226" s="724">
        <v>44228</v>
      </c>
      <c r="C226" s="724">
        <v>44255</v>
      </c>
      <c r="D226" s="796">
        <v>0</v>
      </c>
      <c r="E226" s="840">
        <v>1.8100000000000002E-2</v>
      </c>
      <c r="F226" s="871">
        <f t="shared" si="26"/>
        <v>4389010</v>
      </c>
      <c r="G226" s="841">
        <f t="shared" si="25"/>
        <v>28</v>
      </c>
      <c r="H226" s="838">
        <f t="shared" si="27"/>
        <v>4.9146810763511795E-5</v>
      </c>
      <c r="I226" s="839">
        <f>+F226*G226*H226</f>
        <v>6039.7636294565054</v>
      </c>
    </row>
    <row r="227" spans="2:9">
      <c r="B227" s="724">
        <v>44256</v>
      </c>
      <c r="C227" s="724">
        <v>44263</v>
      </c>
      <c r="D227" s="796">
        <v>0</v>
      </c>
      <c r="E227" s="840">
        <v>1.77E-2</v>
      </c>
      <c r="F227" s="871">
        <f t="shared" si="26"/>
        <v>4389010</v>
      </c>
      <c r="G227" s="841">
        <f t="shared" si="25"/>
        <v>8</v>
      </c>
      <c r="H227" s="838">
        <f t="shared" si="27"/>
        <v>4.8070139484934771E-5</v>
      </c>
      <c r="I227" s="839">
        <f>+F227*G227*H227</f>
        <v>1687.8425832061885</v>
      </c>
    </row>
    <row r="228" spans="2:9">
      <c r="B228" s="724">
        <v>44259</v>
      </c>
      <c r="C228" s="724">
        <v>44286</v>
      </c>
      <c r="D228" s="796">
        <v>0</v>
      </c>
      <c r="E228" s="840">
        <v>1.77E-2</v>
      </c>
      <c r="F228" s="871">
        <f t="shared" si="26"/>
        <v>4389010</v>
      </c>
      <c r="G228" s="841">
        <f t="shared" si="25"/>
        <v>28</v>
      </c>
      <c r="H228" s="838">
        <f t="shared" si="27"/>
        <v>4.8070139484934771E-5</v>
      </c>
      <c r="I228" s="839">
        <v>0</v>
      </c>
    </row>
    <row r="229" spans="2:9">
      <c r="B229" s="724">
        <v>44287</v>
      </c>
      <c r="C229" s="724">
        <v>44316</v>
      </c>
      <c r="D229" s="796">
        <v>0</v>
      </c>
      <c r="E229" s="840">
        <v>1.7600000000000001E-2</v>
      </c>
      <c r="F229" s="871">
        <f t="shared" si="26"/>
        <v>4389010</v>
      </c>
      <c r="G229" s="841">
        <f t="shared" si="25"/>
        <v>30</v>
      </c>
      <c r="H229" s="838">
        <f t="shared" si="27"/>
        <v>4.7800905724759701E-5</v>
      </c>
      <c r="I229" s="839">
        <v>0</v>
      </c>
    </row>
    <row r="230" spans="2:9">
      <c r="B230" s="724">
        <v>44317</v>
      </c>
      <c r="C230" s="724">
        <v>44347</v>
      </c>
      <c r="D230" s="796">
        <v>0</v>
      </c>
      <c r="E230" s="840">
        <v>1.8200000000000001E-2</v>
      </c>
      <c r="F230" s="871">
        <f t="shared" si="26"/>
        <v>4389010</v>
      </c>
      <c r="G230" s="841">
        <f t="shared" si="25"/>
        <v>31</v>
      </c>
      <c r="H230" s="838">
        <f t="shared" si="27"/>
        <v>4.9415912668715478E-5</v>
      </c>
      <c r="I230" s="839">
        <v>0</v>
      </c>
    </row>
    <row r="231" spans="2:9">
      <c r="B231" s="724">
        <v>44348</v>
      </c>
      <c r="C231" s="724">
        <v>44377</v>
      </c>
      <c r="D231" s="796">
        <v>0</v>
      </c>
      <c r="E231" s="840">
        <v>1.9099999999999999E-2</v>
      </c>
      <c r="F231" s="871">
        <f t="shared" si="26"/>
        <v>4389010</v>
      </c>
      <c r="G231" s="841">
        <f t="shared" si="25"/>
        <v>30</v>
      </c>
      <c r="H231" s="838">
        <f t="shared" si="27"/>
        <v>5.1836644438196799E-5</v>
      </c>
      <c r="I231" s="839">
        <v>0</v>
      </c>
    </row>
    <row r="232" spans="2:9">
      <c r="B232" s="724">
        <v>44378</v>
      </c>
      <c r="C232" s="724">
        <v>44408</v>
      </c>
      <c r="D232" s="796">
        <v>0</v>
      </c>
      <c r="E232" s="840">
        <v>1.9E-2</v>
      </c>
      <c r="F232" s="871">
        <f t="shared" si="26"/>
        <v>4389010</v>
      </c>
      <c r="G232" s="841">
        <f t="shared" si="25"/>
        <v>31</v>
      </c>
      <c r="H232" s="838">
        <f t="shared" si="27"/>
        <v>5.1567779546513037E-5</v>
      </c>
      <c r="I232" s="839">
        <v>0</v>
      </c>
    </row>
    <row r="233" spans="2:9">
      <c r="B233" s="724">
        <v>44409</v>
      </c>
      <c r="C233" s="724">
        <v>44439</v>
      </c>
      <c r="D233" s="796">
        <v>0</v>
      </c>
      <c r="E233" s="840">
        <v>1.9900000000000001E-2</v>
      </c>
      <c r="F233" s="871">
        <f t="shared" si="26"/>
        <v>4389010</v>
      </c>
      <c r="G233" s="841">
        <f t="shared" si="25"/>
        <v>31</v>
      </c>
      <c r="H233" s="838">
        <f t="shared" si="27"/>
        <v>5.3986616880719041E-5</v>
      </c>
      <c r="I233" s="839">
        <v>0</v>
      </c>
    </row>
    <row r="234" spans="2:9">
      <c r="B234" s="724">
        <v>44440</v>
      </c>
      <c r="C234" s="724">
        <v>44442</v>
      </c>
      <c r="D234" s="796">
        <v>0</v>
      </c>
      <c r="E234" s="840">
        <v>1.9900000000000001E-2</v>
      </c>
      <c r="F234" s="871">
        <f t="shared" si="26"/>
        <v>4389010</v>
      </c>
      <c r="G234" s="841">
        <f t="shared" si="25"/>
        <v>3</v>
      </c>
      <c r="H234" s="838">
        <f>((1+E234)^(1/365)-1)</f>
        <v>5.3986616880719041E-5</v>
      </c>
      <c r="I234" s="839">
        <v>0</v>
      </c>
    </row>
    <row r="235" spans="2:9">
      <c r="B235" s="724">
        <v>44443</v>
      </c>
      <c r="C235" s="724">
        <v>44469</v>
      </c>
      <c r="D235" s="796">
        <v>0.1719</v>
      </c>
      <c r="E235" s="840">
        <f>+D235*1.5</f>
        <v>0.25785000000000002</v>
      </c>
      <c r="F235" s="871">
        <f t="shared" si="26"/>
        <v>4389010</v>
      </c>
      <c r="G235" s="841">
        <f t="shared" si="25"/>
        <v>27</v>
      </c>
      <c r="H235" s="838">
        <f>((1+E235)^(1/365)-1)</f>
        <v>6.2870142469861889E-4</v>
      </c>
      <c r="I235" s="839">
        <v>0</v>
      </c>
    </row>
    <row r="236" spans="2:9">
      <c r="B236" s="724">
        <v>44470</v>
      </c>
      <c r="C236" s="724">
        <v>44500</v>
      </c>
      <c r="D236" s="796">
        <v>0.17080000000000001</v>
      </c>
      <c r="E236" s="840">
        <f>+D236*1.5</f>
        <v>0.25619999999999998</v>
      </c>
      <c r="F236" s="871">
        <f t="shared" si="26"/>
        <v>4389010</v>
      </c>
      <c r="G236" s="841">
        <f t="shared" si="25"/>
        <v>31</v>
      </c>
      <c r="H236" s="838">
        <f>((1+E236)^(1/365)-1)</f>
        <v>6.2510294214179751E-4</v>
      </c>
      <c r="I236" s="839">
        <v>0</v>
      </c>
    </row>
    <row r="237" spans="2:9">
      <c r="B237" s="724">
        <v>44501</v>
      </c>
      <c r="C237" s="724">
        <v>44530</v>
      </c>
      <c r="D237" s="796">
        <v>0.17269999999999999</v>
      </c>
      <c r="E237" s="842">
        <f>+D237*1.5</f>
        <v>0.25905</v>
      </c>
      <c r="F237" s="871">
        <f t="shared" si="26"/>
        <v>4389010</v>
      </c>
      <c r="G237" s="841">
        <f t="shared" si="25"/>
        <v>30</v>
      </c>
      <c r="H237" s="838">
        <f>((1+E237)^(1/365)-1)</f>
        <v>6.3131554742335005E-4</v>
      </c>
      <c r="I237" s="839">
        <v>0</v>
      </c>
    </row>
    <row r="238" spans="2:9">
      <c r="B238" s="724">
        <v>44531</v>
      </c>
      <c r="C238" s="724">
        <v>44559</v>
      </c>
      <c r="D238" s="796">
        <v>0.17460000000000001</v>
      </c>
      <c r="E238" s="842">
        <f>+D238*1.5</f>
        <v>0.26190000000000002</v>
      </c>
      <c r="F238" s="871">
        <f t="shared" si="26"/>
        <v>4389010</v>
      </c>
      <c r="G238" s="841">
        <f>_xlfn.DAYS(C238,B238)+1</f>
        <v>29</v>
      </c>
      <c r="H238" s="838">
        <f>((1+E238)^(1/365)-1)</f>
        <v>6.3751414410861962E-4</v>
      </c>
      <c r="I238" s="839">
        <v>0</v>
      </c>
    </row>
    <row r="239" spans="2:9" ht="13.5" customHeight="1">
      <c r="F239" s="2735" t="s">
        <v>162</v>
      </c>
      <c r="G239" s="2736"/>
      <c r="H239" s="2737"/>
      <c r="I239" s="839">
        <f>SUM(I224:I238)</f>
        <v>20297.375627170357</v>
      </c>
    </row>
    <row r="240" spans="2:9" ht="38.25">
      <c r="B240" s="916" t="s">
        <v>1102</v>
      </c>
      <c r="C240" s="726" t="s">
        <v>163</v>
      </c>
    </row>
    <row r="241" spans="2:5">
      <c r="B241" s="741" t="s">
        <v>133</v>
      </c>
      <c r="C241" s="857">
        <f>+D222</f>
        <v>4389010</v>
      </c>
      <c r="D241" s="982">
        <v>4389010</v>
      </c>
    </row>
    <row r="242" spans="2:5">
      <c r="B242" s="741" t="s">
        <v>134</v>
      </c>
      <c r="C242" s="858">
        <f>+I239</f>
        <v>20297.375627170357</v>
      </c>
      <c r="D242" s="982">
        <v>20297</v>
      </c>
    </row>
    <row r="243" spans="2:5" ht="13.5" thickBot="1">
      <c r="B243" s="817" t="s">
        <v>61</v>
      </c>
      <c r="C243" s="859">
        <f>SUM(C241:C242)+3</f>
        <v>4409310.3756271703</v>
      </c>
      <c r="D243" s="982">
        <f>+D241+D242</f>
        <v>4409307</v>
      </c>
    </row>
    <row r="244" spans="2:5" ht="13.5" thickTop="1">
      <c r="C244" s="854"/>
    </row>
    <row r="245" spans="2:5">
      <c r="B245" s="2686" t="s">
        <v>1103</v>
      </c>
      <c r="C245" s="2686"/>
    </row>
    <row r="246" spans="2:5">
      <c r="B246" s="726" t="s">
        <v>56</v>
      </c>
      <c r="C246" s="881"/>
    </row>
    <row r="247" spans="2:5">
      <c r="B247" s="741" t="s">
        <v>133</v>
      </c>
      <c r="C247" s="850">
        <f>+C57+C80+C103+C126+C149+C172+C195+C218+C241</f>
        <v>79002180</v>
      </c>
      <c r="E247" s="878"/>
    </row>
    <row r="248" spans="2:5">
      <c r="B248" s="741" t="s">
        <v>134</v>
      </c>
      <c r="C248" s="850">
        <f>+C58+C81+C104+C127+C173+C196+C219+C242+C150</f>
        <v>365352.76128906652</v>
      </c>
      <c r="E248" s="878"/>
    </row>
    <row r="249" spans="2:5" ht="13.5" thickBot="1">
      <c r="B249" s="743" t="s">
        <v>61</v>
      </c>
      <c r="C249" s="1314">
        <f>SUM(C247:C248)</f>
        <v>79367532.76128906</v>
      </c>
      <c r="D249" s="925">
        <v>793637549</v>
      </c>
      <c r="E249" s="878">
        <f>+D249-C249</f>
        <v>714270016.23871088</v>
      </c>
    </row>
    <row r="250" spans="2:5" ht="13.5" thickTop="1">
      <c r="B250" s="719" t="s">
        <v>62</v>
      </c>
      <c r="C250" s="854"/>
      <c r="E250" s="791">
        <v>3</v>
      </c>
    </row>
    <row r="251" spans="2:5">
      <c r="B251" s="911"/>
      <c r="C251" s="854"/>
    </row>
    <row r="252" spans="2:5">
      <c r="B252" s="911"/>
      <c r="C252" s="854"/>
    </row>
    <row r="253" spans="2:5">
      <c r="B253" s="719" t="s">
        <v>63</v>
      </c>
      <c r="C253" s="854"/>
    </row>
    <row r="254" spans="2:5">
      <c r="B254" s="719" t="s">
        <v>64</v>
      </c>
      <c r="C254" s="854"/>
    </row>
    <row r="255" spans="2:5">
      <c r="B255" s="719" t="s">
        <v>65</v>
      </c>
      <c r="C255" s="854"/>
    </row>
    <row r="256" spans="2:5" ht="13.5" hidden="1" thickBot="1">
      <c r="B256" s="719"/>
      <c r="C256" s="854"/>
    </row>
    <row r="257" spans="1:9" ht="51.75" hidden="1" thickBot="1">
      <c r="B257" s="863" t="s">
        <v>199</v>
      </c>
      <c r="C257" s="865" t="s">
        <v>200</v>
      </c>
      <c r="D257" s="862" t="s">
        <v>320</v>
      </c>
      <c r="E257" s="831" t="s">
        <v>201</v>
      </c>
      <c r="F257" s="832" t="s">
        <v>202</v>
      </c>
      <c r="G257" s="833" t="s">
        <v>203</v>
      </c>
      <c r="H257" s="833" t="s">
        <v>204</v>
      </c>
      <c r="I257" s="833" t="s">
        <v>205</v>
      </c>
    </row>
    <row r="258" spans="1:9" hidden="1">
      <c r="A258" s="791">
        <v>1</v>
      </c>
      <c r="B258" s="834"/>
      <c r="C258" s="864"/>
      <c r="D258" s="861"/>
      <c r="E258" s="835"/>
      <c r="F258" s="836"/>
      <c r="G258" s="837"/>
      <c r="H258" s="838"/>
      <c r="I258" s="839"/>
    </row>
    <row r="259" spans="1:9" hidden="1">
      <c r="A259" s="791">
        <v>2</v>
      </c>
      <c r="B259" s="724">
        <v>44168</v>
      </c>
      <c r="C259" s="724">
        <v>44196</v>
      </c>
      <c r="D259" s="796">
        <v>0.17460000000000001</v>
      </c>
      <c r="E259" s="840">
        <f>+D259*1.5</f>
        <v>0.26190000000000002</v>
      </c>
      <c r="F259" s="836">
        <f>+$C$33</f>
        <v>79002180</v>
      </c>
      <c r="G259" s="841">
        <f t="shared" ref="G259:G270" si="28">_xlfn.DAYS(C259,B259)+1</f>
        <v>29</v>
      </c>
      <c r="H259" s="838">
        <f>((1+E259)^(1/365)-1)</f>
        <v>6.3751414410861962E-4</v>
      </c>
      <c r="I259" s="839">
        <f>+F259*G259*H259</f>
        <v>1460585.2077970381</v>
      </c>
    </row>
    <row r="260" spans="1:9" hidden="1">
      <c r="A260" s="791">
        <v>3</v>
      </c>
      <c r="B260" s="724">
        <v>44197</v>
      </c>
      <c r="C260" s="724">
        <v>44227</v>
      </c>
      <c r="D260" s="796">
        <v>0.17319999999999999</v>
      </c>
      <c r="E260" s="840">
        <f t="shared" ref="E260:E269" si="29">+D260*1.5</f>
        <v>0.25979999999999998</v>
      </c>
      <c r="F260" s="836">
        <f t="shared" ref="F260:F270" si="30">+$C$33</f>
        <v>79002180</v>
      </c>
      <c r="G260" s="841">
        <f t="shared" si="28"/>
        <v>31</v>
      </c>
      <c r="H260" s="838">
        <f t="shared" ref="H260:H270" si="31">((1+E260)^(1/365)-1)</f>
        <v>6.3294811266723094E-4</v>
      </c>
      <c r="I260" s="839">
        <f t="shared" ref="I260:I270" si="32">+F260*G260*H260</f>
        <v>1550132.7025555025</v>
      </c>
    </row>
    <row r="261" spans="1:9" hidden="1">
      <c r="A261" s="791">
        <v>4</v>
      </c>
      <c r="B261" s="724">
        <v>44228</v>
      </c>
      <c r="C261" s="724">
        <v>44255</v>
      </c>
      <c r="D261" s="796">
        <v>0.1754</v>
      </c>
      <c r="E261" s="840">
        <f t="shared" si="29"/>
        <v>0.2631</v>
      </c>
      <c r="F261" s="836">
        <f t="shared" si="30"/>
        <v>79002180</v>
      </c>
      <c r="G261" s="841">
        <f t="shared" si="28"/>
        <v>28</v>
      </c>
      <c r="H261" s="838">
        <f t="shared" si="31"/>
        <v>6.4011990387169426E-4</v>
      </c>
      <c r="I261" s="839">
        <f t="shared" si="32"/>
        <v>1415984.30028312</v>
      </c>
    </row>
    <row r="262" spans="1:9" hidden="1">
      <c r="A262" s="791">
        <v>5</v>
      </c>
      <c r="B262" s="724">
        <v>44256</v>
      </c>
      <c r="C262" s="724">
        <v>44286</v>
      </c>
      <c r="D262" s="796">
        <v>0.1741</v>
      </c>
      <c r="E262" s="840">
        <f t="shared" si="29"/>
        <v>0.26114999999999999</v>
      </c>
      <c r="F262" s="836">
        <f t="shared" si="30"/>
        <v>79002180</v>
      </c>
      <c r="G262" s="841">
        <f t="shared" si="28"/>
        <v>31</v>
      </c>
      <c r="H262" s="838">
        <f t="shared" si="31"/>
        <v>6.3588428907812578E-4</v>
      </c>
      <c r="I262" s="839">
        <f t="shared" si="32"/>
        <v>1557323.597012586</v>
      </c>
    </row>
    <row r="263" spans="1:9" hidden="1">
      <c r="A263" s="791">
        <v>6</v>
      </c>
      <c r="B263" s="724">
        <v>44287</v>
      </c>
      <c r="C263" s="724">
        <v>44316</v>
      </c>
      <c r="D263" s="796">
        <v>0.1731</v>
      </c>
      <c r="E263" s="840">
        <f t="shared" si="29"/>
        <v>0.25964999999999999</v>
      </c>
      <c r="F263" s="836">
        <f t="shared" si="30"/>
        <v>79002180</v>
      </c>
      <c r="G263" s="841">
        <f t="shared" si="28"/>
        <v>30</v>
      </c>
      <c r="H263" s="838">
        <f t="shared" si="31"/>
        <v>6.326216771728177E-4</v>
      </c>
      <c r="I263" s="839">
        <f t="shared" si="32"/>
        <v>1499354.748357265</v>
      </c>
    </row>
    <row r="264" spans="1:9" hidden="1">
      <c r="A264" s="791">
        <v>7</v>
      </c>
      <c r="B264" s="724">
        <v>44317</v>
      </c>
      <c r="C264" s="724">
        <v>44347</v>
      </c>
      <c r="D264" s="796">
        <v>0.17219999999999999</v>
      </c>
      <c r="E264" s="840">
        <f t="shared" si="29"/>
        <v>0.25829999999999997</v>
      </c>
      <c r="F264" s="836">
        <f t="shared" si="30"/>
        <v>79002180</v>
      </c>
      <c r="G264" s="841">
        <f t="shared" si="28"/>
        <v>31</v>
      </c>
      <c r="H264" s="838">
        <f t="shared" si="31"/>
        <v>6.2968201205726437E-4</v>
      </c>
      <c r="I264" s="839">
        <f t="shared" si="32"/>
        <v>1542133.8014386152</v>
      </c>
    </row>
    <row r="265" spans="1:9" hidden="1">
      <c r="A265" s="791">
        <v>8</v>
      </c>
      <c r="B265" s="724">
        <v>44348</v>
      </c>
      <c r="C265" s="724">
        <v>44377</v>
      </c>
      <c r="D265" s="796">
        <v>0.1721</v>
      </c>
      <c r="E265" s="840">
        <f t="shared" si="29"/>
        <v>0.25814999999999999</v>
      </c>
      <c r="F265" s="836">
        <f t="shared" si="30"/>
        <v>79002180</v>
      </c>
      <c r="G265" s="841">
        <f t="shared" si="28"/>
        <v>30</v>
      </c>
      <c r="H265" s="838">
        <f t="shared" si="31"/>
        <v>6.2935518846773952E-4</v>
      </c>
      <c r="I265" s="839">
        <f t="shared" si="32"/>
        <v>1491612.9564978685</v>
      </c>
    </row>
    <row r="266" spans="1:9" hidden="1">
      <c r="A266" s="791">
        <v>9</v>
      </c>
      <c r="B266" s="724">
        <v>44378</v>
      </c>
      <c r="C266" s="724">
        <v>44408</v>
      </c>
      <c r="D266" s="796">
        <v>0.17180000000000001</v>
      </c>
      <c r="E266" s="840">
        <f t="shared" si="29"/>
        <v>0.25770000000000004</v>
      </c>
      <c r="F266" s="836">
        <f t="shared" si="30"/>
        <v>79002180</v>
      </c>
      <c r="G266" s="841">
        <f t="shared" si="28"/>
        <v>31</v>
      </c>
      <c r="H266" s="838">
        <f t="shared" si="31"/>
        <v>6.2837448450037137E-4</v>
      </c>
      <c r="I266" s="839">
        <f t="shared" si="32"/>
        <v>1538931.5780890719</v>
      </c>
    </row>
    <row r="267" spans="1:9" hidden="1">
      <c r="A267" s="791">
        <v>10</v>
      </c>
      <c r="B267" s="724">
        <v>44409</v>
      </c>
      <c r="C267" s="724">
        <v>44439</v>
      </c>
      <c r="D267" s="796">
        <v>0.1724</v>
      </c>
      <c r="E267" s="840">
        <f t="shared" si="29"/>
        <v>0.2586</v>
      </c>
      <c r="F267" s="836">
        <f t="shared" si="30"/>
        <v>79002180</v>
      </c>
      <c r="G267" s="841">
        <f t="shared" si="28"/>
        <v>31</v>
      </c>
      <c r="H267" s="838">
        <f t="shared" si="31"/>
        <v>6.3033554269220637E-4</v>
      </c>
      <c r="I267" s="839">
        <f t="shared" si="32"/>
        <v>1543734.3421291886</v>
      </c>
    </row>
    <row r="268" spans="1:9" hidden="1">
      <c r="A268" s="791">
        <v>11</v>
      </c>
      <c r="B268" s="724">
        <v>44440</v>
      </c>
      <c r="C268" s="724">
        <v>44469</v>
      </c>
      <c r="D268" s="796">
        <v>0.1719</v>
      </c>
      <c r="E268" s="840">
        <f t="shared" si="29"/>
        <v>0.25785000000000002</v>
      </c>
      <c r="F268" s="836">
        <f t="shared" si="30"/>
        <v>79002180</v>
      </c>
      <c r="G268" s="841">
        <f t="shared" si="28"/>
        <v>30</v>
      </c>
      <c r="H268" s="838">
        <f t="shared" si="31"/>
        <v>6.2870142469861889E-4</v>
      </c>
      <c r="I268" s="839">
        <f t="shared" si="32"/>
        <v>1490063.493608902</v>
      </c>
    </row>
    <row r="269" spans="1:9" hidden="1">
      <c r="A269" s="791">
        <v>12</v>
      </c>
      <c r="B269" s="724">
        <v>44470</v>
      </c>
      <c r="C269" s="724">
        <v>44500</v>
      </c>
      <c r="D269" s="796">
        <v>0.17080000000000001</v>
      </c>
      <c r="E269" s="840">
        <f t="shared" si="29"/>
        <v>0.25619999999999998</v>
      </c>
      <c r="F269" s="836">
        <f t="shared" si="30"/>
        <v>79002180</v>
      </c>
      <c r="G269" s="841">
        <f t="shared" si="28"/>
        <v>31</v>
      </c>
      <c r="H269" s="838">
        <f t="shared" si="31"/>
        <v>6.2510294214179751E-4</v>
      </c>
      <c r="I269" s="839">
        <f t="shared" si="32"/>
        <v>1530919.3497620921</v>
      </c>
    </row>
    <row r="270" spans="1:9" hidden="1">
      <c r="A270" s="791">
        <v>13</v>
      </c>
      <c r="B270" s="724">
        <v>44501</v>
      </c>
      <c r="C270" s="724">
        <v>44530</v>
      </c>
      <c r="D270" s="796">
        <v>0.17269999999999999</v>
      </c>
      <c r="E270" s="842">
        <f>+D270*1.5</f>
        <v>0.25905</v>
      </c>
      <c r="F270" s="836">
        <f t="shared" si="30"/>
        <v>79002180</v>
      </c>
      <c r="G270" s="841">
        <f t="shared" si="28"/>
        <v>30</v>
      </c>
      <c r="H270" s="838">
        <f t="shared" si="31"/>
        <v>6.3131554742335005E-4</v>
      </c>
      <c r="I270" s="839">
        <f t="shared" si="32"/>
        <v>1496259.1354301411</v>
      </c>
    </row>
    <row r="271" spans="1:9" ht="13.5" hidden="1" customHeight="1">
      <c r="F271" s="855" t="s">
        <v>162</v>
      </c>
      <c r="G271" s="855"/>
      <c r="H271" s="855"/>
      <c r="I271" s="839">
        <f>SUM(I259:I270)</f>
        <v>18117035.212961391</v>
      </c>
    </row>
    <row r="272" spans="1:9" hidden="1">
      <c r="B272" s="2687" t="s">
        <v>55</v>
      </c>
      <c r="C272" s="2695"/>
      <c r="D272" s="856"/>
      <c r="F272" s="856"/>
      <c r="G272" s="856"/>
      <c r="H272" s="856"/>
      <c r="I272" s="856"/>
    </row>
    <row r="273" spans="2:4" hidden="1">
      <c r="B273" s="726" t="s">
        <v>56</v>
      </c>
      <c r="C273" s="726" t="s">
        <v>163</v>
      </c>
      <c r="D273" s="856"/>
    </row>
    <row r="274" spans="2:4" s="856" customFormat="1" hidden="1">
      <c r="B274" s="741" t="s">
        <v>133</v>
      </c>
      <c r="C274" s="857">
        <f>+C33</f>
        <v>79002180</v>
      </c>
    </row>
    <row r="275" spans="2:4" s="856" customFormat="1" hidden="1">
      <c r="B275" s="741" t="s">
        <v>134</v>
      </c>
      <c r="C275" s="858">
        <f>+I271</f>
        <v>18117035.212961391</v>
      </c>
    </row>
    <row r="276" spans="2:4" s="856" customFormat="1" hidden="1">
      <c r="B276" s="789" t="s">
        <v>1104</v>
      </c>
      <c r="C276" s="843">
        <f>+C33*0.03</f>
        <v>2370065.4</v>
      </c>
    </row>
    <row r="277" spans="2:4" ht="12.75" hidden="1" customHeight="1" thickBot="1">
      <c r="B277" s="817" t="s">
        <v>61</v>
      </c>
      <c r="C277" s="859">
        <f>SUM(C274:C276)</f>
        <v>99489280.612961397</v>
      </c>
      <c r="D277" s="856"/>
    </row>
    <row r="278" spans="2:4" ht="13.5" hidden="1" customHeight="1" thickTop="1">
      <c r="B278" s="719" t="s">
        <v>62</v>
      </c>
      <c r="C278" s="926"/>
      <c r="D278" s="927"/>
    </row>
    <row r="279" spans="2:4" hidden="1">
      <c r="B279" s="911"/>
      <c r="C279" s="928"/>
      <c r="D279" s="814"/>
    </row>
    <row r="280" spans="2:4" hidden="1">
      <c r="B280" s="911"/>
      <c r="C280" s="928"/>
      <c r="D280" s="814"/>
    </row>
    <row r="281" spans="2:4" hidden="1">
      <c r="B281" s="719" t="s">
        <v>63</v>
      </c>
      <c r="C281" s="928"/>
      <c r="D281" s="814"/>
    </row>
    <row r="282" spans="2:4" hidden="1">
      <c r="B282" s="719" t="s">
        <v>64</v>
      </c>
      <c r="C282" s="928"/>
      <c r="D282" s="814"/>
    </row>
    <row r="283" spans="2:4" hidden="1">
      <c r="B283" s="719" t="s">
        <v>65</v>
      </c>
      <c r="C283" s="928"/>
      <c r="D283" s="814"/>
    </row>
    <row r="284" spans="2:4">
      <c r="B284" s="911"/>
      <c r="C284" s="928"/>
      <c r="D284" s="814"/>
    </row>
  </sheetData>
  <mergeCells count="22">
    <mergeCell ref="F216:H216"/>
    <mergeCell ref="F54:H54"/>
    <mergeCell ref="B2:C2"/>
    <mergeCell ref="D38:E38"/>
    <mergeCell ref="D62:E62"/>
    <mergeCell ref="F78:H78"/>
    <mergeCell ref="B272:C272"/>
    <mergeCell ref="B55:C55"/>
    <mergeCell ref="B245:C245"/>
    <mergeCell ref="D223:E223"/>
    <mergeCell ref="F239:H239"/>
    <mergeCell ref="D85:E85"/>
    <mergeCell ref="F101:H101"/>
    <mergeCell ref="D108:E108"/>
    <mergeCell ref="F124:H124"/>
    <mergeCell ref="D131:E131"/>
    <mergeCell ref="F147:H147"/>
    <mergeCell ref="D154:E154"/>
    <mergeCell ref="F170:H170"/>
    <mergeCell ref="D177:E177"/>
    <mergeCell ref="F193:H193"/>
    <mergeCell ref="D200:E200"/>
  </mergeCells>
  <pageMargins left="0.7" right="0.7" top="0.75" bottom="0.75" header="0.3" footer="0.3"/>
  <pageSetup paperSize="9" scale="84"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8FC5A-7DC8-4909-A125-17BB98399EA2}">
  <sheetPr codeName="Hoja81"/>
  <dimension ref="A2:J284"/>
  <sheetViews>
    <sheetView topLeftCell="A16" workbookViewId="0">
      <selection activeCell="D253" sqref="D253"/>
    </sheetView>
  </sheetViews>
  <sheetFormatPr defaultColWidth="9.140625" defaultRowHeight="12.75"/>
  <cols>
    <col min="1" max="1" width="3.28515625" style="791" customWidth="1"/>
    <col min="2" max="2" width="21.42578125" style="791" customWidth="1"/>
    <col min="3" max="3" width="15.28515625" style="791" customWidth="1"/>
    <col min="4" max="4" width="11.7109375" style="791" customWidth="1"/>
    <col min="5" max="5" width="13.7109375" style="791" customWidth="1"/>
    <col min="6" max="6" width="11.42578125" style="791" customWidth="1"/>
    <col min="7" max="7" width="5.28515625" style="791" customWidth="1"/>
    <col min="8" max="8" width="12.28515625" style="791" customWidth="1"/>
    <col min="9" max="9" width="12.5703125" style="791" customWidth="1"/>
    <col min="10" max="257" width="11.42578125" style="791" customWidth="1"/>
    <col min="258" max="16384" width="9.140625" style="791"/>
  </cols>
  <sheetData>
    <row r="2" spans="1:8">
      <c r="B2" s="2738"/>
      <c r="C2" s="2738"/>
    </row>
    <row r="3" spans="1:8">
      <c r="B3" s="728" t="s">
        <v>219</v>
      </c>
      <c r="C3" s="737" t="s">
        <v>1055</v>
      </c>
      <c r="D3" s="737"/>
      <c r="E3" s="737"/>
    </row>
    <row r="4" spans="1:8">
      <c r="B4" s="728" t="s">
        <v>1056</v>
      </c>
      <c r="C4" s="737" t="s">
        <v>1057</v>
      </c>
      <c r="D4" s="737"/>
      <c r="E4" s="737"/>
    </row>
    <row r="5" spans="1:8">
      <c r="B5" s="728" t="s">
        <v>220</v>
      </c>
      <c r="C5" s="737" t="s">
        <v>1058</v>
      </c>
      <c r="D5" s="737"/>
      <c r="E5" s="737"/>
    </row>
    <row r="6" spans="1:8">
      <c r="B6" s="728" t="s">
        <v>1059</v>
      </c>
      <c r="C6" s="737" t="s">
        <v>1060</v>
      </c>
      <c r="D6" s="737"/>
      <c r="E6" s="737"/>
      <c r="H6" s="844"/>
    </row>
    <row r="7" spans="1:8">
      <c r="B7" s="728" t="s">
        <v>1061</v>
      </c>
      <c r="C7" s="737" t="s">
        <v>1062</v>
      </c>
      <c r="D7" s="737"/>
      <c r="E7" s="737"/>
    </row>
    <row r="8" spans="1:8">
      <c r="B8" s="728" t="s">
        <v>825</v>
      </c>
      <c r="C8" s="737" t="s">
        <v>1063</v>
      </c>
      <c r="D8" s="737"/>
      <c r="E8" s="737"/>
    </row>
    <row r="9" spans="1:8">
      <c r="B9" s="728" t="s">
        <v>1064</v>
      </c>
      <c r="C9" s="737" t="s">
        <v>1065</v>
      </c>
      <c r="D9" s="737"/>
      <c r="E9" s="737"/>
    </row>
    <row r="10" spans="1:8">
      <c r="B10" s="728" t="s">
        <v>180</v>
      </c>
      <c r="C10" s="737" t="s">
        <v>1066</v>
      </c>
      <c r="D10" s="737"/>
      <c r="E10" s="737"/>
    </row>
    <row r="11" spans="1:8" ht="51">
      <c r="B11" s="728" t="s">
        <v>1067</v>
      </c>
      <c r="C11" s="845" t="s">
        <v>1068</v>
      </c>
      <c r="D11" s="737"/>
      <c r="E11" s="846">
        <v>0.5</v>
      </c>
    </row>
    <row r="12" spans="1:8">
      <c r="B12" s="728" t="s">
        <v>1069</v>
      </c>
      <c r="C12" s="850">
        <v>877802</v>
      </c>
      <c r="D12" s="1525">
        <f>+C12*180</f>
        <v>158004360</v>
      </c>
      <c r="E12" s="850">
        <f>+D12/2</f>
        <v>79002180</v>
      </c>
    </row>
    <row r="13" spans="1:8">
      <c r="B13" s="791" t="s">
        <v>1070</v>
      </c>
    </row>
    <row r="14" spans="1:8">
      <c r="B14" s="791" t="s">
        <v>1071</v>
      </c>
    </row>
    <row r="15" spans="1:8">
      <c r="B15" s="848" t="s">
        <v>1015</v>
      </c>
    </row>
    <row r="16" spans="1:8" ht="24" customHeight="1">
      <c r="A16" s="737"/>
      <c r="B16" s="793" t="s">
        <v>1072</v>
      </c>
      <c r="C16" s="921" t="s">
        <v>1073</v>
      </c>
      <c r="D16" s="1313" t="s">
        <v>1074</v>
      </c>
      <c r="E16" s="921" t="s">
        <v>1075</v>
      </c>
    </row>
    <row r="17" spans="1:5" ht="25.5">
      <c r="A17" s="737">
        <v>1</v>
      </c>
      <c r="B17" s="849" t="s">
        <v>1076</v>
      </c>
      <c r="C17" s="737">
        <v>30</v>
      </c>
      <c r="D17" s="850">
        <f t="shared" ref="D17:D25" si="0">+($C$12*C17)*50%</f>
        <v>13167030</v>
      </c>
      <c r="E17" s="850">
        <v>17374240</v>
      </c>
    </row>
    <row r="18" spans="1:5" ht="25.5">
      <c r="A18" s="737">
        <v>2</v>
      </c>
      <c r="B18" s="849" t="s">
        <v>1077</v>
      </c>
      <c r="C18" s="737">
        <v>20</v>
      </c>
      <c r="D18" s="850">
        <f t="shared" si="0"/>
        <v>8778020</v>
      </c>
      <c r="E18" s="850">
        <v>11582827</v>
      </c>
    </row>
    <row r="19" spans="1:5" ht="25.5">
      <c r="A19" s="737">
        <v>3</v>
      </c>
      <c r="B19" s="849" t="s">
        <v>1078</v>
      </c>
      <c r="C19" s="737">
        <v>20</v>
      </c>
      <c r="D19" s="850">
        <f t="shared" si="0"/>
        <v>8778020</v>
      </c>
      <c r="E19" s="850">
        <v>11582827</v>
      </c>
    </row>
    <row r="20" spans="1:5" ht="25.5">
      <c r="A20" s="737">
        <v>4</v>
      </c>
      <c r="B20" s="849" t="s">
        <v>1079</v>
      </c>
      <c r="C20" s="737">
        <v>10</v>
      </c>
      <c r="D20" s="850">
        <f t="shared" si="0"/>
        <v>4389010</v>
      </c>
      <c r="E20" s="850">
        <v>5791413</v>
      </c>
    </row>
    <row r="21" spans="1:5" ht="25.5">
      <c r="A21" s="737">
        <v>5</v>
      </c>
      <c r="B21" s="849" t="s">
        <v>1080</v>
      </c>
      <c r="C21" s="737">
        <v>10</v>
      </c>
      <c r="D21" s="850">
        <f t="shared" si="0"/>
        <v>4389010</v>
      </c>
      <c r="E21" s="850">
        <v>5791413</v>
      </c>
    </row>
    <row r="22" spans="1:5" ht="25.5">
      <c r="A22" s="737">
        <v>6</v>
      </c>
      <c r="B22" s="849" t="s">
        <v>1081</v>
      </c>
      <c r="C22" s="737">
        <v>10</v>
      </c>
      <c r="D22" s="850">
        <f t="shared" si="0"/>
        <v>4389010</v>
      </c>
      <c r="E22" s="850">
        <v>5791413</v>
      </c>
    </row>
    <row r="23" spans="1:5" ht="25.5">
      <c r="A23" s="737">
        <v>7</v>
      </c>
      <c r="B23" s="849" t="s">
        <v>1082</v>
      </c>
      <c r="C23" s="737">
        <v>10</v>
      </c>
      <c r="D23" s="850">
        <f t="shared" si="0"/>
        <v>4389010</v>
      </c>
      <c r="E23" s="850">
        <v>5791413</v>
      </c>
    </row>
    <row r="24" spans="1:5" ht="25.5">
      <c r="A24" s="737">
        <v>8</v>
      </c>
      <c r="B24" s="849" t="s">
        <v>1083</v>
      </c>
      <c r="C24" s="737">
        <v>10</v>
      </c>
      <c r="D24" s="850">
        <f t="shared" si="0"/>
        <v>4389010</v>
      </c>
      <c r="E24" s="850">
        <v>5791413</v>
      </c>
    </row>
    <row r="25" spans="1:5" ht="25.5">
      <c r="A25" s="737">
        <v>9</v>
      </c>
      <c r="B25" s="849" t="s">
        <v>1084</v>
      </c>
      <c r="C25" s="737">
        <v>10</v>
      </c>
      <c r="D25" s="850">
        <f t="shared" si="0"/>
        <v>4389010</v>
      </c>
      <c r="E25" s="850">
        <v>5791413</v>
      </c>
    </row>
    <row r="26" spans="1:5">
      <c r="D26" s="851"/>
    </row>
    <row r="27" spans="1:5">
      <c r="B27" s="848" t="s">
        <v>1085</v>
      </c>
      <c r="D27" s="851"/>
      <c r="E27" s="848" t="s">
        <v>1086</v>
      </c>
    </row>
    <row r="28" spans="1:5" ht="23.25" customHeight="1">
      <c r="A28" s="791">
        <v>10</v>
      </c>
      <c r="B28" s="852" t="s">
        <v>1076</v>
      </c>
      <c r="C28" s="791">
        <v>50</v>
      </c>
      <c r="D28" s="851">
        <f>+($C$12*C28)*50%</f>
        <v>21945050</v>
      </c>
      <c r="E28" s="851">
        <v>17374240</v>
      </c>
    </row>
    <row r="29" spans="1:5">
      <c r="D29" s="851"/>
    </row>
    <row r="30" spans="1:5">
      <c r="B30" s="848" t="s">
        <v>1087</v>
      </c>
    </row>
    <row r="31" spans="1:5">
      <c r="B31" s="848" t="s">
        <v>1085</v>
      </c>
    </row>
    <row r="32" spans="1:5" ht="25.5">
      <c r="B32" s="852" t="s">
        <v>1076</v>
      </c>
      <c r="E32" s="851">
        <v>17374240</v>
      </c>
    </row>
    <row r="33" spans="1:9" ht="13.5" thickBot="1">
      <c r="A33" s="880" t="s">
        <v>1088</v>
      </c>
      <c r="B33" s="860"/>
      <c r="C33" s="851">
        <f>SUM(D17:D28)</f>
        <v>79002180</v>
      </c>
      <c r="D33" s="851"/>
      <c r="E33" s="853">
        <f>SUM(E17:E32)+0.4</f>
        <v>110036852.40000001</v>
      </c>
    </row>
    <row r="34" spans="1:9" ht="13.5" thickTop="1"/>
    <row r="35" spans="1:9">
      <c r="B35" s="791" t="s">
        <v>1089</v>
      </c>
    </row>
    <row r="36" spans="1:9">
      <c r="B36" s="791" t="s">
        <v>180</v>
      </c>
      <c r="C36" s="727">
        <v>44167</v>
      </c>
    </row>
    <row r="37" spans="1:9" ht="25.5">
      <c r="A37" s="791">
        <v>1</v>
      </c>
      <c r="B37" s="866" t="s">
        <v>1076</v>
      </c>
      <c r="C37" s="867">
        <f>30+50</f>
        <v>80</v>
      </c>
      <c r="D37" s="2024">
        <f>+($C$12*C37)*50%</f>
        <v>35112080</v>
      </c>
    </row>
    <row r="38" spans="1:9" ht="34.5" customHeight="1">
      <c r="B38" s="969" t="s">
        <v>206</v>
      </c>
      <c r="C38" s="969" t="s">
        <v>10</v>
      </c>
      <c r="D38" s="2739" t="s">
        <v>1090</v>
      </c>
      <c r="E38" s="2740"/>
      <c r="F38" s="969" t="s">
        <v>202</v>
      </c>
      <c r="G38" s="969" t="s">
        <v>1091</v>
      </c>
      <c r="H38" s="969" t="s">
        <v>204</v>
      </c>
      <c r="I38" s="969" t="s">
        <v>205</v>
      </c>
    </row>
    <row r="39" spans="1:9">
      <c r="B39" s="727">
        <v>44173</v>
      </c>
      <c r="C39" s="727">
        <v>44196</v>
      </c>
      <c r="D39" s="869">
        <v>0</v>
      </c>
      <c r="E39" s="870">
        <v>1.9300000000000001E-2</v>
      </c>
      <c r="F39" s="871">
        <f>+$D$37</f>
        <v>35112080</v>
      </c>
      <c r="G39" s="872">
        <f>_xlfn.DAYS(C39,B39)+1</f>
        <v>24</v>
      </c>
      <c r="H39" s="873">
        <f>((1+E39)^(1/365)-1)</f>
        <v>5.2374295299806306E-5</v>
      </c>
      <c r="I39" s="2018">
        <f>ROUND(F39*G39*H39,2)</f>
        <v>44135.29</v>
      </c>
    </row>
    <row r="40" spans="1:9">
      <c r="B40" s="724">
        <v>44197</v>
      </c>
      <c r="C40" s="724">
        <v>44227</v>
      </c>
      <c r="D40" s="796">
        <v>0</v>
      </c>
      <c r="E40" s="840">
        <v>1.9099999999999999E-2</v>
      </c>
      <c r="F40" s="836">
        <f t="shared" ref="F40:F53" si="1">+$D$37</f>
        <v>35112080</v>
      </c>
      <c r="G40" s="841">
        <f t="shared" ref="G40:G53" si="2">_xlfn.DAYS(C40,B40)+1</f>
        <v>31</v>
      </c>
      <c r="H40" s="838">
        <f t="shared" ref="H40:H53" si="3">((1+E40)^(1/365)-1)</f>
        <v>5.1836644438196799E-5</v>
      </c>
      <c r="I40" s="2018">
        <f>ROUND(F40*G40*H40,2)</f>
        <v>56422.86</v>
      </c>
    </row>
    <row r="41" spans="1:9">
      <c r="B41" s="724">
        <v>44228</v>
      </c>
      <c r="C41" s="724">
        <v>44255</v>
      </c>
      <c r="D41" s="796">
        <v>0</v>
      </c>
      <c r="E41" s="840">
        <v>1.8100000000000002E-2</v>
      </c>
      <c r="F41" s="836">
        <f t="shared" si="1"/>
        <v>35112080</v>
      </c>
      <c r="G41" s="841">
        <f t="shared" si="2"/>
        <v>28</v>
      </c>
      <c r="H41" s="838">
        <f t="shared" si="3"/>
        <v>4.9146810763511795E-5</v>
      </c>
      <c r="I41" s="2018">
        <f>ROUND(F41*G41*H41,2)</f>
        <v>48318.11</v>
      </c>
    </row>
    <row r="42" spans="1:9">
      <c r="B42" s="724">
        <v>44256</v>
      </c>
      <c r="C42" s="724">
        <v>44263</v>
      </c>
      <c r="D42" s="796">
        <v>0</v>
      </c>
      <c r="E42" s="840">
        <v>1.77E-2</v>
      </c>
      <c r="F42" s="836">
        <f t="shared" si="1"/>
        <v>35112080</v>
      </c>
      <c r="G42" s="841">
        <f t="shared" si="2"/>
        <v>8</v>
      </c>
      <c r="H42" s="838">
        <f t="shared" si="3"/>
        <v>4.8070139484934771E-5</v>
      </c>
      <c r="I42" s="2018">
        <f>ROUND(F42*G42*H42,2)</f>
        <v>13502.74</v>
      </c>
    </row>
    <row r="43" spans="1:9">
      <c r="B43" s="724">
        <v>44259</v>
      </c>
      <c r="C43" s="724">
        <v>44286</v>
      </c>
      <c r="D43" s="796">
        <v>0</v>
      </c>
      <c r="E43" s="840">
        <v>1.77E-2</v>
      </c>
      <c r="F43" s="836">
        <f t="shared" si="1"/>
        <v>35112080</v>
      </c>
      <c r="G43" s="841">
        <f t="shared" si="2"/>
        <v>28</v>
      </c>
      <c r="H43" s="838">
        <f t="shared" si="3"/>
        <v>4.8070139484934771E-5</v>
      </c>
      <c r="I43" s="2017">
        <v>0</v>
      </c>
    </row>
    <row r="44" spans="1:9">
      <c r="B44" s="724">
        <v>44287</v>
      </c>
      <c r="C44" s="724">
        <v>44316</v>
      </c>
      <c r="D44" s="796">
        <v>0</v>
      </c>
      <c r="E44" s="840">
        <v>1.7600000000000001E-2</v>
      </c>
      <c r="F44" s="836">
        <f t="shared" si="1"/>
        <v>35112080</v>
      </c>
      <c r="G44" s="841">
        <f t="shared" si="2"/>
        <v>30</v>
      </c>
      <c r="H44" s="838">
        <f t="shared" si="3"/>
        <v>4.7800905724759701E-5</v>
      </c>
      <c r="I44" s="2017">
        <v>0</v>
      </c>
    </row>
    <row r="45" spans="1:9">
      <c r="B45" s="724">
        <v>44317</v>
      </c>
      <c r="C45" s="724">
        <v>44347</v>
      </c>
      <c r="D45" s="796">
        <v>0</v>
      </c>
      <c r="E45" s="840">
        <v>1.8200000000000001E-2</v>
      </c>
      <c r="F45" s="836">
        <f t="shared" si="1"/>
        <v>35112080</v>
      </c>
      <c r="G45" s="841">
        <f t="shared" si="2"/>
        <v>31</v>
      </c>
      <c r="H45" s="838">
        <f t="shared" si="3"/>
        <v>4.9415912668715478E-5</v>
      </c>
      <c r="I45" s="2017">
        <v>0</v>
      </c>
    </row>
    <row r="46" spans="1:9">
      <c r="B46" s="724">
        <v>44348</v>
      </c>
      <c r="C46" s="724">
        <v>44377</v>
      </c>
      <c r="D46" s="796">
        <v>0</v>
      </c>
      <c r="E46" s="840">
        <v>1.9099999999999999E-2</v>
      </c>
      <c r="F46" s="836">
        <f t="shared" si="1"/>
        <v>35112080</v>
      </c>
      <c r="G46" s="841">
        <f t="shared" si="2"/>
        <v>30</v>
      </c>
      <c r="H46" s="838">
        <f t="shared" si="3"/>
        <v>5.1836644438196799E-5</v>
      </c>
      <c r="I46" s="2017">
        <v>0</v>
      </c>
    </row>
    <row r="47" spans="1:9">
      <c r="B47" s="724">
        <v>44378</v>
      </c>
      <c r="C47" s="724">
        <v>44408</v>
      </c>
      <c r="D47" s="796">
        <v>0</v>
      </c>
      <c r="E47" s="840">
        <v>1.9E-2</v>
      </c>
      <c r="F47" s="836">
        <f t="shared" si="1"/>
        <v>35112080</v>
      </c>
      <c r="G47" s="841">
        <f t="shared" si="2"/>
        <v>31</v>
      </c>
      <c r="H47" s="838">
        <f t="shared" si="3"/>
        <v>5.1567779546513037E-5</v>
      </c>
      <c r="I47" s="2017">
        <v>0</v>
      </c>
    </row>
    <row r="48" spans="1:9">
      <c r="B48" s="724">
        <v>44409</v>
      </c>
      <c r="C48" s="724">
        <v>44439</v>
      </c>
      <c r="D48" s="796">
        <v>0</v>
      </c>
      <c r="E48" s="840">
        <v>1.9900000000000001E-2</v>
      </c>
      <c r="F48" s="836">
        <f t="shared" si="1"/>
        <v>35112080</v>
      </c>
      <c r="G48" s="841">
        <f t="shared" si="2"/>
        <v>31</v>
      </c>
      <c r="H48" s="838">
        <f t="shared" si="3"/>
        <v>5.3986616880719041E-5</v>
      </c>
      <c r="I48" s="2017">
        <v>0</v>
      </c>
    </row>
    <row r="49" spans="1:9">
      <c r="B49" s="724">
        <v>44440</v>
      </c>
      <c r="C49" s="724">
        <v>44442</v>
      </c>
      <c r="D49" s="796">
        <v>0</v>
      </c>
      <c r="E49" s="840">
        <v>1.9900000000000001E-2</v>
      </c>
      <c r="F49" s="836">
        <f t="shared" si="1"/>
        <v>35112080</v>
      </c>
      <c r="G49" s="841">
        <f t="shared" si="2"/>
        <v>3</v>
      </c>
      <c r="H49" s="838">
        <f>((1+E49)^(1/365)-1)</f>
        <v>5.3986616880719041E-5</v>
      </c>
      <c r="I49" s="2017">
        <v>0</v>
      </c>
    </row>
    <row r="50" spans="1:9">
      <c r="B50" s="724">
        <v>44443</v>
      </c>
      <c r="C50" s="724">
        <v>44469</v>
      </c>
      <c r="D50" s="796">
        <v>0.1719</v>
      </c>
      <c r="E50" s="840">
        <f>+D50*1.5</f>
        <v>0.25785000000000002</v>
      </c>
      <c r="F50" s="836">
        <f t="shared" si="1"/>
        <v>35112080</v>
      </c>
      <c r="G50" s="841">
        <f t="shared" si="2"/>
        <v>27</v>
      </c>
      <c r="H50" s="838">
        <f t="shared" si="3"/>
        <v>6.2870142469861889E-4</v>
      </c>
      <c r="I50" s="2017">
        <v>0</v>
      </c>
    </row>
    <row r="51" spans="1:9">
      <c r="B51" s="724">
        <v>44470</v>
      </c>
      <c r="C51" s="724">
        <v>44500</v>
      </c>
      <c r="D51" s="796">
        <v>0.17080000000000001</v>
      </c>
      <c r="E51" s="840">
        <f>+D51*1.5</f>
        <v>0.25619999999999998</v>
      </c>
      <c r="F51" s="836">
        <f t="shared" si="1"/>
        <v>35112080</v>
      </c>
      <c r="G51" s="841">
        <f t="shared" si="2"/>
        <v>31</v>
      </c>
      <c r="H51" s="838">
        <f t="shared" si="3"/>
        <v>6.2510294214179751E-4</v>
      </c>
      <c r="I51" s="2017">
        <v>0</v>
      </c>
    </row>
    <row r="52" spans="1:9">
      <c r="B52" s="724">
        <v>44501</v>
      </c>
      <c r="C52" s="724">
        <v>44530</v>
      </c>
      <c r="D52" s="796">
        <v>0.17269999999999999</v>
      </c>
      <c r="E52" s="842">
        <f>+D52*1.5</f>
        <v>0.25905</v>
      </c>
      <c r="F52" s="836">
        <f t="shared" si="1"/>
        <v>35112080</v>
      </c>
      <c r="G52" s="841">
        <f t="shared" si="2"/>
        <v>30</v>
      </c>
      <c r="H52" s="838">
        <f t="shared" si="3"/>
        <v>6.3131554742335005E-4</v>
      </c>
      <c r="I52" s="2017">
        <v>0</v>
      </c>
    </row>
    <row r="53" spans="1:9">
      <c r="B53" s="724">
        <v>44531</v>
      </c>
      <c r="C53" s="724">
        <v>44559</v>
      </c>
      <c r="D53" s="796">
        <v>0.17460000000000001</v>
      </c>
      <c r="E53" s="842">
        <f>+D53*1.5</f>
        <v>0.26190000000000002</v>
      </c>
      <c r="F53" s="836">
        <f t="shared" si="1"/>
        <v>35112080</v>
      </c>
      <c r="G53" s="841">
        <f t="shared" si="2"/>
        <v>29</v>
      </c>
      <c r="H53" s="838">
        <f t="shared" si="3"/>
        <v>6.3751414410861962E-4</v>
      </c>
      <c r="I53" s="2017">
        <v>0</v>
      </c>
    </row>
    <row r="54" spans="1:9">
      <c r="F54" s="2735" t="s">
        <v>162</v>
      </c>
      <c r="G54" s="2736"/>
      <c r="H54" s="2737"/>
      <c r="I54" s="2021">
        <f>SUM(I39:I53)</f>
        <v>162379</v>
      </c>
    </row>
    <row r="55" spans="1:9" ht="30" customHeight="1">
      <c r="B55" s="2734" t="s">
        <v>1092</v>
      </c>
      <c r="C55" s="2734"/>
    </row>
    <row r="56" spans="1:9">
      <c r="B56" s="726" t="s">
        <v>56</v>
      </c>
      <c r="C56" s="726" t="s">
        <v>163</v>
      </c>
    </row>
    <row r="57" spans="1:9">
      <c r="B57" s="741" t="s">
        <v>133</v>
      </c>
      <c r="C57" s="2019">
        <f>+D37</f>
        <v>35112080</v>
      </c>
    </row>
    <row r="58" spans="1:9">
      <c r="B58" s="741" t="s">
        <v>134</v>
      </c>
      <c r="C58" s="2019">
        <f>+I54</f>
        <v>162379</v>
      </c>
    </row>
    <row r="59" spans="1:9" ht="13.5" thickBot="1">
      <c r="B59" s="817" t="s">
        <v>61</v>
      </c>
      <c r="C59" s="2022">
        <f>SUM(C57:C58)</f>
        <v>35274459</v>
      </c>
    </row>
    <row r="60" spans="1:9" ht="13.5" thickTop="1">
      <c r="C60" s="854"/>
    </row>
    <row r="61" spans="1:9" ht="25.5">
      <c r="A61" s="791">
        <v>2</v>
      </c>
      <c r="B61" s="866" t="s">
        <v>1077</v>
      </c>
      <c r="C61" s="867" t="s">
        <v>1093</v>
      </c>
      <c r="D61" s="2024">
        <v>8778020</v>
      </c>
    </row>
    <row r="62" spans="1:9" ht="38.25" customHeight="1">
      <c r="B62" s="969" t="s">
        <v>206</v>
      </c>
      <c r="C62" s="969" t="s">
        <v>10</v>
      </c>
      <c r="D62" s="2719" t="s">
        <v>1090</v>
      </c>
      <c r="E62" s="2720"/>
      <c r="F62" s="974" t="s">
        <v>202</v>
      </c>
      <c r="G62" s="969" t="s">
        <v>1091</v>
      </c>
      <c r="H62" s="974" t="s">
        <v>204</v>
      </c>
      <c r="I62" s="974" t="s">
        <v>205</v>
      </c>
    </row>
    <row r="63" spans="1:9">
      <c r="B63" s="727">
        <v>44173</v>
      </c>
      <c r="C63" s="727">
        <v>44196</v>
      </c>
      <c r="D63" s="869">
        <v>0</v>
      </c>
      <c r="E63" s="870">
        <v>1.9300000000000001E-2</v>
      </c>
      <c r="F63" s="871">
        <f>$D$61</f>
        <v>8778020</v>
      </c>
      <c r="G63" s="872">
        <f t="shared" ref="G63:G77" si="4">_xlfn.DAYS(C63,B63)+1</f>
        <v>24</v>
      </c>
      <c r="H63" s="873">
        <f>((1+E63)^(1/365)-1)</f>
        <v>5.2374295299806306E-5</v>
      </c>
      <c r="I63" s="2018">
        <f>ROUND(F63*G63*H63,2)</f>
        <v>11033.82</v>
      </c>
    </row>
    <row r="64" spans="1:9">
      <c r="B64" s="724">
        <v>44197</v>
      </c>
      <c r="C64" s="724">
        <v>44227</v>
      </c>
      <c r="D64" s="796">
        <v>0</v>
      </c>
      <c r="E64" s="840">
        <v>1.9099999999999999E-2</v>
      </c>
      <c r="F64" s="871">
        <f t="shared" ref="F64:F76" si="5">$D$61</f>
        <v>8778020</v>
      </c>
      <c r="G64" s="841">
        <f t="shared" si="4"/>
        <v>31</v>
      </c>
      <c r="H64" s="838">
        <f t="shared" ref="H64:H72" si="6">((1+E64)^(1/365)-1)</f>
        <v>5.1836644438196799E-5</v>
      </c>
      <c r="I64" s="2018">
        <f>ROUND(F64*G64*H64,2)</f>
        <v>14105.72</v>
      </c>
    </row>
    <row r="65" spans="2:9">
      <c r="B65" s="724">
        <v>44228</v>
      </c>
      <c r="C65" s="724">
        <v>44255</v>
      </c>
      <c r="D65" s="796">
        <v>0</v>
      </c>
      <c r="E65" s="840">
        <v>1.8100000000000002E-2</v>
      </c>
      <c r="F65" s="871">
        <f t="shared" si="5"/>
        <v>8778020</v>
      </c>
      <c r="G65" s="841">
        <f t="shared" si="4"/>
        <v>28</v>
      </c>
      <c r="H65" s="838">
        <f t="shared" si="6"/>
        <v>4.9146810763511795E-5</v>
      </c>
      <c r="I65" s="2018">
        <f>ROUND(F65*G65*H65,2)</f>
        <v>12079.53</v>
      </c>
    </row>
    <row r="66" spans="2:9">
      <c r="B66" s="724">
        <v>44256</v>
      </c>
      <c r="C66" s="724">
        <v>44263</v>
      </c>
      <c r="D66" s="796">
        <v>0</v>
      </c>
      <c r="E66" s="840">
        <v>1.77E-2</v>
      </c>
      <c r="F66" s="871">
        <f t="shared" si="5"/>
        <v>8778020</v>
      </c>
      <c r="G66" s="841">
        <f t="shared" si="4"/>
        <v>8</v>
      </c>
      <c r="H66" s="838">
        <f t="shared" si="6"/>
        <v>4.8070139484934771E-5</v>
      </c>
      <c r="I66" s="2018">
        <f>ROUND(F66*G66*H66,2)</f>
        <v>3375.69</v>
      </c>
    </row>
    <row r="67" spans="2:9">
      <c r="B67" s="724">
        <v>44259</v>
      </c>
      <c r="C67" s="724">
        <v>44286</v>
      </c>
      <c r="D67" s="796">
        <v>0</v>
      </c>
      <c r="E67" s="840">
        <v>1.77E-2</v>
      </c>
      <c r="F67" s="871">
        <f t="shared" si="5"/>
        <v>8778020</v>
      </c>
      <c r="G67" s="841">
        <f t="shared" si="4"/>
        <v>28</v>
      </c>
      <c r="H67" s="838">
        <f t="shared" si="6"/>
        <v>4.8070139484934771E-5</v>
      </c>
      <c r="I67" s="839">
        <v>0</v>
      </c>
    </row>
    <row r="68" spans="2:9">
      <c r="B68" s="724">
        <v>44287</v>
      </c>
      <c r="C68" s="724">
        <v>44316</v>
      </c>
      <c r="D68" s="796">
        <v>0</v>
      </c>
      <c r="E68" s="840">
        <v>1.7600000000000001E-2</v>
      </c>
      <c r="F68" s="871">
        <f t="shared" si="5"/>
        <v>8778020</v>
      </c>
      <c r="G68" s="841">
        <f t="shared" si="4"/>
        <v>30</v>
      </c>
      <c r="H68" s="838">
        <f t="shared" si="6"/>
        <v>4.7800905724759701E-5</v>
      </c>
      <c r="I68" s="839">
        <v>0</v>
      </c>
    </row>
    <row r="69" spans="2:9">
      <c r="B69" s="724">
        <v>44317</v>
      </c>
      <c r="C69" s="724">
        <v>44347</v>
      </c>
      <c r="D69" s="796">
        <v>0</v>
      </c>
      <c r="E69" s="840">
        <v>1.8200000000000001E-2</v>
      </c>
      <c r="F69" s="871">
        <f t="shared" si="5"/>
        <v>8778020</v>
      </c>
      <c r="G69" s="841">
        <f t="shared" si="4"/>
        <v>31</v>
      </c>
      <c r="H69" s="838">
        <f t="shared" si="6"/>
        <v>4.9415912668715478E-5</v>
      </c>
      <c r="I69" s="839">
        <v>0</v>
      </c>
    </row>
    <row r="70" spans="2:9">
      <c r="B70" s="724">
        <v>44348</v>
      </c>
      <c r="C70" s="724">
        <v>44377</v>
      </c>
      <c r="D70" s="796">
        <v>0</v>
      </c>
      <c r="E70" s="840">
        <v>1.9099999999999999E-2</v>
      </c>
      <c r="F70" s="871">
        <f t="shared" si="5"/>
        <v>8778020</v>
      </c>
      <c r="G70" s="841">
        <f t="shared" si="4"/>
        <v>30</v>
      </c>
      <c r="H70" s="838">
        <f t="shared" si="6"/>
        <v>5.1836644438196799E-5</v>
      </c>
      <c r="I70" s="839">
        <v>0</v>
      </c>
    </row>
    <row r="71" spans="2:9">
      <c r="B71" s="724">
        <v>44378</v>
      </c>
      <c r="C71" s="724">
        <v>44408</v>
      </c>
      <c r="D71" s="796">
        <v>0</v>
      </c>
      <c r="E71" s="840">
        <v>1.9E-2</v>
      </c>
      <c r="F71" s="871">
        <f t="shared" si="5"/>
        <v>8778020</v>
      </c>
      <c r="G71" s="841">
        <f t="shared" si="4"/>
        <v>31</v>
      </c>
      <c r="H71" s="838">
        <f t="shared" si="6"/>
        <v>5.1567779546513037E-5</v>
      </c>
      <c r="I71" s="839">
        <v>0</v>
      </c>
    </row>
    <row r="72" spans="2:9">
      <c r="B72" s="724">
        <v>44409</v>
      </c>
      <c r="C72" s="724">
        <v>44439</v>
      </c>
      <c r="D72" s="796">
        <v>0</v>
      </c>
      <c r="E72" s="840">
        <v>1.9900000000000001E-2</v>
      </c>
      <c r="F72" s="871">
        <f t="shared" si="5"/>
        <v>8778020</v>
      </c>
      <c r="G72" s="841">
        <f t="shared" si="4"/>
        <v>31</v>
      </c>
      <c r="H72" s="838">
        <f t="shared" si="6"/>
        <v>5.3986616880719041E-5</v>
      </c>
      <c r="I72" s="839">
        <v>0</v>
      </c>
    </row>
    <row r="73" spans="2:9">
      <c r="B73" s="724">
        <v>44440</v>
      </c>
      <c r="C73" s="724">
        <v>44442</v>
      </c>
      <c r="D73" s="796">
        <v>0</v>
      </c>
      <c r="E73" s="840">
        <v>1.9900000000000001E-2</v>
      </c>
      <c r="F73" s="871">
        <f t="shared" si="5"/>
        <v>8778020</v>
      </c>
      <c r="G73" s="841">
        <f t="shared" si="4"/>
        <v>3</v>
      </c>
      <c r="H73" s="838">
        <f>((1+E73)^(1/365)-1)</f>
        <v>5.3986616880719041E-5</v>
      </c>
      <c r="I73" s="839">
        <v>0</v>
      </c>
    </row>
    <row r="74" spans="2:9">
      <c r="B74" s="724">
        <v>44443</v>
      </c>
      <c r="C74" s="724">
        <v>44469</v>
      </c>
      <c r="D74" s="796">
        <v>0.1719</v>
      </c>
      <c r="E74" s="840">
        <f>+D74*1.5</f>
        <v>0.25785000000000002</v>
      </c>
      <c r="F74" s="871">
        <f t="shared" si="5"/>
        <v>8778020</v>
      </c>
      <c r="G74" s="841">
        <f t="shared" si="4"/>
        <v>27</v>
      </c>
      <c r="H74" s="838">
        <f>((1+E74)^(1/365)-1)</f>
        <v>6.2870142469861889E-4</v>
      </c>
      <c r="I74" s="839">
        <v>0</v>
      </c>
    </row>
    <row r="75" spans="2:9">
      <c r="B75" s="724">
        <v>44470</v>
      </c>
      <c r="C75" s="724">
        <v>44500</v>
      </c>
      <c r="D75" s="796">
        <v>0.17080000000000001</v>
      </c>
      <c r="E75" s="840">
        <f>+D75*1.5</f>
        <v>0.25619999999999998</v>
      </c>
      <c r="F75" s="871">
        <f t="shared" si="5"/>
        <v>8778020</v>
      </c>
      <c r="G75" s="841">
        <f t="shared" si="4"/>
        <v>31</v>
      </c>
      <c r="H75" s="838">
        <f>((1+E75)^(1/365)-1)</f>
        <v>6.2510294214179751E-4</v>
      </c>
      <c r="I75" s="839">
        <v>0</v>
      </c>
    </row>
    <row r="76" spans="2:9">
      <c r="B76" s="724">
        <v>44501</v>
      </c>
      <c r="C76" s="724">
        <v>44530</v>
      </c>
      <c r="D76" s="796">
        <v>0.17269999999999999</v>
      </c>
      <c r="E76" s="842">
        <f>+D76*1.5</f>
        <v>0.25905</v>
      </c>
      <c r="F76" s="871">
        <f t="shared" si="5"/>
        <v>8778020</v>
      </c>
      <c r="G76" s="841">
        <f t="shared" si="4"/>
        <v>30</v>
      </c>
      <c r="H76" s="838">
        <f>((1+E76)^(1/365)-1)</f>
        <v>6.3131554742335005E-4</v>
      </c>
      <c r="I76" s="839">
        <v>0</v>
      </c>
    </row>
    <row r="77" spans="2:9">
      <c r="B77" s="724">
        <v>44531</v>
      </c>
      <c r="C77" s="724">
        <v>44559</v>
      </c>
      <c r="D77" s="796">
        <v>0.17460000000000001</v>
      </c>
      <c r="E77" s="842">
        <f>+D77*1.5</f>
        <v>0.26190000000000002</v>
      </c>
      <c r="F77" s="836">
        <f>+$D$37</f>
        <v>35112080</v>
      </c>
      <c r="G77" s="841">
        <f t="shared" si="4"/>
        <v>29</v>
      </c>
      <c r="H77" s="838">
        <f>((1+E77)^(1/365)-1)</f>
        <v>6.3751414410861962E-4</v>
      </c>
      <c r="I77" s="839">
        <v>0</v>
      </c>
    </row>
    <row r="78" spans="2:9" ht="18.75" customHeight="1">
      <c r="F78" s="2735" t="s">
        <v>162</v>
      </c>
      <c r="G78" s="2736"/>
      <c r="H78" s="2737"/>
      <c r="I78" s="2017">
        <f>SUM(I63:I77)</f>
        <v>40594.76</v>
      </c>
    </row>
    <row r="79" spans="2:9" ht="39.75" customHeight="1">
      <c r="B79" s="916" t="s">
        <v>1094</v>
      </c>
      <c r="C79" s="726" t="s">
        <v>163</v>
      </c>
    </row>
    <row r="80" spans="2:9">
      <c r="B80" s="741" t="s">
        <v>133</v>
      </c>
      <c r="C80" s="2019">
        <f>+D61</f>
        <v>8778020</v>
      </c>
    </row>
    <row r="81" spans="1:10">
      <c r="B81" s="741" t="s">
        <v>134</v>
      </c>
      <c r="C81" s="2019">
        <f>+I78</f>
        <v>40594.76</v>
      </c>
    </row>
    <row r="82" spans="1:10" ht="13.5" thickBot="1">
      <c r="B82" s="817" t="s">
        <v>61</v>
      </c>
      <c r="C82" s="2020">
        <f>SUM(C80:C81)</f>
        <v>8818614.7599999998</v>
      </c>
    </row>
    <row r="83" spans="1:10" ht="13.5" thickTop="1">
      <c r="C83" s="854"/>
    </row>
    <row r="84" spans="1:10" ht="24" customHeight="1">
      <c r="A84" s="791">
        <v>3</v>
      </c>
      <c r="B84" s="875" t="s">
        <v>1078</v>
      </c>
      <c r="C84" s="867" t="s">
        <v>1093</v>
      </c>
      <c r="D84" s="868">
        <f>+D19</f>
        <v>8778020</v>
      </c>
    </row>
    <row r="85" spans="1:10" ht="38.25">
      <c r="B85" s="969" t="s">
        <v>206</v>
      </c>
      <c r="C85" s="969" t="s">
        <v>10</v>
      </c>
      <c r="D85" s="2719" t="s">
        <v>1090</v>
      </c>
      <c r="E85" s="2720"/>
      <c r="F85" s="974" t="s">
        <v>202</v>
      </c>
      <c r="G85" s="969" t="s">
        <v>706</v>
      </c>
      <c r="H85" s="974" t="s">
        <v>204</v>
      </c>
      <c r="I85" s="974" t="s">
        <v>205</v>
      </c>
    </row>
    <row r="86" spans="1:10">
      <c r="B86" s="727">
        <v>44173</v>
      </c>
      <c r="C86" s="727">
        <v>44196</v>
      </c>
      <c r="D86" s="869">
        <v>0</v>
      </c>
      <c r="E86" s="870">
        <v>1.9300000000000001E-2</v>
      </c>
      <c r="F86" s="871">
        <f>$D$84</f>
        <v>8778020</v>
      </c>
      <c r="G86" s="872">
        <f>_xlfn.DAYS(C86,B86)+1</f>
        <v>24</v>
      </c>
      <c r="H86" s="873">
        <f>((1+E86)^(1/365)-1)</f>
        <v>5.2374295299806306E-5</v>
      </c>
      <c r="I86" s="2018">
        <f>ROUND(F86*G86*H86,2)</f>
        <v>11033.82</v>
      </c>
      <c r="J86" s="925"/>
    </row>
    <row r="87" spans="1:10">
      <c r="B87" s="724">
        <v>44197</v>
      </c>
      <c r="C87" s="724">
        <v>44227</v>
      </c>
      <c r="D87" s="796">
        <v>0</v>
      </c>
      <c r="E87" s="840">
        <v>1.9099999999999999E-2</v>
      </c>
      <c r="F87" s="871">
        <f t="shared" ref="F87:F99" si="7">$D$84</f>
        <v>8778020</v>
      </c>
      <c r="G87" s="841">
        <f>_xlfn.DAYS(C87,B87)+1</f>
        <v>31</v>
      </c>
      <c r="H87" s="838">
        <f t="shared" ref="H87:H95" si="8">((1+E87)^(1/365)-1)</f>
        <v>5.1836644438196799E-5</v>
      </c>
      <c r="I87" s="2018">
        <f>ROUND(F87*G87*H87,2)</f>
        <v>14105.72</v>
      </c>
      <c r="J87" s="925"/>
    </row>
    <row r="88" spans="1:10">
      <c r="B88" s="724">
        <v>44228</v>
      </c>
      <c r="C88" s="724">
        <v>44255</v>
      </c>
      <c r="D88" s="796">
        <v>0</v>
      </c>
      <c r="E88" s="840">
        <v>1.8100000000000002E-2</v>
      </c>
      <c r="F88" s="871">
        <f t="shared" si="7"/>
        <v>8778020</v>
      </c>
      <c r="G88" s="841">
        <f>_xlfn.DAYS(C88,B88)+1</f>
        <v>28</v>
      </c>
      <c r="H88" s="838">
        <f t="shared" si="8"/>
        <v>4.9146810763511795E-5</v>
      </c>
      <c r="I88" s="2018">
        <f>ROUND(F88*G88*H88,2)</f>
        <v>12079.53</v>
      </c>
      <c r="J88" s="925"/>
    </row>
    <row r="89" spans="1:10">
      <c r="B89" s="724">
        <v>44256</v>
      </c>
      <c r="C89" s="724">
        <v>44263</v>
      </c>
      <c r="D89" s="796">
        <v>0</v>
      </c>
      <c r="E89" s="840">
        <v>1.77E-2</v>
      </c>
      <c r="F89" s="871">
        <f t="shared" si="7"/>
        <v>8778020</v>
      </c>
      <c r="G89" s="841">
        <f>_xlfn.DAYS(C89,B89)+1</f>
        <v>8</v>
      </c>
      <c r="H89" s="838">
        <f t="shared" si="8"/>
        <v>4.8070139484934771E-5</v>
      </c>
      <c r="I89" s="2018">
        <f>ROUND(F89*G89*H89,2)</f>
        <v>3375.69</v>
      </c>
      <c r="J89" s="925"/>
    </row>
    <row r="90" spans="1:10">
      <c r="B90" s="724">
        <v>44259</v>
      </c>
      <c r="C90" s="724">
        <v>44286</v>
      </c>
      <c r="D90" s="796">
        <v>0</v>
      </c>
      <c r="E90" s="840">
        <v>1.77E-2</v>
      </c>
      <c r="F90" s="871">
        <f t="shared" si="7"/>
        <v>8778020</v>
      </c>
      <c r="G90" s="841">
        <f t="shared" ref="G90:G100" si="9">_xlfn.DAYS(C90,B90)+1</f>
        <v>28</v>
      </c>
      <c r="H90" s="838">
        <f t="shared" si="8"/>
        <v>4.8070139484934771E-5</v>
      </c>
      <c r="I90" s="2017">
        <v>0</v>
      </c>
      <c r="J90" s="925"/>
    </row>
    <row r="91" spans="1:10">
      <c r="B91" s="724">
        <v>44287</v>
      </c>
      <c r="C91" s="724">
        <v>44316</v>
      </c>
      <c r="D91" s="796">
        <v>0</v>
      </c>
      <c r="E91" s="840">
        <v>1.7600000000000001E-2</v>
      </c>
      <c r="F91" s="871">
        <f t="shared" si="7"/>
        <v>8778020</v>
      </c>
      <c r="G91" s="841">
        <f t="shared" si="9"/>
        <v>30</v>
      </c>
      <c r="H91" s="838">
        <f t="shared" si="8"/>
        <v>4.7800905724759701E-5</v>
      </c>
      <c r="I91" s="2017">
        <v>0</v>
      </c>
      <c r="J91" s="925"/>
    </row>
    <row r="92" spans="1:10">
      <c r="B92" s="724">
        <v>44317</v>
      </c>
      <c r="C92" s="724">
        <v>44347</v>
      </c>
      <c r="D92" s="796">
        <v>0</v>
      </c>
      <c r="E92" s="840">
        <v>1.8200000000000001E-2</v>
      </c>
      <c r="F92" s="871">
        <f t="shared" si="7"/>
        <v>8778020</v>
      </c>
      <c r="G92" s="841">
        <f t="shared" si="9"/>
        <v>31</v>
      </c>
      <c r="H92" s="838">
        <f t="shared" si="8"/>
        <v>4.9415912668715478E-5</v>
      </c>
      <c r="I92" s="839">
        <v>0</v>
      </c>
      <c r="J92" s="925"/>
    </row>
    <row r="93" spans="1:10">
      <c r="B93" s="724">
        <v>44348</v>
      </c>
      <c r="C93" s="724">
        <v>44377</v>
      </c>
      <c r="D93" s="796">
        <v>0</v>
      </c>
      <c r="E93" s="840">
        <v>1.9099999999999999E-2</v>
      </c>
      <c r="F93" s="871">
        <f t="shared" si="7"/>
        <v>8778020</v>
      </c>
      <c r="G93" s="841">
        <f t="shared" si="9"/>
        <v>30</v>
      </c>
      <c r="H93" s="838">
        <f t="shared" si="8"/>
        <v>5.1836644438196799E-5</v>
      </c>
      <c r="I93" s="839">
        <v>0</v>
      </c>
      <c r="J93" s="925"/>
    </row>
    <row r="94" spans="1:10">
      <c r="B94" s="724">
        <v>44378</v>
      </c>
      <c r="C94" s="724">
        <v>44408</v>
      </c>
      <c r="D94" s="796">
        <v>0</v>
      </c>
      <c r="E94" s="840">
        <v>1.9E-2</v>
      </c>
      <c r="F94" s="871">
        <f t="shared" si="7"/>
        <v>8778020</v>
      </c>
      <c r="G94" s="841">
        <f t="shared" si="9"/>
        <v>31</v>
      </c>
      <c r="H94" s="838">
        <f t="shared" si="8"/>
        <v>5.1567779546513037E-5</v>
      </c>
      <c r="I94" s="839">
        <v>0</v>
      </c>
      <c r="J94" s="925"/>
    </row>
    <row r="95" spans="1:10">
      <c r="B95" s="724">
        <v>44409</v>
      </c>
      <c r="C95" s="724">
        <v>44439</v>
      </c>
      <c r="D95" s="796">
        <v>0</v>
      </c>
      <c r="E95" s="840">
        <v>1.9900000000000001E-2</v>
      </c>
      <c r="F95" s="871">
        <f t="shared" si="7"/>
        <v>8778020</v>
      </c>
      <c r="G95" s="841">
        <f t="shared" si="9"/>
        <v>31</v>
      </c>
      <c r="H95" s="838">
        <f t="shared" si="8"/>
        <v>5.3986616880719041E-5</v>
      </c>
      <c r="I95" s="839">
        <v>0</v>
      </c>
      <c r="J95" s="925"/>
    </row>
    <row r="96" spans="1:10">
      <c r="B96" s="724">
        <v>44440</v>
      </c>
      <c r="C96" s="724">
        <v>44442</v>
      </c>
      <c r="D96" s="796">
        <v>0</v>
      </c>
      <c r="E96" s="840">
        <v>1.9900000000000001E-2</v>
      </c>
      <c r="F96" s="871">
        <f t="shared" si="7"/>
        <v>8778020</v>
      </c>
      <c r="G96" s="841">
        <f t="shared" si="9"/>
        <v>3</v>
      </c>
      <c r="H96" s="838">
        <f>((1+E96)^(1/365)-1)</f>
        <v>5.3986616880719041E-5</v>
      </c>
      <c r="I96" s="839">
        <v>0</v>
      </c>
      <c r="J96" s="925"/>
    </row>
    <row r="97" spans="1:10">
      <c r="B97" s="724">
        <v>44443</v>
      </c>
      <c r="C97" s="724">
        <v>44469</v>
      </c>
      <c r="D97" s="796">
        <v>0.1719</v>
      </c>
      <c r="E97" s="840">
        <f>+D97*1.5</f>
        <v>0.25785000000000002</v>
      </c>
      <c r="F97" s="871">
        <f t="shared" si="7"/>
        <v>8778020</v>
      </c>
      <c r="G97" s="841">
        <f t="shared" si="9"/>
        <v>27</v>
      </c>
      <c r="H97" s="838">
        <f>((1+E97)^(1/365)-1)</f>
        <v>6.2870142469861889E-4</v>
      </c>
      <c r="I97" s="839">
        <v>0</v>
      </c>
      <c r="J97" s="925"/>
    </row>
    <row r="98" spans="1:10">
      <c r="B98" s="724">
        <v>44470</v>
      </c>
      <c r="C98" s="724">
        <v>44500</v>
      </c>
      <c r="D98" s="796">
        <v>0.17080000000000001</v>
      </c>
      <c r="E98" s="840">
        <f>+D98*1.5</f>
        <v>0.25619999999999998</v>
      </c>
      <c r="F98" s="871">
        <f t="shared" si="7"/>
        <v>8778020</v>
      </c>
      <c r="G98" s="841">
        <f t="shared" si="9"/>
        <v>31</v>
      </c>
      <c r="H98" s="838">
        <f>((1+E98)^(1/365)-1)</f>
        <v>6.2510294214179751E-4</v>
      </c>
      <c r="I98" s="839">
        <v>0</v>
      </c>
      <c r="J98" s="925"/>
    </row>
    <row r="99" spans="1:10">
      <c r="B99" s="724">
        <v>44501</v>
      </c>
      <c r="C99" s="724">
        <v>44530</v>
      </c>
      <c r="D99" s="796">
        <v>0.17269999999999999</v>
      </c>
      <c r="E99" s="842">
        <f>+D99*1.5</f>
        <v>0.25905</v>
      </c>
      <c r="F99" s="871">
        <f t="shared" si="7"/>
        <v>8778020</v>
      </c>
      <c r="G99" s="841">
        <f t="shared" si="9"/>
        <v>30</v>
      </c>
      <c r="H99" s="838">
        <f>((1+E99)^(1/365)-1)</f>
        <v>6.3131554742335005E-4</v>
      </c>
      <c r="I99" s="839">
        <v>0</v>
      </c>
      <c r="J99" s="925"/>
    </row>
    <row r="100" spans="1:10">
      <c r="B100" s="724">
        <v>44531</v>
      </c>
      <c r="C100" s="724">
        <v>44559</v>
      </c>
      <c r="D100" s="796">
        <v>0.17460000000000001</v>
      </c>
      <c r="E100" s="842">
        <f>+D100*1.5</f>
        <v>0.26190000000000002</v>
      </c>
      <c r="F100" s="836">
        <f>+$D$37</f>
        <v>35112080</v>
      </c>
      <c r="G100" s="841">
        <f t="shared" si="9"/>
        <v>29</v>
      </c>
      <c r="H100" s="838">
        <f>((1+E100)^(1/365)-1)</f>
        <v>6.3751414410861962E-4</v>
      </c>
      <c r="I100" s="839">
        <v>0</v>
      </c>
      <c r="J100" s="925"/>
    </row>
    <row r="101" spans="1:10" ht="13.5" customHeight="1">
      <c r="F101" s="2735" t="s">
        <v>162</v>
      </c>
      <c r="G101" s="2736"/>
      <c r="H101" s="2737"/>
      <c r="I101" s="2017">
        <f>SUM(I86:I100)</f>
        <v>40594.76</v>
      </c>
      <c r="J101" s="925"/>
    </row>
    <row r="102" spans="1:10" ht="38.25">
      <c r="B102" s="916" t="s">
        <v>1095</v>
      </c>
      <c r="C102" s="923" t="s">
        <v>163</v>
      </c>
    </row>
    <row r="103" spans="1:10">
      <c r="B103" s="741" t="s">
        <v>133</v>
      </c>
      <c r="C103" s="2019">
        <f>+D84</f>
        <v>8778020</v>
      </c>
    </row>
    <row r="104" spans="1:10">
      <c r="B104" s="741" t="s">
        <v>134</v>
      </c>
      <c r="C104" s="2019">
        <f>+I101</f>
        <v>40594.76</v>
      </c>
    </row>
    <row r="105" spans="1:10" ht="13.5" thickBot="1">
      <c r="B105" s="817" t="s">
        <v>61</v>
      </c>
      <c r="C105" s="2020">
        <f>SUM(C103:C104)</f>
        <v>8818614.7599999998</v>
      </c>
    </row>
    <row r="106" spans="1:10" ht="13.5" thickTop="1">
      <c r="C106" s="854"/>
    </row>
    <row r="107" spans="1:10" ht="25.5">
      <c r="A107" s="791">
        <v>4</v>
      </c>
      <c r="B107" s="875" t="s">
        <v>1079</v>
      </c>
      <c r="C107" s="867" t="s">
        <v>1096</v>
      </c>
      <c r="D107" s="868">
        <f>+D20</f>
        <v>4389010</v>
      </c>
    </row>
    <row r="108" spans="1:10" ht="38.25">
      <c r="B108" s="969" t="s">
        <v>206</v>
      </c>
      <c r="C108" s="969" t="s">
        <v>10</v>
      </c>
      <c r="D108" s="2719" t="s">
        <v>1090</v>
      </c>
      <c r="E108" s="2720"/>
      <c r="F108" s="974" t="s">
        <v>202</v>
      </c>
      <c r="G108" s="969" t="s">
        <v>706</v>
      </c>
      <c r="H108" s="974" t="s">
        <v>204</v>
      </c>
      <c r="I108" s="974" t="s">
        <v>205</v>
      </c>
    </row>
    <row r="109" spans="1:10">
      <c r="B109" s="727">
        <v>44173</v>
      </c>
      <c r="C109" s="727">
        <v>44196</v>
      </c>
      <c r="D109" s="869">
        <v>0</v>
      </c>
      <c r="E109" s="870">
        <v>1.9300000000000001E-2</v>
      </c>
      <c r="F109" s="871">
        <f>$D$107</f>
        <v>4389010</v>
      </c>
      <c r="G109" s="872">
        <f t="shared" ref="G109:G123" si="10">_xlfn.DAYS(C109,B109)+1</f>
        <v>24</v>
      </c>
      <c r="H109" s="873">
        <f>((1+E109)^(1/365)-1)</f>
        <v>5.2374295299806306E-5</v>
      </c>
      <c r="I109" s="2018">
        <f>ROUND(F109*G109*H109,2)</f>
        <v>5516.91</v>
      </c>
      <c r="J109" s="791">
        <f>+F109*G109*H109</f>
        <v>5516.9113395312688</v>
      </c>
    </row>
    <row r="110" spans="1:10">
      <c r="B110" s="724">
        <v>44197</v>
      </c>
      <c r="C110" s="724">
        <v>44227</v>
      </c>
      <c r="D110" s="796">
        <v>0</v>
      </c>
      <c r="E110" s="840">
        <v>1.9099999999999999E-2</v>
      </c>
      <c r="F110" s="871">
        <f t="shared" ref="F110:F122" si="11">$D$107</f>
        <v>4389010</v>
      </c>
      <c r="G110" s="841">
        <f t="shared" si="10"/>
        <v>31</v>
      </c>
      <c r="H110" s="838">
        <f t="shared" ref="H110:H118" si="12">((1+E110)^(1/365)-1)</f>
        <v>5.1836644438196799E-5</v>
      </c>
      <c r="I110" s="2018">
        <f>ROUND(F110*G110*H110,2)</f>
        <v>7052.86</v>
      </c>
      <c r="J110" s="791">
        <f>+F110*G110*H110</f>
        <v>7052.8580749763942</v>
      </c>
    </row>
    <row r="111" spans="1:10">
      <c r="B111" s="724">
        <v>44228</v>
      </c>
      <c r="C111" s="724">
        <v>44255</v>
      </c>
      <c r="D111" s="796">
        <v>0</v>
      </c>
      <c r="E111" s="840">
        <v>1.8100000000000002E-2</v>
      </c>
      <c r="F111" s="871">
        <f t="shared" si="11"/>
        <v>4389010</v>
      </c>
      <c r="G111" s="841">
        <f t="shared" si="10"/>
        <v>28</v>
      </c>
      <c r="H111" s="838">
        <f t="shared" si="12"/>
        <v>4.9146810763511795E-5</v>
      </c>
      <c r="I111" s="2018">
        <f>ROUND(F111*G111*H111,2)</f>
        <v>6039.76</v>
      </c>
      <c r="J111" s="791">
        <f>+F111*G111*H111</f>
        <v>6039.7636294565054</v>
      </c>
    </row>
    <row r="112" spans="1:10">
      <c r="B112" s="724">
        <v>44256</v>
      </c>
      <c r="C112" s="724">
        <v>44263</v>
      </c>
      <c r="D112" s="796">
        <v>0</v>
      </c>
      <c r="E112" s="840">
        <v>1.77E-2</v>
      </c>
      <c r="F112" s="871">
        <f t="shared" si="11"/>
        <v>4389010</v>
      </c>
      <c r="G112" s="841">
        <f>_xlfn.DAYS(C112,B112)+1</f>
        <v>8</v>
      </c>
      <c r="H112" s="838">
        <f t="shared" si="12"/>
        <v>4.8070139484934771E-5</v>
      </c>
      <c r="I112" s="2018">
        <f>ROUND(F112*G112*H112,2)</f>
        <v>1687.84</v>
      </c>
      <c r="J112" s="791">
        <f>+F112*G112*H112</f>
        <v>1687.8425832061885</v>
      </c>
    </row>
    <row r="113" spans="2:9">
      <c r="B113" s="724">
        <v>44259</v>
      </c>
      <c r="C113" s="724">
        <v>44286</v>
      </c>
      <c r="D113" s="796">
        <v>0</v>
      </c>
      <c r="E113" s="840">
        <v>1.77E-2</v>
      </c>
      <c r="F113" s="871">
        <f t="shared" si="11"/>
        <v>4389010</v>
      </c>
      <c r="G113" s="841">
        <f>_xlfn.DAYS(C113,B113)+1</f>
        <v>28</v>
      </c>
      <c r="H113" s="838">
        <f t="shared" si="12"/>
        <v>4.8070139484934771E-5</v>
      </c>
      <c r="I113" s="839">
        <v>0</v>
      </c>
    </row>
    <row r="114" spans="2:9">
      <c r="B114" s="724">
        <v>44287</v>
      </c>
      <c r="C114" s="724">
        <v>44316</v>
      </c>
      <c r="D114" s="796">
        <v>0</v>
      </c>
      <c r="E114" s="840">
        <v>1.7600000000000001E-2</v>
      </c>
      <c r="F114" s="871">
        <f t="shared" si="11"/>
        <v>4389010</v>
      </c>
      <c r="G114" s="841">
        <f t="shared" si="10"/>
        <v>30</v>
      </c>
      <c r="H114" s="838">
        <f t="shared" si="12"/>
        <v>4.7800905724759701E-5</v>
      </c>
      <c r="I114" s="839">
        <v>0</v>
      </c>
    </row>
    <row r="115" spans="2:9">
      <c r="B115" s="724">
        <v>44317</v>
      </c>
      <c r="C115" s="724">
        <v>44347</v>
      </c>
      <c r="D115" s="796">
        <v>0</v>
      </c>
      <c r="E115" s="840">
        <v>1.8200000000000001E-2</v>
      </c>
      <c r="F115" s="871">
        <f t="shared" si="11"/>
        <v>4389010</v>
      </c>
      <c r="G115" s="841">
        <f t="shared" si="10"/>
        <v>31</v>
      </c>
      <c r="H115" s="838">
        <f t="shared" si="12"/>
        <v>4.9415912668715478E-5</v>
      </c>
      <c r="I115" s="839">
        <v>0</v>
      </c>
    </row>
    <row r="116" spans="2:9">
      <c r="B116" s="724">
        <v>44348</v>
      </c>
      <c r="C116" s="724">
        <v>44377</v>
      </c>
      <c r="D116" s="796">
        <v>0</v>
      </c>
      <c r="E116" s="840">
        <v>1.9099999999999999E-2</v>
      </c>
      <c r="F116" s="871">
        <f t="shared" si="11"/>
        <v>4389010</v>
      </c>
      <c r="G116" s="841">
        <f t="shared" si="10"/>
        <v>30</v>
      </c>
      <c r="H116" s="838">
        <f t="shared" si="12"/>
        <v>5.1836644438196799E-5</v>
      </c>
      <c r="I116" s="839">
        <v>0</v>
      </c>
    </row>
    <row r="117" spans="2:9">
      <c r="B117" s="724">
        <v>44378</v>
      </c>
      <c r="C117" s="724">
        <v>44408</v>
      </c>
      <c r="D117" s="796">
        <v>0</v>
      </c>
      <c r="E117" s="840">
        <v>1.9E-2</v>
      </c>
      <c r="F117" s="871">
        <f t="shared" si="11"/>
        <v>4389010</v>
      </c>
      <c r="G117" s="841">
        <f t="shared" si="10"/>
        <v>31</v>
      </c>
      <c r="H117" s="838">
        <f t="shared" si="12"/>
        <v>5.1567779546513037E-5</v>
      </c>
      <c r="I117" s="839">
        <v>0</v>
      </c>
    </row>
    <row r="118" spans="2:9">
      <c r="B118" s="724">
        <v>44409</v>
      </c>
      <c r="C118" s="724">
        <v>44439</v>
      </c>
      <c r="D118" s="796">
        <v>0</v>
      </c>
      <c r="E118" s="840">
        <v>1.9900000000000001E-2</v>
      </c>
      <c r="F118" s="871">
        <f t="shared" si="11"/>
        <v>4389010</v>
      </c>
      <c r="G118" s="841">
        <f t="shared" si="10"/>
        <v>31</v>
      </c>
      <c r="H118" s="838">
        <f t="shared" si="12"/>
        <v>5.3986616880719041E-5</v>
      </c>
      <c r="I118" s="839">
        <v>0</v>
      </c>
    </row>
    <row r="119" spans="2:9">
      <c r="B119" s="724">
        <v>44440</v>
      </c>
      <c r="C119" s="724">
        <v>44442</v>
      </c>
      <c r="D119" s="796">
        <v>0</v>
      </c>
      <c r="E119" s="840">
        <v>1.9900000000000001E-2</v>
      </c>
      <c r="F119" s="871">
        <f t="shared" si="11"/>
        <v>4389010</v>
      </c>
      <c r="G119" s="841">
        <f t="shared" si="10"/>
        <v>3</v>
      </c>
      <c r="H119" s="838">
        <f>((1+E119)^(1/365)-1)</f>
        <v>5.3986616880719041E-5</v>
      </c>
      <c r="I119" s="839">
        <v>0</v>
      </c>
    </row>
    <row r="120" spans="2:9">
      <c r="B120" s="724">
        <v>44443</v>
      </c>
      <c r="C120" s="724">
        <v>44469</v>
      </c>
      <c r="D120" s="796">
        <v>0.1719</v>
      </c>
      <c r="E120" s="840">
        <f>+D120*1.5</f>
        <v>0.25785000000000002</v>
      </c>
      <c r="F120" s="871">
        <f t="shared" si="11"/>
        <v>4389010</v>
      </c>
      <c r="G120" s="841">
        <f t="shared" si="10"/>
        <v>27</v>
      </c>
      <c r="H120" s="838">
        <f>((1+E120)^(1/365)-1)</f>
        <v>6.2870142469861889E-4</v>
      </c>
      <c r="I120" s="839">
        <v>0</v>
      </c>
    </row>
    <row r="121" spans="2:9">
      <c r="B121" s="724">
        <v>44470</v>
      </c>
      <c r="C121" s="724">
        <v>44500</v>
      </c>
      <c r="D121" s="796">
        <v>0.17080000000000001</v>
      </c>
      <c r="E121" s="840">
        <f>+D121*1.5</f>
        <v>0.25619999999999998</v>
      </c>
      <c r="F121" s="871">
        <f t="shared" si="11"/>
        <v>4389010</v>
      </c>
      <c r="G121" s="841">
        <f t="shared" si="10"/>
        <v>31</v>
      </c>
      <c r="H121" s="838">
        <f>((1+E121)^(1/365)-1)</f>
        <v>6.2510294214179751E-4</v>
      </c>
      <c r="I121" s="839">
        <v>0</v>
      </c>
    </row>
    <row r="122" spans="2:9">
      <c r="B122" s="724">
        <v>44501</v>
      </c>
      <c r="C122" s="724">
        <v>44530</v>
      </c>
      <c r="D122" s="796">
        <v>0.17269999999999999</v>
      </c>
      <c r="E122" s="842">
        <f>+D122*1.5</f>
        <v>0.25905</v>
      </c>
      <c r="F122" s="871">
        <f t="shared" si="11"/>
        <v>4389010</v>
      </c>
      <c r="G122" s="841">
        <f t="shared" si="10"/>
        <v>30</v>
      </c>
      <c r="H122" s="838">
        <f>((1+E122)^(1/365)-1)</f>
        <v>6.3131554742335005E-4</v>
      </c>
      <c r="I122" s="839">
        <v>0</v>
      </c>
    </row>
    <row r="123" spans="2:9">
      <c r="B123" s="724">
        <v>44531</v>
      </c>
      <c r="C123" s="724">
        <v>44559</v>
      </c>
      <c r="D123" s="796">
        <v>0.17460000000000001</v>
      </c>
      <c r="E123" s="842">
        <f>+D123*1.5</f>
        <v>0.26190000000000002</v>
      </c>
      <c r="F123" s="836">
        <f>+$D$37</f>
        <v>35112080</v>
      </c>
      <c r="G123" s="841">
        <f t="shared" si="10"/>
        <v>29</v>
      </c>
      <c r="H123" s="838">
        <f>((1+E123)^(1/365)-1)</f>
        <v>6.3751414410861962E-4</v>
      </c>
      <c r="I123" s="839">
        <v>0</v>
      </c>
    </row>
    <row r="124" spans="2:9" ht="13.5" customHeight="1">
      <c r="F124" s="2735" t="s">
        <v>162</v>
      </c>
      <c r="G124" s="2736"/>
      <c r="H124" s="2737"/>
      <c r="I124" s="2017">
        <f>SUM(I109:I123)</f>
        <v>20297.37</v>
      </c>
    </row>
    <row r="125" spans="2:9" ht="38.25">
      <c r="B125" s="916" t="s">
        <v>1097</v>
      </c>
      <c r="C125" s="923" t="s">
        <v>163</v>
      </c>
    </row>
    <row r="126" spans="2:9">
      <c r="B126" s="741" t="s">
        <v>133</v>
      </c>
      <c r="C126" s="2019">
        <f>+D107</f>
        <v>4389010</v>
      </c>
    </row>
    <row r="127" spans="2:9">
      <c r="B127" s="741" t="s">
        <v>134</v>
      </c>
      <c r="C127" s="2019">
        <f>+I124</f>
        <v>20297.37</v>
      </c>
    </row>
    <row r="128" spans="2:9" ht="13.5" thickBot="1">
      <c r="B128" s="817" t="s">
        <v>61</v>
      </c>
      <c r="C128" s="2020">
        <f>+C126+C127+3</f>
        <v>4409310.37</v>
      </c>
    </row>
    <row r="129" spans="1:9" ht="13.5" thickTop="1">
      <c r="B129" s="876"/>
      <c r="C129" s="877"/>
    </row>
    <row r="130" spans="1:9" ht="25.5">
      <c r="A130" s="791">
        <v>5</v>
      </c>
      <c r="B130" s="875" t="s">
        <v>1080</v>
      </c>
      <c r="C130" s="867" t="s">
        <v>1096</v>
      </c>
      <c r="D130" s="868">
        <f>+$D$21</f>
        <v>4389010</v>
      </c>
    </row>
    <row r="131" spans="1:9" ht="38.25">
      <c r="B131" s="969" t="s">
        <v>206</v>
      </c>
      <c r="C131" s="969" t="s">
        <v>10</v>
      </c>
      <c r="D131" s="2719" t="s">
        <v>1090</v>
      </c>
      <c r="E131" s="2720"/>
      <c r="F131" s="974" t="s">
        <v>202</v>
      </c>
      <c r="G131" s="969" t="s">
        <v>706</v>
      </c>
      <c r="H131" s="974" t="s">
        <v>204</v>
      </c>
      <c r="I131" s="974" t="s">
        <v>205</v>
      </c>
    </row>
    <row r="132" spans="1:9">
      <c r="B132" s="727">
        <v>44173</v>
      </c>
      <c r="C132" s="727">
        <v>44196</v>
      </c>
      <c r="D132" s="869">
        <v>0</v>
      </c>
      <c r="E132" s="870">
        <v>1.9300000000000001E-2</v>
      </c>
      <c r="F132" s="871">
        <f>+$D$130</f>
        <v>4389010</v>
      </c>
      <c r="G132" s="872">
        <f t="shared" ref="G132:G146" si="13">_xlfn.DAYS(C132,B132)+1</f>
        <v>24</v>
      </c>
      <c r="H132" s="873">
        <f>((1+E132)^(1/365)-1)</f>
        <v>5.2374295299806306E-5</v>
      </c>
      <c r="I132" s="2018">
        <f>ROUND(F132*G132*H132,2)</f>
        <v>5516.91</v>
      </c>
    </row>
    <row r="133" spans="1:9">
      <c r="B133" s="724">
        <v>44197</v>
      </c>
      <c r="C133" s="724">
        <v>44227</v>
      </c>
      <c r="D133" s="796">
        <v>0</v>
      </c>
      <c r="E133" s="840">
        <v>1.9099999999999999E-2</v>
      </c>
      <c r="F133" s="871">
        <f t="shared" ref="F133:F145" si="14">+$D$130</f>
        <v>4389010</v>
      </c>
      <c r="G133" s="841">
        <f t="shared" si="13"/>
        <v>31</v>
      </c>
      <c r="H133" s="838">
        <f t="shared" ref="H133:H141" si="15">((1+E133)^(1/365)-1)</f>
        <v>5.1836644438196799E-5</v>
      </c>
      <c r="I133" s="2018">
        <f>ROUND(F133*G133*H133,2)</f>
        <v>7052.86</v>
      </c>
    </row>
    <row r="134" spans="1:9">
      <c r="B134" s="724">
        <v>44228</v>
      </c>
      <c r="C134" s="724">
        <v>44255</v>
      </c>
      <c r="D134" s="796">
        <v>0</v>
      </c>
      <c r="E134" s="840">
        <v>1.8100000000000002E-2</v>
      </c>
      <c r="F134" s="871">
        <f t="shared" si="14"/>
        <v>4389010</v>
      </c>
      <c r="G134" s="841">
        <f t="shared" si="13"/>
        <v>28</v>
      </c>
      <c r="H134" s="838">
        <f t="shared" si="15"/>
        <v>4.9146810763511795E-5</v>
      </c>
      <c r="I134" s="2018">
        <f>ROUND(F134*G134*H134,2)</f>
        <v>6039.76</v>
      </c>
    </row>
    <row r="135" spans="1:9">
      <c r="B135" s="724">
        <v>44256</v>
      </c>
      <c r="C135" s="724">
        <v>44263</v>
      </c>
      <c r="D135" s="796">
        <v>0</v>
      </c>
      <c r="E135" s="840">
        <v>1.77E-2</v>
      </c>
      <c r="F135" s="871">
        <f t="shared" si="14"/>
        <v>4389010</v>
      </c>
      <c r="G135" s="841">
        <f t="shared" si="13"/>
        <v>8</v>
      </c>
      <c r="H135" s="838">
        <f t="shared" si="15"/>
        <v>4.8070139484934771E-5</v>
      </c>
      <c r="I135" s="2018">
        <f>ROUND(F135*G135*H135,2)</f>
        <v>1687.84</v>
      </c>
    </row>
    <row r="136" spans="1:9">
      <c r="B136" s="724">
        <v>44259</v>
      </c>
      <c r="C136" s="724">
        <v>44286</v>
      </c>
      <c r="D136" s="796">
        <v>0</v>
      </c>
      <c r="E136" s="840">
        <v>1.77E-2</v>
      </c>
      <c r="F136" s="871">
        <f t="shared" si="14"/>
        <v>4389010</v>
      </c>
      <c r="G136" s="841">
        <f t="shared" si="13"/>
        <v>28</v>
      </c>
      <c r="H136" s="838">
        <f t="shared" si="15"/>
        <v>4.8070139484934771E-5</v>
      </c>
      <c r="I136" s="839">
        <v>0</v>
      </c>
    </row>
    <row r="137" spans="1:9">
      <c r="B137" s="724">
        <v>44287</v>
      </c>
      <c r="C137" s="724">
        <v>44316</v>
      </c>
      <c r="D137" s="796">
        <v>0</v>
      </c>
      <c r="E137" s="840">
        <v>1.7600000000000001E-2</v>
      </c>
      <c r="F137" s="871">
        <f t="shared" si="14"/>
        <v>4389010</v>
      </c>
      <c r="G137" s="841">
        <f t="shared" si="13"/>
        <v>30</v>
      </c>
      <c r="H137" s="838">
        <f t="shared" si="15"/>
        <v>4.7800905724759701E-5</v>
      </c>
      <c r="I137" s="839">
        <v>0</v>
      </c>
    </row>
    <row r="138" spans="1:9">
      <c r="B138" s="724">
        <v>44317</v>
      </c>
      <c r="C138" s="724">
        <v>44347</v>
      </c>
      <c r="D138" s="796">
        <v>0</v>
      </c>
      <c r="E138" s="840">
        <v>1.8200000000000001E-2</v>
      </c>
      <c r="F138" s="871">
        <f t="shared" si="14"/>
        <v>4389010</v>
      </c>
      <c r="G138" s="841">
        <f t="shared" si="13"/>
        <v>31</v>
      </c>
      <c r="H138" s="838">
        <f t="shared" si="15"/>
        <v>4.9415912668715478E-5</v>
      </c>
      <c r="I138" s="839">
        <v>0</v>
      </c>
    </row>
    <row r="139" spans="1:9">
      <c r="B139" s="724">
        <v>44348</v>
      </c>
      <c r="C139" s="724">
        <v>44377</v>
      </c>
      <c r="D139" s="796">
        <v>0</v>
      </c>
      <c r="E139" s="840">
        <v>1.9099999999999999E-2</v>
      </c>
      <c r="F139" s="871">
        <f t="shared" si="14"/>
        <v>4389010</v>
      </c>
      <c r="G139" s="841">
        <f t="shared" si="13"/>
        <v>30</v>
      </c>
      <c r="H139" s="838">
        <f t="shared" si="15"/>
        <v>5.1836644438196799E-5</v>
      </c>
      <c r="I139" s="839">
        <v>0</v>
      </c>
    </row>
    <row r="140" spans="1:9">
      <c r="B140" s="724">
        <v>44378</v>
      </c>
      <c r="C140" s="724">
        <v>44408</v>
      </c>
      <c r="D140" s="796">
        <v>0</v>
      </c>
      <c r="E140" s="840">
        <v>1.9E-2</v>
      </c>
      <c r="F140" s="871">
        <f t="shared" si="14"/>
        <v>4389010</v>
      </c>
      <c r="G140" s="841">
        <f t="shared" si="13"/>
        <v>31</v>
      </c>
      <c r="H140" s="838">
        <f t="shared" si="15"/>
        <v>5.1567779546513037E-5</v>
      </c>
      <c r="I140" s="839">
        <v>0</v>
      </c>
    </row>
    <row r="141" spans="1:9">
      <c r="B141" s="724">
        <v>44409</v>
      </c>
      <c r="C141" s="724">
        <v>44439</v>
      </c>
      <c r="D141" s="796">
        <v>0</v>
      </c>
      <c r="E141" s="840">
        <v>1.9900000000000001E-2</v>
      </c>
      <c r="F141" s="871">
        <f t="shared" si="14"/>
        <v>4389010</v>
      </c>
      <c r="G141" s="841">
        <f t="shared" si="13"/>
        <v>31</v>
      </c>
      <c r="H141" s="838">
        <f t="shared" si="15"/>
        <v>5.3986616880719041E-5</v>
      </c>
      <c r="I141" s="839">
        <v>0</v>
      </c>
    </row>
    <row r="142" spans="1:9">
      <c r="B142" s="724">
        <v>44440</v>
      </c>
      <c r="C142" s="724">
        <v>44442</v>
      </c>
      <c r="D142" s="796">
        <v>0</v>
      </c>
      <c r="E142" s="840">
        <v>1.9900000000000001E-2</v>
      </c>
      <c r="F142" s="871">
        <f t="shared" si="14"/>
        <v>4389010</v>
      </c>
      <c r="G142" s="841">
        <f t="shared" si="13"/>
        <v>3</v>
      </c>
      <c r="H142" s="838">
        <f>((1+E142)^(1/365)-1)</f>
        <v>5.3986616880719041E-5</v>
      </c>
      <c r="I142" s="839">
        <v>0</v>
      </c>
    </row>
    <row r="143" spans="1:9">
      <c r="B143" s="724">
        <v>44443</v>
      </c>
      <c r="C143" s="724">
        <v>44469</v>
      </c>
      <c r="D143" s="796">
        <v>0.1719</v>
      </c>
      <c r="E143" s="840">
        <f>+D143*1.5</f>
        <v>0.25785000000000002</v>
      </c>
      <c r="F143" s="871">
        <f t="shared" si="14"/>
        <v>4389010</v>
      </c>
      <c r="G143" s="841">
        <f t="shared" si="13"/>
        <v>27</v>
      </c>
      <c r="H143" s="838">
        <f>((1+E143)^(1/365)-1)</f>
        <v>6.2870142469861889E-4</v>
      </c>
      <c r="I143" s="839">
        <v>0</v>
      </c>
    </row>
    <row r="144" spans="1:9">
      <c r="B144" s="724">
        <v>44470</v>
      </c>
      <c r="C144" s="724">
        <v>44500</v>
      </c>
      <c r="D144" s="796">
        <v>0.17080000000000001</v>
      </c>
      <c r="E144" s="840">
        <f>+D144*1.5</f>
        <v>0.25619999999999998</v>
      </c>
      <c r="F144" s="871">
        <f t="shared" si="14"/>
        <v>4389010</v>
      </c>
      <c r="G144" s="841">
        <f t="shared" si="13"/>
        <v>31</v>
      </c>
      <c r="H144" s="838">
        <f>((1+E144)^(1/365)-1)</f>
        <v>6.2510294214179751E-4</v>
      </c>
      <c r="I144" s="839">
        <v>0</v>
      </c>
    </row>
    <row r="145" spans="1:9">
      <c r="B145" s="724">
        <v>44501</v>
      </c>
      <c r="C145" s="724">
        <v>44530</v>
      </c>
      <c r="D145" s="796">
        <v>0.17269999999999999</v>
      </c>
      <c r="E145" s="842">
        <f>+D145*1.5</f>
        <v>0.25905</v>
      </c>
      <c r="F145" s="871">
        <f t="shared" si="14"/>
        <v>4389010</v>
      </c>
      <c r="G145" s="841">
        <f t="shared" si="13"/>
        <v>30</v>
      </c>
      <c r="H145" s="838">
        <f>((1+E145)^(1/365)-1)</f>
        <v>6.3131554742335005E-4</v>
      </c>
      <c r="I145" s="839">
        <v>0</v>
      </c>
    </row>
    <row r="146" spans="1:9">
      <c r="B146" s="724">
        <v>44531</v>
      </c>
      <c r="C146" s="724">
        <v>44559</v>
      </c>
      <c r="D146" s="796">
        <v>0.17460000000000001</v>
      </c>
      <c r="E146" s="842">
        <f>+D146*1.5</f>
        <v>0.26190000000000002</v>
      </c>
      <c r="F146" s="836">
        <f>+$D$37</f>
        <v>35112080</v>
      </c>
      <c r="G146" s="841">
        <f t="shared" si="13"/>
        <v>29</v>
      </c>
      <c r="H146" s="838">
        <f>((1+E146)^(1/365)-1)</f>
        <v>6.3751414410861962E-4</v>
      </c>
      <c r="I146" s="839">
        <v>0</v>
      </c>
    </row>
    <row r="147" spans="1:9" ht="13.5" customHeight="1">
      <c r="F147" s="2735" t="s">
        <v>162</v>
      </c>
      <c r="G147" s="2736"/>
      <c r="H147" s="2737"/>
      <c r="I147" s="2017">
        <f>SUM(I132:I146)</f>
        <v>20297.37</v>
      </c>
    </row>
    <row r="148" spans="1:9" ht="38.25">
      <c r="B148" s="916" t="s">
        <v>1098</v>
      </c>
      <c r="C148" s="924" t="s">
        <v>163</v>
      </c>
    </row>
    <row r="149" spans="1:9">
      <c r="B149" s="741" t="s">
        <v>133</v>
      </c>
      <c r="C149" s="2019">
        <f>+D130</f>
        <v>4389010</v>
      </c>
    </row>
    <row r="150" spans="1:9">
      <c r="B150" s="741" t="s">
        <v>134</v>
      </c>
      <c r="C150" s="2019">
        <f>+I147</f>
        <v>20297.37</v>
      </c>
    </row>
    <row r="151" spans="1:9" ht="13.5" thickBot="1">
      <c r="B151" s="817" t="s">
        <v>61</v>
      </c>
      <c r="C151" s="2020">
        <f>SUM(C149:C150)+3</f>
        <v>4409310.37</v>
      </c>
    </row>
    <row r="152" spans="1:9" ht="13.5" thickTop="1">
      <c r="C152" s="854"/>
    </row>
    <row r="153" spans="1:9" ht="25.5">
      <c r="A153" s="791">
        <v>6</v>
      </c>
      <c r="B153" s="875" t="s">
        <v>1081</v>
      </c>
      <c r="C153" s="867" t="s">
        <v>1096</v>
      </c>
      <c r="D153" s="868">
        <f>+D22</f>
        <v>4389010</v>
      </c>
    </row>
    <row r="154" spans="1:9" ht="38.25">
      <c r="B154" s="969" t="s">
        <v>206</v>
      </c>
      <c r="C154" s="969" t="s">
        <v>10</v>
      </c>
      <c r="D154" s="2719" t="s">
        <v>1090</v>
      </c>
      <c r="E154" s="2720"/>
      <c r="F154" s="974" t="s">
        <v>202</v>
      </c>
      <c r="G154" s="969" t="s">
        <v>706</v>
      </c>
      <c r="H154" s="974" t="s">
        <v>204</v>
      </c>
      <c r="I154" s="974" t="s">
        <v>205</v>
      </c>
    </row>
    <row r="155" spans="1:9">
      <c r="B155" s="727">
        <v>44173</v>
      </c>
      <c r="C155" s="727">
        <v>44196</v>
      </c>
      <c r="D155" s="869">
        <v>0</v>
      </c>
      <c r="E155" s="870">
        <v>1.9300000000000001E-2</v>
      </c>
      <c r="F155" s="871">
        <f>+$D$130</f>
        <v>4389010</v>
      </c>
      <c r="G155" s="872">
        <f t="shared" ref="G155:G169" si="16">_xlfn.DAYS(C155,B155)+1</f>
        <v>24</v>
      </c>
      <c r="H155" s="873">
        <f>((1+E155)^(1/365)-1)</f>
        <v>5.2374295299806306E-5</v>
      </c>
      <c r="I155" s="2018">
        <f>ROUND(F155*G155*H155,2)</f>
        <v>5516.91</v>
      </c>
    </row>
    <row r="156" spans="1:9">
      <c r="B156" s="724">
        <v>44197</v>
      </c>
      <c r="C156" s="724">
        <v>44227</v>
      </c>
      <c r="D156" s="796">
        <v>0</v>
      </c>
      <c r="E156" s="840">
        <v>1.9099999999999999E-2</v>
      </c>
      <c r="F156" s="871">
        <f t="shared" ref="F156:F168" si="17">+$D$130</f>
        <v>4389010</v>
      </c>
      <c r="G156" s="841">
        <f t="shared" si="16"/>
        <v>31</v>
      </c>
      <c r="H156" s="838">
        <f t="shared" ref="H156:H164" si="18">((1+E156)^(1/365)-1)</f>
        <v>5.1836644438196799E-5</v>
      </c>
      <c r="I156" s="2018">
        <f>ROUND(F156*G156*H156,2)</f>
        <v>7052.86</v>
      </c>
    </row>
    <row r="157" spans="1:9">
      <c r="B157" s="724">
        <v>44228</v>
      </c>
      <c r="C157" s="724">
        <v>44255</v>
      </c>
      <c r="D157" s="796">
        <v>0</v>
      </c>
      <c r="E157" s="840">
        <v>1.8100000000000002E-2</v>
      </c>
      <c r="F157" s="871">
        <f t="shared" si="17"/>
        <v>4389010</v>
      </c>
      <c r="G157" s="841">
        <f t="shared" si="16"/>
        <v>28</v>
      </c>
      <c r="H157" s="838">
        <f t="shared" si="18"/>
        <v>4.9146810763511795E-5</v>
      </c>
      <c r="I157" s="2018">
        <f>ROUND(F157*G157*H157,2)</f>
        <v>6039.76</v>
      </c>
    </row>
    <row r="158" spans="1:9">
      <c r="B158" s="724">
        <v>44256</v>
      </c>
      <c r="C158" s="724">
        <v>44263</v>
      </c>
      <c r="D158" s="796">
        <v>0</v>
      </c>
      <c r="E158" s="840">
        <v>1.77E-2</v>
      </c>
      <c r="F158" s="871">
        <f t="shared" si="17"/>
        <v>4389010</v>
      </c>
      <c r="G158" s="841">
        <f t="shared" si="16"/>
        <v>8</v>
      </c>
      <c r="H158" s="838">
        <f t="shared" si="18"/>
        <v>4.8070139484934771E-5</v>
      </c>
      <c r="I158" s="2018">
        <f>ROUND(F158*G158*H158,2)</f>
        <v>1687.84</v>
      </c>
    </row>
    <row r="159" spans="1:9">
      <c r="B159" s="724">
        <v>44259</v>
      </c>
      <c r="C159" s="724">
        <v>44286</v>
      </c>
      <c r="D159" s="796">
        <v>0</v>
      </c>
      <c r="E159" s="840">
        <v>1.77E-2</v>
      </c>
      <c r="F159" s="871">
        <f t="shared" si="17"/>
        <v>4389010</v>
      </c>
      <c r="G159" s="841">
        <f t="shared" si="16"/>
        <v>28</v>
      </c>
      <c r="H159" s="838">
        <f t="shared" si="18"/>
        <v>4.8070139484934771E-5</v>
      </c>
      <c r="I159" s="839">
        <v>0</v>
      </c>
    </row>
    <row r="160" spans="1:9">
      <c r="B160" s="724">
        <v>44287</v>
      </c>
      <c r="C160" s="724">
        <v>44316</v>
      </c>
      <c r="D160" s="796">
        <v>0</v>
      </c>
      <c r="E160" s="840">
        <v>1.7600000000000001E-2</v>
      </c>
      <c r="F160" s="871">
        <f t="shared" si="17"/>
        <v>4389010</v>
      </c>
      <c r="G160" s="841">
        <f t="shared" si="16"/>
        <v>30</v>
      </c>
      <c r="H160" s="838">
        <f t="shared" si="18"/>
        <v>4.7800905724759701E-5</v>
      </c>
      <c r="I160" s="839">
        <v>0</v>
      </c>
    </row>
    <row r="161" spans="1:9">
      <c r="B161" s="724">
        <v>44317</v>
      </c>
      <c r="C161" s="724">
        <v>44347</v>
      </c>
      <c r="D161" s="796">
        <v>0</v>
      </c>
      <c r="E161" s="840">
        <v>1.8200000000000001E-2</v>
      </c>
      <c r="F161" s="871">
        <f t="shared" si="17"/>
        <v>4389010</v>
      </c>
      <c r="G161" s="841">
        <f t="shared" si="16"/>
        <v>31</v>
      </c>
      <c r="H161" s="838">
        <f t="shared" si="18"/>
        <v>4.9415912668715478E-5</v>
      </c>
      <c r="I161" s="839">
        <v>0</v>
      </c>
    </row>
    <row r="162" spans="1:9">
      <c r="B162" s="724">
        <v>44348</v>
      </c>
      <c r="C162" s="724">
        <v>44377</v>
      </c>
      <c r="D162" s="796">
        <v>0</v>
      </c>
      <c r="E162" s="840">
        <v>1.9099999999999999E-2</v>
      </c>
      <c r="F162" s="871">
        <f t="shared" si="17"/>
        <v>4389010</v>
      </c>
      <c r="G162" s="841">
        <f t="shared" si="16"/>
        <v>30</v>
      </c>
      <c r="H162" s="838">
        <f t="shared" si="18"/>
        <v>5.1836644438196799E-5</v>
      </c>
      <c r="I162" s="839">
        <v>0</v>
      </c>
    </row>
    <row r="163" spans="1:9">
      <c r="B163" s="724">
        <v>44378</v>
      </c>
      <c r="C163" s="724">
        <v>44408</v>
      </c>
      <c r="D163" s="796">
        <v>0</v>
      </c>
      <c r="E163" s="840">
        <v>1.9E-2</v>
      </c>
      <c r="F163" s="871">
        <f t="shared" si="17"/>
        <v>4389010</v>
      </c>
      <c r="G163" s="841">
        <f t="shared" si="16"/>
        <v>31</v>
      </c>
      <c r="H163" s="838">
        <f t="shared" si="18"/>
        <v>5.1567779546513037E-5</v>
      </c>
      <c r="I163" s="839">
        <v>0</v>
      </c>
    </row>
    <row r="164" spans="1:9">
      <c r="B164" s="724">
        <v>44409</v>
      </c>
      <c r="C164" s="724">
        <v>44439</v>
      </c>
      <c r="D164" s="796">
        <v>0</v>
      </c>
      <c r="E164" s="840">
        <v>1.9900000000000001E-2</v>
      </c>
      <c r="F164" s="871">
        <f t="shared" si="17"/>
        <v>4389010</v>
      </c>
      <c r="G164" s="841">
        <f t="shared" si="16"/>
        <v>31</v>
      </c>
      <c r="H164" s="838">
        <f t="shared" si="18"/>
        <v>5.3986616880719041E-5</v>
      </c>
      <c r="I164" s="839">
        <v>0</v>
      </c>
    </row>
    <row r="165" spans="1:9">
      <c r="B165" s="724">
        <v>44440</v>
      </c>
      <c r="C165" s="724">
        <v>44442</v>
      </c>
      <c r="D165" s="796">
        <v>0</v>
      </c>
      <c r="E165" s="840">
        <v>1.9900000000000001E-2</v>
      </c>
      <c r="F165" s="871">
        <f t="shared" si="17"/>
        <v>4389010</v>
      </c>
      <c r="G165" s="841">
        <f t="shared" si="16"/>
        <v>3</v>
      </c>
      <c r="H165" s="838">
        <f>((1+E165)^(1/365)-1)</f>
        <v>5.3986616880719041E-5</v>
      </c>
      <c r="I165" s="839">
        <v>0</v>
      </c>
    </row>
    <row r="166" spans="1:9">
      <c r="B166" s="724">
        <v>44443</v>
      </c>
      <c r="C166" s="724">
        <v>44469</v>
      </c>
      <c r="D166" s="796">
        <v>0.1719</v>
      </c>
      <c r="E166" s="840">
        <f>+D166*1.5</f>
        <v>0.25785000000000002</v>
      </c>
      <c r="F166" s="871">
        <f t="shared" si="17"/>
        <v>4389010</v>
      </c>
      <c r="G166" s="841">
        <f t="shared" si="16"/>
        <v>27</v>
      </c>
      <c r="H166" s="838">
        <f>((1+E166)^(1/365)-1)</f>
        <v>6.2870142469861889E-4</v>
      </c>
      <c r="I166" s="839">
        <v>0</v>
      </c>
    </row>
    <row r="167" spans="1:9">
      <c r="B167" s="724">
        <v>44470</v>
      </c>
      <c r="C167" s="724">
        <v>44500</v>
      </c>
      <c r="D167" s="796">
        <v>0.17080000000000001</v>
      </c>
      <c r="E167" s="840">
        <f>+D167*1.5</f>
        <v>0.25619999999999998</v>
      </c>
      <c r="F167" s="871">
        <f t="shared" si="17"/>
        <v>4389010</v>
      </c>
      <c r="G167" s="841">
        <f t="shared" si="16"/>
        <v>31</v>
      </c>
      <c r="H167" s="838">
        <f>((1+E167)^(1/365)-1)</f>
        <v>6.2510294214179751E-4</v>
      </c>
      <c r="I167" s="839">
        <v>0</v>
      </c>
    </row>
    <row r="168" spans="1:9">
      <c r="B168" s="724">
        <v>44501</v>
      </c>
      <c r="C168" s="724">
        <v>44530</v>
      </c>
      <c r="D168" s="796">
        <v>0.17269999999999999</v>
      </c>
      <c r="E168" s="842">
        <f>+D168*1.5</f>
        <v>0.25905</v>
      </c>
      <c r="F168" s="871">
        <f t="shared" si="17"/>
        <v>4389010</v>
      </c>
      <c r="G168" s="841">
        <f t="shared" si="16"/>
        <v>30</v>
      </c>
      <c r="H168" s="838">
        <f>((1+E168)^(1/365)-1)</f>
        <v>6.3131554742335005E-4</v>
      </c>
      <c r="I168" s="839">
        <v>0</v>
      </c>
    </row>
    <row r="169" spans="1:9">
      <c r="B169" s="724">
        <v>44531</v>
      </c>
      <c r="C169" s="724">
        <v>44559</v>
      </c>
      <c r="D169" s="796">
        <v>0.17460000000000001</v>
      </c>
      <c r="E169" s="842">
        <f>+D169*1.5</f>
        <v>0.26190000000000002</v>
      </c>
      <c r="F169" s="836">
        <f>+$D$37</f>
        <v>35112080</v>
      </c>
      <c r="G169" s="841">
        <f t="shared" si="16"/>
        <v>29</v>
      </c>
      <c r="H169" s="838">
        <f>((1+E169)^(1/365)-1)</f>
        <v>6.3751414410861962E-4</v>
      </c>
      <c r="I169" s="839">
        <v>0</v>
      </c>
    </row>
    <row r="170" spans="1:9" ht="13.5" customHeight="1">
      <c r="F170" s="2735" t="s">
        <v>162</v>
      </c>
      <c r="G170" s="2736"/>
      <c r="H170" s="2737"/>
      <c r="I170" s="2017">
        <f>SUM(I155:I169)</f>
        <v>20297.37</v>
      </c>
    </row>
    <row r="171" spans="1:9" ht="38.25">
      <c r="B171" s="916" t="s">
        <v>1099</v>
      </c>
      <c r="C171" s="923" t="s">
        <v>163</v>
      </c>
    </row>
    <row r="172" spans="1:9">
      <c r="B172" s="741" t="s">
        <v>133</v>
      </c>
      <c r="C172" s="2019">
        <f>+D153</f>
        <v>4389010</v>
      </c>
    </row>
    <row r="173" spans="1:9">
      <c r="B173" s="741" t="s">
        <v>134</v>
      </c>
      <c r="C173" s="2019">
        <f>+I170</f>
        <v>20297.37</v>
      </c>
    </row>
    <row r="174" spans="1:9" ht="13.5" thickBot="1">
      <c r="B174" s="817" t="s">
        <v>61</v>
      </c>
      <c r="C174" s="2020">
        <f>SUM(C172:C173)+3</f>
        <v>4409310.37</v>
      </c>
    </row>
    <row r="175" spans="1:9" ht="13.5" thickTop="1">
      <c r="C175" s="854"/>
    </row>
    <row r="176" spans="1:9" ht="25.5">
      <c r="A176" s="791">
        <v>7</v>
      </c>
      <c r="B176" s="875" t="s">
        <v>1082</v>
      </c>
      <c r="C176" s="867" t="s">
        <v>1096</v>
      </c>
      <c r="D176" s="868">
        <f>+D24</f>
        <v>4389010</v>
      </c>
    </row>
    <row r="177" spans="2:9" ht="38.25">
      <c r="B177" s="969" t="s">
        <v>206</v>
      </c>
      <c r="C177" s="969" t="s">
        <v>10</v>
      </c>
      <c r="D177" s="2719" t="s">
        <v>1090</v>
      </c>
      <c r="E177" s="2720"/>
      <c r="F177" s="974" t="s">
        <v>202</v>
      </c>
      <c r="G177" s="969" t="s">
        <v>706</v>
      </c>
      <c r="H177" s="974" t="s">
        <v>204</v>
      </c>
      <c r="I177" s="974" t="s">
        <v>205</v>
      </c>
    </row>
    <row r="178" spans="2:9">
      <c r="B178" s="727">
        <v>44173</v>
      </c>
      <c r="C178" s="727">
        <v>44196</v>
      </c>
      <c r="D178" s="869">
        <v>0</v>
      </c>
      <c r="E178" s="870">
        <v>1.9300000000000001E-2</v>
      </c>
      <c r="F178" s="871">
        <f>+$D$130</f>
        <v>4389010</v>
      </c>
      <c r="G178" s="872">
        <f t="shared" ref="G178:G192" si="19">_xlfn.DAYS(C178,B178)+1</f>
        <v>24</v>
      </c>
      <c r="H178" s="873">
        <f>((1+E178)^(1/365)-1)</f>
        <v>5.2374295299806306E-5</v>
      </c>
      <c r="I178" s="2018">
        <f>ROUND(F178*G178*H178,2)</f>
        <v>5516.91</v>
      </c>
    </row>
    <row r="179" spans="2:9">
      <c r="B179" s="724">
        <v>44197</v>
      </c>
      <c r="C179" s="724">
        <v>44227</v>
      </c>
      <c r="D179" s="796">
        <v>0</v>
      </c>
      <c r="E179" s="840">
        <v>1.9099999999999999E-2</v>
      </c>
      <c r="F179" s="871">
        <f t="shared" ref="F179:F191" si="20">+$D$130</f>
        <v>4389010</v>
      </c>
      <c r="G179" s="841">
        <f t="shared" si="19"/>
        <v>31</v>
      </c>
      <c r="H179" s="838">
        <f t="shared" ref="H179:H187" si="21">((1+E179)^(1/365)-1)</f>
        <v>5.1836644438196799E-5</v>
      </c>
      <c r="I179" s="2018">
        <f>ROUND(F179*G179*H179,2)</f>
        <v>7052.86</v>
      </c>
    </row>
    <row r="180" spans="2:9">
      <c r="B180" s="724">
        <v>44228</v>
      </c>
      <c r="C180" s="724">
        <v>44255</v>
      </c>
      <c r="D180" s="796">
        <v>0</v>
      </c>
      <c r="E180" s="840">
        <v>1.8100000000000002E-2</v>
      </c>
      <c r="F180" s="871">
        <f t="shared" si="20"/>
        <v>4389010</v>
      </c>
      <c r="G180" s="841">
        <f t="shared" si="19"/>
        <v>28</v>
      </c>
      <c r="H180" s="838">
        <f t="shared" si="21"/>
        <v>4.9146810763511795E-5</v>
      </c>
      <c r="I180" s="2018">
        <f>ROUND(F180*G180*H180,2)</f>
        <v>6039.76</v>
      </c>
    </row>
    <row r="181" spans="2:9">
      <c r="B181" s="724">
        <v>44256</v>
      </c>
      <c r="C181" s="724">
        <v>44263</v>
      </c>
      <c r="D181" s="796">
        <v>0</v>
      </c>
      <c r="E181" s="840">
        <v>1.77E-2</v>
      </c>
      <c r="F181" s="871">
        <f t="shared" si="20"/>
        <v>4389010</v>
      </c>
      <c r="G181" s="841">
        <f t="shared" si="19"/>
        <v>8</v>
      </c>
      <c r="H181" s="838">
        <f t="shared" si="21"/>
        <v>4.8070139484934771E-5</v>
      </c>
      <c r="I181" s="2018">
        <f>ROUND(F181*G181*H181,2)</f>
        <v>1687.84</v>
      </c>
    </row>
    <row r="182" spans="2:9">
      <c r="B182" s="724">
        <v>44259</v>
      </c>
      <c r="C182" s="724">
        <v>44286</v>
      </c>
      <c r="D182" s="796">
        <v>0</v>
      </c>
      <c r="E182" s="840">
        <v>1.77E-2</v>
      </c>
      <c r="F182" s="871">
        <f t="shared" si="20"/>
        <v>4389010</v>
      </c>
      <c r="G182" s="841">
        <f t="shared" si="19"/>
        <v>28</v>
      </c>
      <c r="H182" s="838">
        <f t="shared" si="21"/>
        <v>4.8070139484934771E-5</v>
      </c>
      <c r="I182" s="839">
        <v>0</v>
      </c>
    </row>
    <row r="183" spans="2:9">
      <c r="B183" s="724">
        <v>44287</v>
      </c>
      <c r="C183" s="724">
        <v>44316</v>
      </c>
      <c r="D183" s="796">
        <v>0</v>
      </c>
      <c r="E183" s="840">
        <v>1.7600000000000001E-2</v>
      </c>
      <c r="F183" s="871">
        <f t="shared" si="20"/>
        <v>4389010</v>
      </c>
      <c r="G183" s="841">
        <f t="shared" si="19"/>
        <v>30</v>
      </c>
      <c r="H183" s="838">
        <f t="shared" si="21"/>
        <v>4.7800905724759701E-5</v>
      </c>
      <c r="I183" s="839">
        <v>0</v>
      </c>
    </row>
    <row r="184" spans="2:9">
      <c r="B184" s="724">
        <v>44317</v>
      </c>
      <c r="C184" s="724">
        <v>44347</v>
      </c>
      <c r="D184" s="796">
        <v>0</v>
      </c>
      <c r="E184" s="840">
        <v>1.8200000000000001E-2</v>
      </c>
      <c r="F184" s="871">
        <f t="shared" si="20"/>
        <v>4389010</v>
      </c>
      <c r="G184" s="841">
        <f t="shared" si="19"/>
        <v>31</v>
      </c>
      <c r="H184" s="838">
        <f t="shared" si="21"/>
        <v>4.9415912668715478E-5</v>
      </c>
      <c r="I184" s="839">
        <v>0</v>
      </c>
    </row>
    <row r="185" spans="2:9">
      <c r="B185" s="724">
        <v>44348</v>
      </c>
      <c r="C185" s="724">
        <v>44377</v>
      </c>
      <c r="D185" s="796">
        <v>0</v>
      </c>
      <c r="E185" s="840">
        <v>1.9099999999999999E-2</v>
      </c>
      <c r="F185" s="871">
        <f t="shared" si="20"/>
        <v>4389010</v>
      </c>
      <c r="G185" s="841">
        <f t="shared" si="19"/>
        <v>30</v>
      </c>
      <c r="H185" s="838">
        <f t="shared" si="21"/>
        <v>5.1836644438196799E-5</v>
      </c>
      <c r="I185" s="839">
        <v>0</v>
      </c>
    </row>
    <row r="186" spans="2:9">
      <c r="B186" s="724">
        <v>44378</v>
      </c>
      <c r="C186" s="724">
        <v>44408</v>
      </c>
      <c r="D186" s="796">
        <v>0</v>
      </c>
      <c r="E186" s="840">
        <v>1.9E-2</v>
      </c>
      <c r="F186" s="871">
        <f t="shared" si="20"/>
        <v>4389010</v>
      </c>
      <c r="G186" s="841">
        <f t="shared" si="19"/>
        <v>31</v>
      </c>
      <c r="H186" s="838">
        <f t="shared" si="21"/>
        <v>5.1567779546513037E-5</v>
      </c>
      <c r="I186" s="839">
        <v>0</v>
      </c>
    </row>
    <row r="187" spans="2:9">
      <c r="B187" s="724">
        <v>44409</v>
      </c>
      <c r="C187" s="724">
        <v>44439</v>
      </c>
      <c r="D187" s="796">
        <v>0</v>
      </c>
      <c r="E187" s="840">
        <v>1.9900000000000001E-2</v>
      </c>
      <c r="F187" s="871">
        <f t="shared" si="20"/>
        <v>4389010</v>
      </c>
      <c r="G187" s="841">
        <f t="shared" si="19"/>
        <v>31</v>
      </c>
      <c r="H187" s="838">
        <f t="shared" si="21"/>
        <v>5.3986616880719041E-5</v>
      </c>
      <c r="I187" s="839">
        <v>0</v>
      </c>
    </row>
    <row r="188" spans="2:9">
      <c r="B188" s="724">
        <v>44440</v>
      </c>
      <c r="C188" s="724">
        <v>44442</v>
      </c>
      <c r="D188" s="796">
        <v>0</v>
      </c>
      <c r="E188" s="840">
        <v>1.9900000000000001E-2</v>
      </c>
      <c r="F188" s="871">
        <f t="shared" si="20"/>
        <v>4389010</v>
      </c>
      <c r="G188" s="841">
        <f t="shared" si="19"/>
        <v>3</v>
      </c>
      <c r="H188" s="838">
        <f>((1+E188)^(1/365)-1)</f>
        <v>5.3986616880719041E-5</v>
      </c>
      <c r="I188" s="839">
        <v>0</v>
      </c>
    </row>
    <row r="189" spans="2:9">
      <c r="B189" s="724">
        <v>44443</v>
      </c>
      <c r="C189" s="724">
        <v>44469</v>
      </c>
      <c r="D189" s="796">
        <v>0.1719</v>
      </c>
      <c r="E189" s="840">
        <f>+D189*1.5</f>
        <v>0.25785000000000002</v>
      </c>
      <c r="F189" s="871">
        <f t="shared" si="20"/>
        <v>4389010</v>
      </c>
      <c r="G189" s="841">
        <f t="shared" si="19"/>
        <v>27</v>
      </c>
      <c r="H189" s="838">
        <f>((1+E189)^(1/365)-1)</f>
        <v>6.2870142469861889E-4</v>
      </c>
      <c r="I189" s="839">
        <v>0</v>
      </c>
    </row>
    <row r="190" spans="2:9">
      <c r="B190" s="724">
        <v>44470</v>
      </c>
      <c r="C190" s="724">
        <v>44500</v>
      </c>
      <c r="D190" s="796">
        <v>0.17080000000000001</v>
      </c>
      <c r="E190" s="840">
        <f>+D190*1.5</f>
        <v>0.25619999999999998</v>
      </c>
      <c r="F190" s="871">
        <f t="shared" si="20"/>
        <v>4389010</v>
      </c>
      <c r="G190" s="841">
        <f t="shared" si="19"/>
        <v>31</v>
      </c>
      <c r="H190" s="838">
        <f>((1+E190)^(1/365)-1)</f>
        <v>6.2510294214179751E-4</v>
      </c>
      <c r="I190" s="839">
        <v>0</v>
      </c>
    </row>
    <row r="191" spans="2:9">
      <c r="B191" s="724">
        <v>44501</v>
      </c>
      <c r="C191" s="724">
        <v>44530</v>
      </c>
      <c r="D191" s="796">
        <v>0.17269999999999999</v>
      </c>
      <c r="E191" s="842">
        <f>+D191*1.5</f>
        <v>0.25905</v>
      </c>
      <c r="F191" s="871">
        <f t="shared" si="20"/>
        <v>4389010</v>
      </c>
      <c r="G191" s="841">
        <f t="shared" si="19"/>
        <v>30</v>
      </c>
      <c r="H191" s="838">
        <f>((1+E191)^(1/365)-1)</f>
        <v>6.3131554742335005E-4</v>
      </c>
      <c r="I191" s="839">
        <v>0</v>
      </c>
    </row>
    <row r="192" spans="2:9">
      <c r="B192" s="724">
        <v>44531</v>
      </c>
      <c r="C192" s="724">
        <v>44559</v>
      </c>
      <c r="D192" s="796">
        <v>0.17460000000000001</v>
      </c>
      <c r="E192" s="842">
        <f>+D192*1.5</f>
        <v>0.26190000000000002</v>
      </c>
      <c r="F192" s="836">
        <f>+$D$37</f>
        <v>35112080</v>
      </c>
      <c r="G192" s="841">
        <f t="shared" si="19"/>
        <v>29</v>
      </c>
      <c r="H192" s="838">
        <f>((1+E192)^(1/365)-1)</f>
        <v>6.3751414410861962E-4</v>
      </c>
      <c r="I192" s="839">
        <v>0</v>
      </c>
    </row>
    <row r="193" spans="1:9" ht="13.5" customHeight="1">
      <c r="F193" s="2735" t="s">
        <v>162</v>
      </c>
      <c r="G193" s="2736"/>
      <c r="H193" s="2737"/>
      <c r="I193" s="2017">
        <f>SUM(I178:I192)</f>
        <v>20297.37</v>
      </c>
    </row>
    <row r="194" spans="1:9" ht="38.25">
      <c r="B194" s="970" t="s">
        <v>1100</v>
      </c>
      <c r="C194" s="923" t="s">
        <v>163</v>
      </c>
    </row>
    <row r="195" spans="1:9">
      <c r="B195" s="741" t="s">
        <v>133</v>
      </c>
      <c r="C195" s="2019">
        <f>+D176</f>
        <v>4389010</v>
      </c>
    </row>
    <row r="196" spans="1:9" ht="13.5" customHeight="1">
      <c r="B196" s="741" t="s">
        <v>134</v>
      </c>
      <c r="C196" s="2019">
        <f>+I193</f>
        <v>20297.37</v>
      </c>
    </row>
    <row r="197" spans="1:9" ht="13.5" thickBot="1">
      <c r="B197" s="817" t="s">
        <v>61</v>
      </c>
      <c r="C197" s="2020">
        <f>SUM(C195:C196)</f>
        <v>4409307.37</v>
      </c>
    </row>
    <row r="198" spans="1:9" ht="13.5" thickTop="1">
      <c r="C198" s="854"/>
    </row>
    <row r="199" spans="1:9" ht="25.5">
      <c r="A199" s="791">
        <v>8</v>
      </c>
      <c r="B199" s="875" t="s">
        <v>1083</v>
      </c>
      <c r="C199" s="867" t="s">
        <v>1096</v>
      </c>
      <c r="D199" s="868">
        <f>+D24</f>
        <v>4389010</v>
      </c>
    </row>
    <row r="200" spans="1:9" ht="38.25">
      <c r="B200" s="969" t="s">
        <v>206</v>
      </c>
      <c r="C200" s="969" t="s">
        <v>10</v>
      </c>
      <c r="D200" s="2719" t="s">
        <v>1090</v>
      </c>
      <c r="E200" s="2720"/>
      <c r="F200" s="974" t="s">
        <v>202</v>
      </c>
      <c r="G200" s="969" t="s">
        <v>706</v>
      </c>
      <c r="H200" s="974" t="s">
        <v>204</v>
      </c>
      <c r="I200" s="974" t="s">
        <v>205</v>
      </c>
    </row>
    <row r="201" spans="1:9">
      <c r="B201" s="727">
        <v>44173</v>
      </c>
      <c r="C201" s="727">
        <v>44196</v>
      </c>
      <c r="D201" s="869">
        <v>0</v>
      </c>
      <c r="E201" s="870">
        <v>1.9300000000000001E-2</v>
      </c>
      <c r="F201" s="871">
        <f>+$D$130</f>
        <v>4389010</v>
      </c>
      <c r="G201" s="872">
        <f t="shared" ref="G201:G215" si="22">_xlfn.DAYS(C201,B201)+1</f>
        <v>24</v>
      </c>
      <c r="H201" s="873">
        <f>((1+E201)^(1/365)-1)</f>
        <v>5.2374295299806306E-5</v>
      </c>
      <c r="I201" s="2018">
        <f>ROUND(F201*G201*H201,2)</f>
        <v>5516.91</v>
      </c>
    </row>
    <row r="202" spans="1:9">
      <c r="B202" s="724">
        <v>44197</v>
      </c>
      <c r="C202" s="724">
        <v>44227</v>
      </c>
      <c r="D202" s="796">
        <v>0</v>
      </c>
      <c r="E202" s="840">
        <v>1.9099999999999999E-2</v>
      </c>
      <c r="F202" s="871">
        <f t="shared" ref="F202:F214" si="23">+$D$130</f>
        <v>4389010</v>
      </c>
      <c r="G202" s="841">
        <f t="shared" si="22"/>
        <v>31</v>
      </c>
      <c r="H202" s="838">
        <f t="shared" ref="H202:H210" si="24">((1+E202)^(1/365)-1)</f>
        <v>5.1836644438196799E-5</v>
      </c>
      <c r="I202" s="2018">
        <f>ROUND(F202*G202*H202,2)</f>
        <v>7052.86</v>
      </c>
    </row>
    <row r="203" spans="1:9">
      <c r="B203" s="724">
        <v>44228</v>
      </c>
      <c r="C203" s="724">
        <v>44255</v>
      </c>
      <c r="D203" s="796">
        <v>0</v>
      </c>
      <c r="E203" s="840">
        <v>1.8100000000000002E-2</v>
      </c>
      <c r="F203" s="871">
        <f t="shared" si="23"/>
        <v>4389010</v>
      </c>
      <c r="G203" s="841">
        <f t="shared" si="22"/>
        <v>28</v>
      </c>
      <c r="H203" s="838">
        <f t="shared" si="24"/>
        <v>4.9146810763511795E-5</v>
      </c>
      <c r="I203" s="2018">
        <f>ROUND(F203*G203*H203,2)</f>
        <v>6039.76</v>
      </c>
    </row>
    <row r="204" spans="1:9">
      <c r="B204" s="724">
        <v>44256</v>
      </c>
      <c r="C204" s="724">
        <v>44263</v>
      </c>
      <c r="D204" s="796">
        <v>0</v>
      </c>
      <c r="E204" s="840">
        <v>1.77E-2</v>
      </c>
      <c r="F204" s="871">
        <f t="shared" si="23"/>
        <v>4389010</v>
      </c>
      <c r="G204" s="841">
        <f t="shared" si="22"/>
        <v>8</v>
      </c>
      <c r="H204" s="838">
        <f t="shared" si="24"/>
        <v>4.8070139484934771E-5</v>
      </c>
      <c r="I204" s="2018">
        <f>ROUND(F204*G204*H204,2)</f>
        <v>1687.84</v>
      </c>
    </row>
    <row r="205" spans="1:9">
      <c r="B205" s="724">
        <v>44259</v>
      </c>
      <c r="C205" s="724">
        <v>44286</v>
      </c>
      <c r="D205" s="796">
        <v>0</v>
      </c>
      <c r="E205" s="840">
        <v>1.77E-2</v>
      </c>
      <c r="F205" s="871">
        <f t="shared" si="23"/>
        <v>4389010</v>
      </c>
      <c r="G205" s="841">
        <f t="shared" si="22"/>
        <v>28</v>
      </c>
      <c r="H205" s="838">
        <f t="shared" si="24"/>
        <v>4.8070139484934771E-5</v>
      </c>
      <c r="I205" s="839">
        <v>0</v>
      </c>
    </row>
    <row r="206" spans="1:9">
      <c r="B206" s="724">
        <v>44287</v>
      </c>
      <c r="C206" s="724">
        <v>44316</v>
      </c>
      <c r="D206" s="796">
        <v>0</v>
      </c>
      <c r="E206" s="840">
        <v>1.7600000000000001E-2</v>
      </c>
      <c r="F206" s="871">
        <f t="shared" si="23"/>
        <v>4389010</v>
      </c>
      <c r="G206" s="841">
        <f t="shared" si="22"/>
        <v>30</v>
      </c>
      <c r="H206" s="838">
        <f t="shared" si="24"/>
        <v>4.7800905724759701E-5</v>
      </c>
      <c r="I206" s="839">
        <v>0</v>
      </c>
    </row>
    <row r="207" spans="1:9">
      <c r="B207" s="724">
        <v>44317</v>
      </c>
      <c r="C207" s="724">
        <v>44347</v>
      </c>
      <c r="D207" s="796">
        <v>0</v>
      </c>
      <c r="E207" s="840">
        <v>1.8200000000000001E-2</v>
      </c>
      <c r="F207" s="871">
        <f t="shared" si="23"/>
        <v>4389010</v>
      </c>
      <c r="G207" s="841">
        <f t="shared" si="22"/>
        <v>31</v>
      </c>
      <c r="H207" s="838">
        <f t="shared" si="24"/>
        <v>4.9415912668715478E-5</v>
      </c>
      <c r="I207" s="839">
        <v>0</v>
      </c>
    </row>
    <row r="208" spans="1:9">
      <c r="B208" s="724">
        <v>44348</v>
      </c>
      <c r="C208" s="724">
        <v>44377</v>
      </c>
      <c r="D208" s="796">
        <v>0</v>
      </c>
      <c r="E208" s="840">
        <v>1.9099999999999999E-2</v>
      </c>
      <c r="F208" s="871">
        <f t="shared" si="23"/>
        <v>4389010</v>
      </c>
      <c r="G208" s="841">
        <f t="shared" si="22"/>
        <v>30</v>
      </c>
      <c r="H208" s="838">
        <f t="shared" si="24"/>
        <v>5.1836644438196799E-5</v>
      </c>
      <c r="I208" s="839">
        <v>0</v>
      </c>
    </row>
    <row r="209" spans="1:9">
      <c r="B209" s="724">
        <v>44378</v>
      </c>
      <c r="C209" s="724">
        <v>44408</v>
      </c>
      <c r="D209" s="796">
        <v>0</v>
      </c>
      <c r="E209" s="840">
        <v>1.9E-2</v>
      </c>
      <c r="F209" s="871">
        <f t="shared" si="23"/>
        <v>4389010</v>
      </c>
      <c r="G209" s="841">
        <f t="shared" si="22"/>
        <v>31</v>
      </c>
      <c r="H209" s="838">
        <f t="shared" si="24"/>
        <v>5.1567779546513037E-5</v>
      </c>
      <c r="I209" s="839">
        <v>0</v>
      </c>
    </row>
    <row r="210" spans="1:9">
      <c r="B210" s="724">
        <v>44409</v>
      </c>
      <c r="C210" s="724">
        <v>44439</v>
      </c>
      <c r="D210" s="796">
        <v>0</v>
      </c>
      <c r="E210" s="840">
        <v>1.9900000000000001E-2</v>
      </c>
      <c r="F210" s="871">
        <f t="shared" si="23"/>
        <v>4389010</v>
      </c>
      <c r="G210" s="841">
        <f t="shared" si="22"/>
        <v>31</v>
      </c>
      <c r="H210" s="838">
        <f t="shared" si="24"/>
        <v>5.3986616880719041E-5</v>
      </c>
      <c r="I210" s="839">
        <v>0</v>
      </c>
    </row>
    <row r="211" spans="1:9">
      <c r="B211" s="724">
        <v>44440</v>
      </c>
      <c r="C211" s="724">
        <v>44442</v>
      </c>
      <c r="D211" s="796">
        <v>0</v>
      </c>
      <c r="E211" s="840">
        <v>1.9900000000000001E-2</v>
      </c>
      <c r="F211" s="871">
        <f t="shared" si="23"/>
        <v>4389010</v>
      </c>
      <c r="G211" s="841">
        <f t="shared" si="22"/>
        <v>3</v>
      </c>
      <c r="H211" s="838">
        <f>((1+E211)^(1/365)-1)</f>
        <v>5.3986616880719041E-5</v>
      </c>
      <c r="I211" s="839">
        <v>0</v>
      </c>
    </row>
    <row r="212" spans="1:9">
      <c r="B212" s="724">
        <v>44443</v>
      </c>
      <c r="C212" s="724">
        <v>44469</v>
      </c>
      <c r="D212" s="796">
        <v>0.1719</v>
      </c>
      <c r="E212" s="840">
        <f>+D212*1.5</f>
        <v>0.25785000000000002</v>
      </c>
      <c r="F212" s="871">
        <f t="shared" si="23"/>
        <v>4389010</v>
      </c>
      <c r="G212" s="841">
        <f t="shared" si="22"/>
        <v>27</v>
      </c>
      <c r="H212" s="838">
        <f>((1+E212)^(1/365)-1)</f>
        <v>6.2870142469861889E-4</v>
      </c>
      <c r="I212" s="839">
        <v>0</v>
      </c>
    </row>
    <row r="213" spans="1:9">
      <c r="B213" s="724">
        <v>44470</v>
      </c>
      <c r="C213" s="724">
        <v>44500</v>
      </c>
      <c r="D213" s="796">
        <v>0.17080000000000001</v>
      </c>
      <c r="E213" s="840">
        <f>+D213*1.5</f>
        <v>0.25619999999999998</v>
      </c>
      <c r="F213" s="871">
        <f t="shared" si="23"/>
        <v>4389010</v>
      </c>
      <c r="G213" s="841">
        <f t="shared" si="22"/>
        <v>31</v>
      </c>
      <c r="H213" s="838">
        <f>((1+E213)^(1/365)-1)</f>
        <v>6.2510294214179751E-4</v>
      </c>
      <c r="I213" s="839">
        <v>0</v>
      </c>
    </row>
    <row r="214" spans="1:9">
      <c r="B214" s="724">
        <v>44501</v>
      </c>
      <c r="C214" s="724">
        <v>44530</v>
      </c>
      <c r="D214" s="796">
        <v>0.17269999999999999</v>
      </c>
      <c r="E214" s="842">
        <f>+D214*1.5</f>
        <v>0.25905</v>
      </c>
      <c r="F214" s="871">
        <f t="shared" si="23"/>
        <v>4389010</v>
      </c>
      <c r="G214" s="841">
        <f t="shared" si="22"/>
        <v>30</v>
      </c>
      <c r="H214" s="838">
        <f>((1+E214)^(1/365)-1)</f>
        <v>6.3131554742335005E-4</v>
      </c>
      <c r="I214" s="839">
        <v>0</v>
      </c>
    </row>
    <row r="215" spans="1:9">
      <c r="B215" s="724">
        <v>44531</v>
      </c>
      <c r="C215" s="724">
        <v>44559</v>
      </c>
      <c r="D215" s="796">
        <v>0.17460000000000001</v>
      </c>
      <c r="E215" s="842">
        <f>+D215*1.5</f>
        <v>0.26190000000000002</v>
      </c>
      <c r="F215" s="836">
        <f>+$D$37</f>
        <v>35112080</v>
      </c>
      <c r="G215" s="841">
        <f t="shared" si="22"/>
        <v>29</v>
      </c>
      <c r="H215" s="838">
        <f>((1+E215)^(1/365)-1)</f>
        <v>6.3751414410861962E-4</v>
      </c>
      <c r="I215" s="839">
        <v>0</v>
      </c>
    </row>
    <row r="216" spans="1:9" ht="13.5" customHeight="1">
      <c r="F216" s="2735" t="s">
        <v>162</v>
      </c>
      <c r="G216" s="2736"/>
      <c r="H216" s="2737"/>
      <c r="I216" s="2017">
        <f>SUM(I201:I215)</f>
        <v>20297.37</v>
      </c>
    </row>
    <row r="217" spans="1:9" ht="38.25">
      <c r="B217" s="916" t="s">
        <v>1101</v>
      </c>
      <c r="C217" s="924" t="s">
        <v>163</v>
      </c>
    </row>
    <row r="218" spans="1:9">
      <c r="B218" s="741" t="s">
        <v>133</v>
      </c>
      <c r="C218" s="2019">
        <f>+D199</f>
        <v>4389010</v>
      </c>
    </row>
    <row r="219" spans="1:9">
      <c r="B219" s="741" t="s">
        <v>134</v>
      </c>
      <c r="C219" s="2019">
        <f>+I216</f>
        <v>20297.37</v>
      </c>
    </row>
    <row r="220" spans="1:9" ht="13.5" thickBot="1">
      <c r="B220" s="817" t="s">
        <v>61</v>
      </c>
      <c r="C220" s="2020">
        <f>SUM(C218:C219)+3</f>
        <v>4409310.37</v>
      </c>
    </row>
    <row r="221" spans="1:9" ht="13.5" thickTop="1">
      <c r="B221" s="876"/>
      <c r="C221" s="877"/>
    </row>
    <row r="222" spans="1:9" ht="25.5">
      <c r="A222" s="791">
        <v>9</v>
      </c>
      <c r="B222" s="971" t="s">
        <v>1084</v>
      </c>
      <c r="C222" s="972" t="s">
        <v>1096</v>
      </c>
      <c r="D222" s="973">
        <f>+D25</f>
        <v>4389010</v>
      </c>
    </row>
    <row r="223" spans="1:9" ht="39" customHeight="1">
      <c r="B223" s="969" t="s">
        <v>206</v>
      </c>
      <c r="C223" s="969" t="s">
        <v>10</v>
      </c>
      <c r="D223" s="2719" t="s">
        <v>1090</v>
      </c>
      <c r="E223" s="2720"/>
      <c r="F223" s="974" t="s">
        <v>202</v>
      </c>
      <c r="G223" s="969" t="s">
        <v>706</v>
      </c>
      <c r="H223" s="974" t="s">
        <v>204</v>
      </c>
      <c r="I223" s="974" t="s">
        <v>205</v>
      </c>
    </row>
    <row r="224" spans="1:9">
      <c r="B224" s="727">
        <v>44173</v>
      </c>
      <c r="C224" s="727">
        <v>44196</v>
      </c>
      <c r="D224" s="869">
        <v>0</v>
      </c>
      <c r="E224" s="870">
        <v>1.9300000000000001E-2</v>
      </c>
      <c r="F224" s="871">
        <f>+$D$130</f>
        <v>4389010</v>
      </c>
      <c r="G224" s="872">
        <f t="shared" ref="G224:G238" si="25">_xlfn.DAYS(C224,B224)+1</f>
        <v>24</v>
      </c>
      <c r="H224" s="873">
        <f>((1+E224)^(1/365)-1)</f>
        <v>5.2374295299806306E-5</v>
      </c>
      <c r="I224" s="2018">
        <f>ROUND(F224*G224*H224,2)</f>
        <v>5516.91</v>
      </c>
    </row>
    <row r="225" spans="2:9">
      <c r="B225" s="724">
        <v>44197</v>
      </c>
      <c r="C225" s="724">
        <v>44227</v>
      </c>
      <c r="D225" s="796">
        <v>0</v>
      </c>
      <c r="E225" s="840">
        <v>1.9099999999999999E-2</v>
      </c>
      <c r="F225" s="871">
        <f t="shared" ref="F225:F238" si="26">+$D$130</f>
        <v>4389010</v>
      </c>
      <c r="G225" s="841">
        <f t="shared" si="25"/>
        <v>31</v>
      </c>
      <c r="H225" s="838">
        <f t="shared" ref="H225:H233" si="27">((1+E225)^(1/365)-1)</f>
        <v>5.1836644438196799E-5</v>
      </c>
      <c r="I225" s="2018">
        <f>ROUND(F225*G225*H225,2)</f>
        <v>7052.86</v>
      </c>
    </row>
    <row r="226" spans="2:9">
      <c r="B226" s="724">
        <v>44228</v>
      </c>
      <c r="C226" s="724">
        <v>44255</v>
      </c>
      <c r="D226" s="796">
        <v>0</v>
      </c>
      <c r="E226" s="840">
        <v>1.8100000000000002E-2</v>
      </c>
      <c r="F226" s="871">
        <f t="shared" si="26"/>
        <v>4389010</v>
      </c>
      <c r="G226" s="841">
        <f t="shared" si="25"/>
        <v>28</v>
      </c>
      <c r="H226" s="838">
        <f t="shared" si="27"/>
        <v>4.9146810763511795E-5</v>
      </c>
      <c r="I226" s="2018">
        <f>ROUND(F226*G226*H226,2)</f>
        <v>6039.76</v>
      </c>
    </row>
    <row r="227" spans="2:9">
      <c r="B227" s="724">
        <v>44256</v>
      </c>
      <c r="C227" s="724">
        <v>44263</v>
      </c>
      <c r="D227" s="796">
        <v>0</v>
      </c>
      <c r="E227" s="840">
        <v>1.77E-2</v>
      </c>
      <c r="F227" s="871">
        <f t="shared" si="26"/>
        <v>4389010</v>
      </c>
      <c r="G227" s="841">
        <f t="shared" si="25"/>
        <v>8</v>
      </c>
      <c r="H227" s="838">
        <f t="shared" si="27"/>
        <v>4.8070139484934771E-5</v>
      </c>
      <c r="I227" s="2018">
        <f>ROUND(F227*G227*H227,2)</f>
        <v>1687.84</v>
      </c>
    </row>
    <row r="228" spans="2:9">
      <c r="B228" s="724">
        <v>44259</v>
      </c>
      <c r="C228" s="724">
        <v>44286</v>
      </c>
      <c r="D228" s="796">
        <v>0</v>
      </c>
      <c r="E228" s="840">
        <v>1.77E-2</v>
      </c>
      <c r="F228" s="871">
        <f t="shared" si="26"/>
        <v>4389010</v>
      </c>
      <c r="G228" s="841">
        <f t="shared" si="25"/>
        <v>28</v>
      </c>
      <c r="H228" s="838">
        <f t="shared" si="27"/>
        <v>4.8070139484934771E-5</v>
      </c>
      <c r="I228" s="2017">
        <v>0</v>
      </c>
    </row>
    <row r="229" spans="2:9">
      <c r="B229" s="724">
        <v>44287</v>
      </c>
      <c r="C229" s="724">
        <v>44316</v>
      </c>
      <c r="D229" s="796">
        <v>0</v>
      </c>
      <c r="E229" s="840">
        <v>1.7600000000000001E-2</v>
      </c>
      <c r="F229" s="871">
        <f t="shared" si="26"/>
        <v>4389010</v>
      </c>
      <c r="G229" s="841">
        <f t="shared" si="25"/>
        <v>30</v>
      </c>
      <c r="H229" s="838">
        <f t="shared" si="27"/>
        <v>4.7800905724759701E-5</v>
      </c>
      <c r="I229" s="2017">
        <v>0</v>
      </c>
    </row>
    <row r="230" spans="2:9">
      <c r="B230" s="724">
        <v>44317</v>
      </c>
      <c r="C230" s="724">
        <v>44347</v>
      </c>
      <c r="D230" s="796">
        <v>0</v>
      </c>
      <c r="E230" s="840">
        <v>1.8200000000000001E-2</v>
      </c>
      <c r="F230" s="871">
        <f t="shared" si="26"/>
        <v>4389010</v>
      </c>
      <c r="G230" s="841">
        <f t="shared" si="25"/>
        <v>31</v>
      </c>
      <c r="H230" s="838">
        <f t="shared" si="27"/>
        <v>4.9415912668715478E-5</v>
      </c>
      <c r="I230" s="2017">
        <v>0</v>
      </c>
    </row>
    <row r="231" spans="2:9">
      <c r="B231" s="724">
        <v>44348</v>
      </c>
      <c r="C231" s="724">
        <v>44377</v>
      </c>
      <c r="D231" s="796">
        <v>0</v>
      </c>
      <c r="E231" s="840">
        <v>1.9099999999999999E-2</v>
      </c>
      <c r="F231" s="871">
        <f t="shared" si="26"/>
        <v>4389010</v>
      </c>
      <c r="G231" s="841">
        <f t="shared" si="25"/>
        <v>30</v>
      </c>
      <c r="H231" s="838">
        <f t="shared" si="27"/>
        <v>5.1836644438196799E-5</v>
      </c>
      <c r="I231" s="2017">
        <v>0</v>
      </c>
    </row>
    <row r="232" spans="2:9">
      <c r="B232" s="724">
        <v>44378</v>
      </c>
      <c r="C232" s="724">
        <v>44408</v>
      </c>
      <c r="D232" s="796">
        <v>0</v>
      </c>
      <c r="E232" s="840">
        <v>1.9E-2</v>
      </c>
      <c r="F232" s="871">
        <f t="shared" si="26"/>
        <v>4389010</v>
      </c>
      <c r="G232" s="841">
        <f t="shared" si="25"/>
        <v>31</v>
      </c>
      <c r="H232" s="838">
        <f t="shared" si="27"/>
        <v>5.1567779546513037E-5</v>
      </c>
      <c r="I232" s="2017">
        <v>0</v>
      </c>
    </row>
    <row r="233" spans="2:9">
      <c r="B233" s="724">
        <v>44409</v>
      </c>
      <c r="C233" s="724">
        <v>44439</v>
      </c>
      <c r="D233" s="796">
        <v>0</v>
      </c>
      <c r="E233" s="840">
        <v>1.9900000000000001E-2</v>
      </c>
      <c r="F233" s="871">
        <f t="shared" si="26"/>
        <v>4389010</v>
      </c>
      <c r="G233" s="841">
        <f t="shared" si="25"/>
        <v>31</v>
      </c>
      <c r="H233" s="838">
        <f t="shared" si="27"/>
        <v>5.3986616880719041E-5</v>
      </c>
      <c r="I233" s="2017">
        <v>0</v>
      </c>
    </row>
    <row r="234" spans="2:9">
      <c r="B234" s="724">
        <v>44440</v>
      </c>
      <c r="C234" s="724">
        <v>44442</v>
      </c>
      <c r="D234" s="796">
        <v>0</v>
      </c>
      <c r="E234" s="840">
        <v>1.9900000000000001E-2</v>
      </c>
      <c r="F234" s="871">
        <f t="shared" si="26"/>
        <v>4389010</v>
      </c>
      <c r="G234" s="841">
        <f t="shared" si="25"/>
        <v>3</v>
      </c>
      <c r="H234" s="838">
        <f>((1+E234)^(1/365)-1)</f>
        <v>5.3986616880719041E-5</v>
      </c>
      <c r="I234" s="2017">
        <v>0</v>
      </c>
    </row>
    <row r="235" spans="2:9">
      <c r="B235" s="724">
        <v>44443</v>
      </c>
      <c r="C235" s="724">
        <v>44469</v>
      </c>
      <c r="D235" s="796">
        <v>0.1719</v>
      </c>
      <c r="E235" s="840">
        <f>+D235*1.5</f>
        <v>0.25785000000000002</v>
      </c>
      <c r="F235" s="871">
        <f t="shared" si="26"/>
        <v>4389010</v>
      </c>
      <c r="G235" s="841">
        <f t="shared" si="25"/>
        <v>27</v>
      </c>
      <c r="H235" s="838">
        <f>((1+E235)^(1/365)-1)</f>
        <v>6.2870142469861889E-4</v>
      </c>
      <c r="I235" s="2017">
        <v>0</v>
      </c>
    </row>
    <row r="236" spans="2:9">
      <c r="B236" s="724">
        <v>44470</v>
      </c>
      <c r="C236" s="724">
        <v>44500</v>
      </c>
      <c r="D236" s="796">
        <v>0.17080000000000001</v>
      </c>
      <c r="E236" s="840">
        <f>+D236*1.5</f>
        <v>0.25619999999999998</v>
      </c>
      <c r="F236" s="871">
        <f t="shared" si="26"/>
        <v>4389010</v>
      </c>
      <c r="G236" s="841">
        <f t="shared" si="25"/>
        <v>31</v>
      </c>
      <c r="H236" s="838">
        <f>((1+E236)^(1/365)-1)</f>
        <v>6.2510294214179751E-4</v>
      </c>
      <c r="I236" s="2017">
        <v>0</v>
      </c>
    </row>
    <row r="237" spans="2:9">
      <c r="B237" s="724">
        <v>44501</v>
      </c>
      <c r="C237" s="724">
        <v>44530</v>
      </c>
      <c r="D237" s="796">
        <v>0.17269999999999999</v>
      </c>
      <c r="E237" s="842">
        <f>+D237*1.5</f>
        <v>0.25905</v>
      </c>
      <c r="F237" s="871">
        <f t="shared" si="26"/>
        <v>4389010</v>
      </c>
      <c r="G237" s="841">
        <f t="shared" si="25"/>
        <v>30</v>
      </c>
      <c r="H237" s="838">
        <f>((1+E237)^(1/365)-1)</f>
        <v>6.3131554742335005E-4</v>
      </c>
      <c r="I237" s="2017">
        <v>0</v>
      </c>
    </row>
    <row r="238" spans="2:9">
      <c r="B238" s="724">
        <v>44531</v>
      </c>
      <c r="C238" s="724">
        <v>44559</v>
      </c>
      <c r="D238" s="796">
        <v>0.17460000000000001</v>
      </c>
      <c r="E238" s="842">
        <f>+D238*1.5</f>
        <v>0.26190000000000002</v>
      </c>
      <c r="F238" s="871">
        <f t="shared" si="26"/>
        <v>4389010</v>
      </c>
      <c r="G238" s="841">
        <f t="shared" si="25"/>
        <v>29</v>
      </c>
      <c r="H238" s="838">
        <f>((1+E238)^(1/365)-1)</f>
        <v>6.3751414410861962E-4</v>
      </c>
      <c r="I238" s="2017">
        <v>0</v>
      </c>
    </row>
    <row r="239" spans="2:9" ht="13.5" customHeight="1">
      <c r="F239" s="2735" t="s">
        <v>162</v>
      </c>
      <c r="G239" s="2736"/>
      <c r="H239" s="2737"/>
      <c r="I239" s="2017">
        <f>SUM(I224:I238)</f>
        <v>20297.37</v>
      </c>
    </row>
    <row r="240" spans="2:9" ht="38.25">
      <c r="B240" s="916" t="s">
        <v>1102</v>
      </c>
      <c r="C240" s="726" t="s">
        <v>163</v>
      </c>
    </row>
    <row r="241" spans="2:5">
      <c r="B241" s="741" t="s">
        <v>133</v>
      </c>
      <c r="C241" s="2019">
        <f>+D222</f>
        <v>4389010</v>
      </c>
      <c r="D241" s="982"/>
    </row>
    <row r="242" spans="2:5">
      <c r="B242" s="741" t="s">
        <v>134</v>
      </c>
      <c r="C242" s="2019">
        <f>+I239</f>
        <v>20297.37</v>
      </c>
      <c r="D242" s="982"/>
    </row>
    <row r="243" spans="2:5" ht="13.5" thickBot="1">
      <c r="B243" s="817" t="s">
        <v>61</v>
      </c>
      <c r="C243" s="2020">
        <f>SUM(C241:C242)+3</f>
        <v>4409310.37</v>
      </c>
      <c r="D243" s="982"/>
    </row>
    <row r="244" spans="2:5" ht="13.5" thickTop="1">
      <c r="C244" s="854"/>
    </row>
    <row r="245" spans="2:5">
      <c r="B245" s="2686" t="s">
        <v>1103</v>
      </c>
      <c r="C245" s="2686"/>
    </row>
    <row r="246" spans="2:5">
      <c r="B246" s="726" t="s">
        <v>56</v>
      </c>
      <c r="C246" s="881"/>
    </row>
    <row r="247" spans="2:5">
      <c r="B247" s="741" t="s">
        <v>133</v>
      </c>
      <c r="C247" s="790">
        <f>+C57+C80+C103+C126+C149+C172+C195+C218+C241</f>
        <v>79002180</v>
      </c>
      <c r="E247" s="878"/>
    </row>
    <row r="248" spans="2:5">
      <c r="B248" s="741" t="s">
        <v>134</v>
      </c>
      <c r="C248" s="790">
        <f>+C58+C81+C104+C127+C173+C196+C219+C242+C150</f>
        <v>365352.74</v>
      </c>
      <c r="E248" s="878"/>
    </row>
    <row r="249" spans="2:5" ht="13.5" thickBot="1">
      <c r="B249" s="743" t="s">
        <v>61</v>
      </c>
      <c r="C249" s="2023">
        <f>SUM(C247:C248)</f>
        <v>79367532.739999995</v>
      </c>
      <c r="D249" s="925"/>
      <c r="E249" s="878"/>
    </row>
    <row r="250" spans="2:5" ht="13.5" thickTop="1">
      <c r="B250" s="719" t="s">
        <v>62</v>
      </c>
      <c r="C250" s="925">
        <v>79366427</v>
      </c>
    </row>
    <row r="251" spans="2:5">
      <c r="B251" s="911"/>
      <c r="C251" s="854"/>
      <c r="D251" s="2182">
        <f>+C249-C250</f>
        <v>1105.7399999946356</v>
      </c>
    </row>
    <row r="252" spans="2:5">
      <c r="B252" s="911"/>
      <c r="C252" s="854"/>
    </row>
    <row r="253" spans="2:5">
      <c r="B253" s="719" t="s">
        <v>63</v>
      </c>
      <c r="C253" s="854"/>
    </row>
    <row r="254" spans="2:5">
      <c r="B254" s="719" t="s">
        <v>64</v>
      </c>
      <c r="C254" s="854"/>
    </row>
    <row r="255" spans="2:5">
      <c r="B255" s="719" t="s">
        <v>65</v>
      </c>
      <c r="C255" s="854"/>
    </row>
    <row r="256" spans="2:5" hidden="1">
      <c r="B256" s="719"/>
      <c r="C256" s="854"/>
    </row>
    <row r="257" spans="1:9" ht="51.75" hidden="1" thickBot="1">
      <c r="B257" s="863" t="s">
        <v>199</v>
      </c>
      <c r="C257" s="865" t="s">
        <v>200</v>
      </c>
      <c r="D257" s="862" t="s">
        <v>320</v>
      </c>
      <c r="E257" s="831" t="s">
        <v>201</v>
      </c>
      <c r="F257" s="832" t="s">
        <v>202</v>
      </c>
      <c r="G257" s="833" t="s">
        <v>203</v>
      </c>
      <c r="H257" s="833" t="s">
        <v>204</v>
      </c>
      <c r="I257" s="833" t="s">
        <v>205</v>
      </c>
    </row>
    <row r="258" spans="1:9" hidden="1">
      <c r="A258" s="791">
        <v>1</v>
      </c>
      <c r="B258" s="834"/>
      <c r="C258" s="864"/>
      <c r="D258" s="861"/>
      <c r="E258" s="835"/>
      <c r="F258" s="836"/>
      <c r="G258" s="837"/>
      <c r="H258" s="838"/>
      <c r="I258" s="839"/>
    </row>
    <row r="259" spans="1:9" hidden="1">
      <c r="A259" s="791">
        <v>2</v>
      </c>
      <c r="B259" s="724">
        <v>44168</v>
      </c>
      <c r="C259" s="724">
        <v>44196</v>
      </c>
      <c r="D259" s="796">
        <v>0.17460000000000001</v>
      </c>
      <c r="E259" s="840">
        <f>+D259*1.5</f>
        <v>0.26190000000000002</v>
      </c>
      <c r="F259" s="836">
        <f>+$C$33</f>
        <v>79002180</v>
      </c>
      <c r="G259" s="841">
        <f t="shared" ref="G259:G270" si="28">_xlfn.DAYS(C259,B259)+1</f>
        <v>29</v>
      </c>
      <c r="H259" s="838">
        <f>((1+E259)^(1/365)-1)</f>
        <v>6.3751414410861962E-4</v>
      </c>
      <c r="I259" s="839">
        <f>+F259*G259*H259</f>
        <v>1460585.2077970381</v>
      </c>
    </row>
    <row r="260" spans="1:9" hidden="1">
      <c r="A260" s="791">
        <v>3</v>
      </c>
      <c r="B260" s="724">
        <v>44197</v>
      </c>
      <c r="C260" s="724">
        <v>44227</v>
      </c>
      <c r="D260" s="796">
        <v>0.17319999999999999</v>
      </c>
      <c r="E260" s="840">
        <f t="shared" ref="E260:E269" si="29">+D260*1.5</f>
        <v>0.25979999999999998</v>
      </c>
      <c r="F260" s="836">
        <f t="shared" ref="F260:F270" si="30">+$C$33</f>
        <v>79002180</v>
      </c>
      <c r="G260" s="841">
        <f t="shared" si="28"/>
        <v>31</v>
      </c>
      <c r="H260" s="838">
        <f t="shared" ref="H260:H270" si="31">((1+E260)^(1/365)-1)</f>
        <v>6.3294811266723094E-4</v>
      </c>
      <c r="I260" s="839">
        <f t="shared" ref="I260:I270" si="32">+F260*G260*H260</f>
        <v>1550132.7025555025</v>
      </c>
    </row>
    <row r="261" spans="1:9" hidden="1">
      <c r="A261" s="791">
        <v>4</v>
      </c>
      <c r="B261" s="724">
        <v>44228</v>
      </c>
      <c r="C261" s="724">
        <v>44255</v>
      </c>
      <c r="D261" s="796">
        <v>0.1754</v>
      </c>
      <c r="E261" s="840">
        <f t="shared" si="29"/>
        <v>0.2631</v>
      </c>
      <c r="F261" s="836">
        <f t="shared" si="30"/>
        <v>79002180</v>
      </c>
      <c r="G261" s="841">
        <f t="shared" si="28"/>
        <v>28</v>
      </c>
      <c r="H261" s="838">
        <f t="shared" si="31"/>
        <v>6.4011990387169426E-4</v>
      </c>
      <c r="I261" s="839">
        <f t="shared" si="32"/>
        <v>1415984.30028312</v>
      </c>
    </row>
    <row r="262" spans="1:9" hidden="1">
      <c r="A262" s="791">
        <v>5</v>
      </c>
      <c r="B262" s="724">
        <v>44256</v>
      </c>
      <c r="C262" s="724">
        <v>44286</v>
      </c>
      <c r="D262" s="796">
        <v>0.1741</v>
      </c>
      <c r="E262" s="840">
        <f t="shared" si="29"/>
        <v>0.26114999999999999</v>
      </c>
      <c r="F262" s="836">
        <f t="shared" si="30"/>
        <v>79002180</v>
      </c>
      <c r="G262" s="841">
        <f t="shared" si="28"/>
        <v>31</v>
      </c>
      <c r="H262" s="838">
        <f t="shared" si="31"/>
        <v>6.3588428907812578E-4</v>
      </c>
      <c r="I262" s="839">
        <f t="shared" si="32"/>
        <v>1557323.597012586</v>
      </c>
    </row>
    <row r="263" spans="1:9" hidden="1">
      <c r="A263" s="791">
        <v>6</v>
      </c>
      <c r="B263" s="724">
        <v>44287</v>
      </c>
      <c r="C263" s="724">
        <v>44316</v>
      </c>
      <c r="D263" s="796">
        <v>0.1731</v>
      </c>
      <c r="E263" s="840">
        <f t="shared" si="29"/>
        <v>0.25964999999999999</v>
      </c>
      <c r="F263" s="836">
        <f t="shared" si="30"/>
        <v>79002180</v>
      </c>
      <c r="G263" s="841">
        <f t="shared" si="28"/>
        <v>30</v>
      </c>
      <c r="H263" s="838">
        <f t="shared" si="31"/>
        <v>6.326216771728177E-4</v>
      </c>
      <c r="I263" s="839">
        <f t="shared" si="32"/>
        <v>1499354.748357265</v>
      </c>
    </row>
    <row r="264" spans="1:9" hidden="1">
      <c r="A264" s="791">
        <v>7</v>
      </c>
      <c r="B264" s="724">
        <v>44317</v>
      </c>
      <c r="C264" s="724">
        <v>44347</v>
      </c>
      <c r="D264" s="796">
        <v>0.17219999999999999</v>
      </c>
      <c r="E264" s="840">
        <f t="shared" si="29"/>
        <v>0.25829999999999997</v>
      </c>
      <c r="F264" s="836">
        <f t="shared" si="30"/>
        <v>79002180</v>
      </c>
      <c r="G264" s="841">
        <f t="shared" si="28"/>
        <v>31</v>
      </c>
      <c r="H264" s="838">
        <f t="shared" si="31"/>
        <v>6.2968201205726437E-4</v>
      </c>
      <c r="I264" s="839">
        <f t="shared" si="32"/>
        <v>1542133.8014386152</v>
      </c>
    </row>
    <row r="265" spans="1:9" hidden="1">
      <c r="A265" s="791">
        <v>8</v>
      </c>
      <c r="B265" s="724">
        <v>44348</v>
      </c>
      <c r="C265" s="724">
        <v>44377</v>
      </c>
      <c r="D265" s="796">
        <v>0.1721</v>
      </c>
      <c r="E265" s="840">
        <f t="shared" si="29"/>
        <v>0.25814999999999999</v>
      </c>
      <c r="F265" s="836">
        <f t="shared" si="30"/>
        <v>79002180</v>
      </c>
      <c r="G265" s="841">
        <f t="shared" si="28"/>
        <v>30</v>
      </c>
      <c r="H265" s="838">
        <f t="shared" si="31"/>
        <v>6.2935518846773952E-4</v>
      </c>
      <c r="I265" s="839">
        <f t="shared" si="32"/>
        <v>1491612.9564978685</v>
      </c>
    </row>
    <row r="266" spans="1:9" hidden="1">
      <c r="A266" s="791">
        <v>9</v>
      </c>
      <c r="B266" s="724">
        <v>44378</v>
      </c>
      <c r="C266" s="724">
        <v>44408</v>
      </c>
      <c r="D266" s="796">
        <v>0.17180000000000001</v>
      </c>
      <c r="E266" s="840">
        <f t="shared" si="29"/>
        <v>0.25770000000000004</v>
      </c>
      <c r="F266" s="836">
        <f t="shared" si="30"/>
        <v>79002180</v>
      </c>
      <c r="G266" s="841">
        <f t="shared" si="28"/>
        <v>31</v>
      </c>
      <c r="H266" s="838">
        <f t="shared" si="31"/>
        <v>6.2837448450037137E-4</v>
      </c>
      <c r="I266" s="839">
        <f t="shared" si="32"/>
        <v>1538931.5780890719</v>
      </c>
    </row>
    <row r="267" spans="1:9" hidden="1">
      <c r="A267" s="791">
        <v>10</v>
      </c>
      <c r="B267" s="724">
        <v>44409</v>
      </c>
      <c r="C267" s="724">
        <v>44439</v>
      </c>
      <c r="D267" s="796">
        <v>0.1724</v>
      </c>
      <c r="E267" s="840">
        <f t="shared" si="29"/>
        <v>0.2586</v>
      </c>
      <c r="F267" s="836">
        <f t="shared" si="30"/>
        <v>79002180</v>
      </c>
      <c r="G267" s="841">
        <f t="shared" si="28"/>
        <v>31</v>
      </c>
      <c r="H267" s="838">
        <f t="shared" si="31"/>
        <v>6.3033554269220637E-4</v>
      </c>
      <c r="I267" s="839">
        <f t="shared" si="32"/>
        <v>1543734.3421291886</v>
      </c>
    </row>
    <row r="268" spans="1:9" hidden="1">
      <c r="A268" s="791">
        <v>11</v>
      </c>
      <c r="B268" s="724">
        <v>44440</v>
      </c>
      <c r="C268" s="724">
        <v>44469</v>
      </c>
      <c r="D268" s="796">
        <v>0.1719</v>
      </c>
      <c r="E268" s="840">
        <f t="shared" si="29"/>
        <v>0.25785000000000002</v>
      </c>
      <c r="F268" s="836">
        <f t="shared" si="30"/>
        <v>79002180</v>
      </c>
      <c r="G268" s="841">
        <f t="shared" si="28"/>
        <v>30</v>
      </c>
      <c r="H268" s="838">
        <f t="shared" si="31"/>
        <v>6.2870142469861889E-4</v>
      </c>
      <c r="I268" s="839">
        <f t="shared" si="32"/>
        <v>1490063.493608902</v>
      </c>
    </row>
    <row r="269" spans="1:9" hidden="1">
      <c r="A269" s="791">
        <v>12</v>
      </c>
      <c r="B269" s="724">
        <v>44470</v>
      </c>
      <c r="C269" s="724">
        <v>44500</v>
      </c>
      <c r="D269" s="796">
        <v>0.17080000000000001</v>
      </c>
      <c r="E269" s="840">
        <f t="shared" si="29"/>
        <v>0.25619999999999998</v>
      </c>
      <c r="F269" s="836">
        <f t="shared" si="30"/>
        <v>79002180</v>
      </c>
      <c r="G269" s="841">
        <f t="shared" si="28"/>
        <v>31</v>
      </c>
      <c r="H269" s="838">
        <f t="shared" si="31"/>
        <v>6.2510294214179751E-4</v>
      </c>
      <c r="I269" s="839">
        <f t="shared" si="32"/>
        <v>1530919.3497620921</v>
      </c>
    </row>
    <row r="270" spans="1:9" hidden="1">
      <c r="A270" s="791">
        <v>13</v>
      </c>
      <c r="B270" s="724">
        <v>44501</v>
      </c>
      <c r="C270" s="724">
        <v>44530</v>
      </c>
      <c r="D270" s="796">
        <v>0.17269999999999999</v>
      </c>
      <c r="E270" s="842">
        <f>+D270*1.5</f>
        <v>0.25905</v>
      </c>
      <c r="F270" s="836">
        <f t="shared" si="30"/>
        <v>79002180</v>
      </c>
      <c r="G270" s="841">
        <f t="shared" si="28"/>
        <v>30</v>
      </c>
      <c r="H270" s="838">
        <f t="shared" si="31"/>
        <v>6.3131554742335005E-4</v>
      </c>
      <c r="I270" s="839">
        <f t="shared" si="32"/>
        <v>1496259.1354301411</v>
      </c>
    </row>
    <row r="271" spans="1:9" ht="13.5" hidden="1" customHeight="1">
      <c r="F271" s="855" t="s">
        <v>162</v>
      </c>
      <c r="G271" s="855"/>
      <c r="H271" s="855"/>
      <c r="I271" s="839">
        <f>SUM(I259:I270)</f>
        <v>18117035.212961391</v>
      </c>
    </row>
    <row r="272" spans="1:9" hidden="1">
      <c r="B272" s="2687" t="s">
        <v>55</v>
      </c>
      <c r="C272" s="2695"/>
      <c r="D272" s="856"/>
      <c r="F272" s="856"/>
      <c r="G272" s="856"/>
      <c r="H272" s="856"/>
      <c r="I272" s="856"/>
    </row>
    <row r="273" spans="2:4" hidden="1">
      <c r="B273" s="726" t="s">
        <v>56</v>
      </c>
      <c r="C273" s="726" t="s">
        <v>163</v>
      </c>
      <c r="D273" s="856"/>
    </row>
    <row r="274" spans="2:4" s="856" customFormat="1" hidden="1">
      <c r="B274" s="741" t="s">
        <v>133</v>
      </c>
      <c r="C274" s="857">
        <f>+C33</f>
        <v>79002180</v>
      </c>
    </row>
    <row r="275" spans="2:4" s="856" customFormat="1" hidden="1">
      <c r="B275" s="741" t="s">
        <v>134</v>
      </c>
      <c r="C275" s="858">
        <f>+I271</f>
        <v>18117035.212961391</v>
      </c>
    </row>
    <row r="276" spans="2:4" s="856" customFormat="1" ht="25.5" hidden="1">
      <c r="B276" s="789" t="s">
        <v>1104</v>
      </c>
      <c r="C276" s="843">
        <f>+C33*0.03</f>
        <v>2370065.4</v>
      </c>
    </row>
    <row r="277" spans="2:4" ht="12.75" hidden="1" customHeight="1">
      <c r="B277" s="817" t="s">
        <v>61</v>
      </c>
      <c r="C277" s="859">
        <f>SUM(C274:C276)</f>
        <v>99489280.612961397</v>
      </c>
      <c r="D277" s="856"/>
    </row>
    <row r="278" spans="2:4" ht="13.5" hidden="1" customHeight="1">
      <c r="B278" s="719" t="s">
        <v>62</v>
      </c>
      <c r="C278" s="926"/>
      <c r="D278" s="927"/>
    </row>
    <row r="279" spans="2:4" hidden="1">
      <c r="B279" s="911"/>
      <c r="C279" s="928"/>
      <c r="D279" s="814"/>
    </row>
    <row r="280" spans="2:4" hidden="1">
      <c r="B280" s="911"/>
      <c r="C280" s="928"/>
      <c r="D280" s="814"/>
    </row>
    <row r="281" spans="2:4" hidden="1">
      <c r="B281" s="719" t="s">
        <v>63</v>
      </c>
      <c r="C281" s="928"/>
      <c r="D281" s="814"/>
    </row>
    <row r="282" spans="2:4" hidden="1">
      <c r="B282" s="719" t="s">
        <v>64</v>
      </c>
      <c r="C282" s="928"/>
      <c r="D282" s="814"/>
    </row>
    <row r="283" spans="2:4" hidden="1">
      <c r="B283" s="719" t="s">
        <v>65</v>
      </c>
      <c r="C283" s="928"/>
      <c r="D283" s="814"/>
    </row>
    <row r="284" spans="2:4">
      <c r="B284" s="911"/>
      <c r="C284" s="928"/>
      <c r="D284" s="814"/>
    </row>
  </sheetData>
  <mergeCells count="22">
    <mergeCell ref="F147:H147"/>
    <mergeCell ref="B2:C2"/>
    <mergeCell ref="D38:E38"/>
    <mergeCell ref="F54:H54"/>
    <mergeCell ref="B55:C55"/>
    <mergeCell ref="D62:E62"/>
    <mergeCell ref="F78:H78"/>
    <mergeCell ref="D85:E85"/>
    <mergeCell ref="F101:H101"/>
    <mergeCell ref="D108:E108"/>
    <mergeCell ref="F124:H124"/>
    <mergeCell ref="D131:E131"/>
    <mergeCell ref="D223:E223"/>
    <mergeCell ref="F239:H239"/>
    <mergeCell ref="B245:C245"/>
    <mergeCell ref="B272:C272"/>
    <mergeCell ref="D154:E154"/>
    <mergeCell ref="F170:H170"/>
    <mergeCell ref="D177:E177"/>
    <mergeCell ref="F193:H193"/>
    <mergeCell ref="D200:E200"/>
    <mergeCell ref="F216:H216"/>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59"/>
  <dimension ref="A1:J110"/>
  <sheetViews>
    <sheetView topLeftCell="A19" zoomScale="110" zoomScaleNormal="110" workbookViewId="0">
      <selection activeCell="D78" sqref="D78"/>
    </sheetView>
  </sheetViews>
  <sheetFormatPr defaultColWidth="9.140625" defaultRowHeight="12.75"/>
  <cols>
    <col min="1" max="1" width="2.7109375" style="791" customWidth="1"/>
    <col min="2" max="2" width="14.42578125" style="791" customWidth="1"/>
    <col min="3" max="3" width="18" style="791" customWidth="1"/>
    <col min="4" max="4" width="11.42578125" style="791" customWidth="1"/>
    <col min="5" max="5" width="14.5703125" style="791" customWidth="1"/>
    <col min="6" max="6" width="12.140625" style="791" customWidth="1"/>
    <col min="7" max="7" width="7.28515625" style="791" customWidth="1"/>
    <col min="8" max="8" width="13.140625" style="791" customWidth="1"/>
    <col min="9" max="257" width="11.42578125" style="791" customWidth="1"/>
    <col min="258" max="16384" width="9.140625" style="791"/>
  </cols>
  <sheetData>
    <row r="1" spans="2:10" hidden="1"/>
    <row r="2" spans="2:10" ht="25.5" hidden="1">
      <c r="I2" s="946" t="s">
        <v>1105</v>
      </c>
      <c r="J2" s="851">
        <v>877803</v>
      </c>
    </row>
    <row r="3" spans="2:10">
      <c r="I3" s="848" t="s">
        <v>820</v>
      </c>
    </row>
    <row r="4" spans="2:10">
      <c r="B4" s="789" t="s">
        <v>825</v>
      </c>
      <c r="C4" s="887" t="s">
        <v>1106</v>
      </c>
    </row>
    <row r="5" spans="2:10" ht="12.75" customHeight="1">
      <c r="B5" s="1518" t="s">
        <v>999</v>
      </c>
      <c r="C5" s="944" t="s">
        <v>1107</v>
      </c>
    </row>
    <row r="6" spans="2:10">
      <c r="B6" s="728" t="s">
        <v>287</v>
      </c>
      <c r="C6" s="724">
        <v>44068</v>
      </c>
    </row>
    <row r="7" spans="2:10">
      <c r="B7" s="888" t="s">
        <v>220</v>
      </c>
      <c r="C7" s="1520" t="s">
        <v>1108</v>
      </c>
    </row>
    <row r="8" spans="2:10" ht="38.25">
      <c r="B8" s="1517" t="s">
        <v>1109</v>
      </c>
      <c r="C8" s="1524" t="s">
        <v>1110</v>
      </c>
    </row>
    <row r="9" spans="2:10">
      <c r="B9" s="888" t="s">
        <v>1025</v>
      </c>
      <c r="C9" s="1520" t="s">
        <v>1111</v>
      </c>
    </row>
    <row r="10" spans="2:10">
      <c r="B10" s="1474" t="s">
        <v>1000</v>
      </c>
      <c r="C10" s="1520" t="s">
        <v>1112</v>
      </c>
    </row>
    <row r="11" spans="2:10" ht="25.5">
      <c r="B11" s="893" t="s">
        <v>1113</v>
      </c>
      <c r="C11" s="724">
        <v>44246</v>
      </c>
    </row>
    <row r="13" spans="2:10">
      <c r="B13" s="848" t="s">
        <v>1114</v>
      </c>
      <c r="C13" s="1461" t="s">
        <v>1115</v>
      </c>
      <c r="D13" s="1461" t="s">
        <v>1116</v>
      </c>
      <c r="E13" s="1461" t="s">
        <v>1117</v>
      </c>
    </row>
    <row r="14" spans="2:10" ht="25.5">
      <c r="B14" s="1141" t="s">
        <v>1118</v>
      </c>
      <c r="C14" s="791">
        <v>100</v>
      </c>
      <c r="D14" s="982">
        <v>689455</v>
      </c>
      <c r="E14" s="851">
        <f>+C14*D14</f>
        <v>68945500</v>
      </c>
    </row>
    <row r="15" spans="2:10">
      <c r="B15" s="728" t="s">
        <v>129</v>
      </c>
      <c r="C15" s="907">
        <f>+E14</f>
        <v>68945500</v>
      </c>
      <c r="E15" s="851"/>
    </row>
    <row r="16" spans="2:10">
      <c r="B16" s="2644" t="s">
        <v>957</v>
      </c>
      <c r="C16" s="2645"/>
      <c r="D16" s="2645"/>
      <c r="E16" s="2645"/>
      <c r="F16" s="2645"/>
      <c r="G16" s="2645"/>
      <c r="H16" s="2646"/>
    </row>
    <row r="17" spans="1:8" ht="25.5">
      <c r="B17" s="1001" t="s">
        <v>206</v>
      </c>
      <c r="C17" s="1001" t="s">
        <v>10</v>
      </c>
      <c r="D17" s="2739" t="s">
        <v>1090</v>
      </c>
      <c r="E17" s="2740"/>
      <c r="F17" s="923" t="s">
        <v>88</v>
      </c>
      <c r="G17" s="1725" t="s">
        <v>279</v>
      </c>
      <c r="H17" s="923" t="s">
        <v>253</v>
      </c>
    </row>
    <row r="18" spans="1:8">
      <c r="A18" s="791">
        <v>1</v>
      </c>
      <c r="B18" s="724">
        <v>44069</v>
      </c>
      <c r="C18" s="724">
        <v>44074</v>
      </c>
      <c r="D18" s="897">
        <v>0</v>
      </c>
      <c r="E18" s="897">
        <v>2.7900000000000001E-2</v>
      </c>
      <c r="F18" s="897">
        <f>((1+E18)^(1/365)-1)</f>
        <v>7.5394310601994974E-5</v>
      </c>
      <c r="G18" s="1176">
        <f>_xlfn.DAYS(C18,B18)+1</f>
        <v>6</v>
      </c>
      <c r="H18" s="850">
        <f>F18*G18*$C$15</f>
        <v>31188.590649659065</v>
      </c>
    </row>
    <row r="19" spans="1:8">
      <c r="A19" s="791">
        <v>2</v>
      </c>
      <c r="B19" s="724">
        <v>44075</v>
      </c>
      <c r="C19" s="724">
        <v>44104</v>
      </c>
      <c r="D19" s="897">
        <v>0</v>
      </c>
      <c r="E19" s="897">
        <v>2.3900000000000001E-2</v>
      </c>
      <c r="F19" s="897">
        <f>((1+E19)^(1/365)-1)</f>
        <v>6.4711314504917183E-5</v>
      </c>
      <c r="G19" s="1176">
        <f>_xlfn.DAYS(C19,B19)+1</f>
        <v>30</v>
      </c>
      <c r="H19" s="850">
        <f>F19*G19*$C$15</f>
        <v>133846.61802596302</v>
      </c>
    </row>
    <row r="20" spans="1:8">
      <c r="A20" s="791">
        <v>3</v>
      </c>
      <c r="B20" s="724">
        <v>44105</v>
      </c>
      <c r="C20" s="724">
        <v>44135</v>
      </c>
      <c r="D20" s="897">
        <v>0</v>
      </c>
      <c r="E20" s="897">
        <v>2.0299999999999999E-2</v>
      </c>
      <c r="F20" s="897">
        <f>((1+E20)^(1/365)-1)</f>
        <v>5.5060972509624051E-5</v>
      </c>
      <c r="G20" s="1176">
        <f>_xlfn.DAYS(C20,B20)+1</f>
        <v>31</v>
      </c>
      <c r="H20" s="850">
        <f>F20*G20*$C$15</f>
        <v>117682.39468503084</v>
      </c>
    </row>
    <row r="21" spans="1:8">
      <c r="A21" s="791">
        <v>4</v>
      </c>
      <c r="B21" s="724">
        <v>44136</v>
      </c>
      <c r="C21" s="724">
        <v>44161</v>
      </c>
      <c r="D21" s="897">
        <v>0</v>
      </c>
      <c r="E21" s="897">
        <v>1.9599999999999999E-2</v>
      </c>
      <c r="F21" s="897">
        <f>((1+E21)^(1/365)-1)</f>
        <v>5.3180574364875E-5</v>
      </c>
      <c r="G21" s="1176">
        <f>_xlfn.DAYS(C21,B21)+1</f>
        <v>26</v>
      </c>
      <c r="H21" s="850">
        <f>F21*G21*$C$15</f>
        <v>95330.593536710716</v>
      </c>
    </row>
    <row r="22" spans="1:8">
      <c r="A22" s="791">
        <v>5</v>
      </c>
      <c r="B22" s="724">
        <v>44162</v>
      </c>
      <c r="C22" s="724">
        <v>44165</v>
      </c>
      <c r="D22" s="897">
        <v>0</v>
      </c>
      <c r="E22" s="897">
        <v>0</v>
      </c>
      <c r="F22" s="897">
        <f>((1+E22)^(1/365)-1)</f>
        <v>0</v>
      </c>
      <c r="G22" s="1176">
        <f>_xlfn.DAYS(C22,B22)+1</f>
        <v>4</v>
      </c>
      <c r="H22" s="850">
        <f>F22*G22*$C$15</f>
        <v>0</v>
      </c>
    </row>
    <row r="23" spans="1:8">
      <c r="A23" s="791">
        <v>6</v>
      </c>
      <c r="B23" s="724">
        <v>44166</v>
      </c>
      <c r="C23" s="724">
        <v>44196</v>
      </c>
      <c r="D23" s="897">
        <v>0</v>
      </c>
      <c r="E23" s="897">
        <v>0</v>
      </c>
      <c r="F23" s="897">
        <f t="shared" ref="F23:F35" si="0">((1+E23)^(1/365)-1)</f>
        <v>0</v>
      </c>
      <c r="G23" s="1176">
        <f t="shared" ref="G23:G29" si="1">_xlfn.DAYS(C23,B23)+1</f>
        <v>31</v>
      </c>
      <c r="H23" s="790">
        <v>0</v>
      </c>
    </row>
    <row r="24" spans="1:8">
      <c r="A24" s="791">
        <v>7</v>
      </c>
      <c r="B24" s="724">
        <v>44197</v>
      </c>
      <c r="C24" s="724">
        <v>44227</v>
      </c>
      <c r="D24" s="897">
        <v>0</v>
      </c>
      <c r="E24" s="897">
        <v>0</v>
      </c>
      <c r="F24" s="897">
        <f t="shared" si="0"/>
        <v>0</v>
      </c>
      <c r="G24" s="1176">
        <f t="shared" si="1"/>
        <v>31</v>
      </c>
      <c r="H24" s="790">
        <v>0</v>
      </c>
    </row>
    <row r="25" spans="1:8">
      <c r="A25" s="791">
        <v>8</v>
      </c>
      <c r="B25" s="724">
        <v>44247</v>
      </c>
      <c r="C25" s="724">
        <v>44255</v>
      </c>
      <c r="D25" s="897">
        <v>0</v>
      </c>
      <c r="E25" s="897">
        <v>0</v>
      </c>
      <c r="F25" s="897">
        <f t="shared" si="0"/>
        <v>0</v>
      </c>
      <c r="G25" s="1176">
        <f t="shared" si="1"/>
        <v>9</v>
      </c>
      <c r="H25" s="790">
        <f t="shared" ref="H25:H35" si="2">+F25*G25*E25</f>
        <v>0</v>
      </c>
    </row>
    <row r="26" spans="1:8">
      <c r="A26" s="791">
        <v>9</v>
      </c>
      <c r="B26" s="724">
        <v>44256</v>
      </c>
      <c r="C26" s="724">
        <v>44286</v>
      </c>
      <c r="D26" s="897">
        <v>0</v>
      </c>
      <c r="E26" s="897">
        <v>0</v>
      </c>
      <c r="F26" s="897">
        <f t="shared" si="0"/>
        <v>0</v>
      </c>
      <c r="G26" s="1176">
        <f t="shared" si="1"/>
        <v>31</v>
      </c>
      <c r="H26" s="790">
        <f t="shared" si="2"/>
        <v>0</v>
      </c>
    </row>
    <row r="27" spans="1:8">
      <c r="A27" s="791">
        <v>10</v>
      </c>
      <c r="B27" s="724">
        <v>44287</v>
      </c>
      <c r="C27" s="724">
        <v>44316</v>
      </c>
      <c r="D27" s="897">
        <v>0</v>
      </c>
      <c r="E27" s="897">
        <v>0</v>
      </c>
      <c r="F27" s="897">
        <f t="shared" si="0"/>
        <v>0</v>
      </c>
      <c r="G27" s="1176">
        <f t="shared" si="1"/>
        <v>30</v>
      </c>
      <c r="H27" s="790">
        <f t="shared" si="2"/>
        <v>0</v>
      </c>
    </row>
    <row r="28" spans="1:8">
      <c r="A28" s="791">
        <v>11</v>
      </c>
      <c r="B28" s="724">
        <v>44317</v>
      </c>
      <c r="C28" s="724">
        <v>44347</v>
      </c>
      <c r="D28" s="897">
        <v>0</v>
      </c>
      <c r="E28" s="897">
        <v>0</v>
      </c>
      <c r="F28" s="897">
        <f t="shared" si="0"/>
        <v>0</v>
      </c>
      <c r="G28" s="1176">
        <f t="shared" si="1"/>
        <v>31</v>
      </c>
      <c r="H28" s="790">
        <f t="shared" si="2"/>
        <v>0</v>
      </c>
    </row>
    <row r="29" spans="1:8">
      <c r="A29" s="791">
        <v>12</v>
      </c>
      <c r="B29" s="724">
        <v>44348</v>
      </c>
      <c r="C29" s="1523">
        <v>44377</v>
      </c>
      <c r="D29" s="897">
        <v>0</v>
      </c>
      <c r="E29" s="897">
        <v>0</v>
      </c>
      <c r="F29" s="897">
        <f t="shared" si="0"/>
        <v>0</v>
      </c>
      <c r="G29" s="931">
        <f t="shared" si="1"/>
        <v>30</v>
      </c>
      <c r="H29" s="790">
        <f t="shared" si="2"/>
        <v>0</v>
      </c>
    </row>
    <row r="30" spans="1:8">
      <c r="A30" s="791">
        <v>13</v>
      </c>
      <c r="B30" s="724">
        <v>44378</v>
      </c>
      <c r="C30" s="1523">
        <v>44408</v>
      </c>
      <c r="D30" s="897">
        <v>0</v>
      </c>
      <c r="E30" s="897">
        <v>0</v>
      </c>
      <c r="F30" s="897">
        <f t="shared" si="0"/>
        <v>0</v>
      </c>
      <c r="G30" s="931">
        <f t="shared" ref="G30:G35" si="3">_xlfn.DAYS(C30,B30)+1</f>
        <v>31</v>
      </c>
      <c r="H30" s="790">
        <f t="shared" si="2"/>
        <v>0</v>
      </c>
    </row>
    <row r="31" spans="1:8">
      <c r="A31" s="791">
        <v>14</v>
      </c>
      <c r="B31" s="724">
        <v>44409</v>
      </c>
      <c r="C31" s="1523">
        <v>44439</v>
      </c>
      <c r="D31" s="897">
        <v>0</v>
      </c>
      <c r="E31" s="897">
        <v>0</v>
      </c>
      <c r="F31" s="897">
        <f t="shared" si="0"/>
        <v>0</v>
      </c>
      <c r="G31" s="931">
        <f t="shared" si="3"/>
        <v>31</v>
      </c>
      <c r="H31" s="790">
        <f t="shared" si="2"/>
        <v>0</v>
      </c>
    </row>
    <row r="32" spans="1:8">
      <c r="A32" s="791">
        <v>15</v>
      </c>
      <c r="B32" s="724">
        <v>44440</v>
      </c>
      <c r="C32" s="1523">
        <v>44469</v>
      </c>
      <c r="D32" s="897">
        <v>0</v>
      </c>
      <c r="E32" s="897">
        <v>0</v>
      </c>
      <c r="F32" s="897">
        <f t="shared" si="0"/>
        <v>0</v>
      </c>
      <c r="G32" s="931">
        <f t="shared" si="3"/>
        <v>30</v>
      </c>
      <c r="H32" s="790">
        <f t="shared" si="2"/>
        <v>0</v>
      </c>
    </row>
    <row r="33" spans="1:8">
      <c r="A33" s="791">
        <v>16</v>
      </c>
      <c r="B33" s="724">
        <v>44470</v>
      </c>
      <c r="C33" s="1523">
        <v>44500</v>
      </c>
      <c r="D33" s="897">
        <v>0</v>
      </c>
      <c r="E33" s="897">
        <v>0</v>
      </c>
      <c r="F33" s="897">
        <f t="shared" si="0"/>
        <v>0</v>
      </c>
      <c r="G33" s="931">
        <f t="shared" si="3"/>
        <v>31</v>
      </c>
      <c r="H33" s="790">
        <f t="shared" si="2"/>
        <v>0</v>
      </c>
    </row>
    <row r="34" spans="1:8">
      <c r="A34" s="791">
        <v>17</v>
      </c>
      <c r="B34" s="724">
        <v>44501</v>
      </c>
      <c r="C34" s="1523">
        <v>44530</v>
      </c>
      <c r="D34" s="897">
        <v>0</v>
      </c>
      <c r="E34" s="897">
        <v>0</v>
      </c>
      <c r="F34" s="897">
        <f t="shared" si="0"/>
        <v>0</v>
      </c>
      <c r="G34" s="931">
        <f t="shared" si="3"/>
        <v>30</v>
      </c>
      <c r="H34" s="790">
        <f t="shared" si="2"/>
        <v>0</v>
      </c>
    </row>
    <row r="35" spans="1:8">
      <c r="A35" s="791">
        <v>18</v>
      </c>
      <c r="B35" s="724">
        <v>44531</v>
      </c>
      <c r="C35" s="1523">
        <v>44558</v>
      </c>
      <c r="D35" s="897">
        <v>0</v>
      </c>
      <c r="E35" s="897">
        <v>0</v>
      </c>
      <c r="F35" s="897">
        <f t="shared" si="0"/>
        <v>0</v>
      </c>
      <c r="G35" s="931">
        <f t="shared" si="3"/>
        <v>28</v>
      </c>
      <c r="H35" s="790">
        <f t="shared" si="2"/>
        <v>0</v>
      </c>
    </row>
    <row r="36" spans="1:8">
      <c r="F36" s="2644" t="s">
        <v>951</v>
      </c>
      <c r="G36" s="2646"/>
      <c r="H36" s="850">
        <f>SUM(H18:H35)</f>
        <v>378048.19689736364</v>
      </c>
    </row>
    <row r="37" spans="1:8">
      <c r="B37" s="2686" t="s">
        <v>1103</v>
      </c>
      <c r="C37" s="2686"/>
      <c r="F37" s="1461"/>
      <c r="G37" s="1461"/>
      <c r="H37" s="1170"/>
    </row>
    <row r="38" spans="1:8">
      <c r="B38" s="726" t="s">
        <v>56</v>
      </c>
      <c r="C38" s="881"/>
      <c r="F38" s="1461"/>
      <c r="G38" s="1461"/>
      <c r="H38" s="1170"/>
    </row>
    <row r="39" spans="1:8">
      <c r="B39" s="741" t="s">
        <v>133</v>
      </c>
      <c r="C39" s="850">
        <f>+C15</f>
        <v>68945500</v>
      </c>
      <c r="F39" s="1461"/>
      <c r="G39" s="1461"/>
      <c r="H39" s="1170"/>
    </row>
    <row r="40" spans="1:8">
      <c r="B40" s="741" t="s">
        <v>134</v>
      </c>
      <c r="C40" s="850">
        <f>+H36</f>
        <v>378048.19689736364</v>
      </c>
      <c r="F40" s="1461"/>
      <c r="G40" s="1461"/>
      <c r="H40" s="1170"/>
    </row>
    <row r="41" spans="1:8" ht="13.5" thickBot="1">
      <c r="B41" s="743" t="s">
        <v>61</v>
      </c>
      <c r="C41" s="1314">
        <f>SUM(C39:C40)</f>
        <v>69323548.196897358</v>
      </c>
      <c r="F41" s="1461"/>
      <c r="G41" s="1461"/>
      <c r="H41" s="1170"/>
    </row>
    <row r="42" spans="1:8" ht="13.5" thickTop="1">
      <c r="F42" s="1461"/>
      <c r="G42" s="1461"/>
      <c r="H42" s="1170"/>
    </row>
    <row r="43" spans="1:8">
      <c r="B43" s="848" t="s">
        <v>1114</v>
      </c>
      <c r="C43" s="1461" t="s">
        <v>1115</v>
      </c>
      <c r="D43" s="1461" t="s">
        <v>1116</v>
      </c>
      <c r="E43" s="1461" t="s">
        <v>1117</v>
      </c>
      <c r="F43" s="1461"/>
      <c r="G43" s="1461"/>
      <c r="H43" s="1170"/>
    </row>
    <row r="44" spans="1:8">
      <c r="B44" s="791" t="s">
        <v>1119</v>
      </c>
      <c r="C44" s="791">
        <v>100</v>
      </c>
      <c r="D44" s="982">
        <v>689455</v>
      </c>
      <c r="E44" s="851">
        <f>+C44*D44</f>
        <v>68945500</v>
      </c>
      <c r="F44" s="1461"/>
      <c r="G44" s="1461"/>
      <c r="H44" s="1170"/>
    </row>
    <row r="45" spans="1:8">
      <c r="B45" s="728" t="s">
        <v>129</v>
      </c>
      <c r="C45" s="907">
        <f>+E44</f>
        <v>68945500</v>
      </c>
      <c r="E45" s="851"/>
    </row>
    <row r="46" spans="1:8">
      <c r="B46" s="2644" t="s">
        <v>957</v>
      </c>
      <c r="C46" s="2645"/>
      <c r="D46" s="2645"/>
      <c r="E46" s="2645"/>
      <c r="F46" s="2645"/>
      <c r="G46" s="2645"/>
      <c r="H46" s="2646"/>
    </row>
    <row r="47" spans="1:8">
      <c r="B47" s="761" t="s">
        <v>206</v>
      </c>
      <c r="C47" s="761" t="s">
        <v>10</v>
      </c>
      <c r="D47" s="2739" t="s">
        <v>1090</v>
      </c>
      <c r="E47" s="2740"/>
      <c r="F47" s="1113" t="s">
        <v>88</v>
      </c>
      <c r="G47" s="761" t="s">
        <v>279</v>
      </c>
      <c r="H47" s="1113" t="s">
        <v>253</v>
      </c>
    </row>
    <row r="48" spans="1:8">
      <c r="A48" s="791">
        <v>1</v>
      </c>
      <c r="B48" s="724">
        <v>44069</v>
      </c>
      <c r="C48" s="724">
        <v>44074</v>
      </c>
      <c r="D48" s="897">
        <v>0</v>
      </c>
      <c r="E48" s="897">
        <v>2.7900000000000001E-2</v>
      </c>
      <c r="F48" s="897">
        <f>((1+E48)^(1/365)-1)</f>
        <v>7.5394310601994974E-5</v>
      </c>
      <c r="G48" s="1176">
        <f>_xlfn.DAYS(C48,B48)+1</f>
        <v>6</v>
      </c>
      <c r="H48" s="850">
        <f>F48*G48*$C$45</f>
        <v>31188.590649659065</v>
      </c>
    </row>
    <row r="49" spans="1:8">
      <c r="A49" s="791">
        <v>2</v>
      </c>
      <c r="B49" s="724">
        <v>44075</v>
      </c>
      <c r="C49" s="724">
        <v>44104</v>
      </c>
      <c r="D49" s="897">
        <v>0</v>
      </c>
      <c r="E49" s="897">
        <v>2.3900000000000001E-2</v>
      </c>
      <c r="F49" s="897">
        <f>((1+E49)^(1/365)-1)</f>
        <v>6.4711314504917183E-5</v>
      </c>
      <c r="G49" s="1176">
        <f t="shared" ref="G49:G65" si="4">_xlfn.DAYS(C49,B49)+1</f>
        <v>30</v>
      </c>
      <c r="H49" s="850">
        <f>F49*G49*$C$45</f>
        <v>133846.61802596302</v>
      </c>
    </row>
    <row r="50" spans="1:8">
      <c r="A50" s="791">
        <v>3</v>
      </c>
      <c r="B50" s="724">
        <v>44105</v>
      </c>
      <c r="C50" s="724">
        <v>44135</v>
      </c>
      <c r="D50" s="897">
        <v>0</v>
      </c>
      <c r="E50" s="897">
        <v>2.0299999999999999E-2</v>
      </c>
      <c r="F50" s="897">
        <f>((1+E50)^(1/365)-1)</f>
        <v>5.5060972509624051E-5</v>
      </c>
      <c r="G50" s="1176">
        <f t="shared" si="4"/>
        <v>31</v>
      </c>
      <c r="H50" s="850">
        <f>F50*G50*$C$45</f>
        <v>117682.39468503084</v>
      </c>
    </row>
    <row r="51" spans="1:8">
      <c r="A51" s="791">
        <v>4</v>
      </c>
      <c r="B51" s="724">
        <v>44136</v>
      </c>
      <c r="C51" s="724">
        <v>44161</v>
      </c>
      <c r="D51" s="897">
        <v>0</v>
      </c>
      <c r="E51" s="897">
        <v>1.9599999999999999E-2</v>
      </c>
      <c r="F51" s="897">
        <f>((1+E51)^(1/365)-1)</f>
        <v>5.3180574364875E-5</v>
      </c>
      <c r="G51" s="1176">
        <f t="shared" si="4"/>
        <v>26</v>
      </c>
      <c r="H51" s="850">
        <f>F51*G51*$C$45</f>
        <v>95330.593536710716</v>
      </c>
    </row>
    <row r="52" spans="1:8">
      <c r="A52" s="791">
        <v>5</v>
      </c>
      <c r="B52" s="724">
        <v>44162</v>
      </c>
      <c r="C52" s="724">
        <v>44165</v>
      </c>
      <c r="D52" s="897">
        <v>0</v>
      </c>
      <c r="E52" s="897">
        <v>0</v>
      </c>
      <c r="F52" s="897">
        <f>((1+E52)^(1/365)-1)</f>
        <v>0</v>
      </c>
      <c r="G52" s="1176">
        <f t="shared" si="4"/>
        <v>4</v>
      </c>
      <c r="H52" s="850">
        <f>F52*G52*$C$15</f>
        <v>0</v>
      </c>
    </row>
    <row r="53" spans="1:8">
      <c r="A53" s="791">
        <v>6</v>
      </c>
      <c r="B53" s="724">
        <v>44166</v>
      </c>
      <c r="C53" s="724">
        <v>44196</v>
      </c>
      <c r="D53" s="897">
        <v>0</v>
      </c>
      <c r="E53" s="897">
        <v>0</v>
      </c>
      <c r="F53" s="897">
        <f t="shared" ref="F53:F65" si="5">((1+E53)^(1/365)-1)</f>
        <v>0</v>
      </c>
      <c r="G53" s="1176">
        <f t="shared" si="4"/>
        <v>31</v>
      </c>
      <c r="H53" s="790">
        <v>0</v>
      </c>
    </row>
    <row r="54" spans="1:8">
      <c r="A54" s="791">
        <v>7</v>
      </c>
      <c r="B54" s="724">
        <v>44197</v>
      </c>
      <c r="C54" s="724">
        <v>44227</v>
      </c>
      <c r="D54" s="897">
        <v>0</v>
      </c>
      <c r="E54" s="897">
        <v>0</v>
      </c>
      <c r="F54" s="897">
        <f t="shared" si="5"/>
        <v>0</v>
      </c>
      <c r="G54" s="1176">
        <f t="shared" si="4"/>
        <v>31</v>
      </c>
      <c r="H54" s="790">
        <v>0</v>
      </c>
    </row>
    <row r="55" spans="1:8">
      <c r="A55" s="791">
        <v>8</v>
      </c>
      <c r="B55" s="724">
        <v>44247</v>
      </c>
      <c r="C55" s="724">
        <v>44255</v>
      </c>
      <c r="D55" s="897">
        <v>0</v>
      </c>
      <c r="E55" s="897">
        <v>0</v>
      </c>
      <c r="F55" s="897">
        <f t="shared" si="5"/>
        <v>0</v>
      </c>
      <c r="G55" s="1176">
        <f t="shared" si="4"/>
        <v>9</v>
      </c>
      <c r="H55" s="790">
        <f t="shared" ref="H55:H65" si="6">+F55*G55*E55</f>
        <v>0</v>
      </c>
    </row>
    <row r="56" spans="1:8">
      <c r="A56" s="791">
        <v>9</v>
      </c>
      <c r="B56" s="724">
        <v>44256</v>
      </c>
      <c r="C56" s="724">
        <v>44286</v>
      </c>
      <c r="D56" s="897">
        <v>0</v>
      </c>
      <c r="E56" s="897">
        <v>0</v>
      </c>
      <c r="F56" s="897">
        <f t="shared" si="5"/>
        <v>0</v>
      </c>
      <c r="G56" s="1176">
        <f t="shared" si="4"/>
        <v>31</v>
      </c>
      <c r="H56" s="790">
        <f t="shared" si="6"/>
        <v>0</v>
      </c>
    </row>
    <row r="57" spans="1:8">
      <c r="A57" s="791">
        <v>10</v>
      </c>
      <c r="B57" s="724">
        <v>44287</v>
      </c>
      <c r="C57" s="724">
        <v>44316</v>
      </c>
      <c r="D57" s="897">
        <v>0</v>
      </c>
      <c r="E57" s="897">
        <v>0</v>
      </c>
      <c r="F57" s="897">
        <f t="shared" si="5"/>
        <v>0</v>
      </c>
      <c r="G57" s="1176">
        <f t="shared" si="4"/>
        <v>30</v>
      </c>
      <c r="H57" s="790">
        <f t="shared" si="6"/>
        <v>0</v>
      </c>
    </row>
    <row r="58" spans="1:8">
      <c r="A58" s="791">
        <v>11</v>
      </c>
      <c r="B58" s="724">
        <v>44317</v>
      </c>
      <c r="C58" s="724">
        <v>44347</v>
      </c>
      <c r="D58" s="897">
        <v>0</v>
      </c>
      <c r="E58" s="897">
        <v>0</v>
      </c>
      <c r="F58" s="897">
        <f t="shared" si="5"/>
        <v>0</v>
      </c>
      <c r="G58" s="1176">
        <f t="shared" si="4"/>
        <v>31</v>
      </c>
      <c r="H58" s="790">
        <f t="shared" si="6"/>
        <v>0</v>
      </c>
    </row>
    <row r="59" spans="1:8">
      <c r="A59" s="791">
        <v>12</v>
      </c>
      <c r="B59" s="724">
        <v>44348</v>
      </c>
      <c r="C59" s="1523">
        <v>44377</v>
      </c>
      <c r="D59" s="897">
        <v>0</v>
      </c>
      <c r="E59" s="897">
        <v>0</v>
      </c>
      <c r="F59" s="897">
        <f t="shared" si="5"/>
        <v>0</v>
      </c>
      <c r="G59" s="931">
        <f t="shared" si="4"/>
        <v>30</v>
      </c>
      <c r="H59" s="790">
        <f t="shared" si="6"/>
        <v>0</v>
      </c>
    </row>
    <row r="60" spans="1:8">
      <c r="A60" s="791">
        <v>13</v>
      </c>
      <c r="B60" s="724">
        <v>44378</v>
      </c>
      <c r="C60" s="1523">
        <v>44408</v>
      </c>
      <c r="D60" s="897">
        <v>0</v>
      </c>
      <c r="E60" s="897">
        <v>0</v>
      </c>
      <c r="F60" s="897">
        <f t="shared" si="5"/>
        <v>0</v>
      </c>
      <c r="G60" s="931">
        <f t="shared" si="4"/>
        <v>31</v>
      </c>
      <c r="H60" s="790">
        <f t="shared" si="6"/>
        <v>0</v>
      </c>
    </row>
    <row r="61" spans="1:8">
      <c r="A61" s="791">
        <v>14</v>
      </c>
      <c r="B61" s="724">
        <v>44409</v>
      </c>
      <c r="C61" s="1523">
        <v>44439</v>
      </c>
      <c r="D61" s="897">
        <v>0</v>
      </c>
      <c r="E61" s="897">
        <v>0</v>
      </c>
      <c r="F61" s="897">
        <f t="shared" si="5"/>
        <v>0</v>
      </c>
      <c r="G61" s="931">
        <f t="shared" si="4"/>
        <v>31</v>
      </c>
      <c r="H61" s="790">
        <f t="shared" si="6"/>
        <v>0</v>
      </c>
    </row>
    <row r="62" spans="1:8">
      <c r="A62" s="791">
        <v>15</v>
      </c>
      <c r="B62" s="724">
        <v>44440</v>
      </c>
      <c r="C62" s="1523">
        <v>44469</v>
      </c>
      <c r="D62" s="897">
        <v>0</v>
      </c>
      <c r="E62" s="897">
        <v>0</v>
      </c>
      <c r="F62" s="897">
        <f t="shared" si="5"/>
        <v>0</v>
      </c>
      <c r="G62" s="931">
        <f t="shared" si="4"/>
        <v>30</v>
      </c>
      <c r="H62" s="790">
        <f t="shared" si="6"/>
        <v>0</v>
      </c>
    </row>
    <row r="63" spans="1:8">
      <c r="A63" s="791">
        <v>16</v>
      </c>
      <c r="B63" s="724">
        <v>44470</v>
      </c>
      <c r="C63" s="1523">
        <v>44500</v>
      </c>
      <c r="D63" s="897">
        <v>0</v>
      </c>
      <c r="E63" s="897">
        <v>0</v>
      </c>
      <c r="F63" s="897">
        <f t="shared" si="5"/>
        <v>0</v>
      </c>
      <c r="G63" s="931">
        <f t="shared" si="4"/>
        <v>31</v>
      </c>
      <c r="H63" s="790">
        <f t="shared" si="6"/>
        <v>0</v>
      </c>
    </row>
    <row r="64" spans="1:8">
      <c r="A64" s="791">
        <v>17</v>
      </c>
      <c r="B64" s="724">
        <v>44501</v>
      </c>
      <c r="C64" s="1523">
        <v>44530</v>
      </c>
      <c r="D64" s="897">
        <v>0</v>
      </c>
      <c r="E64" s="897">
        <v>0</v>
      </c>
      <c r="F64" s="897">
        <f t="shared" si="5"/>
        <v>0</v>
      </c>
      <c r="G64" s="931">
        <f t="shared" si="4"/>
        <v>30</v>
      </c>
      <c r="H64" s="790">
        <f t="shared" si="6"/>
        <v>0</v>
      </c>
    </row>
    <row r="65" spans="1:8">
      <c r="A65" s="791">
        <v>18</v>
      </c>
      <c r="B65" s="724">
        <v>44531</v>
      </c>
      <c r="C65" s="1523">
        <v>44558</v>
      </c>
      <c r="D65" s="897">
        <v>0</v>
      </c>
      <c r="E65" s="897">
        <v>0</v>
      </c>
      <c r="F65" s="897">
        <f t="shared" si="5"/>
        <v>0</v>
      </c>
      <c r="G65" s="931">
        <f t="shared" si="4"/>
        <v>28</v>
      </c>
      <c r="H65" s="790">
        <f t="shared" si="6"/>
        <v>0</v>
      </c>
    </row>
    <row r="66" spans="1:8">
      <c r="F66" s="2644" t="s">
        <v>951</v>
      </c>
      <c r="G66" s="2646"/>
      <c r="H66" s="850">
        <f>SUM(H48:H65)</f>
        <v>378048.19689736364</v>
      </c>
    </row>
    <row r="67" spans="1:8">
      <c r="B67" s="2686" t="s">
        <v>1103</v>
      </c>
      <c r="C67" s="2686"/>
      <c r="F67" s="1461"/>
      <c r="G67" s="1461"/>
      <c r="H67" s="1170"/>
    </row>
    <row r="68" spans="1:8">
      <c r="B68" s="726" t="s">
        <v>56</v>
      </c>
      <c r="C68" s="881"/>
      <c r="F68" s="1461"/>
      <c r="G68" s="1461"/>
      <c r="H68" s="1170"/>
    </row>
    <row r="69" spans="1:8">
      <c r="B69" s="741" t="s">
        <v>133</v>
      </c>
      <c r="C69" s="850">
        <f>+C45</f>
        <v>68945500</v>
      </c>
      <c r="F69" s="1461"/>
      <c r="G69" s="1461"/>
      <c r="H69" s="1170"/>
    </row>
    <row r="70" spans="1:8">
      <c r="B70" s="741" t="s">
        <v>134</v>
      </c>
      <c r="C70" s="850">
        <f>+H66</f>
        <v>378048.19689736364</v>
      </c>
      <c r="F70" s="1461"/>
      <c r="G70" s="1461"/>
      <c r="H70" s="1170"/>
    </row>
    <row r="71" spans="1:8" ht="13.5" thickBot="1">
      <c r="B71" s="743" t="s">
        <v>61</v>
      </c>
      <c r="C71" s="1314">
        <f>SUM(C69:C70)</f>
        <v>69323548.196897358</v>
      </c>
      <c r="F71" s="1461"/>
      <c r="G71" s="1461"/>
      <c r="H71" s="1170"/>
    </row>
    <row r="72" spans="1:8" ht="13.5" thickTop="1">
      <c r="B72" s="848" t="s">
        <v>1114</v>
      </c>
      <c r="C72" s="1461" t="s">
        <v>1115</v>
      </c>
      <c r="D72" s="1461" t="s">
        <v>1116</v>
      </c>
      <c r="E72" s="1461" t="s">
        <v>1117</v>
      </c>
      <c r="F72" s="1461"/>
      <c r="G72" s="1461"/>
      <c r="H72" s="1170"/>
    </row>
    <row r="73" spans="1:8">
      <c r="B73" s="791" t="s">
        <v>1120</v>
      </c>
      <c r="C73" s="791">
        <v>25</v>
      </c>
      <c r="D73" s="982">
        <v>689455</v>
      </c>
      <c r="E73" s="851">
        <f>+C73*D73</f>
        <v>17236375</v>
      </c>
      <c r="F73" s="1461"/>
      <c r="G73" s="1461"/>
      <c r="H73" s="1170"/>
    </row>
    <row r="74" spans="1:8">
      <c r="B74" s="728" t="s">
        <v>129</v>
      </c>
      <c r="C74" s="907">
        <f>+E73</f>
        <v>17236375</v>
      </c>
      <c r="F74" s="1461"/>
      <c r="G74" s="1461"/>
      <c r="H74" s="1170"/>
    </row>
    <row r="75" spans="1:8">
      <c r="B75" s="2644" t="s">
        <v>957</v>
      </c>
      <c r="C75" s="2645"/>
      <c r="D75" s="2645"/>
      <c r="E75" s="2645"/>
      <c r="F75" s="2645"/>
      <c r="G75" s="2645"/>
      <c r="H75" s="2646"/>
    </row>
    <row r="76" spans="1:8">
      <c r="B76" s="761" t="s">
        <v>206</v>
      </c>
      <c r="C76" s="761" t="s">
        <v>10</v>
      </c>
      <c r="D76" s="2739" t="s">
        <v>1090</v>
      </c>
      <c r="E76" s="2740"/>
      <c r="F76" s="1113" t="s">
        <v>88</v>
      </c>
      <c r="G76" s="761" t="s">
        <v>279</v>
      </c>
      <c r="H76" s="1113" t="s">
        <v>253</v>
      </c>
    </row>
    <row r="77" spans="1:8">
      <c r="B77" s="724">
        <v>44069</v>
      </c>
      <c r="C77" s="724">
        <v>44074</v>
      </c>
      <c r="D77" s="897">
        <v>0</v>
      </c>
      <c r="E77" s="897">
        <v>2.7900000000000001E-2</v>
      </c>
      <c r="F77" s="897">
        <f>((1+E77)^(1/365)-1)</f>
        <v>7.5394310601994974E-5</v>
      </c>
      <c r="G77" s="1176">
        <f>_xlfn.DAYS(C77,B77)+1</f>
        <v>6</v>
      </c>
      <c r="H77" s="850">
        <f>F77*G77*$C$74</f>
        <v>7797.1476624147663</v>
      </c>
    </row>
    <row r="78" spans="1:8">
      <c r="B78" s="724">
        <v>44075</v>
      </c>
      <c r="C78" s="724">
        <v>44104</v>
      </c>
      <c r="D78" s="897">
        <v>0</v>
      </c>
      <c r="E78" s="897">
        <v>2.3900000000000001E-2</v>
      </c>
      <c r="F78" s="897">
        <f>((1+E78)^(1/365)-1)</f>
        <v>6.4711314504917183E-5</v>
      </c>
      <c r="G78" s="1176">
        <f t="shared" ref="G78:G94" si="7">_xlfn.DAYS(C78,B78)+1</f>
        <v>30</v>
      </c>
      <c r="H78" s="850">
        <f>F78*G78*$C$74</f>
        <v>33461.654506490755</v>
      </c>
    </row>
    <row r="79" spans="1:8">
      <c r="B79" s="724">
        <v>44105</v>
      </c>
      <c r="C79" s="724">
        <v>44135</v>
      </c>
      <c r="D79" s="897">
        <v>0</v>
      </c>
      <c r="E79" s="897">
        <v>2.0299999999999999E-2</v>
      </c>
      <c r="F79" s="897">
        <f>((1+E79)^(1/365)-1)</f>
        <v>5.5060972509624051E-5</v>
      </c>
      <c r="G79" s="1176">
        <f t="shared" si="7"/>
        <v>31</v>
      </c>
      <c r="H79" s="850">
        <f>F79*G79*$C$74</f>
        <v>29420.598671257711</v>
      </c>
    </row>
    <row r="80" spans="1:8">
      <c r="B80" s="724">
        <v>44136</v>
      </c>
      <c r="C80" s="724">
        <v>44161</v>
      </c>
      <c r="D80" s="897">
        <v>0</v>
      </c>
      <c r="E80" s="897">
        <v>1.9599999999999999E-2</v>
      </c>
      <c r="F80" s="897">
        <f>((1+E80)^(1/365)-1)</f>
        <v>5.3180574364875E-5</v>
      </c>
      <c r="G80" s="1176">
        <f t="shared" si="7"/>
        <v>26</v>
      </c>
      <c r="H80" s="850">
        <f>F80*G80*$C$74</f>
        <v>23832.648384177679</v>
      </c>
    </row>
    <row r="81" spans="2:8">
      <c r="B81" s="724">
        <v>44162</v>
      </c>
      <c r="C81" s="724">
        <v>44165</v>
      </c>
      <c r="D81" s="897">
        <v>0</v>
      </c>
      <c r="E81" s="897">
        <v>0</v>
      </c>
      <c r="F81" s="897">
        <f>((1+E81)^(1/365)-1)</f>
        <v>0</v>
      </c>
      <c r="G81" s="1176">
        <f t="shared" si="7"/>
        <v>4</v>
      </c>
      <c r="H81" s="850">
        <f>F81*G81*$C$15</f>
        <v>0</v>
      </c>
    </row>
    <row r="82" spans="2:8">
      <c r="B82" s="724">
        <v>44166</v>
      </c>
      <c r="C82" s="724">
        <v>44196</v>
      </c>
      <c r="D82" s="897">
        <v>0</v>
      </c>
      <c r="E82" s="897">
        <v>0</v>
      </c>
      <c r="F82" s="897">
        <f t="shared" ref="F82:F94" si="8">((1+E82)^(1/365)-1)</f>
        <v>0</v>
      </c>
      <c r="G82" s="1176">
        <f t="shared" si="7"/>
        <v>31</v>
      </c>
      <c r="H82" s="790">
        <v>0</v>
      </c>
    </row>
    <row r="83" spans="2:8">
      <c r="B83" s="724">
        <v>44197</v>
      </c>
      <c r="C83" s="724">
        <v>44227</v>
      </c>
      <c r="D83" s="897">
        <v>0</v>
      </c>
      <c r="E83" s="897">
        <v>0</v>
      </c>
      <c r="F83" s="897">
        <f t="shared" si="8"/>
        <v>0</v>
      </c>
      <c r="G83" s="1176">
        <f t="shared" si="7"/>
        <v>31</v>
      </c>
      <c r="H83" s="790">
        <v>0</v>
      </c>
    </row>
    <row r="84" spans="2:8">
      <c r="B84" s="724">
        <v>44247</v>
      </c>
      <c r="C84" s="724">
        <v>44255</v>
      </c>
      <c r="D84" s="897">
        <v>0</v>
      </c>
      <c r="E84" s="897">
        <v>0</v>
      </c>
      <c r="F84" s="897">
        <f t="shared" si="8"/>
        <v>0</v>
      </c>
      <c r="G84" s="1176">
        <f t="shared" si="7"/>
        <v>9</v>
      </c>
      <c r="H84" s="790">
        <f t="shared" ref="H84:H94" si="9">+F84*G84*E84</f>
        <v>0</v>
      </c>
    </row>
    <row r="85" spans="2:8">
      <c r="B85" s="724">
        <v>44256</v>
      </c>
      <c r="C85" s="724">
        <v>44286</v>
      </c>
      <c r="D85" s="897">
        <v>0</v>
      </c>
      <c r="E85" s="897">
        <v>0</v>
      </c>
      <c r="F85" s="897">
        <f t="shared" si="8"/>
        <v>0</v>
      </c>
      <c r="G85" s="1176">
        <f t="shared" si="7"/>
        <v>31</v>
      </c>
      <c r="H85" s="790">
        <f t="shared" si="9"/>
        <v>0</v>
      </c>
    </row>
    <row r="86" spans="2:8">
      <c r="B86" s="724">
        <v>44287</v>
      </c>
      <c r="C86" s="724">
        <v>44316</v>
      </c>
      <c r="D86" s="897">
        <v>0</v>
      </c>
      <c r="E86" s="897">
        <v>0</v>
      </c>
      <c r="F86" s="897">
        <f t="shared" si="8"/>
        <v>0</v>
      </c>
      <c r="G86" s="1176">
        <f t="shared" si="7"/>
        <v>30</v>
      </c>
      <c r="H86" s="790">
        <f t="shared" si="9"/>
        <v>0</v>
      </c>
    </row>
    <row r="87" spans="2:8">
      <c r="B87" s="724">
        <v>44317</v>
      </c>
      <c r="C87" s="724">
        <v>44347</v>
      </c>
      <c r="D87" s="897">
        <v>0</v>
      </c>
      <c r="E87" s="897">
        <v>0</v>
      </c>
      <c r="F87" s="897">
        <f t="shared" si="8"/>
        <v>0</v>
      </c>
      <c r="G87" s="1176">
        <f t="shared" si="7"/>
        <v>31</v>
      </c>
      <c r="H87" s="790">
        <f t="shared" si="9"/>
        <v>0</v>
      </c>
    </row>
    <row r="88" spans="2:8">
      <c r="B88" s="724">
        <v>44348</v>
      </c>
      <c r="C88" s="1523">
        <v>44377</v>
      </c>
      <c r="D88" s="897">
        <v>0</v>
      </c>
      <c r="E88" s="897">
        <v>0</v>
      </c>
      <c r="F88" s="897">
        <f t="shared" si="8"/>
        <v>0</v>
      </c>
      <c r="G88" s="931">
        <f t="shared" si="7"/>
        <v>30</v>
      </c>
      <c r="H88" s="790">
        <f t="shared" si="9"/>
        <v>0</v>
      </c>
    </row>
    <row r="89" spans="2:8">
      <c r="B89" s="724">
        <v>44378</v>
      </c>
      <c r="C89" s="1523">
        <v>44408</v>
      </c>
      <c r="D89" s="897">
        <v>0</v>
      </c>
      <c r="E89" s="897">
        <v>0</v>
      </c>
      <c r="F89" s="897">
        <f t="shared" si="8"/>
        <v>0</v>
      </c>
      <c r="G89" s="931">
        <f t="shared" si="7"/>
        <v>31</v>
      </c>
      <c r="H89" s="790">
        <f t="shared" si="9"/>
        <v>0</v>
      </c>
    </row>
    <row r="90" spans="2:8">
      <c r="B90" s="724">
        <v>44409</v>
      </c>
      <c r="C90" s="1523">
        <v>44439</v>
      </c>
      <c r="D90" s="897">
        <v>0</v>
      </c>
      <c r="E90" s="897">
        <v>0</v>
      </c>
      <c r="F90" s="897">
        <f t="shared" si="8"/>
        <v>0</v>
      </c>
      <c r="G90" s="931">
        <f t="shared" si="7"/>
        <v>31</v>
      </c>
      <c r="H90" s="790">
        <f t="shared" si="9"/>
        <v>0</v>
      </c>
    </row>
    <row r="91" spans="2:8">
      <c r="B91" s="724">
        <v>44440</v>
      </c>
      <c r="C91" s="1523">
        <v>44469</v>
      </c>
      <c r="D91" s="897">
        <v>0</v>
      </c>
      <c r="E91" s="897">
        <v>0</v>
      </c>
      <c r="F91" s="897">
        <f t="shared" si="8"/>
        <v>0</v>
      </c>
      <c r="G91" s="931">
        <f t="shared" si="7"/>
        <v>30</v>
      </c>
      <c r="H91" s="790">
        <f t="shared" si="9"/>
        <v>0</v>
      </c>
    </row>
    <row r="92" spans="2:8">
      <c r="B92" s="724">
        <v>44470</v>
      </c>
      <c r="C92" s="1523">
        <v>44500</v>
      </c>
      <c r="D92" s="897">
        <v>0</v>
      </c>
      <c r="E92" s="897">
        <v>0</v>
      </c>
      <c r="F92" s="897">
        <f t="shared" si="8"/>
        <v>0</v>
      </c>
      <c r="G92" s="931">
        <f t="shared" si="7"/>
        <v>31</v>
      </c>
      <c r="H92" s="790">
        <f t="shared" si="9"/>
        <v>0</v>
      </c>
    </row>
    <row r="93" spans="2:8">
      <c r="B93" s="724">
        <v>44501</v>
      </c>
      <c r="C93" s="1523">
        <v>44530</v>
      </c>
      <c r="D93" s="897">
        <v>0</v>
      </c>
      <c r="E93" s="897">
        <v>0</v>
      </c>
      <c r="F93" s="897">
        <f t="shared" si="8"/>
        <v>0</v>
      </c>
      <c r="G93" s="931">
        <f t="shared" si="7"/>
        <v>30</v>
      </c>
      <c r="H93" s="790">
        <f t="shared" si="9"/>
        <v>0</v>
      </c>
    </row>
    <row r="94" spans="2:8">
      <c r="B94" s="724">
        <v>44531</v>
      </c>
      <c r="C94" s="1523">
        <v>44558</v>
      </c>
      <c r="D94" s="897">
        <v>0</v>
      </c>
      <c r="E94" s="897">
        <v>0</v>
      </c>
      <c r="F94" s="897">
        <f t="shared" si="8"/>
        <v>0</v>
      </c>
      <c r="G94" s="931">
        <f t="shared" si="7"/>
        <v>28</v>
      </c>
      <c r="H94" s="790">
        <f t="shared" si="9"/>
        <v>0</v>
      </c>
    </row>
    <row r="95" spans="2:8">
      <c r="F95" s="2644" t="s">
        <v>951</v>
      </c>
      <c r="G95" s="2646"/>
      <c r="H95" s="850">
        <f>SUM(H77:H94)</f>
        <v>94512.04922434091</v>
      </c>
    </row>
    <row r="96" spans="2:8">
      <c r="B96" s="2686" t="s">
        <v>1103</v>
      </c>
      <c r="C96" s="2686"/>
    </row>
    <row r="97" spans="2:3">
      <c r="B97" s="726" t="s">
        <v>56</v>
      </c>
      <c r="C97" s="881"/>
    </row>
    <row r="98" spans="2:3">
      <c r="B98" s="741" t="s">
        <v>133</v>
      </c>
      <c r="C98" s="850">
        <f>+C74</f>
        <v>17236375</v>
      </c>
    </row>
    <row r="99" spans="2:3">
      <c r="B99" s="741" t="s">
        <v>134</v>
      </c>
      <c r="C99" s="850">
        <f>+H95</f>
        <v>94512.04922434091</v>
      </c>
    </row>
    <row r="100" spans="2:3" ht="13.5" thickBot="1">
      <c r="B100" s="743" t="s">
        <v>61</v>
      </c>
      <c r="C100" s="1314">
        <f>SUM(C98:C99)</f>
        <v>17330887.049224339</v>
      </c>
    </row>
    <row r="101" spans="2:3" ht="13.5" thickTop="1">
      <c r="B101" s="2686" t="s">
        <v>1121</v>
      </c>
      <c r="C101" s="2686"/>
    </row>
    <row r="102" spans="2:3">
      <c r="B102" s="726" t="s">
        <v>56</v>
      </c>
      <c r="C102" s="881"/>
    </row>
    <row r="103" spans="2:3">
      <c r="B103" s="741" t="s">
        <v>133</v>
      </c>
      <c r="C103" s="850">
        <f>+C39+C69+C98</f>
        <v>155127375</v>
      </c>
    </row>
    <row r="104" spans="2:3">
      <c r="B104" s="741" t="s">
        <v>134</v>
      </c>
      <c r="C104" s="850">
        <f>+C40+C70+C99</f>
        <v>850608.44301906822</v>
      </c>
    </row>
    <row r="105" spans="2:3" ht="13.5" thickBot="1">
      <c r="B105" s="743" t="s">
        <v>61</v>
      </c>
      <c r="C105" s="1314">
        <f>SUM(C103:C104)</f>
        <v>155977983.44301906</v>
      </c>
    </row>
    <row r="106" spans="2:3" ht="13.5" thickTop="1">
      <c r="B106" s="719" t="s">
        <v>62</v>
      </c>
    </row>
    <row r="107" spans="2:3">
      <c r="B107" s="911"/>
    </row>
    <row r="108" spans="2:3">
      <c r="B108" s="719" t="s">
        <v>63</v>
      </c>
    </row>
    <row r="109" spans="2:3">
      <c r="B109" s="719" t="s">
        <v>64</v>
      </c>
    </row>
    <row r="110" spans="2:3">
      <c r="B110" s="719" t="s">
        <v>65</v>
      </c>
    </row>
  </sheetData>
  <mergeCells count="13">
    <mergeCell ref="B101:C101"/>
    <mergeCell ref="B16:H16"/>
    <mergeCell ref="D17:E17"/>
    <mergeCell ref="F36:G36"/>
    <mergeCell ref="B96:C96"/>
    <mergeCell ref="B46:H46"/>
    <mergeCell ref="D47:E47"/>
    <mergeCell ref="F66:G66"/>
    <mergeCell ref="B37:C37"/>
    <mergeCell ref="B67:C67"/>
    <mergeCell ref="B75:H75"/>
    <mergeCell ref="D76:E76"/>
    <mergeCell ref="F95:G95"/>
  </mergeCells>
  <pageMargins left="0.70866141732283461" right="0.70866141732283461" top="0.74803149606299213" bottom="0.74803149606299213" header="0.31496062992125984" footer="0.31496062992125984"/>
  <pageSetup scale="96" fitToWidth="0" orientation="landscape" r:id="rId1"/>
  <rowBreaks count="1" manualBreakCount="1">
    <brk id="41" max="7" man="1"/>
  </rowBreaks>
  <colBreaks count="1" manualBreakCount="1">
    <brk id="8" max="104857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ACEC7-BBC6-49CE-B730-61D1D56B9171}">
  <sheetPr codeName="Hoja82"/>
  <dimension ref="A1:J119"/>
  <sheetViews>
    <sheetView topLeftCell="A15" zoomScale="110" zoomScaleNormal="110" workbookViewId="0">
      <selection activeCell="D115" sqref="D115"/>
    </sheetView>
  </sheetViews>
  <sheetFormatPr defaultColWidth="9.140625" defaultRowHeight="12.75"/>
  <cols>
    <col min="1" max="1" width="2.7109375" style="791" customWidth="1"/>
    <col min="2" max="2" width="14.42578125" style="791" customWidth="1"/>
    <col min="3" max="3" width="18" style="791" customWidth="1"/>
    <col min="4" max="4" width="11.42578125" style="791" customWidth="1"/>
    <col min="5" max="5" width="18.7109375" style="791" customWidth="1"/>
    <col min="6" max="6" width="12.140625" style="791" customWidth="1"/>
    <col min="7" max="7" width="8.140625" style="791" customWidth="1"/>
    <col min="8" max="8" width="13.140625" style="791" customWidth="1"/>
    <col min="9" max="257" width="11.42578125" style="791" customWidth="1"/>
    <col min="258" max="16384" width="9.140625" style="791"/>
  </cols>
  <sheetData>
    <row r="1" spans="2:10" hidden="1"/>
    <row r="2" spans="2:10" ht="25.5" hidden="1">
      <c r="I2" s="946" t="s">
        <v>1105</v>
      </c>
      <c r="J2" s="851">
        <v>877803</v>
      </c>
    </row>
    <row r="3" spans="2:10">
      <c r="I3" s="848" t="s">
        <v>820</v>
      </c>
    </row>
    <row r="4" spans="2:10">
      <c r="B4" s="789" t="s">
        <v>825</v>
      </c>
      <c r="C4" s="887" t="s">
        <v>1106</v>
      </c>
    </row>
    <row r="5" spans="2:10" ht="12.75" customHeight="1">
      <c r="B5" s="1518" t="s">
        <v>999</v>
      </c>
      <c r="C5" s="944" t="s">
        <v>1107</v>
      </c>
    </row>
    <row r="6" spans="2:10">
      <c r="B6" s="728" t="s">
        <v>287</v>
      </c>
      <c r="C6" s="724">
        <v>44068</v>
      </c>
    </row>
    <row r="7" spans="2:10">
      <c r="B7" s="888" t="s">
        <v>220</v>
      </c>
      <c r="C7" s="1520" t="s">
        <v>1108</v>
      </c>
    </row>
    <row r="8" spans="2:10" ht="38.25">
      <c r="B8" s="1517" t="s">
        <v>1109</v>
      </c>
      <c r="C8" s="1524" t="s">
        <v>1110</v>
      </c>
    </row>
    <row r="9" spans="2:10">
      <c r="B9" s="888" t="s">
        <v>1025</v>
      </c>
      <c r="C9" s="1520" t="s">
        <v>1111</v>
      </c>
    </row>
    <row r="10" spans="2:10">
      <c r="B10" s="1474" t="s">
        <v>1000</v>
      </c>
      <c r="C10" s="1520" t="s">
        <v>1112</v>
      </c>
    </row>
    <row r="11" spans="2:10" ht="25.5">
      <c r="B11" s="893" t="s">
        <v>1113</v>
      </c>
      <c r="C11" s="724">
        <v>44246</v>
      </c>
    </row>
    <row r="13" spans="2:10">
      <c r="B13" s="848" t="s">
        <v>1114</v>
      </c>
      <c r="C13" s="1461" t="s">
        <v>1122</v>
      </c>
      <c r="D13" s="1461" t="s">
        <v>1116</v>
      </c>
      <c r="E13" s="1461" t="s">
        <v>1117</v>
      </c>
    </row>
    <row r="14" spans="2:10" ht="25.5">
      <c r="B14" s="1141" t="s">
        <v>1118</v>
      </c>
      <c r="C14" s="791">
        <v>100</v>
      </c>
      <c r="D14" s="982">
        <v>877802</v>
      </c>
      <c r="E14" s="851">
        <f>+C14*D14</f>
        <v>87780200</v>
      </c>
    </row>
    <row r="15" spans="2:10">
      <c r="B15" s="728" t="s">
        <v>129</v>
      </c>
      <c r="C15" s="907">
        <f>+E14</f>
        <v>87780200</v>
      </c>
      <c r="E15" s="851"/>
    </row>
    <row r="16" spans="2:10">
      <c r="B16" s="2644" t="s">
        <v>957</v>
      </c>
      <c r="C16" s="2645"/>
      <c r="D16" s="2645"/>
      <c r="E16" s="2645"/>
      <c r="F16" s="2645"/>
      <c r="G16" s="2645"/>
      <c r="H16" s="2646"/>
    </row>
    <row r="17" spans="1:10" ht="25.5">
      <c r="B17" s="1001" t="s">
        <v>206</v>
      </c>
      <c r="C17" s="1001" t="s">
        <v>10</v>
      </c>
      <c r="D17" s="2739" t="s">
        <v>1090</v>
      </c>
      <c r="E17" s="2740"/>
      <c r="F17" s="923" t="s">
        <v>88</v>
      </c>
      <c r="G17" s="1725" t="s">
        <v>279</v>
      </c>
      <c r="H17" s="923" t="s">
        <v>253</v>
      </c>
    </row>
    <row r="18" spans="1:10">
      <c r="A18" s="791">
        <v>1</v>
      </c>
      <c r="B18" s="724">
        <v>44069</v>
      </c>
      <c r="C18" s="724">
        <v>44074</v>
      </c>
      <c r="D18" s="897">
        <v>0</v>
      </c>
      <c r="E18" s="897">
        <v>2.7900000000000001E-2</v>
      </c>
      <c r="F18" s="897">
        <f>((1+E18)^(1/365)-1)</f>
        <v>7.5394310601994974E-5</v>
      </c>
      <c r="G18" s="1176">
        <f>_xlfn.DAYS(C18,B18)+1</f>
        <v>6</v>
      </c>
      <c r="H18" s="790">
        <f>(ROUND($C$15*F18*G18,2))</f>
        <v>39708.769999999997</v>
      </c>
    </row>
    <row r="19" spans="1:10">
      <c r="A19" s="791">
        <v>2</v>
      </c>
      <c r="B19" s="724">
        <v>44075</v>
      </c>
      <c r="C19" s="724">
        <v>44104</v>
      </c>
      <c r="D19" s="897">
        <v>0</v>
      </c>
      <c r="E19" s="897">
        <v>2.3900000000000001E-2</v>
      </c>
      <c r="F19" s="897">
        <f>((1+E19)^(1/365)-1)</f>
        <v>6.4711314504917183E-5</v>
      </c>
      <c r="G19" s="1176">
        <f>_xlfn.DAYS(C19,B19)+1</f>
        <v>30</v>
      </c>
      <c r="H19" s="790">
        <f t="shared" ref="H19:H21" si="0">(ROUND($C$15*F19*G19,2))</f>
        <v>170411.16</v>
      </c>
    </row>
    <row r="20" spans="1:10">
      <c r="A20" s="791">
        <v>3</v>
      </c>
      <c r="B20" s="724">
        <v>44105</v>
      </c>
      <c r="C20" s="724">
        <v>44135</v>
      </c>
      <c r="D20" s="897">
        <v>0</v>
      </c>
      <c r="E20" s="897">
        <v>2.0299999999999999E-2</v>
      </c>
      <c r="F20" s="897">
        <f>((1+E20)^(1/365)-1)</f>
        <v>5.5060972509624051E-5</v>
      </c>
      <c r="G20" s="1176">
        <f>_xlfn.DAYS(C20,B20)+1</f>
        <v>31</v>
      </c>
      <c r="H20" s="790">
        <f t="shared" si="0"/>
        <v>149831.16</v>
      </c>
    </row>
    <row r="21" spans="1:10">
      <c r="A21" s="791">
        <v>4</v>
      </c>
      <c r="B21" s="724">
        <v>44136</v>
      </c>
      <c r="C21" s="724">
        <v>44161</v>
      </c>
      <c r="D21" s="897">
        <v>0</v>
      </c>
      <c r="E21" s="897">
        <v>1.9599999999999999E-2</v>
      </c>
      <c r="F21" s="897">
        <f>((1+E21)^(1/365)-1)</f>
        <v>5.3180574364875E-5</v>
      </c>
      <c r="G21" s="1176">
        <f>_xlfn.DAYS(C21,B21)+1</f>
        <v>26</v>
      </c>
      <c r="H21" s="790">
        <f t="shared" si="0"/>
        <v>121373.24</v>
      </c>
    </row>
    <row r="22" spans="1:10">
      <c r="A22" s="791">
        <v>5</v>
      </c>
      <c r="B22" s="724">
        <v>44162</v>
      </c>
      <c r="C22" s="724">
        <v>44165</v>
      </c>
      <c r="D22" s="897">
        <v>0</v>
      </c>
      <c r="E22" s="897">
        <v>0</v>
      </c>
      <c r="F22" s="897">
        <f>((1+E22)^(1/365)-1)</f>
        <v>0</v>
      </c>
      <c r="G22" s="1176">
        <f>_xlfn.DAYS(C22,B22)+1</f>
        <v>4</v>
      </c>
      <c r="H22" s="790">
        <f t="shared" ref="H22:H25" si="1">F22*G22*$C$15</f>
        <v>0</v>
      </c>
    </row>
    <row r="23" spans="1:10">
      <c r="A23" s="791">
        <v>6</v>
      </c>
      <c r="B23" s="724">
        <v>44166</v>
      </c>
      <c r="C23" s="724">
        <v>44196</v>
      </c>
      <c r="D23" s="897">
        <v>0</v>
      </c>
      <c r="E23" s="897">
        <v>0</v>
      </c>
      <c r="F23" s="897">
        <f t="shared" ref="F23:F32" si="2">((1+E23)^(1/365)-1)</f>
        <v>0</v>
      </c>
      <c r="G23" s="1176">
        <f t="shared" ref="G23:G37" si="3">_xlfn.DAYS(C23,B23)+1</f>
        <v>31</v>
      </c>
      <c r="H23" s="790">
        <f t="shared" si="1"/>
        <v>0</v>
      </c>
    </row>
    <row r="24" spans="1:10">
      <c r="A24" s="791">
        <v>7</v>
      </c>
      <c r="B24" s="724">
        <v>44197</v>
      </c>
      <c r="C24" s="724">
        <v>44227</v>
      </c>
      <c r="D24" s="897">
        <v>0</v>
      </c>
      <c r="E24" s="897">
        <v>0</v>
      </c>
      <c r="F24" s="897">
        <f t="shared" si="2"/>
        <v>0</v>
      </c>
      <c r="G24" s="1176">
        <f t="shared" si="3"/>
        <v>31</v>
      </c>
      <c r="H24" s="790">
        <f t="shared" si="1"/>
        <v>0</v>
      </c>
    </row>
    <row r="25" spans="1:10">
      <c r="A25" s="791">
        <v>8</v>
      </c>
      <c r="B25" s="724">
        <v>44228</v>
      </c>
      <c r="C25" s="724">
        <v>44245</v>
      </c>
      <c r="D25" s="897">
        <v>0</v>
      </c>
      <c r="E25" s="897">
        <v>0</v>
      </c>
      <c r="F25" s="897">
        <f t="shared" ref="F25" si="4">((1+E25)^(1/365)-1)</f>
        <v>0</v>
      </c>
      <c r="G25" s="1176">
        <f t="shared" ref="G25" si="5">_xlfn.DAYS(C25,B25)+1</f>
        <v>18</v>
      </c>
      <c r="H25" s="790">
        <f t="shared" si="1"/>
        <v>0</v>
      </c>
    </row>
    <row r="26" spans="1:10">
      <c r="A26" s="791">
        <v>9</v>
      </c>
      <c r="B26" s="724">
        <v>44247</v>
      </c>
      <c r="C26" s="724">
        <v>44255</v>
      </c>
      <c r="D26" s="897">
        <v>0</v>
      </c>
      <c r="E26" s="897">
        <v>1.8100000000000002E-2</v>
      </c>
      <c r="F26" s="897">
        <f>((1+E26)^(1/365)-1)</f>
        <v>4.9146810763511795E-5</v>
      </c>
      <c r="G26" s="1176">
        <f t="shared" si="3"/>
        <v>9</v>
      </c>
      <c r="H26" s="790">
        <f>(ROUND($C$15*F26*G26,2))</f>
        <v>38827.050000000003</v>
      </c>
      <c r="J26" s="879"/>
    </row>
    <row r="27" spans="1:10">
      <c r="A27" s="791">
        <v>10</v>
      </c>
      <c r="B27" s="724">
        <v>44256</v>
      </c>
      <c r="C27" s="724">
        <v>44286</v>
      </c>
      <c r="D27" s="897">
        <v>0</v>
      </c>
      <c r="E27" s="897">
        <v>1.77E-2</v>
      </c>
      <c r="F27" s="897">
        <f t="shared" si="2"/>
        <v>4.8070139484934771E-5</v>
      </c>
      <c r="G27" s="1176">
        <f t="shared" si="3"/>
        <v>31</v>
      </c>
      <c r="H27" s="790">
        <f t="shared" ref="H27:H37" si="6">(ROUND($C$15*F27*G27,2))</f>
        <v>130807.8</v>
      </c>
    </row>
    <row r="28" spans="1:10">
      <c r="A28" s="791">
        <v>11</v>
      </c>
      <c r="B28" s="724">
        <v>44287</v>
      </c>
      <c r="C28" s="724">
        <v>44316</v>
      </c>
      <c r="D28" s="897">
        <v>0</v>
      </c>
      <c r="E28" s="897">
        <v>1.7600000000000001E-2</v>
      </c>
      <c r="F28" s="897">
        <f t="shared" si="2"/>
        <v>4.7800905724759701E-5</v>
      </c>
      <c r="G28" s="1176">
        <f t="shared" si="3"/>
        <v>30</v>
      </c>
      <c r="H28" s="790">
        <f t="shared" si="6"/>
        <v>125879.19</v>
      </c>
    </row>
    <row r="29" spans="1:10">
      <c r="A29" s="791">
        <v>12</v>
      </c>
      <c r="B29" s="724">
        <v>44317</v>
      </c>
      <c r="C29" s="724">
        <v>44347</v>
      </c>
      <c r="D29" s="897">
        <v>0</v>
      </c>
      <c r="E29" s="897">
        <v>1.8200000000000001E-2</v>
      </c>
      <c r="F29" s="897">
        <f t="shared" si="2"/>
        <v>4.9415912668715478E-5</v>
      </c>
      <c r="G29" s="1176">
        <f t="shared" si="3"/>
        <v>31</v>
      </c>
      <c r="H29" s="790">
        <f t="shared" si="6"/>
        <v>134469.9</v>
      </c>
    </row>
    <row r="30" spans="1:10">
      <c r="A30" s="791">
        <v>13</v>
      </c>
      <c r="B30" s="724">
        <v>44348</v>
      </c>
      <c r="C30" s="1523">
        <v>44377</v>
      </c>
      <c r="D30" s="897">
        <v>0</v>
      </c>
      <c r="E30" s="897">
        <v>1.9099999999999999E-2</v>
      </c>
      <c r="F30" s="897">
        <f t="shared" si="2"/>
        <v>5.1836644438196799E-5</v>
      </c>
      <c r="G30" s="931">
        <f t="shared" si="3"/>
        <v>30</v>
      </c>
      <c r="H30" s="790">
        <f t="shared" si="6"/>
        <v>136506.93</v>
      </c>
    </row>
    <row r="31" spans="1:10">
      <c r="A31" s="791">
        <v>14</v>
      </c>
      <c r="B31" s="724">
        <v>44378</v>
      </c>
      <c r="C31" s="1523">
        <v>44408</v>
      </c>
      <c r="D31" s="897">
        <v>0</v>
      </c>
      <c r="E31" s="897">
        <v>1.9E-2</v>
      </c>
      <c r="F31" s="897">
        <f t="shared" si="2"/>
        <v>5.1567779546513037E-5</v>
      </c>
      <c r="G31" s="931">
        <f t="shared" si="3"/>
        <v>31</v>
      </c>
      <c r="H31" s="790">
        <f t="shared" si="6"/>
        <v>140325.53</v>
      </c>
    </row>
    <row r="32" spans="1:10">
      <c r="A32" s="791">
        <v>15</v>
      </c>
      <c r="B32" s="724">
        <v>44409</v>
      </c>
      <c r="C32" s="1523">
        <v>44426</v>
      </c>
      <c r="D32" s="897">
        <v>0</v>
      </c>
      <c r="E32" s="897">
        <v>1.9900000000000001E-2</v>
      </c>
      <c r="F32" s="897">
        <f t="shared" si="2"/>
        <v>5.3986616880719041E-5</v>
      </c>
      <c r="G32" s="931">
        <f t="shared" si="3"/>
        <v>18</v>
      </c>
      <c r="H32" s="790">
        <f t="shared" si="6"/>
        <v>85301.21</v>
      </c>
    </row>
    <row r="33" spans="1:8">
      <c r="A33" s="791">
        <v>16</v>
      </c>
      <c r="B33" s="1523">
        <v>44427</v>
      </c>
      <c r="C33" s="1523">
        <v>44439</v>
      </c>
      <c r="D33" s="897">
        <v>0.1724</v>
      </c>
      <c r="E33" s="897">
        <f>+D33*1.5</f>
        <v>0.2586</v>
      </c>
      <c r="F33" s="897">
        <f>((1+E33)^(1/365)-1)</f>
        <v>6.3033554269220637E-4</v>
      </c>
      <c r="G33" s="931">
        <f t="shared" si="3"/>
        <v>13</v>
      </c>
      <c r="H33" s="790">
        <f t="shared" si="6"/>
        <v>719302.74</v>
      </c>
    </row>
    <row r="34" spans="1:8">
      <c r="A34" s="791">
        <v>17</v>
      </c>
      <c r="B34" s="724">
        <v>44440</v>
      </c>
      <c r="C34" s="1523">
        <v>44469</v>
      </c>
      <c r="D34" s="897">
        <v>0.1719</v>
      </c>
      <c r="E34" s="897">
        <f t="shared" ref="E34:E37" si="7">+D34*1.5</f>
        <v>0.25785000000000002</v>
      </c>
      <c r="F34" s="897">
        <f t="shared" ref="F34:F37" si="8">((1+E34)^(1/365)-1)</f>
        <v>6.2870142469861889E-4</v>
      </c>
      <c r="G34" s="931">
        <f t="shared" si="3"/>
        <v>30</v>
      </c>
      <c r="H34" s="790">
        <f t="shared" si="6"/>
        <v>1655626.1</v>
      </c>
    </row>
    <row r="35" spans="1:8">
      <c r="A35" s="791">
        <v>18</v>
      </c>
      <c r="B35" s="724">
        <v>44470</v>
      </c>
      <c r="C35" s="1523">
        <v>44500</v>
      </c>
      <c r="D35" s="897">
        <v>0.17080000000000001</v>
      </c>
      <c r="E35" s="897">
        <f t="shared" si="7"/>
        <v>0.25619999999999998</v>
      </c>
      <c r="F35" s="897">
        <f t="shared" si="8"/>
        <v>6.2510294214179751E-4</v>
      </c>
      <c r="G35" s="931">
        <f t="shared" si="3"/>
        <v>31</v>
      </c>
      <c r="H35" s="790">
        <f t="shared" si="6"/>
        <v>1701021.5</v>
      </c>
    </row>
    <row r="36" spans="1:8">
      <c r="A36" s="791">
        <v>19</v>
      </c>
      <c r="B36" s="724">
        <v>44501</v>
      </c>
      <c r="C36" s="1523">
        <v>44530</v>
      </c>
      <c r="D36" s="897">
        <v>0.17269999999999999</v>
      </c>
      <c r="E36" s="897">
        <f t="shared" si="7"/>
        <v>0.25905</v>
      </c>
      <c r="F36" s="897">
        <f t="shared" si="8"/>
        <v>6.3131554742335005E-4</v>
      </c>
      <c r="G36" s="931">
        <f t="shared" si="3"/>
        <v>30</v>
      </c>
      <c r="H36" s="790">
        <f t="shared" si="6"/>
        <v>1662510.15</v>
      </c>
    </row>
    <row r="37" spans="1:8" ht="13.5" thickBot="1">
      <c r="A37" s="791">
        <v>20</v>
      </c>
      <c r="B37" s="724">
        <v>44531</v>
      </c>
      <c r="C37" s="1523">
        <v>44559</v>
      </c>
      <c r="D37" s="897">
        <v>0.17460000000000001</v>
      </c>
      <c r="E37" s="897">
        <f t="shared" si="7"/>
        <v>0.26190000000000002</v>
      </c>
      <c r="F37" s="897">
        <f t="shared" si="8"/>
        <v>6.3751414410861962E-4</v>
      </c>
      <c r="G37" s="2415">
        <f t="shared" si="3"/>
        <v>29</v>
      </c>
      <c r="H37" s="2416">
        <f t="shared" si="6"/>
        <v>1622872.45</v>
      </c>
    </row>
    <row r="38" spans="1:8">
      <c r="F38" s="2742" t="s">
        <v>951</v>
      </c>
      <c r="G38" s="2743"/>
      <c r="H38" s="2417">
        <f>SUM(H18:H37)</f>
        <v>8634774.879999999</v>
      </c>
    </row>
    <row r="39" spans="1:8">
      <c r="B39" s="2686" t="s">
        <v>1103</v>
      </c>
      <c r="C39" s="2686"/>
      <c r="F39" s="1461"/>
      <c r="G39" s="1461"/>
      <c r="H39" s="1170"/>
    </row>
    <row r="40" spans="1:8">
      <c r="B40" s="726" t="s">
        <v>56</v>
      </c>
      <c r="C40" s="881"/>
      <c r="F40" s="1461"/>
      <c r="G40" s="1461"/>
      <c r="H40" s="1170"/>
    </row>
    <row r="41" spans="1:8">
      <c r="B41" s="741" t="s">
        <v>133</v>
      </c>
      <c r="C41" s="850">
        <f>+C15</f>
        <v>87780200</v>
      </c>
      <c r="F41" s="1461"/>
      <c r="G41" s="1461"/>
      <c r="H41" s="1170"/>
    </row>
    <row r="42" spans="1:8">
      <c r="B42" s="741" t="s">
        <v>134</v>
      </c>
      <c r="C42" s="850">
        <f>+H38</f>
        <v>8634774.879999999</v>
      </c>
      <c r="F42" s="1461"/>
      <c r="G42" s="1461"/>
      <c r="H42" s="1170"/>
    </row>
    <row r="43" spans="1:8" ht="13.5" thickBot="1">
      <c r="B43" s="743" t="s">
        <v>61</v>
      </c>
      <c r="C43" s="1314">
        <f>SUM(C41:C42)</f>
        <v>96414974.879999995</v>
      </c>
      <c r="F43" s="1461"/>
      <c r="G43" s="1461"/>
      <c r="H43" s="1170"/>
    </row>
    <row r="44" spans="1:8" ht="13.5" thickTop="1">
      <c r="F44" s="1461"/>
      <c r="G44" s="1461"/>
      <c r="H44" s="1170"/>
    </row>
    <row r="45" spans="1:8">
      <c r="B45" s="848" t="s">
        <v>1114</v>
      </c>
      <c r="C45" s="1461" t="s">
        <v>1115</v>
      </c>
      <c r="D45" s="1461" t="s">
        <v>1116</v>
      </c>
      <c r="E45" s="1461" t="s">
        <v>1117</v>
      </c>
      <c r="F45" s="1461"/>
      <c r="G45" s="1461"/>
      <c r="H45" s="1170"/>
    </row>
    <row r="46" spans="1:8" ht="25.5">
      <c r="B46" s="1141" t="s">
        <v>1119</v>
      </c>
      <c r="C46" s="791">
        <v>100</v>
      </c>
      <c r="D46" s="982">
        <f>+D14</f>
        <v>877802</v>
      </c>
      <c r="E46" s="851">
        <f>+C46*D46</f>
        <v>87780200</v>
      </c>
      <c r="F46" s="1461"/>
      <c r="G46" s="1461"/>
      <c r="H46" s="1170"/>
    </row>
    <row r="47" spans="1:8">
      <c r="B47" s="728" t="s">
        <v>129</v>
      </c>
      <c r="C47" s="907">
        <f>+E46</f>
        <v>87780200</v>
      </c>
      <c r="E47" s="851"/>
    </row>
    <row r="48" spans="1:8">
      <c r="B48" s="2644" t="s">
        <v>957</v>
      </c>
      <c r="C48" s="2645"/>
      <c r="D48" s="2645"/>
      <c r="E48" s="2645"/>
      <c r="F48" s="2645"/>
      <c r="G48" s="2645"/>
      <c r="H48" s="2646"/>
    </row>
    <row r="49" spans="1:8">
      <c r="B49" s="761" t="s">
        <v>206</v>
      </c>
      <c r="C49" s="761" t="s">
        <v>10</v>
      </c>
      <c r="D49" s="2739" t="s">
        <v>1090</v>
      </c>
      <c r="E49" s="2740"/>
      <c r="F49" s="1113" t="s">
        <v>88</v>
      </c>
      <c r="G49" s="761" t="s">
        <v>279</v>
      </c>
      <c r="H49" s="1113" t="s">
        <v>253</v>
      </c>
    </row>
    <row r="50" spans="1:8">
      <c r="A50" s="791">
        <v>1</v>
      </c>
      <c r="B50" s="724">
        <v>44069</v>
      </c>
      <c r="C50" s="724">
        <v>44074</v>
      </c>
      <c r="D50" s="897">
        <v>0</v>
      </c>
      <c r="E50" s="897">
        <v>2.7900000000000001E-2</v>
      </c>
      <c r="F50" s="897">
        <f>((1+E50)^(1/365)-1)</f>
        <v>7.5394310601994974E-5</v>
      </c>
      <c r="G50" s="1176">
        <f>_xlfn.DAYS(C50,B50)+1</f>
        <v>6</v>
      </c>
      <c r="H50" s="790">
        <f>(ROUND($C$15*F50*G50,2))</f>
        <v>39708.769999999997</v>
      </c>
    </row>
    <row r="51" spans="1:8">
      <c r="A51" s="791">
        <v>2</v>
      </c>
      <c r="B51" s="724">
        <v>44075</v>
      </c>
      <c r="C51" s="724">
        <v>44104</v>
      </c>
      <c r="D51" s="897">
        <v>0</v>
      </c>
      <c r="E51" s="897">
        <v>2.3900000000000001E-2</v>
      </c>
      <c r="F51" s="897">
        <f>((1+E51)^(1/365)-1)</f>
        <v>6.4711314504917183E-5</v>
      </c>
      <c r="G51" s="1176">
        <f>_xlfn.DAYS(C51,B51)+1</f>
        <v>30</v>
      </c>
      <c r="H51" s="790">
        <f t="shared" ref="H51:H53" si="9">(ROUND($C$15*F51*G51,2))</f>
        <v>170411.16</v>
      </c>
    </row>
    <row r="52" spans="1:8">
      <c r="A52" s="791">
        <v>3</v>
      </c>
      <c r="B52" s="724">
        <v>44105</v>
      </c>
      <c r="C52" s="724">
        <v>44135</v>
      </c>
      <c r="D52" s="897">
        <v>0</v>
      </c>
      <c r="E52" s="897">
        <v>2.0299999999999999E-2</v>
      </c>
      <c r="F52" s="897">
        <f>((1+E52)^(1/365)-1)</f>
        <v>5.5060972509624051E-5</v>
      </c>
      <c r="G52" s="1176">
        <f>_xlfn.DAYS(C52,B52)+1</f>
        <v>31</v>
      </c>
      <c r="H52" s="790">
        <f t="shared" si="9"/>
        <v>149831.16</v>
      </c>
    </row>
    <row r="53" spans="1:8">
      <c r="A53" s="791">
        <v>4</v>
      </c>
      <c r="B53" s="724">
        <v>44136</v>
      </c>
      <c r="C53" s="724">
        <v>44161</v>
      </c>
      <c r="D53" s="897">
        <v>0</v>
      </c>
      <c r="E53" s="897">
        <v>1.9599999999999999E-2</v>
      </c>
      <c r="F53" s="897">
        <f>((1+E53)^(1/365)-1)</f>
        <v>5.3180574364875E-5</v>
      </c>
      <c r="G53" s="1176">
        <f>_xlfn.DAYS(C53,B53)+1</f>
        <v>26</v>
      </c>
      <c r="H53" s="790">
        <f t="shared" si="9"/>
        <v>121373.24</v>
      </c>
    </row>
    <row r="54" spans="1:8">
      <c r="A54" s="791">
        <v>5</v>
      </c>
      <c r="B54" s="724">
        <v>44162</v>
      </c>
      <c r="C54" s="724">
        <v>44165</v>
      </c>
      <c r="D54" s="897">
        <v>0</v>
      </c>
      <c r="E54" s="897">
        <v>0</v>
      </c>
      <c r="F54" s="897">
        <f>((1+E54)^(1/365)-1)</f>
        <v>0</v>
      </c>
      <c r="G54" s="1176">
        <f>_xlfn.DAYS(C54,B54)+1</f>
        <v>4</v>
      </c>
      <c r="H54" s="790">
        <f t="shared" ref="H54:H57" si="10">F54*G54*$C$15</f>
        <v>0</v>
      </c>
    </row>
    <row r="55" spans="1:8">
      <c r="A55" s="791">
        <v>6</v>
      </c>
      <c r="B55" s="724">
        <v>44166</v>
      </c>
      <c r="C55" s="724">
        <v>44196</v>
      </c>
      <c r="D55" s="897">
        <v>0</v>
      </c>
      <c r="E55" s="897">
        <v>0</v>
      </c>
      <c r="F55" s="897">
        <f t="shared" ref="F55:F57" si="11">((1+E55)^(1/365)-1)</f>
        <v>0</v>
      </c>
      <c r="G55" s="1176">
        <f t="shared" ref="G55:G69" si="12">_xlfn.DAYS(C55,B55)+1</f>
        <v>31</v>
      </c>
      <c r="H55" s="790">
        <f t="shared" si="10"/>
        <v>0</v>
      </c>
    </row>
    <row r="56" spans="1:8">
      <c r="A56" s="791">
        <v>7</v>
      </c>
      <c r="B56" s="724">
        <v>44197</v>
      </c>
      <c r="C56" s="724">
        <v>44227</v>
      </c>
      <c r="D56" s="897">
        <v>0</v>
      </c>
      <c r="E56" s="897">
        <v>0</v>
      </c>
      <c r="F56" s="897">
        <f t="shared" si="11"/>
        <v>0</v>
      </c>
      <c r="G56" s="1176">
        <f t="shared" si="12"/>
        <v>31</v>
      </c>
      <c r="H56" s="790">
        <f t="shared" si="10"/>
        <v>0</v>
      </c>
    </row>
    <row r="57" spans="1:8">
      <c r="A57" s="791">
        <v>8</v>
      </c>
      <c r="B57" s="724">
        <v>44228</v>
      </c>
      <c r="C57" s="724">
        <v>44245</v>
      </c>
      <c r="D57" s="897">
        <v>0</v>
      </c>
      <c r="E57" s="897">
        <v>0</v>
      </c>
      <c r="F57" s="897">
        <f t="shared" si="11"/>
        <v>0</v>
      </c>
      <c r="G57" s="1176">
        <f t="shared" si="12"/>
        <v>18</v>
      </c>
      <c r="H57" s="790">
        <f t="shared" si="10"/>
        <v>0</v>
      </c>
    </row>
    <row r="58" spans="1:8">
      <c r="A58" s="791">
        <v>9</v>
      </c>
      <c r="B58" s="724">
        <v>44247</v>
      </c>
      <c r="C58" s="724">
        <v>44255</v>
      </c>
      <c r="D58" s="897">
        <v>0</v>
      </c>
      <c r="E58" s="897">
        <v>1.8100000000000002E-2</v>
      </c>
      <c r="F58" s="897">
        <f>((1+E58)^(1/365)-1)</f>
        <v>4.9146810763511795E-5</v>
      </c>
      <c r="G58" s="1176">
        <f t="shared" si="12"/>
        <v>9</v>
      </c>
      <c r="H58" s="790">
        <f>(ROUND($C$15*F58*G58,2))</f>
        <v>38827.050000000003</v>
      </c>
    </row>
    <row r="59" spans="1:8">
      <c r="A59" s="791">
        <v>10</v>
      </c>
      <c r="B59" s="724">
        <v>44256</v>
      </c>
      <c r="C59" s="724">
        <v>44286</v>
      </c>
      <c r="D59" s="897">
        <v>0</v>
      </c>
      <c r="E59" s="897">
        <v>1.77E-2</v>
      </c>
      <c r="F59" s="897">
        <f t="shared" ref="F59:F64" si="13">((1+E59)^(1/365)-1)</f>
        <v>4.8070139484934771E-5</v>
      </c>
      <c r="G59" s="1176">
        <f t="shared" si="12"/>
        <v>31</v>
      </c>
      <c r="H59" s="790">
        <f t="shared" ref="H59:H69" si="14">(ROUND($C$15*F59*G59,2))</f>
        <v>130807.8</v>
      </c>
    </row>
    <row r="60" spans="1:8">
      <c r="A60" s="791">
        <v>11</v>
      </c>
      <c r="B60" s="724">
        <v>44287</v>
      </c>
      <c r="C60" s="724">
        <v>44316</v>
      </c>
      <c r="D60" s="897">
        <v>0</v>
      </c>
      <c r="E60" s="897">
        <v>1.7600000000000001E-2</v>
      </c>
      <c r="F60" s="897">
        <f t="shared" si="13"/>
        <v>4.7800905724759701E-5</v>
      </c>
      <c r="G60" s="1176">
        <f t="shared" si="12"/>
        <v>30</v>
      </c>
      <c r="H60" s="790">
        <f t="shared" si="14"/>
        <v>125879.19</v>
      </c>
    </row>
    <row r="61" spans="1:8">
      <c r="A61" s="791">
        <v>12</v>
      </c>
      <c r="B61" s="724">
        <v>44317</v>
      </c>
      <c r="C61" s="724">
        <v>44347</v>
      </c>
      <c r="D61" s="897">
        <v>0</v>
      </c>
      <c r="E61" s="897">
        <v>1.8200000000000001E-2</v>
      </c>
      <c r="F61" s="897">
        <f t="shared" si="13"/>
        <v>4.9415912668715478E-5</v>
      </c>
      <c r="G61" s="1176">
        <f t="shared" si="12"/>
        <v>31</v>
      </c>
      <c r="H61" s="790">
        <f t="shared" si="14"/>
        <v>134469.9</v>
      </c>
    </row>
    <row r="62" spans="1:8">
      <c r="A62" s="791">
        <v>13</v>
      </c>
      <c r="B62" s="724">
        <v>44348</v>
      </c>
      <c r="C62" s="1523">
        <v>44377</v>
      </c>
      <c r="D62" s="897">
        <v>0</v>
      </c>
      <c r="E62" s="897">
        <v>1.9099999999999999E-2</v>
      </c>
      <c r="F62" s="897">
        <f t="shared" si="13"/>
        <v>5.1836644438196799E-5</v>
      </c>
      <c r="G62" s="931">
        <f t="shared" si="12"/>
        <v>30</v>
      </c>
      <c r="H62" s="790">
        <f t="shared" si="14"/>
        <v>136506.93</v>
      </c>
    </row>
    <row r="63" spans="1:8">
      <c r="A63" s="791">
        <v>14</v>
      </c>
      <c r="B63" s="724">
        <v>44378</v>
      </c>
      <c r="C63" s="1523">
        <v>44408</v>
      </c>
      <c r="D63" s="897">
        <v>0</v>
      </c>
      <c r="E63" s="897">
        <v>1.9E-2</v>
      </c>
      <c r="F63" s="897">
        <f t="shared" si="13"/>
        <v>5.1567779546513037E-5</v>
      </c>
      <c r="G63" s="931">
        <f t="shared" si="12"/>
        <v>31</v>
      </c>
      <c r="H63" s="790">
        <f t="shared" si="14"/>
        <v>140325.53</v>
      </c>
    </row>
    <row r="64" spans="1:8">
      <c r="A64" s="791">
        <v>15</v>
      </c>
      <c r="B64" s="724">
        <v>44409</v>
      </c>
      <c r="C64" s="1523">
        <v>44426</v>
      </c>
      <c r="D64" s="897">
        <v>0</v>
      </c>
      <c r="E64" s="897">
        <v>1.9900000000000001E-2</v>
      </c>
      <c r="F64" s="897">
        <f t="shared" si="13"/>
        <v>5.3986616880719041E-5</v>
      </c>
      <c r="G64" s="931">
        <f t="shared" si="12"/>
        <v>18</v>
      </c>
      <c r="H64" s="790">
        <f t="shared" si="14"/>
        <v>85301.21</v>
      </c>
    </row>
    <row r="65" spans="1:8">
      <c r="A65" s="791">
        <v>16</v>
      </c>
      <c r="B65" s="1523">
        <v>44427</v>
      </c>
      <c r="C65" s="1523">
        <v>44439</v>
      </c>
      <c r="D65" s="897">
        <v>0.1724</v>
      </c>
      <c r="E65" s="897">
        <f>+D65*1.5</f>
        <v>0.2586</v>
      </c>
      <c r="F65" s="897">
        <f>((1+E65)^(1/365)-1)</f>
        <v>6.3033554269220637E-4</v>
      </c>
      <c r="G65" s="931">
        <f t="shared" si="12"/>
        <v>13</v>
      </c>
      <c r="H65" s="790">
        <f t="shared" si="14"/>
        <v>719302.74</v>
      </c>
    </row>
    <row r="66" spans="1:8">
      <c r="A66" s="791">
        <v>17</v>
      </c>
      <c r="B66" s="724">
        <v>44440</v>
      </c>
      <c r="C66" s="1523">
        <v>44469</v>
      </c>
      <c r="D66" s="897">
        <v>0.1719</v>
      </c>
      <c r="E66" s="897">
        <f t="shared" ref="E66:E69" si="15">+D66*1.5</f>
        <v>0.25785000000000002</v>
      </c>
      <c r="F66" s="897">
        <f t="shared" ref="F66:F69" si="16">((1+E66)^(1/365)-1)</f>
        <v>6.2870142469861889E-4</v>
      </c>
      <c r="G66" s="931">
        <f t="shared" si="12"/>
        <v>30</v>
      </c>
      <c r="H66" s="790">
        <f t="shared" si="14"/>
        <v>1655626.1</v>
      </c>
    </row>
    <row r="67" spans="1:8">
      <c r="A67" s="791">
        <v>18</v>
      </c>
      <c r="B67" s="724">
        <v>44470</v>
      </c>
      <c r="C67" s="1523">
        <v>44500</v>
      </c>
      <c r="D67" s="897">
        <v>0.17080000000000001</v>
      </c>
      <c r="E67" s="897">
        <f t="shared" si="15"/>
        <v>0.25619999999999998</v>
      </c>
      <c r="F67" s="897">
        <f t="shared" si="16"/>
        <v>6.2510294214179751E-4</v>
      </c>
      <c r="G67" s="931">
        <f t="shared" si="12"/>
        <v>31</v>
      </c>
      <c r="H67" s="790">
        <f t="shared" si="14"/>
        <v>1701021.5</v>
      </c>
    </row>
    <row r="68" spans="1:8">
      <c r="A68" s="791">
        <v>19</v>
      </c>
      <c r="B68" s="724">
        <v>44501</v>
      </c>
      <c r="C68" s="1523">
        <v>44530</v>
      </c>
      <c r="D68" s="897">
        <v>0.17269999999999999</v>
      </c>
      <c r="E68" s="897">
        <f t="shared" si="15"/>
        <v>0.25905</v>
      </c>
      <c r="F68" s="897">
        <f t="shared" si="16"/>
        <v>6.3131554742335005E-4</v>
      </c>
      <c r="G68" s="931">
        <f t="shared" si="12"/>
        <v>30</v>
      </c>
      <c r="H68" s="790">
        <f t="shared" si="14"/>
        <v>1662510.15</v>
      </c>
    </row>
    <row r="69" spans="1:8" ht="13.5" thickBot="1">
      <c r="A69" s="791">
        <v>20</v>
      </c>
      <c r="B69" s="724">
        <v>44531</v>
      </c>
      <c r="C69" s="1523">
        <v>44559</v>
      </c>
      <c r="D69" s="897">
        <v>0.17460000000000001</v>
      </c>
      <c r="E69" s="897">
        <f t="shared" si="15"/>
        <v>0.26190000000000002</v>
      </c>
      <c r="F69" s="897">
        <f t="shared" si="16"/>
        <v>6.3751414410861962E-4</v>
      </c>
      <c r="G69" s="2415">
        <f t="shared" si="12"/>
        <v>29</v>
      </c>
      <c r="H69" s="2416">
        <f t="shared" si="14"/>
        <v>1622872.45</v>
      </c>
    </row>
    <row r="70" spans="1:8">
      <c r="F70" s="2644" t="s">
        <v>951</v>
      </c>
      <c r="G70" s="2646"/>
      <c r="H70" s="790">
        <f>SUM(H50:H69)</f>
        <v>8634774.879999999</v>
      </c>
    </row>
    <row r="71" spans="1:8">
      <c r="B71" s="2686" t="s">
        <v>1103</v>
      </c>
      <c r="C71" s="2686"/>
      <c r="F71" s="1461"/>
      <c r="G71" s="1461"/>
      <c r="H71" s="1170"/>
    </row>
    <row r="72" spans="1:8">
      <c r="B72" s="726" t="s">
        <v>56</v>
      </c>
      <c r="C72" s="881"/>
      <c r="F72" s="1461"/>
      <c r="G72" s="1461"/>
      <c r="H72" s="1170"/>
    </row>
    <row r="73" spans="1:8">
      <c r="B73" s="741" t="s">
        <v>133</v>
      </c>
      <c r="C73" s="850">
        <f>+C47</f>
        <v>87780200</v>
      </c>
      <c r="F73" s="1461"/>
      <c r="G73" s="1461"/>
      <c r="H73" s="1170"/>
    </row>
    <row r="74" spans="1:8">
      <c r="B74" s="741" t="s">
        <v>134</v>
      </c>
      <c r="C74" s="850">
        <f>+H70</f>
        <v>8634774.879999999</v>
      </c>
      <c r="F74" s="1461"/>
      <c r="G74" s="1461"/>
      <c r="H74" s="1170"/>
    </row>
    <row r="75" spans="1:8" ht="13.5" thickBot="1">
      <c r="B75" s="743" t="s">
        <v>61</v>
      </c>
      <c r="C75" s="1314">
        <f>SUM(C73:C74)</f>
        <v>96414974.879999995</v>
      </c>
      <c r="F75" s="1461"/>
      <c r="G75" s="1461"/>
      <c r="H75" s="1170"/>
    </row>
    <row r="76" spans="1:8" ht="13.5" thickTop="1">
      <c r="B76" s="876"/>
      <c r="C76" s="1170"/>
      <c r="F76" s="1461"/>
      <c r="G76" s="1461"/>
      <c r="H76" s="1170"/>
    </row>
    <row r="77" spans="1:8">
      <c r="B77" s="848" t="s">
        <v>1114</v>
      </c>
      <c r="C77" s="1461" t="s">
        <v>1115</v>
      </c>
      <c r="D77" s="1461" t="s">
        <v>1116</v>
      </c>
      <c r="E77" s="1461" t="s">
        <v>1117</v>
      </c>
      <c r="F77" s="1461"/>
      <c r="G77" s="1461"/>
      <c r="H77" s="1170"/>
    </row>
    <row r="78" spans="1:8">
      <c r="B78" s="791" t="s">
        <v>1120</v>
      </c>
      <c r="C78" s="791">
        <v>25</v>
      </c>
      <c r="D78" s="982">
        <f>+D14</f>
        <v>877802</v>
      </c>
      <c r="E78" s="851">
        <f>+C78*D78</f>
        <v>21945050</v>
      </c>
      <c r="F78" s="1461"/>
      <c r="G78" s="1461"/>
      <c r="H78" s="1170"/>
    </row>
    <row r="79" spans="1:8">
      <c r="B79" s="728" t="s">
        <v>129</v>
      </c>
      <c r="C79" s="907">
        <f>+E78</f>
        <v>21945050</v>
      </c>
      <c r="F79" s="1461"/>
      <c r="G79" s="1461"/>
      <c r="H79" s="1170"/>
    </row>
    <row r="80" spans="1:8">
      <c r="B80" s="2644" t="s">
        <v>957</v>
      </c>
      <c r="C80" s="2645"/>
      <c r="D80" s="2645"/>
      <c r="E80" s="2645"/>
      <c r="F80" s="2645"/>
      <c r="G80" s="2645"/>
      <c r="H80" s="2646"/>
    </row>
    <row r="81" spans="1:8">
      <c r="B81" s="761" t="s">
        <v>206</v>
      </c>
      <c r="C81" s="761" t="s">
        <v>10</v>
      </c>
      <c r="D81" s="2739" t="s">
        <v>1090</v>
      </c>
      <c r="E81" s="2740"/>
      <c r="F81" s="1113" t="s">
        <v>88</v>
      </c>
      <c r="G81" s="761" t="s">
        <v>279</v>
      </c>
      <c r="H81" s="1113" t="s">
        <v>253</v>
      </c>
    </row>
    <row r="82" spans="1:8">
      <c r="A82" s="791">
        <v>1</v>
      </c>
      <c r="B82" s="724">
        <v>44069</v>
      </c>
      <c r="C82" s="724">
        <v>44074</v>
      </c>
      <c r="D82" s="897">
        <v>0</v>
      </c>
      <c r="E82" s="897">
        <v>2.7900000000000001E-2</v>
      </c>
      <c r="F82" s="897">
        <f>((1+E82)^(1/365)-1)</f>
        <v>7.5394310601994974E-5</v>
      </c>
      <c r="G82" s="1176">
        <f>_xlfn.DAYS(C82,B82)+1</f>
        <v>6</v>
      </c>
      <c r="H82" s="790">
        <f>(ROUND($C$15*F82*G82,2))</f>
        <v>39708.769999999997</v>
      </c>
    </row>
    <row r="83" spans="1:8">
      <c r="A83" s="791">
        <v>2</v>
      </c>
      <c r="B83" s="724">
        <v>44075</v>
      </c>
      <c r="C83" s="724">
        <v>44104</v>
      </c>
      <c r="D83" s="897">
        <v>0</v>
      </c>
      <c r="E83" s="897">
        <v>2.3900000000000001E-2</v>
      </c>
      <c r="F83" s="897">
        <f>((1+E83)^(1/365)-1)</f>
        <v>6.4711314504917183E-5</v>
      </c>
      <c r="G83" s="1176">
        <f>_xlfn.DAYS(C83,B83)+1</f>
        <v>30</v>
      </c>
      <c r="H83" s="790">
        <f t="shared" ref="H83:H85" si="17">(ROUND($C$15*F83*G83,2))</f>
        <v>170411.16</v>
      </c>
    </row>
    <row r="84" spans="1:8">
      <c r="A84" s="791">
        <v>3</v>
      </c>
      <c r="B84" s="724">
        <v>44105</v>
      </c>
      <c r="C84" s="724">
        <v>44135</v>
      </c>
      <c r="D84" s="897">
        <v>0</v>
      </c>
      <c r="E84" s="897">
        <v>2.0299999999999999E-2</v>
      </c>
      <c r="F84" s="897">
        <f>((1+E84)^(1/365)-1)</f>
        <v>5.5060972509624051E-5</v>
      </c>
      <c r="G84" s="1176">
        <f>_xlfn.DAYS(C84,B84)+1</f>
        <v>31</v>
      </c>
      <c r="H84" s="790">
        <f t="shared" si="17"/>
        <v>149831.16</v>
      </c>
    </row>
    <row r="85" spans="1:8">
      <c r="A85" s="791">
        <v>4</v>
      </c>
      <c r="B85" s="724">
        <v>44136</v>
      </c>
      <c r="C85" s="724">
        <v>44161</v>
      </c>
      <c r="D85" s="897">
        <v>0</v>
      </c>
      <c r="E85" s="897">
        <v>1.9599999999999999E-2</v>
      </c>
      <c r="F85" s="897">
        <f>((1+E85)^(1/365)-1)</f>
        <v>5.3180574364875E-5</v>
      </c>
      <c r="G85" s="1176">
        <f>_xlfn.DAYS(C85,B85)+1</f>
        <v>26</v>
      </c>
      <c r="H85" s="790">
        <f t="shared" si="17"/>
        <v>121373.24</v>
      </c>
    </row>
    <row r="86" spans="1:8">
      <c r="A86" s="791">
        <v>5</v>
      </c>
      <c r="B86" s="724">
        <v>44162</v>
      </c>
      <c r="C86" s="724">
        <v>44165</v>
      </c>
      <c r="D86" s="897">
        <v>0</v>
      </c>
      <c r="E86" s="897">
        <v>0</v>
      </c>
      <c r="F86" s="897">
        <f>((1+E86)^(1/365)-1)</f>
        <v>0</v>
      </c>
      <c r="G86" s="1176">
        <f>_xlfn.DAYS(C86,B86)+1</f>
        <v>4</v>
      </c>
      <c r="H86" s="790">
        <f t="shared" ref="H86:H89" si="18">F86*G86*$C$15</f>
        <v>0</v>
      </c>
    </row>
    <row r="87" spans="1:8">
      <c r="A87" s="791">
        <v>6</v>
      </c>
      <c r="B87" s="724">
        <v>44166</v>
      </c>
      <c r="C87" s="724">
        <v>44196</v>
      </c>
      <c r="D87" s="897">
        <v>0</v>
      </c>
      <c r="E87" s="897">
        <v>0</v>
      </c>
      <c r="F87" s="897">
        <f t="shared" ref="F87:F89" si="19">((1+E87)^(1/365)-1)</f>
        <v>0</v>
      </c>
      <c r="G87" s="1176">
        <f t="shared" ref="G87:G101" si="20">_xlfn.DAYS(C87,B87)+1</f>
        <v>31</v>
      </c>
      <c r="H87" s="790">
        <f t="shared" si="18"/>
        <v>0</v>
      </c>
    </row>
    <row r="88" spans="1:8">
      <c r="A88" s="791">
        <v>7</v>
      </c>
      <c r="B88" s="724">
        <v>44197</v>
      </c>
      <c r="C88" s="724">
        <v>44227</v>
      </c>
      <c r="D88" s="897">
        <v>0</v>
      </c>
      <c r="E88" s="897">
        <v>0</v>
      </c>
      <c r="F88" s="897">
        <f t="shared" si="19"/>
        <v>0</v>
      </c>
      <c r="G88" s="1176">
        <f t="shared" si="20"/>
        <v>31</v>
      </c>
      <c r="H88" s="790">
        <f t="shared" si="18"/>
        <v>0</v>
      </c>
    </row>
    <row r="89" spans="1:8">
      <c r="A89" s="791">
        <v>8</v>
      </c>
      <c r="B89" s="724">
        <v>44228</v>
      </c>
      <c r="C89" s="724">
        <v>44246</v>
      </c>
      <c r="D89" s="897">
        <v>0</v>
      </c>
      <c r="E89" s="897">
        <v>0</v>
      </c>
      <c r="F89" s="897">
        <f t="shared" si="19"/>
        <v>0</v>
      </c>
      <c r="G89" s="1176">
        <f t="shared" si="20"/>
        <v>19</v>
      </c>
      <c r="H89" s="790">
        <f t="shared" si="18"/>
        <v>0</v>
      </c>
    </row>
    <row r="90" spans="1:8">
      <c r="A90" s="791">
        <v>9</v>
      </c>
      <c r="B90" s="724">
        <v>44247</v>
      </c>
      <c r="C90" s="724">
        <v>44255</v>
      </c>
      <c r="D90" s="897">
        <v>0</v>
      </c>
      <c r="E90" s="897">
        <v>1.8100000000000002E-2</v>
      </c>
      <c r="F90" s="897">
        <f>((1+E90)^(1/365)-1)</f>
        <v>4.9146810763511795E-5</v>
      </c>
      <c r="G90" s="1176">
        <f t="shared" si="20"/>
        <v>9</v>
      </c>
      <c r="H90" s="790">
        <f>(ROUND($C$15*F90*G90,2))</f>
        <v>38827.050000000003</v>
      </c>
    </row>
    <row r="91" spans="1:8">
      <c r="A91" s="791">
        <v>10</v>
      </c>
      <c r="B91" s="724">
        <v>44256</v>
      </c>
      <c r="C91" s="724">
        <v>44286</v>
      </c>
      <c r="D91" s="897">
        <v>0</v>
      </c>
      <c r="E91" s="897">
        <v>1.77E-2</v>
      </c>
      <c r="F91" s="897">
        <f t="shared" ref="F91:F96" si="21">((1+E91)^(1/365)-1)</f>
        <v>4.8070139484934771E-5</v>
      </c>
      <c r="G91" s="1176">
        <f t="shared" si="20"/>
        <v>31</v>
      </c>
      <c r="H91" s="790">
        <f t="shared" ref="H91:H101" si="22">(ROUND($C$15*F91*G91,2))</f>
        <v>130807.8</v>
      </c>
    </row>
    <row r="92" spans="1:8">
      <c r="A92" s="791">
        <v>11</v>
      </c>
      <c r="B92" s="724">
        <v>44287</v>
      </c>
      <c r="C92" s="724">
        <v>44316</v>
      </c>
      <c r="D92" s="897">
        <v>0</v>
      </c>
      <c r="E92" s="897">
        <v>1.7600000000000001E-2</v>
      </c>
      <c r="F92" s="897">
        <f t="shared" si="21"/>
        <v>4.7800905724759701E-5</v>
      </c>
      <c r="G92" s="1176">
        <f t="shared" si="20"/>
        <v>30</v>
      </c>
      <c r="H92" s="790">
        <f t="shared" si="22"/>
        <v>125879.19</v>
      </c>
    </row>
    <row r="93" spans="1:8">
      <c r="A93" s="791">
        <v>12</v>
      </c>
      <c r="B93" s="724">
        <v>44317</v>
      </c>
      <c r="C93" s="724">
        <v>44347</v>
      </c>
      <c r="D93" s="897">
        <v>0</v>
      </c>
      <c r="E93" s="897">
        <v>1.8200000000000001E-2</v>
      </c>
      <c r="F93" s="897">
        <f t="shared" si="21"/>
        <v>4.9415912668715478E-5</v>
      </c>
      <c r="G93" s="1176">
        <f t="shared" si="20"/>
        <v>31</v>
      </c>
      <c r="H93" s="790">
        <f t="shared" si="22"/>
        <v>134469.9</v>
      </c>
    </row>
    <row r="94" spans="1:8">
      <c r="A94" s="791">
        <v>13</v>
      </c>
      <c r="B94" s="724">
        <v>44348</v>
      </c>
      <c r="C94" s="1523">
        <v>44377</v>
      </c>
      <c r="D94" s="897">
        <v>0</v>
      </c>
      <c r="E94" s="897">
        <v>1.9099999999999999E-2</v>
      </c>
      <c r="F94" s="897">
        <f t="shared" si="21"/>
        <v>5.1836644438196799E-5</v>
      </c>
      <c r="G94" s="931">
        <f t="shared" si="20"/>
        <v>30</v>
      </c>
      <c r="H94" s="790">
        <f t="shared" si="22"/>
        <v>136506.93</v>
      </c>
    </row>
    <row r="95" spans="1:8">
      <c r="A95" s="791">
        <v>14</v>
      </c>
      <c r="B95" s="724">
        <v>44378</v>
      </c>
      <c r="C95" s="1523">
        <v>44408</v>
      </c>
      <c r="D95" s="897">
        <v>0</v>
      </c>
      <c r="E95" s="897">
        <v>1.9E-2</v>
      </c>
      <c r="F95" s="897">
        <f t="shared" si="21"/>
        <v>5.1567779546513037E-5</v>
      </c>
      <c r="G95" s="931">
        <f t="shared" si="20"/>
        <v>31</v>
      </c>
      <c r="H95" s="790">
        <f t="shared" si="22"/>
        <v>140325.53</v>
      </c>
    </row>
    <row r="96" spans="1:8">
      <c r="A96" s="791">
        <v>15</v>
      </c>
      <c r="B96" s="724">
        <v>44409</v>
      </c>
      <c r="C96" s="1523">
        <v>44426</v>
      </c>
      <c r="D96" s="897">
        <v>0</v>
      </c>
      <c r="E96" s="897">
        <v>1.9900000000000001E-2</v>
      </c>
      <c r="F96" s="897">
        <f t="shared" si="21"/>
        <v>5.3986616880719041E-5</v>
      </c>
      <c r="G96" s="931">
        <f t="shared" si="20"/>
        <v>18</v>
      </c>
      <c r="H96" s="790">
        <f t="shared" si="22"/>
        <v>85301.21</v>
      </c>
    </row>
    <row r="97" spans="1:8">
      <c r="A97" s="791">
        <v>16</v>
      </c>
      <c r="B97" s="1523">
        <v>44427</v>
      </c>
      <c r="C97" s="1523">
        <v>44439</v>
      </c>
      <c r="D97" s="897">
        <v>0.1724</v>
      </c>
      <c r="E97" s="897">
        <f>+D97*1.5</f>
        <v>0.2586</v>
      </c>
      <c r="F97" s="897">
        <f>((1+E97)^(1/365)-1)</f>
        <v>6.3033554269220637E-4</v>
      </c>
      <c r="G97" s="931">
        <f t="shared" si="20"/>
        <v>13</v>
      </c>
      <c r="H97" s="790">
        <f t="shared" si="22"/>
        <v>719302.74</v>
      </c>
    </row>
    <row r="98" spans="1:8">
      <c r="A98" s="791">
        <v>17</v>
      </c>
      <c r="B98" s="724">
        <v>44440</v>
      </c>
      <c r="C98" s="1523">
        <v>44469</v>
      </c>
      <c r="D98" s="897">
        <v>0.1719</v>
      </c>
      <c r="E98" s="897">
        <f t="shared" ref="E98:E101" si="23">+D98*1.5</f>
        <v>0.25785000000000002</v>
      </c>
      <c r="F98" s="897">
        <f t="shared" ref="F98:F101" si="24">((1+E98)^(1/365)-1)</f>
        <v>6.2870142469861889E-4</v>
      </c>
      <c r="G98" s="931">
        <f t="shared" si="20"/>
        <v>30</v>
      </c>
      <c r="H98" s="790">
        <f t="shared" si="22"/>
        <v>1655626.1</v>
      </c>
    </row>
    <row r="99" spans="1:8">
      <c r="A99" s="791">
        <v>18</v>
      </c>
      <c r="B99" s="724">
        <v>44470</v>
      </c>
      <c r="C99" s="1523">
        <v>44500</v>
      </c>
      <c r="D99" s="897">
        <v>0.17080000000000001</v>
      </c>
      <c r="E99" s="897">
        <f t="shared" si="23"/>
        <v>0.25619999999999998</v>
      </c>
      <c r="F99" s="897">
        <f t="shared" si="24"/>
        <v>6.2510294214179751E-4</v>
      </c>
      <c r="G99" s="931">
        <f t="shared" si="20"/>
        <v>31</v>
      </c>
      <c r="H99" s="790">
        <f t="shared" si="22"/>
        <v>1701021.5</v>
      </c>
    </row>
    <row r="100" spans="1:8">
      <c r="A100" s="791">
        <v>19</v>
      </c>
      <c r="B100" s="724">
        <v>44501</v>
      </c>
      <c r="C100" s="1523">
        <v>44530</v>
      </c>
      <c r="D100" s="897">
        <v>0.17269999999999999</v>
      </c>
      <c r="E100" s="897">
        <f t="shared" si="23"/>
        <v>0.25905</v>
      </c>
      <c r="F100" s="897">
        <f t="shared" si="24"/>
        <v>6.3131554742335005E-4</v>
      </c>
      <c r="G100" s="931">
        <f t="shared" si="20"/>
        <v>30</v>
      </c>
      <c r="H100" s="790">
        <f t="shared" si="22"/>
        <v>1662510.15</v>
      </c>
    </row>
    <row r="101" spans="1:8" ht="13.5" thickBot="1">
      <c r="A101" s="791">
        <v>20</v>
      </c>
      <c r="B101" s="724">
        <v>44531</v>
      </c>
      <c r="C101" s="1523">
        <v>44559</v>
      </c>
      <c r="D101" s="897">
        <v>0.17460000000000001</v>
      </c>
      <c r="E101" s="897">
        <f t="shared" si="23"/>
        <v>0.26190000000000002</v>
      </c>
      <c r="F101" s="897">
        <f t="shared" si="24"/>
        <v>6.3751414410861962E-4</v>
      </c>
      <c r="G101" s="2415">
        <f t="shared" si="20"/>
        <v>29</v>
      </c>
      <c r="H101" s="2416">
        <f t="shared" si="22"/>
        <v>1622872.45</v>
      </c>
    </row>
    <row r="102" spans="1:8">
      <c r="B102" s="724"/>
      <c r="C102" s="1523"/>
      <c r="D102" s="2108"/>
      <c r="E102" s="2108"/>
      <c r="F102" s="2644" t="s">
        <v>951</v>
      </c>
      <c r="G102" s="2646"/>
      <c r="H102" s="790">
        <f>SUM(H82:H101)</f>
        <v>8634774.879999999</v>
      </c>
    </row>
    <row r="103" spans="1:8">
      <c r="B103" s="724"/>
      <c r="C103" s="1523"/>
      <c r="D103" s="2108"/>
      <c r="E103" s="2108"/>
      <c r="F103" s="2108"/>
      <c r="G103" s="2418"/>
      <c r="H103" s="1464"/>
    </row>
    <row r="104" spans="1:8">
      <c r="B104" s="2686" t="s">
        <v>1103</v>
      </c>
      <c r="C104" s="2686"/>
    </row>
    <row r="105" spans="1:8">
      <c r="B105" s="726" t="s">
        <v>56</v>
      </c>
      <c r="C105" s="881"/>
    </row>
    <row r="106" spans="1:8">
      <c r="B106" s="741" t="s">
        <v>133</v>
      </c>
      <c r="C106" s="850">
        <f>+C79</f>
        <v>21945050</v>
      </c>
    </row>
    <row r="107" spans="1:8">
      <c r="B107" s="741" t="s">
        <v>134</v>
      </c>
      <c r="C107" s="850">
        <f>+H102</f>
        <v>8634774.879999999</v>
      </c>
    </row>
    <row r="108" spans="1:8">
      <c r="B108" s="2427" t="s">
        <v>61</v>
      </c>
      <c r="C108" s="2428">
        <f>SUM(C106:C107)</f>
        <v>30579824.879999999</v>
      </c>
    </row>
    <row r="109" spans="1:8">
      <c r="B109" s="2741" t="s">
        <v>1121</v>
      </c>
      <c r="C109" s="2741"/>
      <c r="E109" s="848" t="s">
        <v>1123</v>
      </c>
      <c r="H109" s="848" t="s">
        <v>1124</v>
      </c>
    </row>
    <row r="110" spans="1:8">
      <c r="B110" s="726" t="s">
        <v>56</v>
      </c>
      <c r="C110" s="881"/>
      <c r="E110" s="737" t="s">
        <v>56</v>
      </c>
      <c r="F110" s="847"/>
      <c r="H110" s="925">
        <v>18834800</v>
      </c>
    </row>
    <row r="111" spans="1:8">
      <c r="B111" s="741" t="s">
        <v>133</v>
      </c>
      <c r="C111" s="790">
        <f>+C41+C73+C106</f>
        <v>197505450</v>
      </c>
      <c r="E111" s="737" t="s">
        <v>133</v>
      </c>
      <c r="F111" s="847">
        <v>155127375</v>
      </c>
      <c r="H111" s="925">
        <v>18834800</v>
      </c>
    </row>
    <row r="112" spans="1:8" ht="13.5" thickBot="1">
      <c r="B112" s="741" t="s">
        <v>134</v>
      </c>
      <c r="C112" s="790">
        <f>+C42+C74+C107</f>
        <v>25904324.639999997</v>
      </c>
      <c r="E112" s="737" t="s">
        <v>134</v>
      </c>
      <c r="F112" s="847">
        <v>850608.44301906822</v>
      </c>
      <c r="H112" s="2419">
        <v>4708700</v>
      </c>
    </row>
    <row r="113" spans="2:8">
      <c r="B113" s="741" t="s">
        <v>1125</v>
      </c>
      <c r="C113" s="790">
        <v>7756357.5</v>
      </c>
      <c r="E113" s="737" t="s">
        <v>61</v>
      </c>
      <c r="F113" s="847">
        <f>SUM(F111:F112)</f>
        <v>155977983.44301906</v>
      </c>
      <c r="H113" s="2420">
        <f>+H110+H111+H112</f>
        <v>42378300</v>
      </c>
    </row>
    <row r="114" spans="2:8" ht="13.5" thickBot="1">
      <c r="B114" s="743" t="s">
        <v>61</v>
      </c>
      <c r="C114" s="2023">
        <f>SUM(C111:C113)</f>
        <v>231166132.13999999</v>
      </c>
    </row>
    <row r="115" spans="2:8" ht="13.5" thickTop="1">
      <c r="B115" s="719" t="s">
        <v>62</v>
      </c>
      <c r="E115" s="848" t="s">
        <v>1126</v>
      </c>
      <c r="F115" s="2421">
        <f>+C114-F113</f>
        <v>75188148.696980923</v>
      </c>
    </row>
    <row r="116" spans="2:8">
      <c r="B116" s="911"/>
    </row>
    <row r="117" spans="2:8">
      <c r="B117" s="719" t="s">
        <v>63</v>
      </c>
    </row>
    <row r="118" spans="2:8">
      <c r="B118" s="719" t="s">
        <v>64</v>
      </c>
    </row>
    <row r="119" spans="2:8">
      <c r="B119" s="719" t="s">
        <v>65</v>
      </c>
    </row>
  </sheetData>
  <mergeCells count="13">
    <mergeCell ref="D49:E49"/>
    <mergeCell ref="B16:H16"/>
    <mergeCell ref="D17:E17"/>
    <mergeCell ref="F38:G38"/>
    <mergeCell ref="B39:C39"/>
    <mergeCell ref="B48:H48"/>
    <mergeCell ref="B109:C109"/>
    <mergeCell ref="D81:E81"/>
    <mergeCell ref="F102:G102"/>
    <mergeCell ref="F70:G70"/>
    <mergeCell ref="B71:C71"/>
    <mergeCell ref="B80:H80"/>
    <mergeCell ref="B104:C104"/>
  </mergeCells>
  <pageMargins left="0.70866141732283461" right="0.70866141732283461" top="0.74803149606299213" bottom="0.74803149606299213" header="0.31496062992125984" footer="0.31496062992125984"/>
  <pageSetup scale="96" fitToWidth="0" orientation="landscape" r:id="rId1"/>
  <rowBreaks count="1" manualBreakCount="1">
    <brk id="43" max="7" man="1"/>
  </rowBreaks>
  <colBreaks count="1" manualBreakCount="1">
    <brk id="8" max="1048575"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93112-0018-4CB4-9CD0-1A71DE304E2A}">
  <sheetPr codeName="Hoja72"/>
  <dimension ref="A3:I55"/>
  <sheetViews>
    <sheetView topLeftCell="A36" zoomScale="110" zoomScaleNormal="110" workbookViewId="0">
      <selection activeCell="F49" sqref="F49"/>
    </sheetView>
  </sheetViews>
  <sheetFormatPr defaultColWidth="11.42578125" defaultRowHeight="12.75"/>
  <cols>
    <col min="1" max="1" width="2.28515625" style="791" customWidth="1"/>
    <col min="2" max="2" width="15.140625" style="791" customWidth="1"/>
    <col min="3" max="3" width="15" style="791" customWidth="1"/>
    <col min="4" max="4" width="13" style="791" customWidth="1"/>
    <col min="5" max="5" width="9.5703125" style="791" bestFit="1" customWidth="1"/>
    <col min="6" max="6" width="8.5703125" style="791" customWidth="1"/>
    <col min="7" max="16384" width="11.42578125" style="791"/>
  </cols>
  <sheetData>
    <row r="3" spans="2:9">
      <c r="B3" s="789" t="s">
        <v>1056</v>
      </c>
      <c r="C3" s="737" t="s">
        <v>1127</v>
      </c>
    </row>
    <row r="4" spans="2:9">
      <c r="B4" s="789" t="s">
        <v>825</v>
      </c>
      <c r="C4" s="737" t="s">
        <v>1128</v>
      </c>
    </row>
    <row r="5" spans="2:9">
      <c r="B5" s="789" t="s">
        <v>1059</v>
      </c>
      <c r="C5" s="737" t="s">
        <v>1129</v>
      </c>
    </row>
    <row r="6" spans="2:9">
      <c r="B6" s="789" t="s">
        <v>1130</v>
      </c>
      <c r="C6" s="944" t="s">
        <v>1131</v>
      </c>
    </row>
    <row r="7" spans="2:9">
      <c r="B7" s="789" t="s">
        <v>287</v>
      </c>
      <c r="C7" s="953">
        <v>43875</v>
      </c>
    </row>
    <row r="8" spans="2:9">
      <c r="B8" s="789" t="s">
        <v>1132</v>
      </c>
      <c r="C8" s="737" t="s">
        <v>1133</v>
      </c>
    </row>
    <row r="9" spans="2:9">
      <c r="B9" s="737" t="s">
        <v>1134</v>
      </c>
      <c r="C9" s="953">
        <v>44246</v>
      </c>
    </row>
    <row r="10" spans="2:9">
      <c r="B10" s="946"/>
      <c r="C10" s="1513"/>
    </row>
    <row r="11" spans="2:9">
      <c r="B11" s="946" t="s">
        <v>1135</v>
      </c>
      <c r="C11" s="1513">
        <v>908526</v>
      </c>
      <c r="E11" s="791" t="s">
        <v>535</v>
      </c>
    </row>
    <row r="12" spans="2:9">
      <c r="B12" s="848" t="s">
        <v>1114</v>
      </c>
      <c r="C12" s="848">
        <v>100</v>
      </c>
      <c r="D12" s="848" t="s">
        <v>1136</v>
      </c>
      <c r="E12" s="851">
        <f>+C11*C12</f>
        <v>90852600</v>
      </c>
    </row>
    <row r="14" spans="2:9">
      <c r="B14" s="848" t="s">
        <v>1137</v>
      </c>
      <c r="C14" s="791" t="s">
        <v>1138</v>
      </c>
      <c r="E14" s="851"/>
    </row>
    <row r="15" spans="2:9">
      <c r="B15" s="2559" t="s">
        <v>957</v>
      </c>
      <c r="C15" s="2559"/>
      <c r="D15" s="2559"/>
      <c r="E15" s="2559"/>
      <c r="F15" s="2559"/>
      <c r="G15" s="2559"/>
      <c r="H15" s="2559"/>
      <c r="I15" s="2559"/>
    </row>
    <row r="16" spans="2:9" ht="21.75" customHeight="1">
      <c r="B16" s="794" t="s">
        <v>206</v>
      </c>
      <c r="C16" s="794" t="s">
        <v>10</v>
      </c>
      <c r="D16" s="2712" t="s">
        <v>1040</v>
      </c>
      <c r="E16" s="2713"/>
      <c r="F16" s="793" t="s">
        <v>43</v>
      </c>
      <c r="G16" s="794" t="s">
        <v>129</v>
      </c>
      <c r="H16" s="795" t="s">
        <v>706</v>
      </c>
      <c r="I16" s="794" t="s">
        <v>48</v>
      </c>
    </row>
    <row r="17" spans="1:9">
      <c r="A17" s="791">
        <v>1</v>
      </c>
      <c r="B17" s="953">
        <v>44246</v>
      </c>
      <c r="C17" s="953">
        <v>44255</v>
      </c>
      <c r="D17" s="896">
        <v>0</v>
      </c>
      <c r="E17" s="896">
        <v>0</v>
      </c>
      <c r="F17" s="1514">
        <f t="shared" ref="F17:F28" si="0">((1+D17)^(1/365)-1)</f>
        <v>0</v>
      </c>
      <c r="G17" s="895">
        <f>+$E$12</f>
        <v>90852600</v>
      </c>
      <c r="H17" s="737">
        <v>0</v>
      </c>
      <c r="I17" s="929">
        <f>+G17*F17*H17</f>
        <v>0</v>
      </c>
    </row>
    <row r="18" spans="1:9">
      <c r="A18" s="791">
        <v>2</v>
      </c>
      <c r="B18" s="953">
        <v>44256</v>
      </c>
      <c r="C18" s="953">
        <v>44286</v>
      </c>
      <c r="D18" s="896">
        <v>0</v>
      </c>
      <c r="E18" s="896">
        <v>0</v>
      </c>
      <c r="F18" s="1514">
        <f t="shared" si="0"/>
        <v>0</v>
      </c>
      <c r="G18" s="895">
        <f t="shared" ref="G18:G28" si="1">+$E$12</f>
        <v>90852600</v>
      </c>
      <c r="H18" s="737">
        <v>0</v>
      </c>
      <c r="I18" s="929">
        <f t="shared" ref="I18:I27" si="2">+G18*F18*H18</f>
        <v>0</v>
      </c>
    </row>
    <row r="19" spans="1:9">
      <c r="A19" s="791">
        <v>3</v>
      </c>
      <c r="B19" s="953">
        <v>44287</v>
      </c>
      <c r="C19" s="953">
        <v>44316</v>
      </c>
      <c r="D19" s="896">
        <v>0</v>
      </c>
      <c r="E19" s="896">
        <v>0</v>
      </c>
      <c r="F19" s="1514">
        <f t="shared" si="0"/>
        <v>0</v>
      </c>
      <c r="G19" s="895">
        <f t="shared" si="1"/>
        <v>90852600</v>
      </c>
      <c r="H19" s="737">
        <v>0</v>
      </c>
      <c r="I19" s="929">
        <f t="shared" si="2"/>
        <v>0</v>
      </c>
    </row>
    <row r="20" spans="1:9">
      <c r="A20" s="791">
        <v>4</v>
      </c>
      <c r="B20" s="953">
        <v>44317</v>
      </c>
      <c r="C20" s="953">
        <v>44347</v>
      </c>
      <c r="D20" s="896">
        <v>0</v>
      </c>
      <c r="E20" s="896">
        <v>0</v>
      </c>
      <c r="F20" s="1514">
        <f t="shared" si="0"/>
        <v>0</v>
      </c>
      <c r="G20" s="895">
        <f t="shared" si="1"/>
        <v>90852600</v>
      </c>
      <c r="H20" s="737">
        <v>0</v>
      </c>
      <c r="I20" s="929">
        <f t="shared" si="2"/>
        <v>0</v>
      </c>
    </row>
    <row r="21" spans="1:9">
      <c r="A21" s="791">
        <v>5</v>
      </c>
      <c r="B21" s="953">
        <v>44348</v>
      </c>
      <c r="C21" s="953">
        <v>44366</v>
      </c>
      <c r="D21" s="896">
        <v>0</v>
      </c>
      <c r="E21" s="896">
        <v>0</v>
      </c>
      <c r="F21" s="1514">
        <f t="shared" si="0"/>
        <v>0</v>
      </c>
      <c r="G21" s="895">
        <f t="shared" si="1"/>
        <v>90852600</v>
      </c>
      <c r="H21" s="737">
        <v>0</v>
      </c>
      <c r="I21" s="929">
        <f t="shared" si="2"/>
        <v>0</v>
      </c>
    </row>
    <row r="22" spans="1:9">
      <c r="A22" s="791">
        <v>6</v>
      </c>
      <c r="B22" s="953">
        <v>44367</v>
      </c>
      <c r="C22" s="953">
        <v>44377</v>
      </c>
      <c r="D22" s="896">
        <v>1.9099999999999999E-2</v>
      </c>
      <c r="E22" s="896">
        <v>0</v>
      </c>
      <c r="F22" s="1514">
        <f>((1+D22)^(1/365)-1)</f>
        <v>5.1836644438196799E-5</v>
      </c>
      <c r="G22" s="895">
        <f t="shared" si="1"/>
        <v>90852600</v>
      </c>
      <c r="H22" s="737">
        <f t="shared" ref="H22:H28" si="3">+_xlfn.DAYS(C22,B22)+1</f>
        <v>11</v>
      </c>
      <c r="I22" s="929">
        <f t="shared" si="2"/>
        <v>51804.433147342905</v>
      </c>
    </row>
    <row r="23" spans="1:9">
      <c r="A23" s="791">
        <v>7</v>
      </c>
      <c r="B23" s="953">
        <v>44378</v>
      </c>
      <c r="C23" s="953">
        <v>44408</v>
      </c>
      <c r="D23" s="896">
        <v>1.9E-2</v>
      </c>
      <c r="E23" s="896">
        <v>0</v>
      </c>
      <c r="F23" s="1514">
        <f t="shared" si="0"/>
        <v>5.1567779546513037E-5</v>
      </c>
      <c r="G23" s="895">
        <f t="shared" si="1"/>
        <v>90852600</v>
      </c>
      <c r="H23" s="737">
        <f t="shared" si="3"/>
        <v>31</v>
      </c>
      <c r="I23" s="929">
        <f t="shared" si="2"/>
        <v>145237.07228885347</v>
      </c>
    </row>
    <row r="24" spans="1:9">
      <c r="A24" s="791">
        <v>8</v>
      </c>
      <c r="B24" s="953">
        <v>44409</v>
      </c>
      <c r="C24" s="953">
        <v>44439</v>
      </c>
      <c r="D24" s="896">
        <v>1.9900000000000001E-2</v>
      </c>
      <c r="E24" s="896">
        <v>0</v>
      </c>
      <c r="F24" s="1514">
        <f t="shared" si="0"/>
        <v>5.3986616880719041E-5</v>
      </c>
      <c r="G24" s="895">
        <f t="shared" si="1"/>
        <v>90852600</v>
      </c>
      <c r="H24" s="737">
        <f t="shared" si="3"/>
        <v>31</v>
      </c>
      <c r="I24" s="929">
        <f t="shared" si="2"/>
        <v>152049.55977333363</v>
      </c>
    </row>
    <row r="25" spans="1:9">
      <c r="A25" s="791">
        <v>9</v>
      </c>
      <c r="B25" s="953">
        <v>44440</v>
      </c>
      <c r="C25" s="953">
        <v>44469</v>
      </c>
      <c r="D25" s="896">
        <v>2.0580000000000001E-2</v>
      </c>
      <c r="E25" s="896">
        <v>0</v>
      </c>
      <c r="F25" s="1514">
        <f t="shared" si="0"/>
        <v>5.5812771556418284E-5</v>
      </c>
      <c r="G25" s="895">
        <f t="shared" si="1"/>
        <v>90852600</v>
      </c>
      <c r="H25" s="737">
        <f t="shared" si="3"/>
        <v>30</v>
      </c>
      <c r="I25" s="929">
        <f t="shared" si="2"/>
        <v>152122.06227319944</v>
      </c>
    </row>
    <row r="26" spans="1:9">
      <c r="A26" s="791">
        <v>10</v>
      </c>
      <c r="B26" s="953">
        <v>44470</v>
      </c>
      <c r="C26" s="953">
        <v>44500</v>
      </c>
      <c r="D26" s="896">
        <v>2.2200000000000001E-2</v>
      </c>
      <c r="E26" s="896">
        <v>0</v>
      </c>
      <c r="F26" s="1514">
        <f t="shared" si="0"/>
        <v>6.0158432328316636E-5</v>
      </c>
      <c r="G26" s="895">
        <f t="shared" si="1"/>
        <v>90852600</v>
      </c>
      <c r="H26" s="737">
        <f t="shared" si="3"/>
        <v>31</v>
      </c>
      <c r="I26" s="929">
        <f t="shared" si="2"/>
        <v>169432.0496575002</v>
      </c>
    </row>
    <row r="27" spans="1:9">
      <c r="A27" s="791">
        <v>11</v>
      </c>
      <c r="B27" s="953">
        <v>44501</v>
      </c>
      <c r="C27" s="953">
        <v>44530</v>
      </c>
      <c r="D27" s="896">
        <v>2.6499999999999999E-2</v>
      </c>
      <c r="E27" s="896">
        <v>0</v>
      </c>
      <c r="F27" s="1514">
        <f t="shared" si="0"/>
        <v>7.1659985198868625E-5</v>
      </c>
      <c r="G27" s="895">
        <f t="shared" si="1"/>
        <v>90852600</v>
      </c>
      <c r="H27" s="737">
        <f t="shared" si="3"/>
        <v>30</v>
      </c>
      <c r="I27" s="929">
        <f t="shared" si="2"/>
        <v>195314.87913836195</v>
      </c>
    </row>
    <row r="28" spans="1:9">
      <c r="A28" s="791">
        <v>12</v>
      </c>
      <c r="B28" s="953">
        <v>44531</v>
      </c>
      <c r="C28" s="953">
        <v>44559</v>
      </c>
      <c r="D28" s="896">
        <v>2.9100000000000001E-2</v>
      </c>
      <c r="E28" s="896">
        <v>0</v>
      </c>
      <c r="F28" s="1514">
        <f t="shared" si="0"/>
        <v>7.8591126093208175E-5</v>
      </c>
      <c r="G28" s="895">
        <f t="shared" si="1"/>
        <v>90852600</v>
      </c>
      <c r="H28" s="737">
        <f t="shared" si="3"/>
        <v>29</v>
      </c>
      <c r="I28" s="929">
        <f>+G28*F28*H28</f>
        <v>207066.03613237836</v>
      </c>
    </row>
    <row r="29" spans="1:9">
      <c r="G29" s="2746" t="s">
        <v>338</v>
      </c>
      <c r="H29" s="2746"/>
      <c r="I29" s="882">
        <f>SUM(I17:I28)</f>
        <v>1073026.0924109698</v>
      </c>
    </row>
    <row r="31" spans="1:9">
      <c r="B31" s="2559" t="s">
        <v>55</v>
      </c>
      <c r="C31" s="2559"/>
      <c r="D31" s="2559"/>
    </row>
    <row r="32" spans="1:9">
      <c r="B32" s="2730" t="s">
        <v>1041</v>
      </c>
      <c r="C32" s="2731"/>
      <c r="D32" s="913">
        <f>+E12</f>
        <v>90852600</v>
      </c>
    </row>
    <row r="33" spans="1:5">
      <c r="B33" s="2730" t="s">
        <v>1042</v>
      </c>
      <c r="C33" s="2731"/>
      <c r="D33" s="895">
        <f>+I29</f>
        <v>1073026.0924109698</v>
      </c>
    </row>
    <row r="34" spans="1:5">
      <c r="B34" s="737" t="s">
        <v>1043</v>
      </c>
      <c r="C34" s="737"/>
      <c r="D34" s="895">
        <f>SUM(D32:D33)</f>
        <v>91925626.092410967</v>
      </c>
      <c r="E34" s="982"/>
    </row>
    <row r="36" spans="1:5">
      <c r="B36" s="728" t="s">
        <v>1048</v>
      </c>
      <c r="C36" s="737"/>
    </row>
    <row r="37" spans="1:5" ht="13.5" customHeight="1">
      <c r="B37" s="2744" t="s">
        <v>1049</v>
      </c>
      <c r="C37" s="2745"/>
      <c r="D37" s="1471" t="s">
        <v>692</v>
      </c>
    </row>
    <row r="38" spans="1:5" ht="13.5">
      <c r="A38" s="737">
        <v>1</v>
      </c>
      <c r="B38" s="1476" t="s">
        <v>1139</v>
      </c>
      <c r="C38" s="3"/>
      <c r="D38" s="929">
        <v>9192562.6092410963</v>
      </c>
    </row>
    <row r="39" spans="1:5" ht="13.5">
      <c r="A39" s="737">
        <v>2</v>
      </c>
      <c r="B39" s="1476" t="s">
        <v>1140</v>
      </c>
      <c r="C39" s="3"/>
      <c r="D39" s="929">
        <v>9192562.6092410963</v>
      </c>
    </row>
    <row r="40" spans="1:5" ht="13.5">
      <c r="A40" s="737">
        <v>3</v>
      </c>
      <c r="B40" s="1476" t="s">
        <v>1141</v>
      </c>
      <c r="C40" s="3"/>
      <c r="D40" s="929">
        <v>9192562.6092410963</v>
      </c>
    </row>
    <row r="41" spans="1:5" ht="13.5">
      <c r="A41" s="737">
        <v>4</v>
      </c>
      <c r="B41" s="1476" t="s">
        <v>1142</v>
      </c>
      <c r="C41" s="3"/>
      <c r="D41" s="929">
        <v>9192562.6092410963</v>
      </c>
    </row>
    <row r="42" spans="1:5" ht="13.5">
      <c r="A42" s="737">
        <v>5</v>
      </c>
      <c r="B42" s="1476" t="s">
        <v>1143</v>
      </c>
      <c r="C42" s="3"/>
      <c r="D42" s="929">
        <v>9192562.6092410963</v>
      </c>
    </row>
    <row r="43" spans="1:5" ht="13.5">
      <c r="A43" s="737">
        <v>6</v>
      </c>
      <c r="B43" s="1476" t="s">
        <v>1144</v>
      </c>
      <c r="C43" s="3"/>
      <c r="D43" s="929">
        <v>9192562.6092410963</v>
      </c>
    </row>
    <row r="44" spans="1:5">
      <c r="A44" s="737">
        <v>7</v>
      </c>
      <c r="B44" s="1476" t="s">
        <v>1145</v>
      </c>
      <c r="C44" s="737"/>
      <c r="D44" s="929">
        <v>9192562.6092410963</v>
      </c>
    </row>
    <row r="45" spans="1:5">
      <c r="A45" s="737">
        <v>8</v>
      </c>
      <c r="B45" s="1476" t="s">
        <v>1146</v>
      </c>
      <c r="C45" s="737"/>
      <c r="D45" s="929">
        <v>9192562.6092410963</v>
      </c>
    </row>
    <row r="46" spans="1:5">
      <c r="A46" s="737">
        <v>9</v>
      </c>
      <c r="B46" s="1476" t="s">
        <v>1147</v>
      </c>
      <c r="C46" s="737"/>
      <c r="D46" s="929">
        <v>9192562.6092410963</v>
      </c>
    </row>
    <row r="47" spans="1:5">
      <c r="A47" s="737">
        <v>10</v>
      </c>
      <c r="B47" s="887" t="s">
        <v>1148</v>
      </c>
      <c r="C47" s="737"/>
      <c r="D47" s="929">
        <v>9192562.6092410963</v>
      </c>
    </row>
    <row r="48" spans="1:5">
      <c r="C48" s="2377" t="s">
        <v>97</v>
      </c>
      <c r="D48" s="1515">
        <f>SUM(D38:D47)</f>
        <v>91925626.092410967</v>
      </c>
    </row>
    <row r="49" spans="1:3" ht="13.5">
      <c r="A49"/>
      <c r="B49" s="719" t="s">
        <v>62</v>
      </c>
    </row>
    <row r="50" spans="1:3" ht="13.5">
      <c r="A50"/>
      <c r="B50" s="911"/>
    </row>
    <row r="51" spans="1:3" ht="13.5">
      <c r="A51"/>
      <c r="B51" s="911"/>
    </row>
    <row r="52" spans="1:3" ht="13.5">
      <c r="A52"/>
      <c r="B52" s="719" t="s">
        <v>63</v>
      </c>
    </row>
    <row r="53" spans="1:3" ht="13.5">
      <c r="A53"/>
      <c r="B53" s="719" t="s">
        <v>64</v>
      </c>
    </row>
    <row r="54" spans="1:3" ht="13.5">
      <c r="A54"/>
      <c r="B54" s="719" t="s">
        <v>65</v>
      </c>
    </row>
    <row r="55" spans="1:3" ht="13.5">
      <c r="A55"/>
      <c r="B55" s="697"/>
      <c r="C55" s="697"/>
    </row>
  </sheetData>
  <mergeCells count="7">
    <mergeCell ref="B33:C33"/>
    <mergeCell ref="B37:C37"/>
    <mergeCell ref="B15:I15"/>
    <mergeCell ref="D16:E16"/>
    <mergeCell ref="G29:H29"/>
    <mergeCell ref="B31:D31"/>
    <mergeCell ref="B32:C3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6"/>
  <dimension ref="A2:J82"/>
  <sheetViews>
    <sheetView topLeftCell="A9" zoomScaleNormal="100" workbookViewId="0">
      <selection activeCell="C9" sqref="C9"/>
    </sheetView>
  </sheetViews>
  <sheetFormatPr defaultColWidth="9.140625" defaultRowHeight="12.75"/>
  <cols>
    <col min="1" max="1" width="3.5703125" customWidth="1"/>
    <col min="2" max="2" width="17.5703125" customWidth="1"/>
    <col min="3" max="3" width="16.85546875" customWidth="1"/>
    <col min="4" max="6" width="11.42578125" customWidth="1"/>
    <col min="7" max="7" width="13.28515625" customWidth="1"/>
    <col min="8" max="8" width="10.85546875" customWidth="1"/>
    <col min="9" max="9" width="15.42578125" customWidth="1"/>
    <col min="10" max="10" width="14.42578125" style="32" bestFit="1" customWidth="1"/>
    <col min="11" max="256" width="11.42578125" customWidth="1"/>
  </cols>
  <sheetData>
    <row r="2" spans="1:9" ht="25.5">
      <c r="B2" s="378" t="s">
        <v>0</v>
      </c>
      <c r="C2" s="643" t="s">
        <v>166</v>
      </c>
    </row>
    <row r="3" spans="1:9">
      <c r="B3" s="196" t="s">
        <v>124</v>
      </c>
      <c r="C3" s="188" t="s">
        <v>167</v>
      </c>
    </row>
    <row r="4" spans="1:9">
      <c r="B4" s="3" t="s">
        <v>67</v>
      </c>
      <c r="C4" s="88">
        <v>6500000</v>
      </c>
      <c r="D4" s="188"/>
    </row>
    <row r="5" spans="1:9">
      <c r="B5" s="3" t="s">
        <v>4</v>
      </c>
      <c r="C5" s="59">
        <v>42871</v>
      </c>
    </row>
    <row r="6" spans="1:9">
      <c r="B6" s="3" t="s">
        <v>168</v>
      </c>
      <c r="C6" s="522">
        <v>1826994</v>
      </c>
    </row>
    <row r="7" spans="1:9">
      <c r="B7" s="3" t="s">
        <v>169</v>
      </c>
      <c r="C7" s="16">
        <v>43641</v>
      </c>
    </row>
    <row r="8" spans="1:9">
      <c r="B8" s="3" t="s">
        <v>142</v>
      </c>
      <c r="C8" s="2"/>
    </row>
    <row r="9" spans="1:9">
      <c r="B9" s="371" t="s">
        <v>170</v>
      </c>
      <c r="C9" s="88">
        <f>12179960/2</f>
        <v>6089980</v>
      </c>
    </row>
    <row r="10" spans="1:9">
      <c r="B10" s="371" t="s">
        <v>171</v>
      </c>
      <c r="C10" s="516">
        <f>1826994/2</f>
        <v>913497</v>
      </c>
    </row>
    <row r="11" spans="1:9">
      <c r="B11" s="2549" t="s">
        <v>172</v>
      </c>
      <c r="C11" s="2549"/>
      <c r="D11" s="2549"/>
      <c r="E11" s="2549"/>
      <c r="F11" s="2549"/>
      <c r="G11" s="2549"/>
      <c r="H11" s="2549"/>
      <c r="I11" s="2549"/>
    </row>
    <row r="12" spans="1:9" ht="30" customHeight="1">
      <c r="B12" s="470" t="s">
        <v>173</v>
      </c>
      <c r="C12" s="470" t="s">
        <v>40</v>
      </c>
      <c r="D12" s="3" t="s">
        <v>148</v>
      </c>
      <c r="E12" s="33" t="s">
        <v>149</v>
      </c>
      <c r="F12" s="17" t="s">
        <v>43</v>
      </c>
      <c r="G12" s="17" t="s">
        <v>129</v>
      </c>
      <c r="H12" s="17" t="s">
        <v>47</v>
      </c>
      <c r="I12" s="91" t="s">
        <v>48</v>
      </c>
    </row>
    <row r="13" spans="1:9">
      <c r="A13" s="2">
        <v>1</v>
      </c>
      <c r="B13" s="16">
        <v>42872</v>
      </c>
      <c r="C13" s="16">
        <v>42886</v>
      </c>
      <c r="D13" s="18">
        <v>0.2233</v>
      </c>
      <c r="E13" s="18">
        <f>+D13*1.5</f>
        <v>0.33494999999999997</v>
      </c>
      <c r="F13" s="43">
        <f>((1+E13)^(1/365)-1)</f>
        <v>7.9180327787309324E-4</v>
      </c>
      <c r="G13" s="516">
        <f>+$C$9</f>
        <v>6089980</v>
      </c>
      <c r="H13" s="26">
        <f t="shared" ref="H13:H19" si="0">(C13-B13)+1</f>
        <v>15</v>
      </c>
      <c r="I13" s="69">
        <f>(F13*G13)*H13</f>
        <v>72330.991892723701</v>
      </c>
    </row>
    <row r="14" spans="1:9">
      <c r="A14" s="2">
        <v>2</v>
      </c>
      <c r="B14" s="16">
        <v>42887</v>
      </c>
      <c r="C14" s="16">
        <v>42916</v>
      </c>
      <c r="D14" s="18">
        <v>0.2233</v>
      </c>
      <c r="E14" s="18">
        <f t="shared" ref="E14:E19" si="1">+D14*1.5</f>
        <v>0.33494999999999997</v>
      </c>
      <c r="F14" s="43">
        <f t="shared" ref="F14:F40" si="2">((1+E14)^(1/365)-1)</f>
        <v>7.9180327787309324E-4</v>
      </c>
      <c r="G14" s="516">
        <f t="shared" ref="G14:G69" si="3">+$C$9</f>
        <v>6089980</v>
      </c>
      <c r="H14" s="26">
        <f t="shared" si="0"/>
        <v>30</v>
      </c>
      <c r="I14" s="69">
        <f>(F14*G14)*H14</f>
        <v>144661.9837854474</v>
      </c>
    </row>
    <row r="15" spans="1:9">
      <c r="A15" s="2">
        <v>3</v>
      </c>
      <c r="B15" s="16">
        <v>42917</v>
      </c>
      <c r="C15" s="16">
        <v>42947</v>
      </c>
      <c r="D15" s="18">
        <v>0.2198</v>
      </c>
      <c r="E15" s="18">
        <f t="shared" si="1"/>
        <v>0.32969999999999999</v>
      </c>
      <c r="F15" s="43">
        <f t="shared" si="2"/>
        <v>7.8099893845218205E-4</v>
      </c>
      <c r="G15" s="516">
        <f t="shared" si="3"/>
        <v>6089980</v>
      </c>
      <c r="H15" s="26">
        <f t="shared" si="0"/>
        <v>31</v>
      </c>
      <c r="I15" s="69">
        <f t="shared" ref="I15:I30" si="4">(F15*G15)*H15</f>
        <v>147444.3053710456</v>
      </c>
    </row>
    <row r="16" spans="1:9">
      <c r="A16" s="2">
        <v>4</v>
      </c>
      <c r="B16" s="16">
        <v>42948</v>
      </c>
      <c r="C16" s="16">
        <v>42978</v>
      </c>
      <c r="D16" s="18">
        <v>0.2198</v>
      </c>
      <c r="E16" s="18">
        <f t="shared" si="1"/>
        <v>0.32969999999999999</v>
      </c>
      <c r="F16" s="43">
        <f t="shared" si="2"/>
        <v>7.8099893845218205E-4</v>
      </c>
      <c r="G16" s="516">
        <f t="shared" si="3"/>
        <v>6089980</v>
      </c>
      <c r="H16" s="26">
        <f t="shared" si="0"/>
        <v>31</v>
      </c>
      <c r="I16" s="69">
        <f t="shared" si="4"/>
        <v>147444.3053710456</v>
      </c>
    </row>
    <row r="17" spans="1:9">
      <c r="A17" s="2">
        <v>5</v>
      </c>
      <c r="B17" s="16">
        <v>42979</v>
      </c>
      <c r="C17" s="16">
        <v>43008</v>
      </c>
      <c r="D17" s="18">
        <v>0.21479999999999999</v>
      </c>
      <c r="E17" s="18">
        <f t="shared" si="1"/>
        <v>0.32219999999999999</v>
      </c>
      <c r="F17" s="43">
        <f t="shared" si="2"/>
        <v>7.6549014202820231E-4</v>
      </c>
      <c r="G17" s="516">
        <f t="shared" si="3"/>
        <v>6089980</v>
      </c>
      <c r="H17" s="26">
        <f t="shared" si="0"/>
        <v>30</v>
      </c>
      <c r="I17" s="69">
        <f t="shared" si="4"/>
        <v>139854.58965446736</v>
      </c>
    </row>
    <row r="18" spans="1:9">
      <c r="A18" s="2">
        <v>6</v>
      </c>
      <c r="B18" s="16">
        <v>43009</v>
      </c>
      <c r="C18" s="16">
        <v>43039</v>
      </c>
      <c r="D18" s="18">
        <v>0.21149999999999999</v>
      </c>
      <c r="E18" s="18">
        <f t="shared" si="1"/>
        <v>0.31724999999999998</v>
      </c>
      <c r="F18" s="43">
        <f t="shared" si="2"/>
        <v>7.5520620308799913E-4</v>
      </c>
      <c r="G18" s="516">
        <f t="shared" si="3"/>
        <v>6089980</v>
      </c>
      <c r="H18" s="26">
        <f t="shared" si="0"/>
        <v>31</v>
      </c>
      <c r="I18" s="69">
        <f t="shared" si="4"/>
        <v>142574.91085313747</v>
      </c>
    </row>
    <row r="19" spans="1:9">
      <c r="A19" s="2">
        <v>7</v>
      </c>
      <c r="B19" s="16">
        <v>43040</v>
      </c>
      <c r="C19" s="16">
        <v>43055</v>
      </c>
      <c r="D19" s="18">
        <v>0.20960000000000001</v>
      </c>
      <c r="E19" s="18">
        <f t="shared" si="1"/>
        <v>0.31440000000000001</v>
      </c>
      <c r="F19" s="43">
        <f t="shared" si="2"/>
        <v>7.4926765057248268E-4</v>
      </c>
      <c r="G19" s="516">
        <f t="shared" si="3"/>
        <v>6089980</v>
      </c>
      <c r="H19" s="26">
        <f t="shared" si="0"/>
        <v>16</v>
      </c>
      <c r="I19" s="69">
        <f t="shared" si="4"/>
        <v>73008.400106134533</v>
      </c>
    </row>
    <row r="20" spans="1:9">
      <c r="A20" s="2">
        <v>8</v>
      </c>
      <c r="B20" s="16">
        <v>43056</v>
      </c>
      <c r="C20" s="16">
        <v>43069</v>
      </c>
      <c r="D20" s="18">
        <v>0</v>
      </c>
      <c r="E20" s="18">
        <v>0</v>
      </c>
      <c r="F20" s="43">
        <v>0</v>
      </c>
      <c r="G20" s="516">
        <v>0</v>
      </c>
      <c r="H20" s="26">
        <v>0</v>
      </c>
      <c r="I20" s="19">
        <v>0</v>
      </c>
    </row>
    <row r="21" spans="1:9">
      <c r="A21" s="2">
        <v>9</v>
      </c>
      <c r="B21" s="16">
        <v>43070</v>
      </c>
      <c r="C21" s="16">
        <v>43100</v>
      </c>
      <c r="D21" s="18">
        <v>0</v>
      </c>
      <c r="E21" s="18">
        <v>0</v>
      </c>
      <c r="F21" s="43">
        <f t="shared" si="2"/>
        <v>0</v>
      </c>
      <c r="G21" s="516">
        <v>0</v>
      </c>
      <c r="H21" s="26">
        <v>0</v>
      </c>
      <c r="I21" s="19">
        <v>0</v>
      </c>
    </row>
    <row r="22" spans="1:9">
      <c r="A22" s="2">
        <v>10</v>
      </c>
      <c r="B22" s="16">
        <v>43101</v>
      </c>
      <c r="C22" s="16">
        <v>43131</v>
      </c>
      <c r="D22" s="18">
        <v>0</v>
      </c>
      <c r="E22" s="18">
        <v>0</v>
      </c>
      <c r="F22" s="43">
        <f t="shared" si="2"/>
        <v>0</v>
      </c>
      <c r="G22" s="516">
        <v>0</v>
      </c>
      <c r="H22" s="26">
        <v>0</v>
      </c>
      <c r="I22" s="19">
        <v>0</v>
      </c>
    </row>
    <row r="23" spans="1:9">
      <c r="A23" s="2">
        <v>11</v>
      </c>
      <c r="B23" s="16">
        <v>43132</v>
      </c>
      <c r="C23" s="16">
        <v>43159</v>
      </c>
      <c r="D23" s="18">
        <v>0</v>
      </c>
      <c r="E23" s="18">
        <v>0</v>
      </c>
      <c r="F23" s="43">
        <f t="shared" si="2"/>
        <v>0</v>
      </c>
      <c r="G23" s="516">
        <v>0</v>
      </c>
      <c r="H23" s="26">
        <v>0</v>
      </c>
      <c r="I23" s="19">
        <v>0</v>
      </c>
    </row>
    <row r="24" spans="1:9">
      <c r="A24" s="2">
        <v>12</v>
      </c>
      <c r="B24" s="16">
        <v>43168</v>
      </c>
      <c r="C24" s="16">
        <v>43190</v>
      </c>
      <c r="D24" s="18">
        <v>0</v>
      </c>
      <c r="E24" s="18">
        <v>0</v>
      </c>
      <c r="F24" s="43">
        <f t="shared" si="2"/>
        <v>0</v>
      </c>
      <c r="G24" s="516">
        <v>0</v>
      </c>
      <c r="H24" s="26">
        <v>0</v>
      </c>
      <c r="I24" s="19">
        <f t="shared" si="4"/>
        <v>0</v>
      </c>
    </row>
    <row r="25" spans="1:9">
      <c r="A25" s="2">
        <v>13</v>
      </c>
      <c r="B25" s="16">
        <v>43191</v>
      </c>
      <c r="C25" s="16">
        <v>43220</v>
      </c>
      <c r="D25" s="18">
        <v>0</v>
      </c>
      <c r="E25" s="18">
        <v>0</v>
      </c>
      <c r="F25" s="43">
        <f t="shared" si="2"/>
        <v>0</v>
      </c>
      <c r="G25" s="516">
        <v>0</v>
      </c>
      <c r="H25" s="26">
        <v>0</v>
      </c>
      <c r="I25" s="19">
        <f t="shared" si="4"/>
        <v>0</v>
      </c>
    </row>
    <row r="26" spans="1:9">
      <c r="A26" s="2">
        <v>14</v>
      </c>
      <c r="B26" s="16">
        <v>43221</v>
      </c>
      <c r="C26" s="16">
        <v>43251</v>
      </c>
      <c r="D26" s="18">
        <v>0</v>
      </c>
      <c r="E26" s="18">
        <v>0</v>
      </c>
      <c r="F26" s="43">
        <f t="shared" si="2"/>
        <v>0</v>
      </c>
      <c r="G26" s="516">
        <v>0</v>
      </c>
      <c r="H26" s="26">
        <v>0</v>
      </c>
      <c r="I26" s="19">
        <f t="shared" si="4"/>
        <v>0</v>
      </c>
    </row>
    <row r="27" spans="1:9">
      <c r="A27" s="2">
        <v>15</v>
      </c>
      <c r="B27" s="16">
        <v>43252</v>
      </c>
      <c r="C27" s="16">
        <v>43281</v>
      </c>
      <c r="D27" s="18">
        <v>0</v>
      </c>
      <c r="E27" s="18">
        <v>0</v>
      </c>
      <c r="F27" s="43">
        <f t="shared" si="2"/>
        <v>0</v>
      </c>
      <c r="G27" s="516">
        <v>0</v>
      </c>
      <c r="H27" s="26">
        <v>0</v>
      </c>
      <c r="I27" s="19">
        <f t="shared" si="4"/>
        <v>0</v>
      </c>
    </row>
    <row r="28" spans="1:9">
      <c r="A28" s="2">
        <v>16</v>
      </c>
      <c r="B28" s="16">
        <v>43282</v>
      </c>
      <c r="C28" s="16">
        <v>43312</v>
      </c>
      <c r="D28" s="18">
        <v>0</v>
      </c>
      <c r="E28" s="18">
        <v>0</v>
      </c>
      <c r="F28" s="43">
        <f t="shared" si="2"/>
        <v>0</v>
      </c>
      <c r="G28" s="516">
        <v>0</v>
      </c>
      <c r="H28" s="26">
        <v>0</v>
      </c>
      <c r="I28" s="19">
        <f t="shared" si="4"/>
        <v>0</v>
      </c>
    </row>
    <row r="29" spans="1:9">
      <c r="A29" s="2">
        <v>17</v>
      </c>
      <c r="B29" s="16">
        <v>43313</v>
      </c>
      <c r="C29" s="16">
        <v>43343</v>
      </c>
      <c r="D29" s="18">
        <v>0</v>
      </c>
      <c r="E29" s="18">
        <v>0</v>
      </c>
      <c r="F29" s="43">
        <f t="shared" si="2"/>
        <v>0</v>
      </c>
      <c r="G29" s="516">
        <v>0</v>
      </c>
      <c r="H29" s="26">
        <v>0</v>
      </c>
      <c r="I29" s="19">
        <f t="shared" si="4"/>
        <v>0</v>
      </c>
    </row>
    <row r="30" spans="1:9">
      <c r="A30" s="2">
        <v>18</v>
      </c>
      <c r="B30" s="16">
        <v>43344</v>
      </c>
      <c r="C30" s="16">
        <v>43373</v>
      </c>
      <c r="D30" s="18">
        <v>0</v>
      </c>
      <c r="E30" s="18">
        <v>0</v>
      </c>
      <c r="F30" s="43">
        <f t="shared" si="2"/>
        <v>0</v>
      </c>
      <c r="G30" s="516">
        <v>0</v>
      </c>
      <c r="H30" s="26">
        <v>0</v>
      </c>
      <c r="I30" s="19">
        <f t="shared" si="4"/>
        <v>0</v>
      </c>
    </row>
    <row r="31" spans="1:9">
      <c r="A31" s="2">
        <v>19</v>
      </c>
      <c r="B31" s="16">
        <v>43374</v>
      </c>
      <c r="C31" s="16">
        <v>43404</v>
      </c>
      <c r="D31" s="18">
        <v>0</v>
      </c>
      <c r="E31" s="18">
        <v>0</v>
      </c>
      <c r="F31" s="43">
        <f t="shared" si="2"/>
        <v>0</v>
      </c>
      <c r="G31" s="516">
        <v>0</v>
      </c>
      <c r="H31" s="26">
        <v>0</v>
      </c>
      <c r="I31" s="19">
        <f t="shared" ref="I31:I39" si="5">(F31*G31)*H31</f>
        <v>0</v>
      </c>
    </row>
    <row r="32" spans="1:9">
      <c r="A32" s="2">
        <v>20</v>
      </c>
      <c r="B32" s="16">
        <v>43405</v>
      </c>
      <c r="C32" s="16">
        <v>43434</v>
      </c>
      <c r="D32" s="18">
        <v>0</v>
      </c>
      <c r="E32" s="18">
        <f>+D32*1.5</f>
        <v>0</v>
      </c>
      <c r="F32" s="43">
        <f t="shared" si="2"/>
        <v>0</v>
      </c>
      <c r="G32" s="516">
        <v>0</v>
      </c>
      <c r="H32" s="26">
        <v>0</v>
      </c>
      <c r="I32" s="19">
        <f t="shared" si="5"/>
        <v>0</v>
      </c>
    </row>
    <row r="33" spans="1:9">
      <c r="A33" s="2">
        <v>21</v>
      </c>
      <c r="B33" s="16">
        <v>43435</v>
      </c>
      <c r="C33" s="16">
        <v>43465</v>
      </c>
      <c r="D33" s="18">
        <v>0</v>
      </c>
      <c r="E33" s="18">
        <f t="shared" ref="E33:E65" si="6">+D33*1.5</f>
        <v>0</v>
      </c>
      <c r="F33" s="43">
        <f t="shared" si="2"/>
        <v>0</v>
      </c>
      <c r="G33" s="516">
        <v>0</v>
      </c>
      <c r="H33" s="26">
        <v>0</v>
      </c>
      <c r="I33" s="19">
        <f t="shared" si="5"/>
        <v>0</v>
      </c>
    </row>
    <row r="34" spans="1:9">
      <c r="A34" s="2">
        <v>22</v>
      </c>
      <c r="B34" s="16">
        <v>43466</v>
      </c>
      <c r="C34" s="16">
        <v>43496</v>
      </c>
      <c r="D34" s="18">
        <v>0</v>
      </c>
      <c r="E34" s="18">
        <f t="shared" si="6"/>
        <v>0</v>
      </c>
      <c r="F34" s="43">
        <f t="shared" si="2"/>
        <v>0</v>
      </c>
      <c r="G34" s="516">
        <v>0</v>
      </c>
      <c r="H34" s="26">
        <v>0</v>
      </c>
      <c r="I34" s="19">
        <f t="shared" si="5"/>
        <v>0</v>
      </c>
    </row>
    <row r="35" spans="1:9">
      <c r="A35" s="2">
        <v>23</v>
      </c>
      <c r="B35" s="16">
        <v>43497</v>
      </c>
      <c r="C35" s="16">
        <v>43524</v>
      </c>
      <c r="D35" s="18">
        <v>0</v>
      </c>
      <c r="E35" s="18">
        <f t="shared" si="6"/>
        <v>0</v>
      </c>
      <c r="F35" s="43">
        <f t="shared" si="2"/>
        <v>0</v>
      </c>
      <c r="G35" s="516">
        <v>0</v>
      </c>
      <c r="H35" s="26">
        <v>0</v>
      </c>
      <c r="I35" s="19">
        <f t="shared" si="5"/>
        <v>0</v>
      </c>
    </row>
    <row r="36" spans="1:9">
      <c r="A36" s="2">
        <v>24</v>
      </c>
      <c r="B36" s="16">
        <v>43525</v>
      </c>
      <c r="C36" s="16">
        <v>43555</v>
      </c>
      <c r="D36" s="18">
        <v>0</v>
      </c>
      <c r="E36" s="18">
        <f t="shared" si="6"/>
        <v>0</v>
      </c>
      <c r="F36" s="43">
        <f t="shared" si="2"/>
        <v>0</v>
      </c>
      <c r="G36" s="516">
        <v>0</v>
      </c>
      <c r="H36" s="26">
        <v>0</v>
      </c>
      <c r="I36" s="19">
        <f t="shared" si="5"/>
        <v>0</v>
      </c>
    </row>
    <row r="37" spans="1:9">
      <c r="A37" s="2">
        <v>25</v>
      </c>
      <c r="B37" s="16">
        <v>43556</v>
      </c>
      <c r="C37" s="16">
        <v>43585</v>
      </c>
      <c r="D37" s="18">
        <v>0</v>
      </c>
      <c r="E37" s="18">
        <f t="shared" si="6"/>
        <v>0</v>
      </c>
      <c r="F37" s="43">
        <f t="shared" si="2"/>
        <v>0</v>
      </c>
      <c r="G37" s="516">
        <v>0</v>
      </c>
      <c r="H37" s="26">
        <v>0</v>
      </c>
      <c r="I37" s="19">
        <f t="shared" si="5"/>
        <v>0</v>
      </c>
    </row>
    <row r="38" spans="1:9">
      <c r="A38" s="2">
        <v>26</v>
      </c>
      <c r="B38" s="16">
        <v>43586</v>
      </c>
      <c r="C38" s="16">
        <v>43616</v>
      </c>
      <c r="D38" s="18">
        <v>0</v>
      </c>
      <c r="E38" s="18">
        <f t="shared" si="6"/>
        <v>0</v>
      </c>
      <c r="F38" s="43">
        <f t="shared" si="2"/>
        <v>0</v>
      </c>
      <c r="G38" s="516">
        <v>0</v>
      </c>
      <c r="H38" s="26">
        <v>0</v>
      </c>
      <c r="I38" s="19">
        <f t="shared" si="5"/>
        <v>0</v>
      </c>
    </row>
    <row r="39" spans="1:9">
      <c r="A39" s="2">
        <v>27</v>
      </c>
      <c r="B39" s="16">
        <v>43617</v>
      </c>
      <c r="C39" s="16">
        <v>43641</v>
      </c>
      <c r="D39" s="18">
        <v>0</v>
      </c>
      <c r="E39" s="18">
        <f t="shared" si="6"/>
        <v>0</v>
      </c>
      <c r="F39" s="43">
        <f t="shared" si="2"/>
        <v>0</v>
      </c>
      <c r="G39" s="516">
        <v>0</v>
      </c>
      <c r="H39" s="26">
        <v>0</v>
      </c>
      <c r="I39" s="19">
        <f t="shared" si="5"/>
        <v>0</v>
      </c>
    </row>
    <row r="40" spans="1:9">
      <c r="A40" s="2">
        <v>28</v>
      </c>
      <c r="B40" s="16">
        <v>43642</v>
      </c>
      <c r="C40" s="16">
        <v>43646</v>
      </c>
      <c r="D40" s="18">
        <v>0.193</v>
      </c>
      <c r="E40" s="18">
        <f>+D40*1.5</f>
        <v>0.28949999999999998</v>
      </c>
      <c r="F40" s="43">
        <f t="shared" si="2"/>
        <v>6.9683047181468005E-4</v>
      </c>
      <c r="G40" s="516">
        <f t="shared" si="3"/>
        <v>6089980</v>
      </c>
      <c r="H40" s="26">
        <f t="shared" ref="H40:H46" si="7">(C40-B40)+1</f>
        <v>5</v>
      </c>
      <c r="I40" s="69">
        <f>(F40*G40)*H40</f>
        <v>21218.418183709829</v>
      </c>
    </row>
    <row r="41" spans="1:9">
      <c r="A41" s="2">
        <v>29</v>
      </c>
      <c r="B41" s="16">
        <v>43647</v>
      </c>
      <c r="C41" s="16">
        <v>43677</v>
      </c>
      <c r="D41" s="18">
        <v>0.1928</v>
      </c>
      <c r="E41" s="18">
        <f t="shared" si="6"/>
        <v>0.28920000000000001</v>
      </c>
      <c r="F41" s="43">
        <f t="shared" ref="F41:F67" si="8">((1+E41)^(1/365)-1)</f>
        <v>6.9619256101671745E-4</v>
      </c>
      <c r="G41" s="516">
        <f t="shared" si="3"/>
        <v>6089980</v>
      </c>
      <c r="H41" s="26">
        <f t="shared" si="7"/>
        <v>31</v>
      </c>
      <c r="I41" s="69">
        <f>(F41*G41)*H41</f>
        <v>131433.76195495826</v>
      </c>
    </row>
    <row r="42" spans="1:9">
      <c r="A42" s="2">
        <v>30</v>
      </c>
      <c r="B42" s="16">
        <v>43678</v>
      </c>
      <c r="C42" s="16">
        <v>43708</v>
      </c>
      <c r="D42" s="18">
        <v>0.19320000000000001</v>
      </c>
      <c r="E42" s="18">
        <f t="shared" si="6"/>
        <v>0.2898</v>
      </c>
      <c r="F42" s="43">
        <f t="shared" si="8"/>
        <v>6.9746823462724095E-4</v>
      </c>
      <c r="G42" s="516">
        <f t="shared" si="3"/>
        <v>6089980</v>
      </c>
      <c r="H42" s="26">
        <f t="shared" si="7"/>
        <v>31</v>
      </c>
      <c r="I42" s="69">
        <f>(F42*G42)*H42</f>
        <v>131674.59558497136</v>
      </c>
    </row>
    <row r="43" spans="1:9">
      <c r="A43" s="2">
        <v>31</v>
      </c>
      <c r="B43" s="16">
        <v>43709</v>
      </c>
      <c r="C43" s="16">
        <v>43738</v>
      </c>
      <c r="D43" s="18">
        <v>0.19320000000000001</v>
      </c>
      <c r="E43" s="18">
        <f t="shared" si="6"/>
        <v>0.2898</v>
      </c>
      <c r="F43" s="43">
        <f t="shared" si="8"/>
        <v>6.9746823462724095E-4</v>
      </c>
      <c r="G43" s="516">
        <f t="shared" si="3"/>
        <v>6089980</v>
      </c>
      <c r="H43" s="26">
        <f t="shared" si="7"/>
        <v>30</v>
      </c>
      <c r="I43" s="69">
        <f t="shared" ref="I43:I64" si="9">(F43*G43)*H43</f>
        <v>127427.02798545615</v>
      </c>
    </row>
    <row r="44" spans="1:9">
      <c r="A44" s="2">
        <v>32</v>
      </c>
      <c r="B44" s="16">
        <v>43739</v>
      </c>
      <c r="C44" s="16">
        <v>43769</v>
      </c>
      <c r="D44" s="18">
        <v>0.191</v>
      </c>
      <c r="E44" s="18">
        <f t="shared" si="6"/>
        <v>0.28649999999999998</v>
      </c>
      <c r="F44" s="43">
        <f t="shared" si="8"/>
        <v>6.9044469314105683E-4</v>
      </c>
      <c r="G44" s="516">
        <f t="shared" si="3"/>
        <v>6089980</v>
      </c>
      <c r="H44" s="26">
        <f t="shared" si="7"/>
        <v>31</v>
      </c>
      <c r="I44" s="69">
        <f t="shared" si="9"/>
        <v>130348.62554239038</v>
      </c>
    </row>
    <row r="45" spans="1:9">
      <c r="A45" s="2">
        <v>33</v>
      </c>
      <c r="B45" s="16">
        <v>43770</v>
      </c>
      <c r="C45" s="16">
        <v>43799</v>
      </c>
      <c r="D45" s="18">
        <v>0.1903</v>
      </c>
      <c r="E45" s="18">
        <f t="shared" si="6"/>
        <v>0.28544999999999998</v>
      </c>
      <c r="F45" s="43">
        <f t="shared" si="8"/>
        <v>6.8820616169262827E-4</v>
      </c>
      <c r="G45" s="516">
        <f t="shared" si="3"/>
        <v>6089980</v>
      </c>
      <c r="H45" s="26">
        <f t="shared" si="7"/>
        <v>30</v>
      </c>
      <c r="I45" s="69">
        <f t="shared" si="9"/>
        <v>125734.85281754617</v>
      </c>
    </row>
    <row r="46" spans="1:9">
      <c r="A46" s="2">
        <v>34</v>
      </c>
      <c r="B46" s="16">
        <v>43800</v>
      </c>
      <c r="C46" s="16">
        <v>43830</v>
      </c>
      <c r="D46" s="18">
        <v>0.18909999999999999</v>
      </c>
      <c r="E46" s="18">
        <f t="shared" si="6"/>
        <v>0.28364999999999996</v>
      </c>
      <c r="F46" s="43">
        <f t="shared" si="8"/>
        <v>6.8436443340047504E-4</v>
      </c>
      <c r="G46" s="516">
        <f t="shared" si="3"/>
        <v>6089980</v>
      </c>
      <c r="H46" s="26">
        <f t="shared" si="7"/>
        <v>31</v>
      </c>
      <c r="I46" s="69">
        <f t="shared" si="9"/>
        <v>129200.73707572697</v>
      </c>
    </row>
    <row r="47" spans="1:9">
      <c r="A47" s="2">
        <v>35</v>
      </c>
      <c r="B47" s="16">
        <v>43831</v>
      </c>
      <c r="C47" s="16">
        <v>43861</v>
      </c>
      <c r="D47" s="18">
        <v>0.18770000000000001</v>
      </c>
      <c r="E47" s="18">
        <f t="shared" si="6"/>
        <v>0.28155000000000002</v>
      </c>
      <c r="F47" s="43">
        <f t="shared" si="8"/>
        <v>6.7987562124560696E-4</v>
      </c>
      <c r="G47" s="516">
        <f t="shared" si="3"/>
        <v>6089980</v>
      </c>
      <c r="H47" s="26">
        <f t="shared" ref="H47:H66" si="10">(C47-B47)+1</f>
        <v>31</v>
      </c>
      <c r="I47" s="69">
        <f t="shared" si="9"/>
        <v>128353.29701207296</v>
      </c>
    </row>
    <row r="48" spans="1:9">
      <c r="A48" s="2">
        <v>36</v>
      </c>
      <c r="B48" s="16">
        <v>43862</v>
      </c>
      <c r="C48" s="16">
        <v>43890</v>
      </c>
      <c r="D48" s="18">
        <v>0.19059999999999999</v>
      </c>
      <c r="E48" s="18">
        <f t="shared" si="6"/>
        <v>0.28589999999999999</v>
      </c>
      <c r="F48" s="43">
        <f t="shared" si="8"/>
        <v>6.8916575551658532E-4</v>
      </c>
      <c r="G48" s="516">
        <f t="shared" si="3"/>
        <v>6089980</v>
      </c>
      <c r="H48" s="26">
        <f t="shared" si="10"/>
        <v>29</v>
      </c>
      <c r="I48" s="69">
        <f t="shared" si="9"/>
        <v>121713.16436564593</v>
      </c>
    </row>
    <row r="49" spans="1:9">
      <c r="A49" s="2">
        <v>37</v>
      </c>
      <c r="B49" s="16">
        <v>43891</v>
      </c>
      <c r="C49" s="16">
        <v>43921</v>
      </c>
      <c r="D49" s="18">
        <v>0.1895</v>
      </c>
      <c r="E49" s="18">
        <f t="shared" si="6"/>
        <v>0.28425</v>
      </c>
      <c r="F49" s="43">
        <f t="shared" si="8"/>
        <v>6.8564560609574166E-4</v>
      </c>
      <c r="G49" s="516">
        <f t="shared" si="3"/>
        <v>6089980</v>
      </c>
      <c r="H49" s="26">
        <f t="shared" si="10"/>
        <v>31</v>
      </c>
      <c r="I49" s="69">
        <f t="shared" si="9"/>
        <v>129442.60887453931</v>
      </c>
    </row>
    <row r="50" spans="1:9">
      <c r="A50" s="2">
        <v>38</v>
      </c>
      <c r="B50" s="16">
        <v>43922</v>
      </c>
      <c r="C50" s="16">
        <v>43951</v>
      </c>
      <c r="D50" s="18">
        <v>0.18690000000000001</v>
      </c>
      <c r="E50" s="18">
        <f t="shared" si="6"/>
        <v>0.28034999999999999</v>
      </c>
      <c r="F50" s="43">
        <f t="shared" si="8"/>
        <v>6.7730729113191224E-4</v>
      </c>
      <c r="G50" s="516">
        <f t="shared" si="3"/>
        <v>6089980</v>
      </c>
      <c r="H50" s="26">
        <f t="shared" si="10"/>
        <v>30</v>
      </c>
      <c r="I50" s="69">
        <f t="shared" si="9"/>
        <v>123743.63570542568</v>
      </c>
    </row>
    <row r="51" spans="1:9">
      <c r="A51" s="2">
        <v>39</v>
      </c>
      <c r="B51" s="16">
        <v>43952</v>
      </c>
      <c r="C51" s="16">
        <v>43982</v>
      </c>
      <c r="D51" s="18">
        <v>0.18190000000000001</v>
      </c>
      <c r="E51" s="18">
        <f t="shared" si="6"/>
        <v>0.27285000000000004</v>
      </c>
      <c r="F51" s="43">
        <f t="shared" si="8"/>
        <v>6.6120063584418354E-4</v>
      </c>
      <c r="G51" s="516">
        <f t="shared" si="3"/>
        <v>6089980</v>
      </c>
      <c r="H51" s="26">
        <f t="shared" si="10"/>
        <v>31</v>
      </c>
      <c r="I51" s="69">
        <f t="shared" si="9"/>
        <v>124827.65809662919</v>
      </c>
    </row>
    <row r="52" spans="1:9">
      <c r="A52" s="2">
        <v>40</v>
      </c>
      <c r="B52" s="16">
        <v>43983</v>
      </c>
      <c r="C52" s="16">
        <v>44012</v>
      </c>
      <c r="D52" s="18">
        <v>0.1812</v>
      </c>
      <c r="E52" s="18">
        <f t="shared" si="6"/>
        <v>0.27179999999999999</v>
      </c>
      <c r="F52" s="43">
        <f t="shared" si="8"/>
        <v>6.5893815469997286E-4</v>
      </c>
      <c r="G52" s="516">
        <f t="shared" si="3"/>
        <v>6089980</v>
      </c>
      <c r="H52" s="26">
        <f t="shared" si="10"/>
        <v>30</v>
      </c>
      <c r="I52" s="69">
        <f t="shared" si="9"/>
        <v>120387.60550079223</v>
      </c>
    </row>
    <row r="53" spans="1:9">
      <c r="A53" s="2">
        <v>41</v>
      </c>
      <c r="B53" s="16">
        <v>44013</v>
      </c>
      <c r="C53" s="16">
        <v>44043</v>
      </c>
      <c r="D53" s="18">
        <v>0.1812</v>
      </c>
      <c r="E53" s="18">
        <f t="shared" si="6"/>
        <v>0.27179999999999999</v>
      </c>
      <c r="F53" s="43">
        <f t="shared" si="8"/>
        <v>6.5893815469997286E-4</v>
      </c>
      <c r="G53" s="516">
        <f t="shared" si="3"/>
        <v>6089980</v>
      </c>
      <c r="H53" s="26">
        <f t="shared" si="10"/>
        <v>31</v>
      </c>
      <c r="I53" s="69">
        <f t="shared" si="9"/>
        <v>124400.52568415196</v>
      </c>
    </row>
    <row r="54" spans="1:9">
      <c r="A54" s="2">
        <v>42</v>
      </c>
      <c r="B54" s="16">
        <v>44044</v>
      </c>
      <c r="C54" s="16">
        <v>44074</v>
      </c>
      <c r="D54" s="18">
        <v>0.18290000000000001</v>
      </c>
      <c r="E54" s="18">
        <f t="shared" si="6"/>
        <v>0.27434999999999998</v>
      </c>
      <c r="F54" s="43">
        <f t="shared" si="8"/>
        <v>6.6442952514544906E-4</v>
      </c>
      <c r="G54" s="516">
        <f t="shared" si="3"/>
        <v>6089980</v>
      </c>
      <c r="H54" s="26">
        <f t="shared" si="10"/>
        <v>31</v>
      </c>
      <c r="I54" s="69">
        <f t="shared" si="9"/>
        <v>125437.23810590374</v>
      </c>
    </row>
    <row r="55" spans="1:9">
      <c r="A55" s="2">
        <v>43</v>
      </c>
      <c r="B55" s="16">
        <v>44075</v>
      </c>
      <c r="C55" s="16">
        <v>44104</v>
      </c>
      <c r="D55" s="18">
        <v>0.1835</v>
      </c>
      <c r="E55" s="18">
        <f t="shared" si="6"/>
        <v>0.27524999999999999</v>
      </c>
      <c r="F55" s="43">
        <f t="shared" si="8"/>
        <v>6.6636503991857055E-4</v>
      </c>
      <c r="G55" s="516">
        <f t="shared" si="3"/>
        <v>6089980</v>
      </c>
      <c r="H55" s="26">
        <f t="shared" si="10"/>
        <v>30</v>
      </c>
      <c r="I55" s="69">
        <f t="shared" si="9"/>
        <v>121744.49297409889</v>
      </c>
    </row>
    <row r="56" spans="1:9">
      <c r="A56" s="2">
        <v>44</v>
      </c>
      <c r="B56" s="16">
        <v>44105</v>
      </c>
      <c r="C56" s="16">
        <v>44135</v>
      </c>
      <c r="D56" s="18">
        <v>0.18090000000000001</v>
      </c>
      <c r="E56" s="18">
        <f t="shared" si="6"/>
        <v>0.27134999999999998</v>
      </c>
      <c r="F56" s="43">
        <f t="shared" si="8"/>
        <v>6.5796794962613703E-4</v>
      </c>
      <c r="G56" s="516">
        <f t="shared" si="3"/>
        <v>6089980</v>
      </c>
      <c r="H56" s="26">
        <f t="shared" si="10"/>
        <v>31</v>
      </c>
      <c r="I56" s="69">
        <f t="shared" si="9"/>
        <v>124217.36126978963</v>
      </c>
    </row>
    <row r="57" spans="1:9">
      <c r="A57" s="2">
        <v>45</v>
      </c>
      <c r="B57" s="16">
        <v>44136</v>
      </c>
      <c r="C57" s="16">
        <v>44165</v>
      </c>
      <c r="D57" s="18">
        <v>0.1784</v>
      </c>
      <c r="E57" s="18">
        <f t="shared" si="6"/>
        <v>0.2676</v>
      </c>
      <c r="F57" s="43">
        <f t="shared" si="8"/>
        <v>6.4986956374091243E-4</v>
      </c>
      <c r="G57" s="516">
        <f t="shared" si="3"/>
        <v>6089980</v>
      </c>
      <c r="H57" s="26">
        <f t="shared" si="10"/>
        <v>30</v>
      </c>
      <c r="I57" s="69">
        <f t="shared" si="9"/>
        <v>118730.77937372644</v>
      </c>
    </row>
    <row r="58" spans="1:9">
      <c r="A58" s="2">
        <v>46</v>
      </c>
      <c r="B58" s="16">
        <v>44166</v>
      </c>
      <c r="C58" s="16">
        <v>44196</v>
      </c>
      <c r="D58" s="18">
        <v>0.17460000000000001</v>
      </c>
      <c r="E58" s="18">
        <f t="shared" si="6"/>
        <v>0.26190000000000002</v>
      </c>
      <c r="F58" s="43">
        <f t="shared" si="8"/>
        <v>6.3751414410861962E-4</v>
      </c>
      <c r="G58" s="516">
        <f t="shared" si="3"/>
        <v>6089980</v>
      </c>
      <c r="H58" s="26">
        <f t="shared" si="10"/>
        <v>31</v>
      </c>
      <c r="I58" s="69">
        <f t="shared" si="9"/>
        <v>120355.90000749695</v>
      </c>
    </row>
    <row r="59" spans="1:9">
      <c r="A59" s="2">
        <v>47</v>
      </c>
      <c r="B59" s="16">
        <v>44197</v>
      </c>
      <c r="C59" s="16">
        <v>44227</v>
      </c>
      <c r="D59" s="18">
        <v>0.17319999999999999</v>
      </c>
      <c r="E59" s="18">
        <f t="shared" si="6"/>
        <v>0.25979999999999998</v>
      </c>
      <c r="F59" s="43">
        <f t="shared" si="8"/>
        <v>6.3294811266723094E-4</v>
      </c>
      <c r="G59" s="516">
        <f t="shared" si="3"/>
        <v>6089980</v>
      </c>
      <c r="H59" s="26">
        <f t="shared" si="10"/>
        <v>31</v>
      </c>
      <c r="I59" s="69">
        <f t="shared" si="9"/>
        <v>119493.88176261667</v>
      </c>
    </row>
    <row r="60" spans="1:9">
      <c r="A60" s="2">
        <v>48</v>
      </c>
      <c r="B60" s="16">
        <v>44228</v>
      </c>
      <c r="C60" s="16">
        <v>44255</v>
      </c>
      <c r="D60" s="18">
        <v>0.1754</v>
      </c>
      <c r="E60" s="18">
        <f t="shared" si="6"/>
        <v>0.2631</v>
      </c>
      <c r="F60" s="43">
        <f t="shared" si="8"/>
        <v>6.4011990387169426E-4</v>
      </c>
      <c r="G60" s="516">
        <f t="shared" si="3"/>
        <v>6089980</v>
      </c>
      <c r="H60" s="26">
        <f t="shared" si="10"/>
        <v>28</v>
      </c>
      <c r="I60" s="69">
        <f t="shared" si="9"/>
        <v>109152.88754105513</v>
      </c>
    </row>
    <row r="61" spans="1:9">
      <c r="A61" s="2">
        <v>49</v>
      </c>
      <c r="B61" s="16">
        <v>44256</v>
      </c>
      <c r="C61" s="16">
        <v>44286</v>
      </c>
      <c r="D61" s="18">
        <v>0.1741</v>
      </c>
      <c r="E61" s="18">
        <f t="shared" si="6"/>
        <v>0.26114999999999999</v>
      </c>
      <c r="F61" s="43">
        <f t="shared" si="8"/>
        <v>6.3588428907812578E-4</v>
      </c>
      <c r="G61" s="516">
        <f t="shared" si="3"/>
        <v>6089980</v>
      </c>
      <c r="H61" s="26">
        <f t="shared" si="10"/>
        <v>31</v>
      </c>
      <c r="I61" s="69">
        <f t="shared" si="9"/>
        <v>120048.20068680013</v>
      </c>
    </row>
    <row r="62" spans="1:9">
      <c r="A62" s="2">
        <v>50</v>
      </c>
      <c r="B62" s="16">
        <v>44287</v>
      </c>
      <c r="C62" s="16">
        <v>44316</v>
      </c>
      <c r="D62" s="18">
        <v>0.1731</v>
      </c>
      <c r="E62" s="18">
        <f t="shared" si="6"/>
        <v>0.25964999999999999</v>
      </c>
      <c r="F62" s="43">
        <f t="shared" si="8"/>
        <v>6.326216771728177E-4</v>
      </c>
      <c r="G62" s="516">
        <f t="shared" si="3"/>
        <v>6089980</v>
      </c>
      <c r="H62" s="26">
        <f t="shared" si="10"/>
        <v>30</v>
      </c>
      <c r="I62" s="69">
        <f t="shared" si="9"/>
        <v>115579.60084646748</v>
      </c>
    </row>
    <row r="63" spans="1:9">
      <c r="A63" s="2">
        <v>51</v>
      </c>
      <c r="B63" s="16">
        <v>44317</v>
      </c>
      <c r="C63" s="16">
        <v>44347</v>
      </c>
      <c r="D63" s="18">
        <v>0.17219999999999999</v>
      </c>
      <c r="E63" s="18">
        <f t="shared" si="6"/>
        <v>0.25829999999999997</v>
      </c>
      <c r="F63" s="43">
        <f t="shared" si="8"/>
        <v>6.2968201205726437E-4</v>
      </c>
      <c r="G63" s="516">
        <f t="shared" si="3"/>
        <v>6089980</v>
      </c>
      <c r="H63" s="26">
        <f t="shared" si="10"/>
        <v>31</v>
      </c>
      <c r="I63" s="69">
        <f t="shared" si="9"/>
        <v>118877.27665344346</v>
      </c>
    </row>
    <row r="64" spans="1:9">
      <c r="A64" s="2">
        <v>52</v>
      </c>
      <c r="B64" s="16">
        <v>44348</v>
      </c>
      <c r="C64" s="16">
        <v>44377</v>
      </c>
      <c r="D64" s="18">
        <v>0.1721</v>
      </c>
      <c r="E64" s="18">
        <f t="shared" si="6"/>
        <v>0.25814999999999999</v>
      </c>
      <c r="F64" s="43">
        <f t="shared" si="8"/>
        <v>6.2935518846773952E-4</v>
      </c>
      <c r="G64" s="516">
        <f t="shared" si="3"/>
        <v>6089980</v>
      </c>
      <c r="H64" s="26">
        <f t="shared" si="10"/>
        <v>30</v>
      </c>
      <c r="I64" s="69">
        <f t="shared" si="9"/>
        <v>114982.81531994292</v>
      </c>
    </row>
    <row r="65" spans="1:10">
      <c r="A65" s="2">
        <v>53</v>
      </c>
      <c r="B65" s="16">
        <v>44378</v>
      </c>
      <c r="C65" s="16">
        <v>44408</v>
      </c>
      <c r="D65" s="18">
        <v>0.17180000000000001</v>
      </c>
      <c r="E65" s="18">
        <f t="shared" si="6"/>
        <v>0.25770000000000004</v>
      </c>
      <c r="F65" s="43">
        <f t="shared" si="8"/>
        <v>6.2837448450037137E-4</v>
      </c>
      <c r="G65" s="516">
        <f t="shared" si="3"/>
        <v>6089980</v>
      </c>
      <c r="H65" s="26">
        <f t="shared" si="10"/>
        <v>31</v>
      </c>
      <c r="I65" s="69">
        <f>(F65*G65)*H65</f>
        <v>118630.42933664472</v>
      </c>
      <c r="J65"/>
    </row>
    <row r="66" spans="1:10">
      <c r="A66" s="2">
        <v>54</v>
      </c>
      <c r="B66" s="16">
        <v>44409</v>
      </c>
      <c r="C66" s="16">
        <v>44439</v>
      </c>
      <c r="D66" s="18">
        <v>0.1724</v>
      </c>
      <c r="E66" s="18">
        <f>+D66*1.5</f>
        <v>0.2586</v>
      </c>
      <c r="F66" s="43">
        <f t="shared" si="8"/>
        <v>6.3033554269220637E-4</v>
      </c>
      <c r="G66" s="516">
        <f t="shared" si="3"/>
        <v>6089980</v>
      </c>
      <c r="H66" s="26">
        <f t="shared" si="10"/>
        <v>31</v>
      </c>
      <c r="I66" s="69">
        <f>(F66*G66)*H66</f>
        <v>119000.65629682517</v>
      </c>
      <c r="J66"/>
    </row>
    <row r="67" spans="1:10">
      <c r="A67" s="2">
        <v>55</v>
      </c>
      <c r="B67" s="16">
        <v>44440</v>
      </c>
      <c r="C67" s="16">
        <v>44469</v>
      </c>
      <c r="D67" s="18">
        <v>0.1719</v>
      </c>
      <c r="E67" s="18">
        <f>+D67*1.5</f>
        <v>0.25785000000000002</v>
      </c>
      <c r="F67" s="43">
        <f t="shared" si="8"/>
        <v>6.2870142469861889E-4</v>
      </c>
      <c r="G67" s="516">
        <f t="shared" si="3"/>
        <v>6089980</v>
      </c>
      <c r="H67" s="26">
        <f>(C67-B67)+1</f>
        <v>30</v>
      </c>
      <c r="I67" s="69">
        <f>(F67*G67)*H67</f>
        <v>114863.37307158286</v>
      </c>
      <c r="J67"/>
    </row>
    <row r="68" spans="1:10">
      <c r="A68" s="2">
        <v>56</v>
      </c>
      <c r="B68" s="16">
        <v>44470</v>
      </c>
      <c r="C68" s="16">
        <v>44500</v>
      </c>
      <c r="D68" s="18">
        <v>0.17080000000000001</v>
      </c>
      <c r="E68" s="18">
        <f>+D68*1.5</f>
        <v>0.25619999999999998</v>
      </c>
      <c r="F68" s="43">
        <f>((1+E68)^(1/365)-1)</f>
        <v>6.2510294214179751E-4</v>
      </c>
      <c r="G68" s="88">
        <f t="shared" si="3"/>
        <v>6089980</v>
      </c>
      <c r="H68" s="26">
        <f>(C68-B68)+1</f>
        <v>31</v>
      </c>
      <c r="I68" s="69">
        <f>(F68*G68)*H68</f>
        <v>118012.79688312583</v>
      </c>
      <c r="J68"/>
    </row>
    <row r="69" spans="1:10">
      <c r="A69" s="2">
        <v>57</v>
      </c>
      <c r="B69" s="16">
        <v>44501</v>
      </c>
      <c r="C69" s="16">
        <v>44522</v>
      </c>
      <c r="D69" s="18">
        <v>0.17269999999999999</v>
      </c>
      <c r="E69" s="18">
        <f>+D69*1.5</f>
        <v>0.25905</v>
      </c>
      <c r="F69" s="43">
        <f>((1+E69)^(1/365)-1)</f>
        <v>6.3131554742335005E-4</v>
      </c>
      <c r="G69" s="88">
        <f t="shared" si="3"/>
        <v>6089980</v>
      </c>
      <c r="H69" s="26">
        <f>(C69-B69)+1</f>
        <v>22</v>
      </c>
      <c r="I69" s="69">
        <f>(F69*G69)*H69</f>
        <v>84583.379264939576</v>
      </c>
      <c r="J69"/>
    </row>
    <row r="70" spans="1:10" ht="13.5" thickBot="1">
      <c r="G70" s="1" t="s">
        <v>162</v>
      </c>
      <c r="H70" s="1"/>
      <c r="I70" s="56">
        <f>SUM(I13:I69)</f>
        <v>4400937.0708124777</v>
      </c>
    </row>
    <row r="71" spans="1:10" ht="14.25" thickTop="1" thickBot="1">
      <c r="B71" s="2560" t="s">
        <v>55</v>
      </c>
      <c r="C71" s="2560"/>
      <c r="G71" s="3" t="s">
        <v>130</v>
      </c>
      <c r="H71" s="3"/>
      <c r="I71" s="56">
        <f>+C10</f>
        <v>913497</v>
      </c>
    </row>
    <row r="72" spans="1:10" ht="16.5" thickTop="1" thickBot="1">
      <c r="B72" s="66" t="s">
        <v>56</v>
      </c>
      <c r="C72" s="68"/>
      <c r="G72" s="645" t="s">
        <v>97</v>
      </c>
      <c r="H72" s="185"/>
      <c r="I72" s="77">
        <f>I70+I71</f>
        <v>5314434.0708124777</v>
      </c>
    </row>
    <row r="73" spans="1:10" ht="13.5" thickTop="1">
      <c r="B73" s="505" t="s">
        <v>164</v>
      </c>
      <c r="C73" s="515">
        <f>+C9</f>
        <v>6089980</v>
      </c>
    </row>
    <row r="74" spans="1:10" ht="36">
      <c r="B74" s="505" t="s">
        <v>174</v>
      </c>
      <c r="C74" s="498">
        <f>+I70</f>
        <v>4400937.0708124777</v>
      </c>
    </row>
    <row r="75" spans="1:10">
      <c r="B75" s="505" t="str">
        <f>+B10</f>
        <v>COSTAS 50%</v>
      </c>
      <c r="C75" s="513">
        <f>+C10</f>
        <v>913497</v>
      </c>
    </row>
    <row r="76" spans="1:10" ht="13.5" thickBot="1">
      <c r="B76" s="405" t="s">
        <v>97</v>
      </c>
      <c r="C76" s="514">
        <f>SUM(C73:C75)</f>
        <v>11404414.070812479</v>
      </c>
    </row>
    <row r="77" spans="1:10" ht="13.5" thickTop="1">
      <c r="B77" s="221" t="s">
        <v>62</v>
      </c>
    </row>
    <row r="78" spans="1:10">
      <c r="B78" s="217"/>
      <c r="C78" s="218"/>
    </row>
    <row r="79" spans="1:10" ht="12" customHeight="1">
      <c r="B79" s="217"/>
      <c r="C79" s="218"/>
    </row>
    <row r="80" spans="1:10">
      <c r="B80" s="476" t="s">
        <v>63</v>
      </c>
      <c r="C80" s="218"/>
    </row>
    <row r="81" spans="2:3">
      <c r="B81" s="476" t="s">
        <v>64</v>
      </c>
      <c r="C81" s="218"/>
    </row>
    <row r="82" spans="2:3">
      <c r="B82" s="221" t="s">
        <v>65</v>
      </c>
      <c r="C82" s="218"/>
    </row>
  </sheetData>
  <mergeCells count="2">
    <mergeCell ref="B11:I11"/>
    <mergeCell ref="B71:C71"/>
  </mergeCells>
  <pageMargins left="0.7" right="0.7" top="0.75" bottom="0.75" header="0.3" footer="0.3"/>
  <pageSetup paperSize="147" scale="7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61"/>
  <dimension ref="A1:J55"/>
  <sheetViews>
    <sheetView topLeftCell="A23" zoomScale="110" zoomScaleNormal="110" workbookViewId="0">
      <selection activeCell="C41" sqref="C41"/>
    </sheetView>
  </sheetViews>
  <sheetFormatPr defaultColWidth="9.140625" defaultRowHeight="12.75"/>
  <cols>
    <col min="1" max="1" width="3.5703125" style="791" customWidth="1"/>
    <col min="2" max="2" width="23" style="791" customWidth="1"/>
    <col min="3" max="3" width="20" style="791" customWidth="1"/>
    <col min="4" max="4" width="7.85546875" style="791" customWidth="1"/>
    <col min="5" max="7" width="11.42578125" style="791" customWidth="1"/>
    <col min="8" max="8" width="15.85546875" style="791" customWidth="1"/>
    <col min="9" max="257" width="11.42578125" style="791" customWidth="1"/>
    <col min="258" max="16384" width="9.140625" style="791"/>
  </cols>
  <sheetData>
    <row r="1" spans="2:4">
      <c r="B1" s="1518" t="s">
        <v>825</v>
      </c>
      <c r="C1" s="1519" t="s">
        <v>1149</v>
      </c>
    </row>
    <row r="2" spans="2:4">
      <c r="B2" s="1518" t="s">
        <v>999</v>
      </c>
      <c r="C2" s="1521" t="s">
        <v>1150</v>
      </c>
    </row>
    <row r="3" spans="2:4">
      <c r="B3" s="728" t="s">
        <v>287</v>
      </c>
      <c r="C3" s="1520" t="s">
        <v>1151</v>
      </c>
    </row>
    <row r="4" spans="2:4">
      <c r="B4" s="728" t="s">
        <v>1132</v>
      </c>
      <c r="C4" s="944" t="s">
        <v>1152</v>
      </c>
    </row>
    <row r="5" spans="2:4">
      <c r="B5" s="728" t="s">
        <v>2</v>
      </c>
      <c r="C5" s="944" t="s">
        <v>1153</v>
      </c>
    </row>
    <row r="6" spans="2:4">
      <c r="B6" s="728" t="s">
        <v>290</v>
      </c>
      <c r="C6" s="724">
        <v>44172</v>
      </c>
    </row>
    <row r="8" spans="2:4">
      <c r="B8" s="728" t="s">
        <v>1154</v>
      </c>
    </row>
    <row r="9" spans="2:4" ht="25.5">
      <c r="B9" s="893" t="s">
        <v>1155</v>
      </c>
      <c r="C9" s="850">
        <v>877803</v>
      </c>
      <c r="D9" s="1513"/>
    </row>
    <row r="10" spans="2:4">
      <c r="B10" s="728" t="s">
        <v>97</v>
      </c>
      <c r="C10" s="850">
        <f>+C9*30</f>
        <v>26334090</v>
      </c>
      <c r="D10" s="1513"/>
    </row>
    <row r="11" spans="2:4">
      <c r="C11" s="879"/>
    </row>
    <row r="12" spans="2:4">
      <c r="B12" s="728" t="s">
        <v>1156</v>
      </c>
      <c r="C12" s="850">
        <v>203205</v>
      </c>
      <c r="D12" s="1513"/>
    </row>
    <row r="15" spans="2:4">
      <c r="D15" s="886"/>
    </row>
    <row r="16" spans="2:4">
      <c r="B16" s="1123" t="s">
        <v>129</v>
      </c>
      <c r="C16" s="1522">
        <f>+C10+C12</f>
        <v>26537295</v>
      </c>
    </row>
    <row r="17" spans="1:10">
      <c r="B17" s="2591" t="s">
        <v>957</v>
      </c>
      <c r="C17" s="2591"/>
      <c r="D17" s="2591"/>
      <c r="E17" s="2591"/>
      <c r="F17" s="2591"/>
      <c r="G17" s="2591"/>
      <c r="H17" s="2591"/>
    </row>
    <row r="18" spans="1:10" ht="25.5" customHeight="1">
      <c r="B18" s="1001" t="s">
        <v>206</v>
      </c>
      <c r="C18" s="1001" t="s">
        <v>10</v>
      </c>
      <c r="D18" s="2739" t="s">
        <v>1090</v>
      </c>
      <c r="E18" s="2740"/>
      <c r="F18" s="794" t="s">
        <v>43</v>
      </c>
      <c r="G18" s="1001" t="s">
        <v>279</v>
      </c>
      <c r="H18" s="923" t="s">
        <v>253</v>
      </c>
    </row>
    <row r="19" spans="1:10">
      <c r="A19" s="791">
        <v>1</v>
      </c>
      <c r="B19" s="724">
        <v>44091</v>
      </c>
      <c r="C19" s="724">
        <v>44104</v>
      </c>
      <c r="D19" s="897">
        <v>0</v>
      </c>
      <c r="E19" s="796">
        <v>2.3900000000000001E-2</v>
      </c>
      <c r="F19" s="897">
        <f>((1+E19)^(1/365)-1)</f>
        <v>6.4711314504917183E-5</v>
      </c>
      <c r="G19" s="1176">
        <f>_xlfn.DAYS(C19,B19)+1</f>
        <v>14</v>
      </c>
      <c r="H19" s="895">
        <f>$C$16*G19*F19</f>
        <v>24041.685399966729</v>
      </c>
      <c r="J19" s="791">
        <v>24041</v>
      </c>
    </row>
    <row r="20" spans="1:10">
      <c r="A20" s="791">
        <v>2</v>
      </c>
      <c r="B20" s="724">
        <v>44105</v>
      </c>
      <c r="C20" s="724">
        <v>44135</v>
      </c>
      <c r="D20" s="897">
        <v>0</v>
      </c>
      <c r="E20" s="796">
        <v>2.0299999999999999E-2</v>
      </c>
      <c r="F20" s="897">
        <f t="shared" ref="F20:F35" si="0">((1+E20)^(1/365)-1)</f>
        <v>5.5060972509624051E-5</v>
      </c>
      <c r="G20" s="1176">
        <f t="shared" ref="G20:G35" si="1">_xlfn.DAYS(C20,B20)+1</f>
        <v>31</v>
      </c>
      <c r="H20" s="895">
        <f t="shared" ref="H20:H35" si="2">$C$16*G20*F20</f>
        <v>45296.247384718299</v>
      </c>
      <c r="J20" s="791">
        <v>45296</v>
      </c>
    </row>
    <row r="21" spans="1:10">
      <c r="A21" s="791">
        <v>3</v>
      </c>
      <c r="B21" s="724">
        <v>44136</v>
      </c>
      <c r="C21" s="724">
        <v>44165</v>
      </c>
      <c r="D21" s="897">
        <v>0</v>
      </c>
      <c r="E21" s="796">
        <v>1.9599999999999999E-2</v>
      </c>
      <c r="F21" s="897">
        <f t="shared" si="0"/>
        <v>5.3180574364875E-5</v>
      </c>
      <c r="G21" s="1176">
        <f t="shared" si="1"/>
        <v>30</v>
      </c>
      <c r="H21" s="895">
        <f t="shared" si="2"/>
        <v>42338.057705703766</v>
      </c>
      <c r="J21" s="791">
        <v>42338</v>
      </c>
    </row>
    <row r="22" spans="1:10">
      <c r="A22" s="791">
        <v>4</v>
      </c>
      <c r="B22" s="724">
        <v>44166</v>
      </c>
      <c r="C22" s="724">
        <v>44196</v>
      </c>
      <c r="D22" s="897">
        <v>0</v>
      </c>
      <c r="E22" s="796">
        <v>1.9300000000000001E-2</v>
      </c>
      <c r="F22" s="897">
        <f t="shared" si="0"/>
        <v>5.2374295299806306E-5</v>
      </c>
      <c r="G22" s="1176">
        <f t="shared" si="1"/>
        <v>31</v>
      </c>
      <c r="H22" s="895">
        <f t="shared" si="2"/>
        <v>43086.035868430277</v>
      </c>
      <c r="J22" s="791">
        <v>43086</v>
      </c>
    </row>
    <row r="23" spans="1:10">
      <c r="A23" s="791">
        <v>5</v>
      </c>
      <c r="B23" s="724">
        <v>44197</v>
      </c>
      <c r="C23" s="724">
        <v>44227</v>
      </c>
      <c r="D23" s="897">
        <v>0</v>
      </c>
      <c r="E23" s="796">
        <v>1.9099999999999999E-2</v>
      </c>
      <c r="F23" s="897">
        <f t="shared" si="0"/>
        <v>5.1836644438196799E-5</v>
      </c>
      <c r="G23" s="1176">
        <f t="shared" si="1"/>
        <v>31</v>
      </c>
      <c r="H23" s="895">
        <f t="shared" si="2"/>
        <v>42643.734083262672</v>
      </c>
      <c r="J23" s="791">
        <v>42643</v>
      </c>
    </row>
    <row r="24" spans="1:10">
      <c r="A24" s="791">
        <v>6</v>
      </c>
      <c r="B24" s="724">
        <v>44228</v>
      </c>
      <c r="C24" s="724">
        <v>44255</v>
      </c>
      <c r="D24" s="897">
        <v>0</v>
      </c>
      <c r="E24" s="796">
        <v>1.8100000000000002E-2</v>
      </c>
      <c r="F24" s="897">
        <f t="shared" si="0"/>
        <v>4.9146810763511795E-5</v>
      </c>
      <c r="G24" s="1176">
        <f t="shared" si="1"/>
        <v>28</v>
      </c>
      <c r="H24" s="895">
        <f t="shared" si="2"/>
        <v>36518.255635133653</v>
      </c>
      <c r="J24" s="791">
        <v>36518</v>
      </c>
    </row>
    <row r="25" spans="1:10">
      <c r="A25" s="791">
        <v>7</v>
      </c>
      <c r="B25" s="724">
        <v>44256</v>
      </c>
      <c r="C25" s="724">
        <v>44286</v>
      </c>
      <c r="D25" s="897">
        <v>0</v>
      </c>
      <c r="E25" s="796">
        <v>1.77E-2</v>
      </c>
      <c r="F25" s="897">
        <f t="shared" si="0"/>
        <v>4.8070139484934771E-5</v>
      </c>
      <c r="G25" s="1176">
        <f t="shared" si="1"/>
        <v>31</v>
      </c>
      <c r="H25" s="895">
        <f t="shared" si="2"/>
        <v>39545.195638288722</v>
      </c>
      <c r="J25" s="791">
        <v>39545</v>
      </c>
    </row>
    <row r="26" spans="1:10">
      <c r="A26" s="791">
        <v>8</v>
      </c>
      <c r="B26" s="724">
        <v>44287</v>
      </c>
      <c r="C26" s="724">
        <v>44316</v>
      </c>
      <c r="D26" s="897">
        <v>0</v>
      </c>
      <c r="E26" s="796">
        <v>1.7600000000000001E-2</v>
      </c>
      <c r="F26" s="897">
        <f t="shared" si="0"/>
        <v>4.7800905724759701E-5</v>
      </c>
      <c r="G26" s="1176">
        <f t="shared" si="1"/>
        <v>30</v>
      </c>
      <c r="H26" s="895">
        <f t="shared" si="2"/>
        <v>38055.202094554108</v>
      </c>
      <c r="J26" s="791">
        <v>38055</v>
      </c>
    </row>
    <row r="27" spans="1:10">
      <c r="A27" s="791">
        <v>9</v>
      </c>
      <c r="B27" s="724">
        <v>44317</v>
      </c>
      <c r="C27" s="724">
        <v>44347</v>
      </c>
      <c r="D27" s="897">
        <v>0</v>
      </c>
      <c r="E27" s="796">
        <v>1.8200000000000001E-2</v>
      </c>
      <c r="F27" s="897">
        <f t="shared" si="0"/>
        <v>4.9415912668715478E-5</v>
      </c>
      <c r="G27" s="1176">
        <f t="shared" si="1"/>
        <v>31</v>
      </c>
      <c r="H27" s="895">
        <f t="shared" si="2"/>
        <v>40652.304217702134</v>
      </c>
      <c r="J27" s="791">
        <v>40652</v>
      </c>
    </row>
    <row r="28" spans="1:10">
      <c r="A28" s="791">
        <v>10</v>
      </c>
      <c r="B28" s="724">
        <v>44348</v>
      </c>
      <c r="C28" s="724">
        <v>44377</v>
      </c>
      <c r="D28" s="897">
        <v>0</v>
      </c>
      <c r="E28" s="796">
        <v>1.9099999999999999E-2</v>
      </c>
      <c r="F28" s="897">
        <f t="shared" si="0"/>
        <v>5.1836644438196799E-5</v>
      </c>
      <c r="G28" s="1176">
        <f t="shared" si="1"/>
        <v>30</v>
      </c>
      <c r="H28" s="895">
        <f t="shared" si="2"/>
        <v>41268.129757996132</v>
      </c>
      <c r="J28" s="791">
        <v>41268</v>
      </c>
    </row>
    <row r="29" spans="1:10">
      <c r="A29" s="791">
        <v>11</v>
      </c>
      <c r="B29" s="724">
        <v>44378</v>
      </c>
      <c r="C29" s="724">
        <v>44394</v>
      </c>
      <c r="D29" s="897">
        <v>0</v>
      </c>
      <c r="E29" s="796">
        <v>1.9E-2</v>
      </c>
      <c r="F29" s="897">
        <f t="shared" si="0"/>
        <v>5.1567779546513037E-5</v>
      </c>
      <c r="G29" s="1176">
        <f t="shared" si="1"/>
        <v>17</v>
      </c>
      <c r="H29" s="895">
        <f t="shared" si="2"/>
        <v>23263.979431453306</v>
      </c>
      <c r="J29" s="791">
        <v>23263</v>
      </c>
    </row>
    <row r="30" spans="1:10">
      <c r="A30" s="791">
        <v>12</v>
      </c>
      <c r="B30" s="724">
        <v>44395</v>
      </c>
      <c r="C30" s="724">
        <v>44408</v>
      </c>
      <c r="D30" s="796">
        <v>0.17180000000000001</v>
      </c>
      <c r="E30" s="796">
        <f t="shared" ref="E30:E35" si="3">+D30*1.5</f>
        <v>0.25770000000000004</v>
      </c>
      <c r="F30" s="897">
        <f t="shared" si="0"/>
        <v>6.2837448450037137E-4</v>
      </c>
      <c r="G30" s="1176">
        <f t="shared" si="1"/>
        <v>14</v>
      </c>
      <c r="H30" s="895">
        <f t="shared" si="2"/>
        <v>233455.02691922995</v>
      </c>
      <c r="J30" s="791">
        <v>233455</v>
      </c>
    </row>
    <row r="31" spans="1:10">
      <c r="A31" s="791">
        <v>13</v>
      </c>
      <c r="B31" s="724">
        <v>44409</v>
      </c>
      <c r="C31" s="724">
        <v>44439</v>
      </c>
      <c r="D31" s="796">
        <v>0.1724</v>
      </c>
      <c r="E31" s="796">
        <f t="shared" si="3"/>
        <v>0.2586</v>
      </c>
      <c r="F31" s="897">
        <f t="shared" si="0"/>
        <v>6.3033554269220637E-4</v>
      </c>
      <c r="G31" s="1176">
        <f t="shared" si="1"/>
        <v>31</v>
      </c>
      <c r="H31" s="895">
        <f t="shared" si="2"/>
        <v>518549.40760765341</v>
      </c>
      <c r="J31" s="791">
        <v>518549</v>
      </c>
    </row>
    <row r="32" spans="1:10">
      <c r="A32" s="791">
        <v>14</v>
      </c>
      <c r="B32" s="724">
        <v>44440</v>
      </c>
      <c r="C32" s="724">
        <v>44469</v>
      </c>
      <c r="D32" s="796">
        <v>0.1719</v>
      </c>
      <c r="E32" s="796">
        <f t="shared" si="3"/>
        <v>0.25785000000000002</v>
      </c>
      <c r="F32" s="897">
        <f t="shared" si="0"/>
        <v>6.2870142469861889E-4</v>
      </c>
      <c r="G32" s="1176">
        <f t="shared" si="1"/>
        <v>30</v>
      </c>
      <c r="H32" s="895">
        <f t="shared" si="2"/>
        <v>500521.05522442609</v>
      </c>
      <c r="J32" s="791">
        <v>500521</v>
      </c>
    </row>
    <row r="33" spans="1:10">
      <c r="A33" s="791">
        <v>15</v>
      </c>
      <c r="B33" s="724">
        <v>44470</v>
      </c>
      <c r="C33" s="724">
        <v>44500</v>
      </c>
      <c r="D33" s="796">
        <v>0.17080000000000001</v>
      </c>
      <c r="E33" s="796">
        <f t="shared" si="3"/>
        <v>0.25619999999999998</v>
      </c>
      <c r="F33" s="897">
        <f t="shared" si="0"/>
        <v>6.2510294214179751E-4</v>
      </c>
      <c r="G33" s="1176">
        <f t="shared" si="1"/>
        <v>31</v>
      </c>
      <c r="H33" s="895">
        <f t="shared" si="2"/>
        <v>514244.77661052917</v>
      </c>
      <c r="J33" s="791">
        <v>514244</v>
      </c>
    </row>
    <row r="34" spans="1:10">
      <c r="A34" s="791">
        <v>16</v>
      </c>
      <c r="B34" s="724">
        <v>44501</v>
      </c>
      <c r="C34" s="724">
        <v>44530</v>
      </c>
      <c r="D34" s="796">
        <v>0.17269999999999999</v>
      </c>
      <c r="E34" s="796">
        <f t="shared" si="3"/>
        <v>0.25905</v>
      </c>
      <c r="F34" s="897">
        <f t="shared" si="0"/>
        <v>6.3131554742335005E-4</v>
      </c>
      <c r="G34" s="1176">
        <f t="shared" si="1"/>
        <v>30</v>
      </c>
      <c r="H34" s="895">
        <f t="shared" si="2"/>
        <v>502602.20760179788</v>
      </c>
      <c r="J34" s="791">
        <v>502602</v>
      </c>
    </row>
    <row r="35" spans="1:10">
      <c r="A35" s="791">
        <v>17</v>
      </c>
      <c r="B35" s="724">
        <v>44531</v>
      </c>
      <c r="C35" s="724">
        <v>44558</v>
      </c>
      <c r="D35" s="796">
        <v>0.17460000000000001</v>
      </c>
      <c r="E35" s="796">
        <f t="shared" si="3"/>
        <v>0.26190000000000002</v>
      </c>
      <c r="F35" s="897">
        <f t="shared" si="0"/>
        <v>6.3751414410861962E-4</v>
      </c>
      <c r="G35" s="1176">
        <f t="shared" si="1"/>
        <v>28</v>
      </c>
      <c r="H35" s="895">
        <f t="shared" si="2"/>
        <v>473701.2254487226</v>
      </c>
      <c r="J35" s="791">
        <v>473701</v>
      </c>
    </row>
    <row r="36" spans="1:10">
      <c r="F36" s="2747" t="s">
        <v>913</v>
      </c>
      <c r="G36" s="2748"/>
      <c r="H36" s="895">
        <f>SUM(H19:H35)</f>
        <v>3159782.5266295685</v>
      </c>
      <c r="J36" s="982">
        <f>SUM(J19:J35)</f>
        <v>3159777</v>
      </c>
    </row>
    <row r="37" spans="1:10">
      <c r="B37" s="2686" t="s">
        <v>1103</v>
      </c>
      <c r="C37" s="2686"/>
      <c r="H37" s="879"/>
      <c r="J37" s="1881">
        <f>+C40-J36</f>
        <v>5.5266295685432851</v>
      </c>
    </row>
    <row r="38" spans="1:10">
      <c r="B38" s="726" t="s">
        <v>56</v>
      </c>
      <c r="C38" s="881"/>
    </row>
    <row r="39" spans="1:10">
      <c r="B39" s="741" t="s">
        <v>133</v>
      </c>
      <c r="C39" s="850">
        <f>+C16</f>
        <v>26537295</v>
      </c>
    </row>
    <row r="40" spans="1:10">
      <c r="B40" s="741" t="s">
        <v>134</v>
      </c>
      <c r="C40" s="850">
        <f>+H36</f>
        <v>3159782.5266295685</v>
      </c>
    </row>
    <row r="41" spans="1:10" ht="13.5" thickBot="1">
      <c r="B41" s="743" t="s">
        <v>61</v>
      </c>
      <c r="C41" s="1314">
        <f>SUM(C39:C40)</f>
        <v>29697077.526629567</v>
      </c>
    </row>
    <row r="42" spans="1:10" ht="13.5" thickTop="1">
      <c r="B42" s="719" t="s">
        <v>62</v>
      </c>
    </row>
    <row r="43" spans="1:10">
      <c r="B43" s="911"/>
    </row>
    <row r="44" spans="1:10">
      <c r="B44" s="911"/>
    </row>
    <row r="45" spans="1:10">
      <c r="B45" s="719" t="s">
        <v>63</v>
      </c>
    </row>
    <row r="46" spans="1:10">
      <c r="B46" s="719" t="s">
        <v>64</v>
      </c>
    </row>
    <row r="47" spans="1:10">
      <c r="B47" s="719" t="s">
        <v>65</v>
      </c>
    </row>
    <row r="50" spans="2:3">
      <c r="B50" s="2686" t="s">
        <v>1103</v>
      </c>
      <c r="C50" s="2686"/>
    </row>
    <row r="51" spans="2:3">
      <c r="B51" s="726" t="s">
        <v>56</v>
      </c>
      <c r="C51" s="881"/>
    </row>
    <row r="52" spans="2:3">
      <c r="B52" s="741" t="s">
        <v>133</v>
      </c>
      <c r="C52" s="850">
        <f>+C39</f>
        <v>26537295</v>
      </c>
    </row>
    <row r="53" spans="2:3">
      <c r="B53" s="741" t="s">
        <v>134</v>
      </c>
      <c r="C53" s="850">
        <f>+J36</f>
        <v>3159777</v>
      </c>
    </row>
    <row r="54" spans="2:3" ht="13.5" thickBot="1">
      <c r="B54" s="743" t="s">
        <v>61</v>
      </c>
      <c r="C54" s="1314">
        <f>SUM(C52:C53)</f>
        <v>29697072</v>
      </c>
    </row>
    <row r="55" spans="2:3" ht="13.5" thickTop="1"/>
  </sheetData>
  <mergeCells count="5">
    <mergeCell ref="D18:E18"/>
    <mergeCell ref="B37:C37"/>
    <mergeCell ref="B17:H17"/>
    <mergeCell ref="F36:G36"/>
    <mergeCell ref="B50:C50"/>
  </mergeCell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0084D-74C0-4382-A24A-35F24E5DC2D5}">
  <sheetPr codeName="Hoja55"/>
  <dimension ref="A3:L113"/>
  <sheetViews>
    <sheetView topLeftCell="A106" workbookViewId="0">
      <selection activeCell="K8" sqref="K8"/>
    </sheetView>
  </sheetViews>
  <sheetFormatPr defaultColWidth="9.140625" defaultRowHeight="12.75"/>
  <cols>
    <col min="1" max="1" width="3.85546875" style="217" customWidth="1"/>
    <col min="2" max="2" width="13.140625" style="217" customWidth="1"/>
    <col min="3" max="3" width="27.140625" style="217" customWidth="1"/>
    <col min="4" max="4" width="22.28515625" style="217" customWidth="1"/>
    <col min="5" max="5" width="9.5703125" style="217" customWidth="1"/>
    <col min="6" max="6" width="16.5703125" style="1664" bestFit="1" customWidth="1"/>
    <col min="7" max="7" width="11.42578125" style="217" customWidth="1"/>
    <col min="8" max="8" width="12.85546875" style="217" customWidth="1"/>
    <col min="9" max="9" width="20.28515625" style="217" bestFit="1" customWidth="1"/>
    <col min="10" max="10" width="20.5703125" style="217" bestFit="1" customWidth="1"/>
    <col min="11" max="11" width="13.85546875" style="217" bestFit="1" customWidth="1"/>
    <col min="12" max="12" width="16.5703125" style="217" bestFit="1" customWidth="1"/>
    <col min="13" max="258" width="11.42578125" style="217" customWidth="1"/>
    <col min="259" max="16384" width="9.140625" style="217"/>
  </cols>
  <sheetData>
    <row r="3" spans="3:11" ht="15.75">
      <c r="C3" s="2749" t="s">
        <v>1157</v>
      </c>
      <c r="D3" s="2749"/>
      <c r="E3" s="2749"/>
      <c r="F3" s="2749"/>
      <c r="G3" s="2749"/>
      <c r="H3" s="2749"/>
      <c r="I3" s="2749"/>
    </row>
    <row r="4" spans="3:11">
      <c r="C4" s="219" t="s">
        <v>508</v>
      </c>
      <c r="D4" s="219" t="s">
        <v>1158</v>
      </c>
      <c r="E4" s="216"/>
      <c r="F4" s="1661"/>
      <c r="G4" s="216"/>
      <c r="H4" s="216"/>
      <c r="I4" s="216"/>
    </row>
    <row r="5" spans="3:11">
      <c r="C5" s="219" t="s">
        <v>11</v>
      </c>
      <c r="D5" s="237">
        <v>42521</v>
      </c>
      <c r="E5" s="216"/>
      <c r="F5" s="1661"/>
      <c r="G5" s="216"/>
      <c r="H5" s="216"/>
      <c r="I5" s="216"/>
    </row>
    <row r="6" spans="3:11" ht="114.75">
      <c r="C6" s="219" t="s">
        <v>219</v>
      </c>
      <c r="D6" s="1619" t="s">
        <v>1159</v>
      </c>
      <c r="E6" s="216"/>
      <c r="F6" s="1661"/>
      <c r="G6" s="216"/>
      <c r="H6" s="216"/>
      <c r="I6" s="216"/>
    </row>
    <row r="7" spans="3:11">
      <c r="C7" s="219" t="s">
        <v>220</v>
      </c>
      <c r="D7" s="1619"/>
      <c r="E7" s="216"/>
      <c r="F7" s="1661"/>
      <c r="G7" s="216"/>
      <c r="H7" s="216"/>
      <c r="I7" s="216"/>
    </row>
    <row r="8" spans="3:11" ht="42" customHeight="1">
      <c r="C8" s="1609" t="s">
        <v>180</v>
      </c>
      <c r="D8" s="1662">
        <v>42522</v>
      </c>
      <c r="E8" s="216"/>
      <c r="F8" s="1661"/>
      <c r="G8" s="216"/>
      <c r="H8" s="216"/>
      <c r="I8" s="216"/>
      <c r="J8" s="217" t="s">
        <v>1160</v>
      </c>
      <c r="K8" s="1662">
        <v>42977</v>
      </c>
    </row>
    <row r="9" spans="3:11">
      <c r="C9" s="219" t="s">
        <v>1161</v>
      </c>
      <c r="D9" s="216" t="s">
        <v>1162</v>
      </c>
      <c r="E9" s="216"/>
      <c r="F9" s="1661"/>
      <c r="G9" s="216"/>
      <c r="H9" s="216"/>
      <c r="I9" s="216"/>
    </row>
    <row r="10" spans="3:11" ht="46.5" customHeight="1">
      <c r="C10" s="216"/>
      <c r="D10" s="1663">
        <v>4664442480</v>
      </c>
      <c r="E10" s="216"/>
      <c r="F10" s="1661"/>
      <c r="G10" s="216"/>
      <c r="H10" s="216"/>
      <c r="I10" s="216"/>
    </row>
    <row r="11" spans="3:11" ht="25.5">
      <c r="C11" s="658" t="s">
        <v>1163</v>
      </c>
      <c r="D11" s="1558">
        <f>SUM(D10:D10)</f>
        <v>4664442480</v>
      </c>
      <c r="E11" s="216"/>
      <c r="F11" s="1661"/>
      <c r="G11" s="216"/>
      <c r="H11" s="216"/>
      <c r="I11" s="216"/>
    </row>
    <row r="12" spans="3:11">
      <c r="C12" s="221" t="s">
        <v>1164</v>
      </c>
      <c r="D12" s="532"/>
    </row>
    <row r="13" spans="3:11" ht="25.5">
      <c r="C13" s="1579" t="s">
        <v>1165</v>
      </c>
      <c r="D13" s="1718">
        <v>320833746</v>
      </c>
      <c r="E13" s="217" t="s">
        <v>685</v>
      </c>
    </row>
    <row r="14" spans="3:11" ht="25.5">
      <c r="C14" s="1579" t="s">
        <v>1165</v>
      </c>
      <c r="D14" s="1718">
        <v>1862657397</v>
      </c>
      <c r="E14" s="217" t="s">
        <v>685</v>
      </c>
    </row>
    <row r="15" spans="3:11" ht="25.5">
      <c r="C15" s="1579" t="s">
        <v>1166</v>
      </c>
      <c r="D15" s="1718">
        <v>813674740</v>
      </c>
      <c r="E15" s="217" t="s">
        <v>685</v>
      </c>
    </row>
    <row r="16" spans="3:11" ht="25.5">
      <c r="C16" s="1579" t="s">
        <v>1167</v>
      </c>
      <c r="D16" s="1718">
        <v>1096434833</v>
      </c>
      <c r="E16" s="217" t="s">
        <v>685</v>
      </c>
      <c r="F16" s="1718">
        <v>1189783145</v>
      </c>
    </row>
    <row r="17" spans="1:12">
      <c r="C17" s="1582" t="s">
        <v>1168</v>
      </c>
      <c r="D17" s="2131">
        <f>SUM(D13:D16)</f>
        <v>4093600716</v>
      </c>
    </row>
    <row r="18" spans="1:12">
      <c r="C18" s="222"/>
      <c r="F18" s="217"/>
      <c r="H18" s="532"/>
    </row>
    <row r="19" spans="1:12">
      <c r="C19" s="222"/>
      <c r="D19" s="532"/>
    </row>
    <row r="20" spans="1:12" ht="15.75">
      <c r="A20" s="686"/>
      <c r="B20" s="686"/>
      <c r="C20" s="2750" t="s">
        <v>1169</v>
      </c>
      <c r="D20" s="2750"/>
      <c r="E20" s="2750"/>
      <c r="F20" s="2750"/>
      <c r="G20" s="2750"/>
      <c r="H20" s="2750"/>
      <c r="I20" s="2750"/>
      <c r="J20" s="2042"/>
      <c r="K20" s="217" t="s">
        <v>1170</v>
      </c>
    </row>
    <row r="21" spans="1:12" ht="33" customHeight="1">
      <c r="A21" s="686"/>
      <c r="B21" s="2026" t="s">
        <v>206</v>
      </c>
      <c r="C21" s="2026" t="s">
        <v>10</v>
      </c>
      <c r="D21" s="2026" t="s">
        <v>198</v>
      </c>
      <c r="E21" s="2027" t="s">
        <v>148</v>
      </c>
      <c r="F21" s="2028" t="s">
        <v>149</v>
      </c>
      <c r="G21" s="2029" t="s">
        <v>1171</v>
      </c>
      <c r="H21" s="2030" t="s">
        <v>47</v>
      </c>
      <c r="I21" s="2030" t="s">
        <v>1172</v>
      </c>
      <c r="J21" s="2039" t="s">
        <v>1173</v>
      </c>
    </row>
    <row r="22" spans="1:12" ht="13.5">
      <c r="A22" s="702">
        <v>1</v>
      </c>
      <c r="B22" s="2031">
        <v>42522</v>
      </c>
      <c r="C22" s="2031">
        <v>42551</v>
      </c>
      <c r="D22" s="2130">
        <f>+$D$11</f>
        <v>4664442480</v>
      </c>
      <c r="E22" s="2129">
        <v>0.2054</v>
      </c>
      <c r="F22" s="2134"/>
      <c r="G22" s="909">
        <f t="shared" ref="G22:G31" si="0">((1+E22)^(1/365))-1</f>
        <v>5.1194322306513662E-4</v>
      </c>
      <c r="H22" s="2033">
        <f t="shared" ref="H22:H85" si="1">+_xlfn.DAYS(C22,B22)+1</f>
        <v>30</v>
      </c>
      <c r="I22" s="1356">
        <f>ROUND(D22*G22*H22,2)</f>
        <v>71637891.510000005</v>
      </c>
      <c r="J22" s="2040">
        <f t="shared" ref="J22:J85" si="2">D22*(((1+G22)^H22)-1)</f>
        <v>72172221.964878589</v>
      </c>
      <c r="L22" s="546"/>
    </row>
    <row r="23" spans="1:12" ht="13.5">
      <c r="A23" s="702">
        <v>2</v>
      </c>
      <c r="B23" s="2031">
        <v>42552</v>
      </c>
      <c r="C23" s="2031">
        <v>42582</v>
      </c>
      <c r="D23" s="1722">
        <f t="shared" ref="D23:D85" si="3">+$D$11</f>
        <v>4664442480</v>
      </c>
      <c r="E23" s="2129">
        <v>0.21340000000000001</v>
      </c>
      <c r="F23" s="2135"/>
      <c r="G23" s="909">
        <f t="shared" si="0"/>
        <v>5.3007560901296991E-4</v>
      </c>
      <c r="H23" s="2033">
        <f t="shared" si="1"/>
        <v>31</v>
      </c>
      <c r="I23" s="1356">
        <f t="shared" ref="I23:I86" si="4">ROUND(D23*G23*H23,2)</f>
        <v>76647722.840000004</v>
      </c>
      <c r="J23" s="2040">
        <f t="shared" si="2"/>
        <v>77260293.573808894</v>
      </c>
      <c r="L23" s="546"/>
    </row>
    <row r="24" spans="1:12" ht="13.5">
      <c r="A24" s="702">
        <v>3</v>
      </c>
      <c r="B24" s="2031">
        <v>42583</v>
      </c>
      <c r="C24" s="2031">
        <v>42613</v>
      </c>
      <c r="D24" s="1722">
        <f t="shared" si="3"/>
        <v>4664442480</v>
      </c>
      <c r="E24" s="2129">
        <v>0.21340000000000001</v>
      </c>
      <c r="F24" s="2135"/>
      <c r="G24" s="909">
        <f t="shared" si="0"/>
        <v>5.3007560901296991E-4</v>
      </c>
      <c r="H24" s="2033">
        <f t="shared" si="1"/>
        <v>31</v>
      </c>
      <c r="I24" s="1356">
        <f t="shared" si="4"/>
        <v>76647722.840000004</v>
      </c>
      <c r="J24" s="2040">
        <f t="shared" si="2"/>
        <v>77260293.573808894</v>
      </c>
      <c r="L24" s="546"/>
    </row>
    <row r="25" spans="1:12" ht="13.5">
      <c r="A25" s="702">
        <v>4</v>
      </c>
      <c r="B25" s="2031">
        <v>42614</v>
      </c>
      <c r="C25" s="2031">
        <v>42643</v>
      </c>
      <c r="D25" s="1722">
        <f t="shared" si="3"/>
        <v>4664442480</v>
      </c>
      <c r="E25" s="2129">
        <v>0.21340000000000001</v>
      </c>
      <c r="F25" s="2135"/>
      <c r="G25" s="909">
        <f t="shared" si="0"/>
        <v>5.3007560901296991E-4</v>
      </c>
      <c r="H25" s="2033">
        <f t="shared" si="1"/>
        <v>30</v>
      </c>
      <c r="I25" s="1356">
        <f t="shared" si="4"/>
        <v>74175215.650000006</v>
      </c>
      <c r="J25" s="2040">
        <f t="shared" si="2"/>
        <v>74748164.206852898</v>
      </c>
      <c r="L25" s="546"/>
    </row>
    <row r="26" spans="1:12" ht="13.5">
      <c r="A26" s="702">
        <v>5</v>
      </c>
      <c r="B26" s="2031">
        <v>42644</v>
      </c>
      <c r="C26" s="2031">
        <v>42674</v>
      </c>
      <c r="D26" s="1722">
        <f t="shared" si="3"/>
        <v>4664442480</v>
      </c>
      <c r="E26" s="2129">
        <v>0.21990000000000001</v>
      </c>
      <c r="F26" s="2135"/>
      <c r="G26" s="909">
        <f t="shared" si="0"/>
        <v>5.4472060277621637E-4</v>
      </c>
      <c r="H26" s="2033">
        <f t="shared" si="1"/>
        <v>31</v>
      </c>
      <c r="I26" s="1356">
        <f t="shared" si="4"/>
        <v>78765355.5</v>
      </c>
      <c r="J26" s="2040">
        <f t="shared" si="2"/>
        <v>79412333.975973487</v>
      </c>
      <c r="L26" s="546"/>
    </row>
    <row r="27" spans="1:12" ht="13.5">
      <c r="A27" s="702">
        <v>6</v>
      </c>
      <c r="B27" s="2031">
        <v>42675</v>
      </c>
      <c r="C27" s="2031">
        <v>42704</v>
      </c>
      <c r="D27" s="1722">
        <f t="shared" si="3"/>
        <v>4664442480</v>
      </c>
      <c r="E27" s="2129">
        <v>0.21990000000000001</v>
      </c>
      <c r="F27" s="2135"/>
      <c r="G27" s="909">
        <f t="shared" si="0"/>
        <v>5.4472060277621637E-4</v>
      </c>
      <c r="H27" s="2033">
        <f t="shared" si="1"/>
        <v>30</v>
      </c>
      <c r="I27" s="1356">
        <f t="shared" si="4"/>
        <v>76224537.579999998</v>
      </c>
      <c r="J27" s="2040">
        <f t="shared" si="2"/>
        <v>76829665.355029523</v>
      </c>
      <c r="L27" s="546"/>
    </row>
    <row r="28" spans="1:12" ht="13.5">
      <c r="A28" s="702">
        <v>7</v>
      </c>
      <c r="B28" s="2031">
        <v>42705</v>
      </c>
      <c r="C28" s="2031">
        <v>42735</v>
      </c>
      <c r="D28" s="1722">
        <f t="shared" si="3"/>
        <v>4664442480</v>
      </c>
      <c r="E28" s="2129">
        <v>0.21990000000000001</v>
      </c>
      <c r="F28" s="2135"/>
      <c r="G28" s="909">
        <f t="shared" si="0"/>
        <v>5.4472060277621637E-4</v>
      </c>
      <c r="H28" s="2033">
        <f t="shared" si="1"/>
        <v>31</v>
      </c>
      <c r="I28" s="1356">
        <f t="shared" si="4"/>
        <v>78765355.5</v>
      </c>
      <c r="J28" s="2040">
        <f t="shared" si="2"/>
        <v>79412333.975973487</v>
      </c>
      <c r="L28" s="546"/>
    </row>
    <row r="29" spans="1:12" ht="13.5">
      <c r="A29" s="702">
        <v>8</v>
      </c>
      <c r="B29" s="2031">
        <v>42736</v>
      </c>
      <c r="C29" s="2031">
        <v>42766</v>
      </c>
      <c r="D29" s="1722">
        <f t="shared" si="3"/>
        <v>4664442480</v>
      </c>
      <c r="E29" s="2129">
        <v>0.22339999999999999</v>
      </c>
      <c r="F29" s="2135"/>
      <c r="G29" s="909">
        <f t="shared" si="0"/>
        <v>5.5257416857701358E-4</v>
      </c>
      <c r="H29" s="2033">
        <f t="shared" si="1"/>
        <v>31</v>
      </c>
      <c r="I29" s="1356">
        <f t="shared" si="4"/>
        <v>79900963.180000007</v>
      </c>
      <c r="J29" s="2040">
        <f t="shared" si="2"/>
        <v>80566782.570287883</v>
      </c>
    </row>
    <row r="30" spans="1:12" ht="13.5">
      <c r="A30" s="702">
        <v>9</v>
      </c>
      <c r="B30" s="2031">
        <v>42767</v>
      </c>
      <c r="C30" s="2031">
        <v>42794</v>
      </c>
      <c r="D30" s="1722">
        <f t="shared" si="3"/>
        <v>4664442480</v>
      </c>
      <c r="E30" s="2129">
        <v>0.22339999999999999</v>
      </c>
      <c r="F30" s="2135"/>
      <c r="G30" s="909">
        <f t="shared" si="0"/>
        <v>5.5257416857701358E-4</v>
      </c>
      <c r="H30" s="2033">
        <f t="shared" si="1"/>
        <v>28</v>
      </c>
      <c r="I30" s="1356">
        <f t="shared" si="4"/>
        <v>72168611.909999996</v>
      </c>
      <c r="J30" s="2040">
        <f t="shared" si="2"/>
        <v>72709558.92243728</v>
      </c>
    </row>
    <row r="31" spans="1:12" ht="13.5">
      <c r="A31" s="702">
        <v>10</v>
      </c>
      <c r="B31" s="2031">
        <v>42795</v>
      </c>
      <c r="C31" s="2031">
        <v>42825</v>
      </c>
      <c r="D31" s="1722">
        <f t="shared" si="3"/>
        <v>4664442480</v>
      </c>
      <c r="E31" s="2129">
        <v>0.22339999999999999</v>
      </c>
      <c r="F31" s="2129"/>
      <c r="G31" s="909">
        <f t="shared" si="0"/>
        <v>5.5257416857701358E-4</v>
      </c>
      <c r="H31" s="2033">
        <f t="shared" si="1"/>
        <v>31</v>
      </c>
      <c r="I31" s="1356">
        <f t="shared" si="4"/>
        <v>79900963.180000007</v>
      </c>
      <c r="J31" s="2040">
        <f t="shared" si="2"/>
        <v>80566782.570287883</v>
      </c>
    </row>
    <row r="32" spans="1:12" ht="13.5">
      <c r="A32" s="702">
        <v>11</v>
      </c>
      <c r="B32" s="2031">
        <v>42826</v>
      </c>
      <c r="C32" s="2031">
        <v>42855</v>
      </c>
      <c r="D32" s="1722">
        <f t="shared" si="3"/>
        <v>4664442480</v>
      </c>
      <c r="E32" s="2129">
        <v>0.2233</v>
      </c>
      <c r="F32" s="2129">
        <f t="shared" ref="F32:F89" si="5">+E32*1.5</f>
        <v>0.33494999999999997</v>
      </c>
      <c r="G32" s="909">
        <f>((1+F32)^(1/365))-1</f>
        <v>7.9180327787309324E-4</v>
      </c>
      <c r="H32" s="2033">
        <f t="shared" si="1"/>
        <v>30</v>
      </c>
      <c r="I32" s="1356">
        <f t="shared" si="4"/>
        <v>110799625.34999999</v>
      </c>
      <c r="J32" s="2040">
        <f t="shared" si="2"/>
        <v>112081183.72965768</v>
      </c>
      <c r="K32" s="1665"/>
    </row>
    <row r="33" spans="1:11" ht="13.5">
      <c r="A33" s="702">
        <v>12</v>
      </c>
      <c r="B33" s="2031">
        <v>42856</v>
      </c>
      <c r="C33" s="2031">
        <v>42886</v>
      </c>
      <c r="D33" s="1722">
        <f t="shared" si="3"/>
        <v>4664442480</v>
      </c>
      <c r="E33" s="2032">
        <v>0.2233</v>
      </c>
      <c r="F33" s="2034">
        <f t="shared" si="5"/>
        <v>0.33494999999999997</v>
      </c>
      <c r="G33" s="909">
        <f t="shared" ref="G33:G89" si="6">((1+F33)^(1/365))-1</f>
        <v>7.9180327787309324E-4</v>
      </c>
      <c r="H33" s="2033">
        <f t="shared" si="1"/>
        <v>31</v>
      </c>
      <c r="I33" s="1356">
        <f t="shared" si="4"/>
        <v>114492946.2</v>
      </c>
      <c r="J33" s="2040">
        <f t="shared" si="2"/>
        <v>115863250.82343695</v>
      </c>
    </row>
    <row r="34" spans="1:11" ht="13.5">
      <c r="A34" s="702">
        <v>13</v>
      </c>
      <c r="B34" s="2031">
        <v>42887</v>
      </c>
      <c r="C34" s="2031">
        <v>42916</v>
      </c>
      <c r="D34" s="1722">
        <f t="shared" si="3"/>
        <v>4664442480</v>
      </c>
      <c r="E34" s="2032">
        <v>0.2233</v>
      </c>
      <c r="F34" s="2034">
        <f t="shared" si="5"/>
        <v>0.33494999999999997</v>
      </c>
      <c r="G34" s="909">
        <f t="shared" si="6"/>
        <v>7.9180327787309324E-4</v>
      </c>
      <c r="H34" s="2033">
        <f t="shared" si="1"/>
        <v>30</v>
      </c>
      <c r="I34" s="1356">
        <f t="shared" si="4"/>
        <v>110799625.34999999</v>
      </c>
      <c r="J34" s="2040">
        <f t="shared" si="2"/>
        <v>112081183.72965768</v>
      </c>
    </row>
    <row r="35" spans="1:11" ht="13.5">
      <c r="A35" s="702">
        <v>14</v>
      </c>
      <c r="B35" s="2031">
        <v>42917</v>
      </c>
      <c r="C35" s="2031">
        <v>42947</v>
      </c>
      <c r="D35" s="1722">
        <f t="shared" si="3"/>
        <v>4664442480</v>
      </c>
      <c r="E35" s="2032">
        <v>0.2198</v>
      </c>
      <c r="F35" s="2034">
        <f t="shared" si="5"/>
        <v>0.32969999999999999</v>
      </c>
      <c r="G35" s="909">
        <f t="shared" si="6"/>
        <v>7.8099893845218205E-4</v>
      </c>
      <c r="H35" s="2033">
        <f t="shared" si="1"/>
        <v>31</v>
      </c>
      <c r="I35" s="1356">
        <f t="shared" si="4"/>
        <v>112930663.39</v>
      </c>
      <c r="J35" s="2040">
        <f t="shared" si="2"/>
        <v>114263687.19631134</v>
      </c>
    </row>
    <row r="36" spans="1:11" ht="13.5">
      <c r="A36" s="702">
        <v>15</v>
      </c>
      <c r="B36" s="2031">
        <v>42948</v>
      </c>
      <c r="C36" s="2031">
        <v>42978</v>
      </c>
      <c r="D36" s="1722">
        <f t="shared" si="3"/>
        <v>4664442480</v>
      </c>
      <c r="E36" s="2032">
        <v>0.2198</v>
      </c>
      <c r="F36" s="2034">
        <f t="shared" si="5"/>
        <v>0.32969999999999999</v>
      </c>
      <c r="G36" s="909">
        <f t="shared" si="6"/>
        <v>7.8099893845218205E-4</v>
      </c>
      <c r="H36" s="2033">
        <f t="shared" si="1"/>
        <v>31</v>
      </c>
      <c r="I36" s="1356">
        <f t="shared" si="4"/>
        <v>112930663.39</v>
      </c>
      <c r="J36" s="2040">
        <f t="shared" si="2"/>
        <v>114263687.19631134</v>
      </c>
      <c r="K36" s="1536"/>
    </row>
    <row r="37" spans="1:11" ht="13.5">
      <c r="A37" s="702">
        <v>16</v>
      </c>
      <c r="B37" s="2031">
        <v>42979</v>
      </c>
      <c r="C37" s="2031">
        <v>43008</v>
      </c>
      <c r="D37" s="1722">
        <f t="shared" si="3"/>
        <v>4664442480</v>
      </c>
      <c r="E37" s="2032">
        <v>0.21479999999999999</v>
      </c>
      <c r="F37" s="2034">
        <f t="shared" si="5"/>
        <v>0.32219999999999999</v>
      </c>
      <c r="G37" s="909">
        <f t="shared" si="6"/>
        <v>7.6549014202820231E-4</v>
      </c>
      <c r="H37" s="2033">
        <f t="shared" si="1"/>
        <v>30</v>
      </c>
      <c r="I37" s="1356">
        <f t="shared" si="4"/>
        <v>107117542.09</v>
      </c>
      <c r="J37" s="2040">
        <f t="shared" si="2"/>
        <v>108315043.42113502</v>
      </c>
    </row>
    <row r="38" spans="1:11" ht="13.5">
      <c r="A38" s="702">
        <v>17</v>
      </c>
      <c r="B38" s="2031">
        <v>43009</v>
      </c>
      <c r="C38" s="2031">
        <v>43039</v>
      </c>
      <c r="D38" s="1722">
        <f t="shared" si="3"/>
        <v>4664442480</v>
      </c>
      <c r="E38" s="2032">
        <v>0.21149999999999999</v>
      </c>
      <c r="F38" s="2034">
        <f t="shared" si="5"/>
        <v>0.31724999999999998</v>
      </c>
      <c r="G38" s="909">
        <f t="shared" si="6"/>
        <v>7.5520620308799913E-4</v>
      </c>
      <c r="H38" s="2033">
        <f t="shared" si="1"/>
        <v>31</v>
      </c>
      <c r="I38" s="1356">
        <f t="shared" si="4"/>
        <v>109201092.73999999</v>
      </c>
      <c r="J38" s="2040">
        <f t="shared" si="2"/>
        <v>110447211.61266278</v>
      </c>
    </row>
    <row r="39" spans="1:11" ht="15">
      <c r="A39" s="702">
        <v>18</v>
      </c>
      <c r="B39" s="2031">
        <v>43040</v>
      </c>
      <c r="C39" s="2031">
        <v>43069</v>
      </c>
      <c r="D39" s="1722">
        <f t="shared" si="3"/>
        <v>4664442480</v>
      </c>
      <c r="E39" s="2032">
        <v>0.20960000000000001</v>
      </c>
      <c r="F39" s="2034">
        <f t="shared" si="5"/>
        <v>0.31440000000000001</v>
      </c>
      <c r="G39" s="909">
        <f t="shared" si="6"/>
        <v>7.4926765057248268E-4</v>
      </c>
      <c r="H39" s="2033">
        <f t="shared" si="1"/>
        <v>30</v>
      </c>
      <c r="I39" s="1356">
        <f t="shared" si="4"/>
        <v>104847475.75</v>
      </c>
      <c r="J39" s="2040">
        <f t="shared" si="2"/>
        <v>105994585.04298349</v>
      </c>
      <c r="K39" s="1666"/>
    </row>
    <row r="40" spans="1:11" ht="13.5">
      <c r="A40" s="702">
        <v>19</v>
      </c>
      <c r="B40" s="2031">
        <v>43070</v>
      </c>
      <c r="C40" s="2031">
        <v>43100</v>
      </c>
      <c r="D40" s="1722">
        <f t="shared" si="3"/>
        <v>4664442480</v>
      </c>
      <c r="E40" s="2032">
        <v>0.2077</v>
      </c>
      <c r="F40" s="2034">
        <f t="shared" si="5"/>
        <v>0.31154999999999999</v>
      </c>
      <c r="G40" s="909">
        <f t="shared" si="6"/>
        <v>7.4331624292400811E-4</v>
      </c>
      <c r="H40" s="2033">
        <f t="shared" si="1"/>
        <v>31</v>
      </c>
      <c r="I40" s="1356">
        <f t="shared" si="4"/>
        <v>107481831.65000001</v>
      </c>
      <c r="J40" s="2040">
        <f t="shared" si="2"/>
        <v>108688882.4357485</v>
      </c>
    </row>
    <row r="41" spans="1:11" ht="13.5">
      <c r="A41" s="702">
        <v>20</v>
      </c>
      <c r="B41" s="2031">
        <v>43101</v>
      </c>
      <c r="C41" s="2031">
        <v>43131</v>
      </c>
      <c r="D41" s="1722">
        <f t="shared" si="3"/>
        <v>4664442480</v>
      </c>
      <c r="E41" s="2032">
        <v>0.2069</v>
      </c>
      <c r="F41" s="2034">
        <f t="shared" si="5"/>
        <v>0.31035000000000001</v>
      </c>
      <c r="G41" s="909">
        <f t="shared" si="6"/>
        <v>7.4080652774299871E-4</v>
      </c>
      <c r="H41" s="2033">
        <f t="shared" si="1"/>
        <v>31</v>
      </c>
      <c r="I41" s="1356">
        <f t="shared" si="4"/>
        <v>107118932.56</v>
      </c>
      <c r="J41" s="2040">
        <f t="shared" si="2"/>
        <v>108317817.01643325</v>
      </c>
    </row>
    <row r="42" spans="1:11" ht="13.5">
      <c r="A42" s="702">
        <v>21</v>
      </c>
      <c r="B42" s="2031">
        <v>43132</v>
      </c>
      <c r="C42" s="2031">
        <v>43159</v>
      </c>
      <c r="D42" s="1722">
        <f t="shared" si="3"/>
        <v>4664442480</v>
      </c>
      <c r="E42" s="2032">
        <v>0.21010000000000001</v>
      </c>
      <c r="F42" s="2034">
        <f t="shared" si="5"/>
        <v>0.31515000000000004</v>
      </c>
      <c r="G42" s="909">
        <f t="shared" si="6"/>
        <v>7.5083167162115494E-4</v>
      </c>
      <c r="H42" s="2033">
        <f t="shared" si="1"/>
        <v>28</v>
      </c>
      <c r="I42" s="1356">
        <f t="shared" si="4"/>
        <v>98061912.040000007</v>
      </c>
      <c r="J42" s="2040">
        <f t="shared" si="2"/>
        <v>99062388.383066416</v>
      </c>
    </row>
    <row r="43" spans="1:11" ht="13.5">
      <c r="A43" s="702">
        <v>22</v>
      </c>
      <c r="B43" s="2031">
        <v>43160</v>
      </c>
      <c r="C43" s="2031">
        <v>43190</v>
      </c>
      <c r="D43" s="1722">
        <f t="shared" si="3"/>
        <v>4664442480</v>
      </c>
      <c r="E43" s="2032">
        <v>0.20680000000000001</v>
      </c>
      <c r="F43" s="2034">
        <f t="shared" si="5"/>
        <v>0.31020000000000003</v>
      </c>
      <c r="G43" s="909">
        <f t="shared" si="6"/>
        <v>7.4049265219700011E-4</v>
      </c>
      <c r="H43" s="2033">
        <f t="shared" si="1"/>
        <v>31</v>
      </c>
      <c r="I43" s="1356">
        <f t="shared" si="4"/>
        <v>107073546.87</v>
      </c>
      <c r="J43" s="2040">
        <f t="shared" si="2"/>
        <v>108271411.97700436</v>
      </c>
    </row>
    <row r="44" spans="1:11" ht="13.5">
      <c r="A44" s="702">
        <v>23</v>
      </c>
      <c r="B44" s="2031">
        <v>43191</v>
      </c>
      <c r="C44" s="2031">
        <v>43220</v>
      </c>
      <c r="D44" s="1722">
        <f t="shared" si="3"/>
        <v>4664442480</v>
      </c>
      <c r="E44" s="2032">
        <v>0.20480000000000001</v>
      </c>
      <c r="F44" s="2034">
        <f t="shared" si="5"/>
        <v>0.30720000000000003</v>
      </c>
      <c r="G44" s="909">
        <f t="shared" si="6"/>
        <v>7.34207604366377E-4</v>
      </c>
      <c r="H44" s="2033">
        <f t="shared" si="1"/>
        <v>30</v>
      </c>
      <c r="I44" s="1356">
        <f t="shared" si="4"/>
        <v>102740074.17</v>
      </c>
      <c r="J44" s="2040">
        <f t="shared" si="2"/>
        <v>103841378.52598961</v>
      </c>
    </row>
    <row r="45" spans="1:11" ht="13.5">
      <c r="A45" s="702">
        <v>24</v>
      </c>
      <c r="B45" s="2031">
        <v>43221</v>
      </c>
      <c r="C45" s="2031">
        <v>43251</v>
      </c>
      <c r="D45" s="1722">
        <f t="shared" si="3"/>
        <v>4664442480</v>
      </c>
      <c r="E45" s="2032">
        <v>0.2044</v>
      </c>
      <c r="F45" s="2034">
        <f t="shared" si="5"/>
        <v>0.30659999999999998</v>
      </c>
      <c r="G45" s="909">
        <f t="shared" si="6"/>
        <v>7.3294886878794152E-4</v>
      </c>
      <c r="H45" s="2033">
        <f t="shared" si="1"/>
        <v>31</v>
      </c>
      <c r="I45" s="1356">
        <f t="shared" si="4"/>
        <v>105982733.02</v>
      </c>
      <c r="J45" s="2040">
        <f t="shared" si="2"/>
        <v>107156230.04037213</v>
      </c>
    </row>
    <row r="46" spans="1:11" ht="13.5">
      <c r="A46" s="702">
        <v>25</v>
      </c>
      <c r="B46" s="2031">
        <v>43252</v>
      </c>
      <c r="C46" s="2031">
        <v>43281</v>
      </c>
      <c r="D46" s="1722">
        <f t="shared" si="3"/>
        <v>4664442480</v>
      </c>
      <c r="E46" s="2032">
        <v>0.20280000000000001</v>
      </c>
      <c r="F46" s="2034">
        <f t="shared" si="5"/>
        <v>0.30420000000000003</v>
      </c>
      <c r="G46" s="909">
        <f t="shared" si="6"/>
        <v>7.2790815549184096E-4</v>
      </c>
      <c r="H46" s="2033">
        <f t="shared" si="1"/>
        <v>30</v>
      </c>
      <c r="I46" s="1356">
        <f t="shared" si="4"/>
        <v>101858571.66</v>
      </c>
      <c r="J46" s="2040">
        <f t="shared" si="2"/>
        <v>102940995.02833064</v>
      </c>
    </row>
    <row r="47" spans="1:11" ht="13.5">
      <c r="A47" s="702">
        <v>26</v>
      </c>
      <c r="B47" s="2031">
        <v>43282</v>
      </c>
      <c r="C47" s="2031">
        <v>43312</v>
      </c>
      <c r="D47" s="1722">
        <f t="shared" si="3"/>
        <v>4664442480</v>
      </c>
      <c r="E47" s="2032">
        <v>0.20030000000000001</v>
      </c>
      <c r="F47" s="2034">
        <f t="shared" si="5"/>
        <v>0.30044999999999999</v>
      </c>
      <c r="G47" s="909">
        <f t="shared" si="6"/>
        <v>7.2001349197825526E-4</v>
      </c>
      <c r="H47" s="2033">
        <f t="shared" si="1"/>
        <v>31</v>
      </c>
      <c r="I47" s="1356">
        <f t="shared" si="4"/>
        <v>104112307.06</v>
      </c>
      <c r="J47" s="2040">
        <f t="shared" si="2"/>
        <v>105244606.85521662</v>
      </c>
    </row>
    <row r="48" spans="1:11" ht="13.5">
      <c r="A48" s="702">
        <v>27</v>
      </c>
      <c r="B48" s="2031">
        <v>43313</v>
      </c>
      <c r="C48" s="2031">
        <v>43343</v>
      </c>
      <c r="D48" s="1722">
        <f t="shared" si="3"/>
        <v>4664442480</v>
      </c>
      <c r="E48" s="2032">
        <v>0.19939999999999999</v>
      </c>
      <c r="F48" s="2034">
        <f t="shared" si="5"/>
        <v>0.29909999999999998</v>
      </c>
      <c r="G48" s="909">
        <f t="shared" si="6"/>
        <v>7.1716585429704161E-4</v>
      </c>
      <c r="H48" s="2033">
        <f t="shared" si="1"/>
        <v>31</v>
      </c>
      <c r="I48" s="1356">
        <f t="shared" si="4"/>
        <v>103700545.16</v>
      </c>
      <c r="J48" s="2040">
        <f t="shared" si="2"/>
        <v>104823875.19837058</v>
      </c>
    </row>
    <row r="49" spans="1:10" ht="13.5">
      <c r="A49" s="702">
        <v>28</v>
      </c>
      <c r="B49" s="2031">
        <v>43344</v>
      </c>
      <c r="C49" s="2031">
        <v>43373</v>
      </c>
      <c r="D49" s="1722">
        <f t="shared" si="3"/>
        <v>4664442480</v>
      </c>
      <c r="E49" s="2032">
        <v>0.1981</v>
      </c>
      <c r="F49" s="2034">
        <f t="shared" si="5"/>
        <v>0.29715000000000003</v>
      </c>
      <c r="G49" s="909">
        <f t="shared" si="6"/>
        <v>7.1304738558919389E-4</v>
      </c>
      <c r="H49" s="2033">
        <f t="shared" si="1"/>
        <v>30</v>
      </c>
      <c r="I49" s="1356">
        <f t="shared" si="4"/>
        <v>99779055.469999999</v>
      </c>
      <c r="J49" s="2040">
        <f t="shared" si="2"/>
        <v>100817588.59658965</v>
      </c>
    </row>
    <row r="50" spans="1:10" ht="13.5">
      <c r="A50" s="702">
        <v>29</v>
      </c>
      <c r="B50" s="2031">
        <v>43374</v>
      </c>
      <c r="C50" s="2031">
        <v>43404</v>
      </c>
      <c r="D50" s="1722">
        <f t="shared" si="3"/>
        <v>4664442480</v>
      </c>
      <c r="E50" s="2032">
        <v>0.1963</v>
      </c>
      <c r="F50" s="2034">
        <f t="shared" si="5"/>
        <v>0.29444999999999999</v>
      </c>
      <c r="G50" s="909">
        <f t="shared" si="6"/>
        <v>7.073346857742191E-4</v>
      </c>
      <c r="H50" s="2033">
        <f t="shared" si="1"/>
        <v>31</v>
      </c>
      <c r="I50" s="1356">
        <f t="shared" si="4"/>
        <v>102278980.63</v>
      </c>
      <c r="J50" s="2040">
        <f t="shared" si="2"/>
        <v>103371619.57896112</v>
      </c>
    </row>
    <row r="51" spans="1:10" ht="13.5">
      <c r="A51" s="702">
        <v>30</v>
      </c>
      <c r="B51" s="2031">
        <v>43405</v>
      </c>
      <c r="C51" s="2031">
        <v>43434</v>
      </c>
      <c r="D51" s="1722">
        <f t="shared" si="3"/>
        <v>4664442480</v>
      </c>
      <c r="E51" s="2032">
        <v>0.19489999999999999</v>
      </c>
      <c r="F51" s="2034">
        <f t="shared" si="5"/>
        <v>0.29235</v>
      </c>
      <c r="G51" s="909">
        <f t="shared" si="6"/>
        <v>7.0288325333756063E-4</v>
      </c>
      <c r="H51" s="2033">
        <f t="shared" si="1"/>
        <v>30</v>
      </c>
      <c r="I51" s="1356">
        <f t="shared" si="4"/>
        <v>98356755.159999996</v>
      </c>
      <c r="J51" s="2040">
        <f t="shared" si="2"/>
        <v>99365795.76349172</v>
      </c>
    </row>
    <row r="52" spans="1:10" ht="13.5">
      <c r="A52" s="702">
        <v>31</v>
      </c>
      <c r="B52" s="2031">
        <v>43435</v>
      </c>
      <c r="C52" s="2031">
        <v>43465</v>
      </c>
      <c r="D52" s="1722">
        <f t="shared" si="3"/>
        <v>4664442480</v>
      </c>
      <c r="E52" s="2032">
        <v>0.19400000000000001</v>
      </c>
      <c r="F52" s="2034">
        <f t="shared" si="5"/>
        <v>0.29100000000000004</v>
      </c>
      <c r="G52" s="909">
        <f t="shared" si="6"/>
        <v>7.0001780740103214E-4</v>
      </c>
      <c r="H52" s="2033">
        <f t="shared" si="1"/>
        <v>31</v>
      </c>
      <c r="I52" s="1356">
        <f t="shared" si="4"/>
        <v>101220976.73</v>
      </c>
      <c r="J52" s="2040">
        <f t="shared" si="2"/>
        <v>102291051.51058595</v>
      </c>
    </row>
    <row r="53" spans="1:10" ht="13.5">
      <c r="A53" s="702">
        <v>32</v>
      </c>
      <c r="B53" s="2031">
        <v>43466</v>
      </c>
      <c r="C53" s="2031">
        <v>43496</v>
      </c>
      <c r="D53" s="1722">
        <f t="shared" si="3"/>
        <v>4664442480</v>
      </c>
      <c r="E53" s="2032">
        <v>0.19159999999999999</v>
      </c>
      <c r="F53" s="2034">
        <f t="shared" si="5"/>
        <v>0.28739999999999999</v>
      </c>
      <c r="G53" s="909">
        <f t="shared" si="6"/>
        <v>6.9236198468725085E-4</v>
      </c>
      <c r="H53" s="2033">
        <f t="shared" si="1"/>
        <v>31</v>
      </c>
      <c r="I53" s="1356">
        <f t="shared" si="4"/>
        <v>100113962.23999999</v>
      </c>
      <c r="J53" s="2040">
        <f t="shared" si="2"/>
        <v>101160681.3317648</v>
      </c>
    </row>
    <row r="54" spans="1:10" ht="13.5">
      <c r="A54" s="702">
        <v>33</v>
      </c>
      <c r="B54" s="2031">
        <v>43497</v>
      </c>
      <c r="C54" s="2031">
        <v>43524</v>
      </c>
      <c r="D54" s="1722">
        <f t="shared" si="3"/>
        <v>4664442480</v>
      </c>
      <c r="E54" s="2032">
        <v>0.19700000000000001</v>
      </c>
      <c r="F54" s="2034">
        <f t="shared" si="5"/>
        <v>0.29549999999999998</v>
      </c>
      <c r="G54" s="909">
        <f t="shared" si="6"/>
        <v>7.0955770203506852E-4</v>
      </c>
      <c r="H54" s="2033">
        <f t="shared" si="1"/>
        <v>28</v>
      </c>
      <c r="I54" s="1356">
        <f t="shared" si="4"/>
        <v>92671350.450000003</v>
      </c>
      <c r="J54" s="2040">
        <f t="shared" si="2"/>
        <v>93564535.210352957</v>
      </c>
    </row>
    <row r="55" spans="1:10" ht="13.5">
      <c r="A55" s="702">
        <v>34</v>
      </c>
      <c r="B55" s="2031">
        <v>43525</v>
      </c>
      <c r="C55" s="2031">
        <v>43555</v>
      </c>
      <c r="D55" s="1722">
        <f t="shared" si="3"/>
        <v>4664442480</v>
      </c>
      <c r="E55" s="2032">
        <v>0.19370000000000001</v>
      </c>
      <c r="F55" s="2034">
        <f t="shared" si="5"/>
        <v>0.29055000000000003</v>
      </c>
      <c r="G55" s="909">
        <f t="shared" si="6"/>
        <v>6.9906199467517638E-4</v>
      </c>
      <c r="H55" s="2033">
        <f t="shared" si="1"/>
        <v>31</v>
      </c>
      <c r="I55" s="1356">
        <f t="shared" si="4"/>
        <v>101082768.39</v>
      </c>
      <c r="J55" s="2040">
        <f t="shared" si="2"/>
        <v>102149913.09184651</v>
      </c>
    </row>
    <row r="56" spans="1:10" ht="13.5">
      <c r="A56" s="702">
        <v>35</v>
      </c>
      <c r="B56" s="2031">
        <v>43556</v>
      </c>
      <c r="C56" s="2031">
        <v>43585</v>
      </c>
      <c r="D56" s="1722">
        <f t="shared" si="3"/>
        <v>4664442480</v>
      </c>
      <c r="E56" s="2032">
        <v>0.19320000000000001</v>
      </c>
      <c r="F56" s="2034">
        <f t="shared" si="5"/>
        <v>0.2898</v>
      </c>
      <c r="G56" s="909">
        <f t="shared" si="6"/>
        <v>6.9746823462724095E-4</v>
      </c>
      <c r="H56" s="2033">
        <f t="shared" si="1"/>
        <v>30</v>
      </c>
      <c r="I56" s="1356">
        <f t="shared" si="4"/>
        <v>97599013.859999999</v>
      </c>
      <c r="J56" s="2040">
        <f t="shared" si="2"/>
        <v>98592516.677883506</v>
      </c>
    </row>
    <row r="57" spans="1:10" ht="13.5">
      <c r="A57" s="702">
        <v>36</v>
      </c>
      <c r="B57" s="2031">
        <v>43586</v>
      </c>
      <c r="C57" s="2031">
        <v>43616</v>
      </c>
      <c r="D57" s="1722">
        <f t="shared" si="3"/>
        <v>4664442480</v>
      </c>
      <c r="E57" s="2032">
        <v>0.19339999999999999</v>
      </c>
      <c r="F57" s="2034">
        <f t="shared" si="5"/>
        <v>0.29009999999999997</v>
      </c>
      <c r="G57" s="909">
        <f t="shared" si="6"/>
        <v>6.9810584952367805E-4</v>
      </c>
      <c r="H57" s="2033">
        <f t="shared" si="1"/>
        <v>31</v>
      </c>
      <c r="I57" s="1356">
        <f t="shared" si="4"/>
        <v>100944511.98</v>
      </c>
      <c r="J57" s="2040">
        <f t="shared" si="2"/>
        <v>102008729.63235044</v>
      </c>
    </row>
    <row r="58" spans="1:10" ht="13.5">
      <c r="A58" s="702">
        <v>37</v>
      </c>
      <c r="B58" s="2031">
        <v>43617</v>
      </c>
      <c r="C58" s="2031">
        <v>43646</v>
      </c>
      <c r="D58" s="1722">
        <f t="shared" si="3"/>
        <v>4664442480</v>
      </c>
      <c r="E58" s="2032">
        <v>0.193</v>
      </c>
      <c r="F58" s="2034">
        <f t="shared" si="5"/>
        <v>0.28949999999999998</v>
      </c>
      <c r="G58" s="909">
        <f t="shared" si="6"/>
        <v>6.9683047181468005E-4</v>
      </c>
      <c r="H58" s="2033">
        <f t="shared" si="1"/>
        <v>30</v>
      </c>
      <c r="I58" s="1356">
        <f t="shared" si="4"/>
        <v>97509769.620000005</v>
      </c>
      <c r="J58" s="2040">
        <f t="shared" si="2"/>
        <v>98501450.43797341</v>
      </c>
    </row>
    <row r="59" spans="1:10" ht="13.5">
      <c r="A59" s="702">
        <v>38</v>
      </c>
      <c r="B59" s="2031">
        <v>43647</v>
      </c>
      <c r="C59" s="2031">
        <v>43677</v>
      </c>
      <c r="D59" s="1722">
        <f t="shared" si="3"/>
        <v>4664442480</v>
      </c>
      <c r="E59" s="2032">
        <v>0.1928</v>
      </c>
      <c r="F59" s="2034">
        <f t="shared" si="5"/>
        <v>0.28920000000000001</v>
      </c>
      <c r="G59" s="909">
        <f t="shared" si="6"/>
        <v>6.9619256101671745E-4</v>
      </c>
      <c r="H59" s="2033">
        <f t="shared" si="1"/>
        <v>31</v>
      </c>
      <c r="I59" s="1356">
        <f t="shared" si="4"/>
        <v>100667854.83</v>
      </c>
      <c r="J59" s="2040">
        <f t="shared" si="2"/>
        <v>101726227.47059658</v>
      </c>
    </row>
    <row r="60" spans="1:10" ht="13.5">
      <c r="A60" s="702">
        <v>39</v>
      </c>
      <c r="B60" s="2031">
        <v>43678</v>
      </c>
      <c r="C60" s="2031">
        <v>43708</v>
      </c>
      <c r="D60" s="1722">
        <f t="shared" si="3"/>
        <v>4664442480</v>
      </c>
      <c r="E60" s="2032">
        <v>0.19320000000000001</v>
      </c>
      <c r="F60" s="2034">
        <f t="shared" si="5"/>
        <v>0.2898</v>
      </c>
      <c r="G60" s="909">
        <f t="shared" si="6"/>
        <v>6.9746823462724095E-4</v>
      </c>
      <c r="H60" s="2033">
        <f t="shared" si="1"/>
        <v>31</v>
      </c>
      <c r="I60" s="1356">
        <f t="shared" si="4"/>
        <v>100852314.31999999</v>
      </c>
      <c r="J60" s="2040">
        <f t="shared" si="2"/>
        <v>101914582.28848372</v>
      </c>
    </row>
    <row r="61" spans="1:10" ht="13.5">
      <c r="A61" s="702">
        <v>40</v>
      </c>
      <c r="B61" s="2031">
        <v>43709</v>
      </c>
      <c r="C61" s="2031">
        <v>43738</v>
      </c>
      <c r="D61" s="1722">
        <f t="shared" si="3"/>
        <v>4664442480</v>
      </c>
      <c r="E61" s="2032">
        <v>0.19320000000000001</v>
      </c>
      <c r="F61" s="2034">
        <f t="shared" si="5"/>
        <v>0.2898</v>
      </c>
      <c r="G61" s="909">
        <f t="shared" si="6"/>
        <v>6.9746823462724095E-4</v>
      </c>
      <c r="H61" s="2033">
        <f t="shared" si="1"/>
        <v>30</v>
      </c>
      <c r="I61" s="1356">
        <f t="shared" si="4"/>
        <v>97599013.859999999</v>
      </c>
      <c r="J61" s="2040">
        <f t="shared" si="2"/>
        <v>98592516.677883506</v>
      </c>
    </row>
    <row r="62" spans="1:10" ht="13.5">
      <c r="A62" s="702">
        <v>41</v>
      </c>
      <c r="B62" s="2031">
        <v>43739</v>
      </c>
      <c r="C62" s="2031">
        <v>43769</v>
      </c>
      <c r="D62" s="1722">
        <f t="shared" si="3"/>
        <v>4664442480</v>
      </c>
      <c r="E62" s="2032">
        <v>0.191</v>
      </c>
      <c r="F62" s="2034">
        <f t="shared" si="5"/>
        <v>0.28649999999999998</v>
      </c>
      <c r="G62" s="909">
        <f t="shared" si="6"/>
        <v>6.9044469314105683E-4</v>
      </c>
      <c r="H62" s="2033">
        <f t="shared" si="1"/>
        <v>31</v>
      </c>
      <c r="I62" s="1356">
        <f t="shared" si="4"/>
        <v>99836726.260000005</v>
      </c>
      <c r="J62" s="2040">
        <f t="shared" si="2"/>
        <v>100877636.87099384</v>
      </c>
    </row>
    <row r="63" spans="1:10" ht="13.5">
      <c r="A63" s="702">
        <v>42</v>
      </c>
      <c r="B63" s="2031">
        <v>43770</v>
      </c>
      <c r="C63" s="2031">
        <v>43799</v>
      </c>
      <c r="D63" s="1722">
        <f t="shared" si="3"/>
        <v>4664442480</v>
      </c>
      <c r="E63" s="2032">
        <v>0.1903</v>
      </c>
      <c r="F63" s="2034">
        <f t="shared" si="5"/>
        <v>0.28544999999999998</v>
      </c>
      <c r="G63" s="909">
        <f t="shared" si="6"/>
        <v>6.8820616169262827E-4</v>
      </c>
      <c r="H63" s="2033">
        <f t="shared" si="1"/>
        <v>30</v>
      </c>
      <c r="I63" s="1356">
        <f t="shared" si="4"/>
        <v>96302941.670000002</v>
      </c>
      <c r="J63" s="2040">
        <f t="shared" si="2"/>
        <v>97270149.263787001</v>
      </c>
    </row>
    <row r="64" spans="1:10" ht="13.5">
      <c r="A64" s="702">
        <v>43</v>
      </c>
      <c r="B64" s="2031">
        <v>43800</v>
      </c>
      <c r="C64" s="2031">
        <v>43830</v>
      </c>
      <c r="D64" s="1722">
        <f t="shared" si="3"/>
        <v>4664442480</v>
      </c>
      <c r="E64" s="2032">
        <v>0.18909999999999999</v>
      </c>
      <c r="F64" s="2034">
        <f t="shared" si="5"/>
        <v>0.28364999999999996</v>
      </c>
      <c r="G64" s="909">
        <f t="shared" si="6"/>
        <v>6.8436443340047504E-4</v>
      </c>
      <c r="H64" s="2033">
        <f t="shared" si="1"/>
        <v>31</v>
      </c>
      <c r="I64" s="1356">
        <f t="shared" si="4"/>
        <v>98957534.579999998</v>
      </c>
      <c r="J64" s="2040">
        <f t="shared" si="2"/>
        <v>99980132.500884444</v>
      </c>
    </row>
    <row r="65" spans="1:10" ht="13.5">
      <c r="A65" s="702">
        <v>44</v>
      </c>
      <c r="B65" s="2031">
        <v>43831</v>
      </c>
      <c r="C65" s="2031">
        <v>43861</v>
      </c>
      <c r="D65" s="1722">
        <f t="shared" si="3"/>
        <v>4664442480</v>
      </c>
      <c r="E65" s="2032">
        <v>0.18770000000000001</v>
      </c>
      <c r="F65" s="2034">
        <f t="shared" si="5"/>
        <v>0.28155000000000002</v>
      </c>
      <c r="G65" s="909">
        <f t="shared" si="6"/>
        <v>6.7987562124560696E-4</v>
      </c>
      <c r="H65" s="2033">
        <f t="shared" si="1"/>
        <v>31</v>
      </c>
      <c r="I65" s="1356">
        <f t="shared" si="4"/>
        <v>98308462.590000004</v>
      </c>
      <c r="J65" s="2040">
        <f t="shared" si="2"/>
        <v>99317645.948690638</v>
      </c>
    </row>
    <row r="66" spans="1:10" ht="13.5">
      <c r="A66" s="702">
        <v>45</v>
      </c>
      <c r="B66" s="2031">
        <v>43862</v>
      </c>
      <c r="C66" s="2031">
        <v>43890</v>
      </c>
      <c r="D66" s="1722">
        <f t="shared" si="3"/>
        <v>4664442480</v>
      </c>
      <c r="E66" s="2032">
        <v>0.19059999999999999</v>
      </c>
      <c r="F66" s="2034">
        <f t="shared" si="5"/>
        <v>0.28589999999999999</v>
      </c>
      <c r="G66" s="909">
        <f t="shared" si="6"/>
        <v>6.8916575551658532E-4</v>
      </c>
      <c r="H66" s="2033">
        <f t="shared" si="1"/>
        <v>29</v>
      </c>
      <c r="I66" s="1356">
        <f t="shared" si="4"/>
        <v>93222646.75</v>
      </c>
      <c r="J66" s="2040">
        <f t="shared" si="2"/>
        <v>94127692.587324768</v>
      </c>
    </row>
    <row r="67" spans="1:10" ht="13.5">
      <c r="A67" s="702">
        <v>46</v>
      </c>
      <c r="B67" s="2031">
        <v>43891</v>
      </c>
      <c r="C67" s="2031">
        <v>43921</v>
      </c>
      <c r="D67" s="1722">
        <f t="shared" si="3"/>
        <v>4664442480</v>
      </c>
      <c r="E67" s="2032">
        <v>0.1895</v>
      </c>
      <c r="F67" s="2034">
        <f t="shared" si="5"/>
        <v>0.28425</v>
      </c>
      <c r="G67" s="909">
        <f t="shared" si="6"/>
        <v>6.8564560609574166E-4</v>
      </c>
      <c r="H67" s="2033">
        <f t="shared" si="1"/>
        <v>31</v>
      </c>
      <c r="I67" s="1356">
        <f t="shared" si="4"/>
        <v>99142789.230000004</v>
      </c>
      <c r="J67" s="2040">
        <f t="shared" si="2"/>
        <v>100169232.21473877</v>
      </c>
    </row>
    <row r="68" spans="1:10" s="591" customFormat="1" ht="13.5">
      <c r="A68" s="702">
        <v>47</v>
      </c>
      <c r="B68" s="2031">
        <v>43922</v>
      </c>
      <c r="C68" s="2031">
        <v>43951</v>
      </c>
      <c r="D68" s="1722">
        <f t="shared" si="3"/>
        <v>4664442480</v>
      </c>
      <c r="E68" s="2034">
        <v>0.18690000000000001</v>
      </c>
      <c r="F68" s="2034">
        <f t="shared" si="5"/>
        <v>0.28034999999999999</v>
      </c>
      <c r="G68" s="909">
        <f t="shared" si="6"/>
        <v>6.7730729113191224E-4</v>
      </c>
      <c r="H68" s="2033">
        <f t="shared" si="1"/>
        <v>30</v>
      </c>
      <c r="I68" s="1356">
        <f t="shared" si="4"/>
        <v>94777827.019999996</v>
      </c>
      <c r="J68" s="2040">
        <f t="shared" si="2"/>
        <v>95714547.002320081</v>
      </c>
    </row>
    <row r="69" spans="1:10" s="591" customFormat="1" ht="13.5">
      <c r="A69" s="702">
        <v>48</v>
      </c>
      <c r="B69" s="2031">
        <v>43952</v>
      </c>
      <c r="C69" s="2031">
        <v>43982</v>
      </c>
      <c r="D69" s="1722">
        <f t="shared" si="3"/>
        <v>4664442480</v>
      </c>
      <c r="E69" s="2034">
        <v>0.18190000000000001</v>
      </c>
      <c r="F69" s="2034">
        <f t="shared" si="5"/>
        <v>0.27285000000000004</v>
      </c>
      <c r="G69" s="909">
        <f t="shared" si="6"/>
        <v>6.6120063584418354E-4</v>
      </c>
      <c r="H69" s="2033">
        <f t="shared" si="1"/>
        <v>31</v>
      </c>
      <c r="I69" s="1356">
        <f t="shared" si="4"/>
        <v>95608102.340000004</v>
      </c>
      <c r="J69" s="2040">
        <f t="shared" si="2"/>
        <v>96562433.355657563</v>
      </c>
    </row>
    <row r="70" spans="1:10" s="591" customFormat="1" ht="13.5">
      <c r="A70" s="702">
        <v>49</v>
      </c>
      <c r="B70" s="2031">
        <v>43983</v>
      </c>
      <c r="C70" s="2031">
        <v>44012</v>
      </c>
      <c r="D70" s="1722">
        <f t="shared" si="3"/>
        <v>4664442480</v>
      </c>
      <c r="E70" s="2034">
        <v>0.1812</v>
      </c>
      <c r="F70" s="2034">
        <f t="shared" si="5"/>
        <v>0.27179999999999999</v>
      </c>
      <c r="G70" s="909">
        <f t="shared" si="6"/>
        <v>6.5893815469997286E-4</v>
      </c>
      <c r="H70" s="2033">
        <f t="shared" si="1"/>
        <v>30</v>
      </c>
      <c r="I70" s="1356">
        <f t="shared" si="4"/>
        <v>92207373.609999999</v>
      </c>
      <c r="J70" s="2040">
        <f t="shared" si="2"/>
        <v>93093820.926303849</v>
      </c>
    </row>
    <row r="71" spans="1:10" s="591" customFormat="1" ht="13.5">
      <c r="A71" s="702">
        <v>50</v>
      </c>
      <c r="B71" s="2031">
        <v>44013</v>
      </c>
      <c r="C71" s="2031">
        <v>44043</v>
      </c>
      <c r="D71" s="1722">
        <f t="shared" si="3"/>
        <v>4664442480</v>
      </c>
      <c r="E71" s="2034">
        <v>0.1812</v>
      </c>
      <c r="F71" s="2034">
        <f t="shared" si="5"/>
        <v>0.27179999999999999</v>
      </c>
      <c r="G71" s="909">
        <f t="shared" si="6"/>
        <v>6.5893815469997286E-4</v>
      </c>
      <c r="H71" s="2033">
        <f t="shared" si="1"/>
        <v>31</v>
      </c>
      <c r="I71" s="1356">
        <f t="shared" si="4"/>
        <v>95280952.730000004</v>
      </c>
      <c r="J71" s="2040">
        <f t="shared" si="2"/>
        <v>96228743.117354602</v>
      </c>
    </row>
    <row r="72" spans="1:10" s="591" customFormat="1" ht="13.5">
      <c r="A72" s="702">
        <v>51</v>
      </c>
      <c r="B72" s="2031">
        <v>44044</v>
      </c>
      <c r="C72" s="2031">
        <v>44074</v>
      </c>
      <c r="D72" s="1722">
        <f t="shared" si="3"/>
        <v>4664442480</v>
      </c>
      <c r="E72" s="2034">
        <v>0.18290000000000001</v>
      </c>
      <c r="F72" s="2034">
        <f t="shared" si="5"/>
        <v>0.27434999999999998</v>
      </c>
      <c r="G72" s="909">
        <f t="shared" si="6"/>
        <v>6.6442952514544906E-4</v>
      </c>
      <c r="H72" s="2033">
        <f t="shared" si="1"/>
        <v>31</v>
      </c>
      <c r="I72" s="1356">
        <f t="shared" si="4"/>
        <v>96074992.359999999</v>
      </c>
      <c r="J72" s="2040">
        <f t="shared" si="2"/>
        <v>97038697.009152874</v>
      </c>
    </row>
    <row r="73" spans="1:10" ht="13.5">
      <c r="A73" s="702">
        <v>52</v>
      </c>
      <c r="B73" s="2031">
        <v>44075</v>
      </c>
      <c r="C73" s="2031">
        <v>44104</v>
      </c>
      <c r="D73" s="1722">
        <f t="shared" si="3"/>
        <v>4664442480</v>
      </c>
      <c r="E73" s="2034">
        <v>0.1835</v>
      </c>
      <c r="F73" s="2034">
        <f t="shared" si="5"/>
        <v>0.27524999999999999</v>
      </c>
      <c r="G73" s="909">
        <f t="shared" si="6"/>
        <v>6.6636503991857055E-4</v>
      </c>
      <c r="H73" s="2033">
        <f t="shared" si="1"/>
        <v>30</v>
      </c>
      <c r="I73" s="1356">
        <f t="shared" si="4"/>
        <v>93246641.980000004</v>
      </c>
      <c r="J73" s="2040">
        <f t="shared" si="2"/>
        <v>94153247.195891127</v>
      </c>
    </row>
    <row r="74" spans="1:10" ht="13.5">
      <c r="A74" s="702">
        <v>53</v>
      </c>
      <c r="B74" s="2031">
        <v>44105</v>
      </c>
      <c r="C74" s="2031">
        <v>44135</v>
      </c>
      <c r="D74" s="1722">
        <f t="shared" si="3"/>
        <v>4664442480</v>
      </c>
      <c r="E74" s="1920">
        <v>0.18090000000000001</v>
      </c>
      <c r="F74" s="2034">
        <f t="shared" si="5"/>
        <v>0.27134999999999998</v>
      </c>
      <c r="G74" s="909">
        <f t="shared" si="6"/>
        <v>6.5796794962613703E-4</v>
      </c>
      <c r="H74" s="2033">
        <f t="shared" si="1"/>
        <v>31</v>
      </c>
      <c r="I74" s="1356">
        <f t="shared" si="4"/>
        <v>95140663.299999997</v>
      </c>
      <c r="J74" s="2040">
        <f t="shared" si="2"/>
        <v>96085655.836761728</v>
      </c>
    </row>
    <row r="75" spans="1:10" ht="13.5">
      <c r="A75" s="702">
        <v>54</v>
      </c>
      <c r="B75" s="2031">
        <v>44136</v>
      </c>
      <c r="C75" s="2031">
        <v>44165</v>
      </c>
      <c r="D75" s="1722">
        <f t="shared" si="3"/>
        <v>4664442480</v>
      </c>
      <c r="E75" s="1920">
        <v>0.1784</v>
      </c>
      <c r="F75" s="2034">
        <f t="shared" si="5"/>
        <v>0.2676</v>
      </c>
      <c r="G75" s="909">
        <f t="shared" si="6"/>
        <v>6.4986956374091243E-4</v>
      </c>
      <c r="H75" s="2033">
        <f t="shared" si="1"/>
        <v>30</v>
      </c>
      <c r="I75" s="1356">
        <f t="shared" si="4"/>
        <v>90938375.989999995</v>
      </c>
      <c r="J75" s="2040">
        <f t="shared" si="2"/>
        <v>91800518.682113394</v>
      </c>
    </row>
    <row r="76" spans="1:10" ht="13.5">
      <c r="A76" s="702">
        <v>55</v>
      </c>
      <c r="B76" s="2031">
        <v>44166</v>
      </c>
      <c r="C76" s="2031">
        <v>44196</v>
      </c>
      <c r="D76" s="1722">
        <f t="shared" si="3"/>
        <v>4664442480</v>
      </c>
      <c r="E76" s="2034">
        <v>0.17460000000000001</v>
      </c>
      <c r="F76" s="2034">
        <f t="shared" si="5"/>
        <v>0.26190000000000002</v>
      </c>
      <c r="G76" s="909">
        <f t="shared" si="6"/>
        <v>6.3751414410861962E-4</v>
      </c>
      <c r="H76" s="2033">
        <f t="shared" si="1"/>
        <v>31</v>
      </c>
      <c r="I76" s="1356">
        <f t="shared" si="4"/>
        <v>92183089.719999999</v>
      </c>
      <c r="J76" s="2040">
        <f t="shared" si="2"/>
        <v>93070066.886369288</v>
      </c>
    </row>
    <row r="77" spans="1:10" ht="13.5">
      <c r="A77" s="702">
        <v>56</v>
      </c>
      <c r="B77" s="2031">
        <v>44197</v>
      </c>
      <c r="C77" s="2031">
        <v>44227</v>
      </c>
      <c r="D77" s="1722">
        <f t="shared" si="3"/>
        <v>4664442480</v>
      </c>
      <c r="E77" s="2034">
        <v>0.17319999999999999</v>
      </c>
      <c r="F77" s="2034">
        <f t="shared" si="5"/>
        <v>0.25979999999999998</v>
      </c>
      <c r="G77" s="909">
        <f t="shared" si="6"/>
        <v>6.3294811266723094E-4</v>
      </c>
      <c r="H77" s="2033">
        <f t="shared" si="1"/>
        <v>31</v>
      </c>
      <c r="I77" s="1356">
        <f t="shared" si="4"/>
        <v>91522852</v>
      </c>
      <c r="J77" s="2040">
        <f t="shared" si="2"/>
        <v>92397130.475671023</v>
      </c>
    </row>
    <row r="78" spans="1:10" ht="13.5">
      <c r="A78" s="702">
        <v>57</v>
      </c>
      <c r="B78" s="2031">
        <v>44228</v>
      </c>
      <c r="C78" s="2031">
        <v>44255</v>
      </c>
      <c r="D78" s="1722">
        <f t="shared" si="3"/>
        <v>4664442480</v>
      </c>
      <c r="E78" s="2034">
        <v>0.1754</v>
      </c>
      <c r="F78" s="2034">
        <f t="shared" si="5"/>
        <v>0.2631</v>
      </c>
      <c r="G78" s="909">
        <f t="shared" si="6"/>
        <v>6.4011990387169426E-4</v>
      </c>
      <c r="H78" s="2033">
        <f t="shared" si="1"/>
        <v>28</v>
      </c>
      <c r="I78" s="1356">
        <f t="shared" si="4"/>
        <v>83602469.209999993</v>
      </c>
      <c r="J78" s="2040">
        <f t="shared" si="2"/>
        <v>84328953.958685666</v>
      </c>
    </row>
    <row r="79" spans="1:10" ht="13.5">
      <c r="A79" s="702">
        <v>58</v>
      </c>
      <c r="B79" s="2031">
        <v>44256</v>
      </c>
      <c r="C79" s="2031">
        <v>44286</v>
      </c>
      <c r="D79" s="1722">
        <f t="shared" si="3"/>
        <v>4664442480</v>
      </c>
      <c r="E79" s="2034">
        <v>0.1741</v>
      </c>
      <c r="F79" s="2034">
        <f t="shared" si="5"/>
        <v>0.26114999999999999</v>
      </c>
      <c r="G79" s="909">
        <f t="shared" si="6"/>
        <v>6.3588428907812578E-4</v>
      </c>
      <c r="H79" s="2033">
        <f t="shared" si="1"/>
        <v>31</v>
      </c>
      <c r="I79" s="1356">
        <f t="shared" si="4"/>
        <v>91947416.400000006</v>
      </c>
      <c r="J79" s="2040">
        <f t="shared" si="2"/>
        <v>92829850.17227003</v>
      </c>
    </row>
    <row r="80" spans="1:10" ht="13.5">
      <c r="A80" s="702">
        <v>59</v>
      </c>
      <c r="B80" s="2031">
        <v>44287</v>
      </c>
      <c r="C80" s="2031">
        <v>44316</v>
      </c>
      <c r="D80" s="1722">
        <f t="shared" si="3"/>
        <v>4664442480</v>
      </c>
      <c r="E80" s="2034">
        <v>0.1731</v>
      </c>
      <c r="F80" s="2034">
        <f t="shared" si="5"/>
        <v>0.25964999999999999</v>
      </c>
      <c r="G80" s="909">
        <f t="shared" si="6"/>
        <v>6.326216771728177E-4</v>
      </c>
      <c r="H80" s="2033">
        <f t="shared" si="1"/>
        <v>30</v>
      </c>
      <c r="I80" s="1356">
        <f t="shared" si="4"/>
        <v>88524822.739999995</v>
      </c>
      <c r="J80" s="2040">
        <f t="shared" si="2"/>
        <v>89341677.413338333</v>
      </c>
    </row>
    <row r="81" spans="1:10" ht="13.5">
      <c r="A81" s="702">
        <v>60</v>
      </c>
      <c r="B81" s="2031">
        <v>44317</v>
      </c>
      <c r="C81" s="2031">
        <v>44347</v>
      </c>
      <c r="D81" s="1722">
        <f t="shared" si="3"/>
        <v>4664442480</v>
      </c>
      <c r="E81" s="2034">
        <v>0.17219999999999999</v>
      </c>
      <c r="F81" s="2034">
        <f t="shared" si="5"/>
        <v>0.25829999999999997</v>
      </c>
      <c r="G81" s="909">
        <f t="shared" si="6"/>
        <v>6.2968201205726437E-4</v>
      </c>
      <c r="H81" s="2033">
        <f t="shared" si="1"/>
        <v>31</v>
      </c>
      <c r="I81" s="1356">
        <f t="shared" si="4"/>
        <v>91050581.299999997</v>
      </c>
      <c r="J81" s="2040">
        <f t="shared" si="2"/>
        <v>91915832.872633576</v>
      </c>
    </row>
    <row r="82" spans="1:10" ht="13.5">
      <c r="A82" s="702">
        <v>61</v>
      </c>
      <c r="B82" s="2031">
        <v>44348</v>
      </c>
      <c r="C82" s="2031">
        <v>44377</v>
      </c>
      <c r="D82" s="1722">
        <f t="shared" si="3"/>
        <v>4664442480</v>
      </c>
      <c r="E82" s="2034">
        <v>0.1721</v>
      </c>
      <c r="F82" s="2034">
        <f t="shared" si="5"/>
        <v>0.25814999999999999</v>
      </c>
      <c r="G82" s="909">
        <f t="shared" si="6"/>
        <v>6.2935518846773952E-4</v>
      </c>
      <c r="H82" s="2033">
        <f t="shared" si="1"/>
        <v>30</v>
      </c>
      <c r="I82" s="1356">
        <f t="shared" si="4"/>
        <v>88067732.280000001</v>
      </c>
      <c r="J82" s="2040">
        <f t="shared" si="2"/>
        <v>88876148.499063969</v>
      </c>
    </row>
    <row r="83" spans="1:10" ht="13.5">
      <c r="A83" s="702">
        <v>62</v>
      </c>
      <c r="B83" s="2031">
        <v>44378</v>
      </c>
      <c r="C83" s="2031">
        <v>44408</v>
      </c>
      <c r="D83" s="1722">
        <f t="shared" si="3"/>
        <v>4664442480</v>
      </c>
      <c r="E83" s="2034">
        <v>0.17180000000000001</v>
      </c>
      <c r="F83" s="2034">
        <f t="shared" si="5"/>
        <v>0.25770000000000004</v>
      </c>
      <c r="G83" s="909">
        <f t="shared" si="6"/>
        <v>6.2837448450037137E-4</v>
      </c>
      <c r="H83" s="2033">
        <f t="shared" si="1"/>
        <v>31</v>
      </c>
      <c r="I83" s="1356">
        <f t="shared" si="4"/>
        <v>90861515.799999997</v>
      </c>
      <c r="J83" s="2040">
        <f t="shared" si="2"/>
        <v>91723166.813253835</v>
      </c>
    </row>
    <row r="84" spans="1:10" ht="13.5">
      <c r="A84" s="702">
        <v>63</v>
      </c>
      <c r="B84" s="2031">
        <v>44409</v>
      </c>
      <c r="C84" s="2031">
        <v>44439</v>
      </c>
      <c r="D84" s="1722">
        <f t="shared" si="3"/>
        <v>4664442480</v>
      </c>
      <c r="E84" s="2034">
        <v>0.1724</v>
      </c>
      <c r="F84" s="2034">
        <f t="shared" si="5"/>
        <v>0.2586</v>
      </c>
      <c r="G84" s="909">
        <f t="shared" si="6"/>
        <v>6.3033554269220637E-4</v>
      </c>
      <c r="H84" s="2033">
        <f t="shared" si="1"/>
        <v>31</v>
      </c>
      <c r="I84" s="1356">
        <f t="shared" si="4"/>
        <v>91145080.340000004</v>
      </c>
      <c r="J84" s="2040">
        <f t="shared" si="2"/>
        <v>92012134.379255533</v>
      </c>
    </row>
    <row r="85" spans="1:10" ht="13.5">
      <c r="A85" s="702">
        <v>64</v>
      </c>
      <c r="B85" s="2031">
        <v>44440</v>
      </c>
      <c r="C85" s="2031">
        <v>44469</v>
      </c>
      <c r="D85" s="1722">
        <f t="shared" si="3"/>
        <v>4664442480</v>
      </c>
      <c r="E85" s="2034">
        <v>0.1719</v>
      </c>
      <c r="F85" s="2034">
        <f t="shared" si="5"/>
        <v>0.25785000000000002</v>
      </c>
      <c r="G85" s="909">
        <f t="shared" si="6"/>
        <v>6.2870142469861889E-4</v>
      </c>
      <c r="H85" s="2033">
        <f t="shared" si="1"/>
        <v>30</v>
      </c>
      <c r="I85" s="1356">
        <f t="shared" si="4"/>
        <v>87976248.980000004</v>
      </c>
      <c r="J85" s="2040">
        <f t="shared" si="2"/>
        <v>88782981.59224613</v>
      </c>
    </row>
    <row r="86" spans="1:10" ht="13.5">
      <c r="A86" s="702">
        <v>65</v>
      </c>
      <c r="B86" s="2031">
        <v>44470</v>
      </c>
      <c r="C86" s="2031">
        <v>44500</v>
      </c>
      <c r="D86" s="1722">
        <f t="shared" ref="D86:D96" si="7">+$D$11</f>
        <v>4664442480</v>
      </c>
      <c r="E86" s="2034">
        <v>0.17080000000000001</v>
      </c>
      <c r="F86" s="2034">
        <f t="shared" si="5"/>
        <v>0.25619999999999998</v>
      </c>
      <c r="G86" s="909">
        <f t="shared" si="6"/>
        <v>6.2510294214179751E-4</v>
      </c>
      <c r="H86" s="2033">
        <f t="shared" ref="H86:H96" si="8">+_xlfn.DAYS(C86,B86)+1</f>
        <v>31</v>
      </c>
      <c r="I86" s="1356">
        <f t="shared" si="4"/>
        <v>90388458.25</v>
      </c>
      <c r="J86" s="2040">
        <f t="shared" ref="J86:J96" si="9">D86*(((1+G86)^H86)-1)</f>
        <v>91241133.447302058</v>
      </c>
    </row>
    <row r="87" spans="1:10" ht="13.5">
      <c r="A87" s="702">
        <v>66</v>
      </c>
      <c r="B87" s="2031">
        <v>44501</v>
      </c>
      <c r="C87" s="2031">
        <v>44530</v>
      </c>
      <c r="D87" s="1722">
        <f t="shared" si="7"/>
        <v>4664442480</v>
      </c>
      <c r="E87" s="2034">
        <v>0.17269999999999999</v>
      </c>
      <c r="F87" s="2034">
        <f t="shared" si="5"/>
        <v>0.25905</v>
      </c>
      <c r="G87" s="909">
        <f t="shared" si="6"/>
        <v>6.3131554742335005E-4</v>
      </c>
      <c r="H87" s="2033">
        <f t="shared" si="8"/>
        <v>30</v>
      </c>
      <c r="I87" s="1356">
        <f t="shared" ref="I87:I95" si="10">ROUND(D87*G87*H87,2)</f>
        <v>88342051.730000004</v>
      </c>
      <c r="J87" s="2040">
        <f t="shared" si="9"/>
        <v>89155526.934369028</v>
      </c>
    </row>
    <row r="88" spans="1:10" ht="13.5">
      <c r="A88" s="702">
        <v>67</v>
      </c>
      <c r="B88" s="2031">
        <v>44531</v>
      </c>
      <c r="C88" s="2031">
        <v>44561</v>
      </c>
      <c r="D88" s="1722">
        <f t="shared" si="7"/>
        <v>4664442480</v>
      </c>
      <c r="E88" s="2034">
        <v>0.17460000000000001</v>
      </c>
      <c r="F88" s="2034">
        <f t="shared" si="5"/>
        <v>0.26190000000000002</v>
      </c>
      <c r="G88" s="909">
        <f t="shared" si="6"/>
        <v>6.3751414410861962E-4</v>
      </c>
      <c r="H88" s="2033">
        <f t="shared" si="8"/>
        <v>31</v>
      </c>
      <c r="I88" s="1356">
        <f t="shared" si="10"/>
        <v>92183089.719999999</v>
      </c>
      <c r="J88" s="2040">
        <f t="shared" si="9"/>
        <v>93070066.886369288</v>
      </c>
    </row>
    <row r="89" spans="1:10" ht="13.5">
      <c r="A89" s="702">
        <v>68</v>
      </c>
      <c r="B89" s="2031">
        <v>44562</v>
      </c>
      <c r="C89" s="2031">
        <v>44592</v>
      </c>
      <c r="D89" s="1722">
        <f t="shared" si="7"/>
        <v>4664442480</v>
      </c>
      <c r="E89" s="2034">
        <v>0.17660000000000001</v>
      </c>
      <c r="F89" s="2034">
        <f t="shared" si="5"/>
        <v>0.26490000000000002</v>
      </c>
      <c r="G89" s="909">
        <f t="shared" si="6"/>
        <v>6.4402391816376081E-4</v>
      </c>
      <c r="H89" s="2033">
        <f t="shared" si="8"/>
        <v>31</v>
      </c>
      <c r="I89" s="1356">
        <f t="shared" si="10"/>
        <v>93124388.180000007</v>
      </c>
      <c r="J89" s="2040">
        <f t="shared" si="9"/>
        <v>94029629.130689576</v>
      </c>
    </row>
    <row r="90" spans="1:10" ht="13.5">
      <c r="A90" s="702">
        <v>69</v>
      </c>
      <c r="B90" s="2031">
        <v>44593</v>
      </c>
      <c r="C90" s="2031">
        <v>44620</v>
      </c>
      <c r="D90" s="1722">
        <f t="shared" si="7"/>
        <v>4664442480</v>
      </c>
      <c r="E90" s="2034">
        <v>0.183</v>
      </c>
      <c r="F90" s="2034">
        <f t="shared" ref="F90:F96" si="11">+E90*1.5</f>
        <v>0.27449999999999997</v>
      </c>
      <c r="G90" s="909">
        <f t="shared" ref="G90:G96" si="12">((1+F90)^(1/365))-1</f>
        <v>6.6475220558892545E-4</v>
      </c>
      <c r="H90" s="2033">
        <f t="shared" si="8"/>
        <v>28</v>
      </c>
      <c r="I90" s="1356">
        <f t="shared" si="10"/>
        <v>86819555.939999998</v>
      </c>
      <c r="J90" s="2040">
        <f t="shared" si="9"/>
        <v>87603195.506315127</v>
      </c>
    </row>
    <row r="91" spans="1:10" ht="13.5">
      <c r="A91" s="702">
        <v>70</v>
      </c>
      <c r="B91" s="2031">
        <v>44621</v>
      </c>
      <c r="C91" s="2031">
        <v>44651</v>
      </c>
      <c r="D91" s="1722">
        <f t="shared" si="7"/>
        <v>4664442480</v>
      </c>
      <c r="E91" s="2034">
        <v>0.1847</v>
      </c>
      <c r="F91" s="2034">
        <f t="shared" si="11"/>
        <v>0.27705000000000002</v>
      </c>
      <c r="G91" s="909">
        <f t="shared" si="12"/>
        <v>6.7023198611315671E-4</v>
      </c>
      <c r="H91" s="2033">
        <f t="shared" si="8"/>
        <v>31</v>
      </c>
      <c r="I91" s="1356">
        <f t="shared" si="10"/>
        <v>96914014.969999999</v>
      </c>
      <c r="J91" s="2040">
        <f t="shared" si="9"/>
        <v>97894680.33741188</v>
      </c>
    </row>
    <row r="92" spans="1:10" ht="13.5">
      <c r="A92" s="702">
        <v>71</v>
      </c>
      <c r="B92" s="2031">
        <v>44652</v>
      </c>
      <c r="C92" s="2031">
        <v>44681</v>
      </c>
      <c r="D92" s="1722">
        <f t="shared" si="7"/>
        <v>4664442480</v>
      </c>
      <c r="E92" s="2034">
        <v>0.1905</v>
      </c>
      <c r="F92" s="2034">
        <f t="shared" si="11"/>
        <v>0.28575</v>
      </c>
      <c r="G92" s="909">
        <f t="shared" si="12"/>
        <v>6.8884592812357148E-4</v>
      </c>
      <c r="H92" s="2033">
        <f t="shared" si="8"/>
        <v>30</v>
      </c>
      <c r="I92" s="1356">
        <f t="shared" si="10"/>
        <v>96392466.280000001</v>
      </c>
      <c r="J92" s="2040">
        <f t="shared" si="9"/>
        <v>97361478.774304375</v>
      </c>
    </row>
    <row r="93" spans="1:10" ht="13.5">
      <c r="A93" s="702">
        <v>72</v>
      </c>
      <c r="B93" s="2031">
        <v>44682</v>
      </c>
      <c r="C93" s="2031">
        <v>44712</v>
      </c>
      <c r="D93" s="1722">
        <f t="shared" si="7"/>
        <v>4664442480</v>
      </c>
      <c r="E93" s="2034">
        <v>0.1971</v>
      </c>
      <c r="F93" s="2034">
        <f t="shared" si="11"/>
        <v>0.29564999999999997</v>
      </c>
      <c r="G93" s="909">
        <f t="shared" si="12"/>
        <v>7.0987512909947981E-4</v>
      </c>
      <c r="H93" s="2033">
        <f t="shared" si="8"/>
        <v>31</v>
      </c>
      <c r="I93" s="1356">
        <f t="shared" si="10"/>
        <v>102646322.94</v>
      </c>
      <c r="J93" s="2040">
        <f t="shared" si="9"/>
        <v>103746851.6695953</v>
      </c>
    </row>
    <row r="94" spans="1:10" ht="13.5">
      <c r="A94" s="702">
        <v>73</v>
      </c>
      <c r="B94" s="2031">
        <v>44713</v>
      </c>
      <c r="C94" s="2031">
        <v>44742</v>
      </c>
      <c r="D94" s="1722">
        <f t="shared" si="7"/>
        <v>4664442480</v>
      </c>
      <c r="E94" s="2034">
        <v>0.20399999999999999</v>
      </c>
      <c r="F94" s="2034">
        <f t="shared" si="11"/>
        <v>0.30599999999999999</v>
      </c>
      <c r="G94" s="909">
        <f t="shared" si="12"/>
        <v>7.3168955664093538E-4</v>
      </c>
      <c r="H94" s="2033">
        <f t="shared" si="8"/>
        <v>30</v>
      </c>
      <c r="I94" s="1356">
        <f t="shared" si="10"/>
        <v>102387715.51000001</v>
      </c>
      <c r="J94" s="2040">
        <f t="shared" si="9"/>
        <v>103481452.93803553</v>
      </c>
    </row>
    <row r="95" spans="1:10" ht="13.5">
      <c r="A95" s="702">
        <v>74</v>
      </c>
      <c r="B95" s="2031">
        <v>44743</v>
      </c>
      <c r="C95" s="2031">
        <v>44773</v>
      </c>
      <c r="D95" s="1722">
        <f t="shared" si="7"/>
        <v>4664442480</v>
      </c>
      <c r="E95" s="2034">
        <v>0.21279999999999999</v>
      </c>
      <c r="F95" s="2034">
        <f t="shared" si="11"/>
        <v>0.31919999999999998</v>
      </c>
      <c r="G95" s="909">
        <f t="shared" si="12"/>
        <v>7.5926204501630679E-4</v>
      </c>
      <c r="H95" s="2033">
        <f t="shared" si="8"/>
        <v>31</v>
      </c>
      <c r="I95" s="1356">
        <f t="shared" si="10"/>
        <v>109787558.22</v>
      </c>
      <c r="J95" s="2040">
        <f t="shared" si="9"/>
        <v>111047147.16772099</v>
      </c>
    </row>
    <row r="96" spans="1:10" ht="13.5">
      <c r="A96" s="702">
        <v>75</v>
      </c>
      <c r="B96" s="2031">
        <v>44774</v>
      </c>
      <c r="C96" s="2031">
        <v>44804</v>
      </c>
      <c r="D96" s="1722">
        <f t="shared" si="7"/>
        <v>4664442480</v>
      </c>
      <c r="E96" s="2034">
        <v>0.22209999999999999</v>
      </c>
      <c r="F96" s="2034">
        <f t="shared" si="11"/>
        <v>0.33315</v>
      </c>
      <c r="G96" s="909">
        <f t="shared" si="12"/>
        <v>7.8810371394433254E-4</v>
      </c>
      <c r="H96" s="2033">
        <f t="shared" si="8"/>
        <v>31</v>
      </c>
      <c r="I96" s="1356">
        <f>ROUND(D96*G96*H96,2)</f>
        <v>113957997.7</v>
      </c>
      <c r="J96" s="2040">
        <f t="shared" si="9"/>
        <v>115315478.50357689</v>
      </c>
    </row>
    <row r="97" spans="1:10" ht="17.25" thickBot="1">
      <c r="A97" s="686"/>
      <c r="B97" s="686"/>
      <c r="C97" s="686"/>
      <c r="D97" s="686"/>
      <c r="E97" s="686"/>
      <c r="F97" s="2035"/>
      <c r="G97" s="686"/>
      <c r="H97" s="2036" t="s">
        <v>97</v>
      </c>
      <c r="I97" s="2038">
        <f>ROUND(SUM(I22:I96),2)</f>
        <v>7185632214.3000002</v>
      </c>
      <c r="J97" s="2041">
        <f>SUM(J22:J96)</f>
        <v>7258297794.0412445</v>
      </c>
    </row>
    <row r="98" spans="1:10" ht="13.5" thickTop="1"/>
    <row r="99" spans="1:10">
      <c r="J99" s="217" t="s">
        <v>1174</v>
      </c>
    </row>
    <row r="100" spans="1:10">
      <c r="B100" s="2751" t="s">
        <v>346</v>
      </c>
      <c r="C100" s="2751"/>
    </row>
    <row r="101" spans="1:10" ht="26.25">
      <c r="B101" s="1667" t="s">
        <v>959</v>
      </c>
      <c r="C101" s="1616">
        <f>+D22</f>
        <v>4664442480</v>
      </c>
    </row>
    <row r="102" spans="1:10" ht="26.25">
      <c r="B102" s="1667" t="s">
        <v>951</v>
      </c>
      <c r="C102" s="1616">
        <f>+I97</f>
        <v>7185632214.3000002</v>
      </c>
    </row>
    <row r="103" spans="1:10" ht="26.25">
      <c r="B103" s="1667" t="s">
        <v>1175</v>
      </c>
      <c r="C103" s="1356">
        <v>184298262.52000001</v>
      </c>
      <c r="D103" s="593">
        <v>138223696.88999999</v>
      </c>
      <c r="F103" s="217" t="s">
        <v>1176</v>
      </c>
    </row>
    <row r="104" spans="1:10" ht="26.25">
      <c r="B104" s="1667" t="s">
        <v>952</v>
      </c>
      <c r="C104" s="1356">
        <v>16747796</v>
      </c>
      <c r="D104" s="593">
        <f>15*737717</f>
        <v>11065755</v>
      </c>
    </row>
    <row r="105" spans="1:10">
      <c r="B105" s="1628" t="s">
        <v>1177</v>
      </c>
      <c r="C105" s="2037">
        <f>SUM(C101:C104)</f>
        <v>12051120752.82</v>
      </c>
    </row>
    <row r="108" spans="1:10">
      <c r="B108" s="1668" t="s">
        <v>62</v>
      </c>
    </row>
    <row r="109" spans="1:10">
      <c r="B109" s="591"/>
    </row>
    <row r="110" spans="1:10">
      <c r="B110" s="591"/>
    </row>
    <row r="111" spans="1:10">
      <c r="B111" s="1668" t="s">
        <v>63</v>
      </c>
    </row>
    <row r="112" spans="1:10">
      <c r="B112" s="1668" t="s">
        <v>64</v>
      </c>
    </row>
    <row r="113" spans="2:2">
      <c r="B113" s="1668" t="s">
        <v>65</v>
      </c>
    </row>
  </sheetData>
  <mergeCells count="3">
    <mergeCell ref="C3:I3"/>
    <mergeCell ref="C20:I20"/>
    <mergeCell ref="B100:C100"/>
  </mergeCell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E4342-FA4E-4D79-86C1-8D565D024D9A}">
  <sheetPr codeName="Hoja83"/>
  <dimension ref="A3:J114"/>
  <sheetViews>
    <sheetView topLeftCell="A97" workbookViewId="0">
      <selection activeCell="E101" sqref="E101"/>
    </sheetView>
  </sheetViews>
  <sheetFormatPr defaultColWidth="9.140625" defaultRowHeight="12.75"/>
  <cols>
    <col min="1" max="1" width="3.85546875" style="686" customWidth="1"/>
    <col min="2" max="2" width="11.5703125" style="686" customWidth="1"/>
    <col min="3" max="3" width="20.42578125" style="686" customWidth="1"/>
    <col min="4" max="4" width="22.28515625" style="686" customWidth="1"/>
    <col min="5" max="5" width="19.85546875" style="686" customWidth="1"/>
    <col min="6" max="6" width="11" style="2035" customWidth="1"/>
    <col min="7" max="7" width="11.42578125" style="686" customWidth="1"/>
    <col min="8" max="8" width="10.140625" style="686" customWidth="1"/>
    <col min="9" max="9" width="20.28515625" style="686" bestFit="1" customWidth="1"/>
    <col min="10" max="10" width="16.5703125" style="686" bestFit="1" customWidth="1"/>
    <col min="11" max="256" width="11.42578125" style="686" customWidth="1"/>
    <col min="257" max="16384" width="9.140625" style="686"/>
  </cols>
  <sheetData>
    <row r="3" spans="3:9" ht="15.75">
      <c r="C3" s="2753" t="s">
        <v>1157</v>
      </c>
      <c r="D3" s="2754"/>
      <c r="F3" s="686"/>
    </row>
    <row r="4" spans="3:9">
      <c r="C4" s="1628" t="s">
        <v>508</v>
      </c>
      <c r="D4" s="1628" t="s">
        <v>1158</v>
      </c>
      <c r="F4" s="686"/>
    </row>
    <row r="5" spans="3:9">
      <c r="C5" s="1628" t="s">
        <v>11</v>
      </c>
      <c r="D5" s="2031">
        <v>42521</v>
      </c>
      <c r="F5" s="686"/>
    </row>
    <row r="6" spans="3:9" ht="89.25">
      <c r="C6" s="2229" t="s">
        <v>219</v>
      </c>
      <c r="D6" s="2177" t="s">
        <v>1159</v>
      </c>
      <c r="F6" s="686"/>
    </row>
    <row r="7" spans="3:9" ht="27.75" customHeight="1">
      <c r="C7" s="2230" t="s">
        <v>180</v>
      </c>
      <c r="D7" s="2220">
        <v>42522</v>
      </c>
      <c r="F7" s="686"/>
    </row>
    <row r="8" spans="3:9">
      <c r="C8" s="1628" t="s">
        <v>1161</v>
      </c>
      <c r="D8" s="2231" t="s">
        <v>1162</v>
      </c>
      <c r="F8" s="686"/>
    </row>
    <row r="9" spans="3:9">
      <c r="C9" s="702" t="s">
        <v>838</v>
      </c>
      <c r="D9" s="2221">
        <v>42634</v>
      </c>
      <c r="F9" s="686"/>
    </row>
    <row r="10" spans="3:9">
      <c r="C10" s="1628" t="s">
        <v>1164</v>
      </c>
      <c r="D10" s="1722"/>
    </row>
    <row r="11" spans="3:9" ht="25.5">
      <c r="C11" s="1667" t="s">
        <v>1165</v>
      </c>
      <c r="D11" s="2208">
        <v>320833746</v>
      </c>
      <c r="F11" s="686"/>
    </row>
    <row r="12" spans="3:9" ht="25.5">
      <c r="C12" s="1667" t="s">
        <v>1165</v>
      </c>
      <c r="D12" s="2208">
        <v>1862657397</v>
      </c>
      <c r="F12" s="686"/>
    </row>
    <row r="13" spans="3:9" ht="25.5">
      <c r="C13" s="1667" t="s">
        <v>1166</v>
      </c>
      <c r="D13" s="2208">
        <v>813674740</v>
      </c>
      <c r="F13" s="686"/>
      <c r="I13" s="2222"/>
    </row>
    <row r="14" spans="3:9" ht="25.5">
      <c r="C14" s="1667" t="s">
        <v>1167</v>
      </c>
      <c r="D14" s="2208">
        <v>1189783145</v>
      </c>
      <c r="F14" s="686"/>
      <c r="I14" s="2222"/>
    </row>
    <row r="15" spans="3:9" ht="16.5">
      <c r="C15" s="2223" t="s">
        <v>1168</v>
      </c>
      <c r="D15" s="2102">
        <f>SUM(D11:D14)</f>
        <v>4186949028</v>
      </c>
      <c r="F15" s="686"/>
      <c r="I15" s="2222"/>
    </row>
    <row r="16" spans="3:9">
      <c r="F16" s="686"/>
    </row>
    <row r="17" spans="1:10">
      <c r="C17" s="702" t="s">
        <v>1178</v>
      </c>
      <c r="D17" s="2224"/>
    </row>
    <row r="18" spans="1:10" ht="15.75">
      <c r="C18" s="2750" t="s">
        <v>1169</v>
      </c>
      <c r="D18" s="2750"/>
      <c r="E18" s="2750"/>
      <c r="F18" s="2750"/>
      <c r="G18" s="2750"/>
      <c r="H18" s="2750"/>
      <c r="I18" s="2750"/>
    </row>
    <row r="19" spans="1:10" ht="33" customHeight="1">
      <c r="B19" s="2026" t="s">
        <v>206</v>
      </c>
      <c r="C19" s="2026" t="s">
        <v>10</v>
      </c>
      <c r="D19" s="2026" t="s">
        <v>198</v>
      </c>
      <c r="E19" s="2752" t="s">
        <v>536</v>
      </c>
      <c r="F19" s="2752"/>
      <c r="G19" s="2029" t="s">
        <v>1171</v>
      </c>
      <c r="H19" s="2030" t="s">
        <v>47</v>
      </c>
      <c r="I19" s="2030" t="s">
        <v>1172</v>
      </c>
    </row>
    <row r="20" spans="1:10" ht="13.5">
      <c r="A20" s="702">
        <v>1</v>
      </c>
      <c r="B20" s="2031">
        <v>42523</v>
      </c>
      <c r="C20" s="2031">
        <v>42551</v>
      </c>
      <c r="D20" s="1722">
        <f>+$D$15</f>
        <v>4186949028</v>
      </c>
      <c r="E20" s="2034">
        <v>6.9099999999999995E-2</v>
      </c>
      <c r="F20" s="2034">
        <v>0</v>
      </c>
      <c r="G20" s="909">
        <f>((1+E20)^(1/365))-1</f>
        <v>1.830775046887112E-4</v>
      </c>
      <c r="H20" s="2126">
        <f>C20-B20+1</f>
        <v>29</v>
      </c>
      <c r="I20" s="1356">
        <f>ROUND(D20*G20*H20,2)</f>
        <v>22229549.23</v>
      </c>
      <c r="J20" s="2225"/>
    </row>
    <row r="21" spans="1:10" ht="13.5">
      <c r="A21" s="702">
        <v>2</v>
      </c>
      <c r="B21" s="2031">
        <v>42552</v>
      </c>
      <c r="C21" s="2031">
        <v>42582</v>
      </c>
      <c r="D21" s="1722">
        <f t="shared" ref="D21:D83" si="0">+$D$15</f>
        <v>4186949028</v>
      </c>
      <c r="E21" s="2034">
        <v>7.2599999999999998E-2</v>
      </c>
      <c r="F21" s="2034">
        <v>0</v>
      </c>
      <c r="G21" s="909">
        <f t="shared" ref="G21:G31" si="1">((1+E21)^(1/365))-1</f>
        <v>1.9203379932619669E-4</v>
      </c>
      <c r="H21" s="2126">
        <f t="shared" ref="H21:H30" si="2">C21-B21+1</f>
        <v>31</v>
      </c>
      <c r="I21" s="1356">
        <f>ROUND(D21*G21*H21,2)</f>
        <v>24925107.609999999</v>
      </c>
      <c r="J21" s="2225"/>
    </row>
    <row r="22" spans="1:10" ht="13.5">
      <c r="A22" s="702">
        <v>3</v>
      </c>
      <c r="B22" s="2031">
        <v>42583</v>
      </c>
      <c r="C22" s="2031">
        <v>42613</v>
      </c>
      <c r="D22" s="1722">
        <f t="shared" si="0"/>
        <v>4186949028</v>
      </c>
      <c r="E22" s="2034">
        <v>7.1900000000000006E-2</v>
      </c>
      <c r="F22" s="2034">
        <v>0</v>
      </c>
      <c r="G22" s="909">
        <f t="shared" si="1"/>
        <v>1.9024487430319148E-4</v>
      </c>
      <c r="H22" s="2126">
        <f t="shared" si="2"/>
        <v>31</v>
      </c>
      <c r="I22" s="1356">
        <f>ROUND(D22*G22*H22,2)</f>
        <v>24692913.34</v>
      </c>
      <c r="J22" s="2045"/>
    </row>
    <row r="23" spans="1:10" ht="13.5">
      <c r="A23" s="702">
        <v>4</v>
      </c>
      <c r="B23" s="2031">
        <v>42614</v>
      </c>
      <c r="C23" s="2031">
        <v>42643</v>
      </c>
      <c r="D23" s="1722">
        <f t="shared" si="0"/>
        <v>4186949028</v>
      </c>
      <c r="E23" s="2034">
        <v>7.1800000000000003E-2</v>
      </c>
      <c r="F23" s="2034">
        <v>0</v>
      </c>
      <c r="G23" s="909">
        <f t="shared" si="1"/>
        <v>1.8998921848401018E-4</v>
      </c>
      <c r="H23" s="2126">
        <v>0</v>
      </c>
      <c r="I23" s="1356">
        <f>ROUND(D23*G23*H23,2)</f>
        <v>0</v>
      </c>
      <c r="J23" s="2045"/>
    </row>
    <row r="24" spans="1:10" ht="13.5">
      <c r="A24" s="702">
        <v>5</v>
      </c>
      <c r="B24" s="2031">
        <v>42644</v>
      </c>
      <c r="C24" s="2031">
        <v>42674</v>
      </c>
      <c r="D24" s="1722">
        <f t="shared" si="0"/>
        <v>4186949028</v>
      </c>
      <c r="E24" s="2034">
        <v>7.0900000000000005E-2</v>
      </c>
      <c r="F24" s="2034">
        <v>0</v>
      </c>
      <c r="G24" s="909">
        <f t="shared" si="1"/>
        <v>1.8768724508766432E-4</v>
      </c>
      <c r="H24" s="2126">
        <v>0</v>
      </c>
      <c r="I24" s="1356">
        <f t="shared" ref="I24:I88" si="3">ROUND(D24*G24*H24,2)</f>
        <v>0</v>
      </c>
      <c r="J24" s="2045"/>
    </row>
    <row r="25" spans="1:10" ht="13.5">
      <c r="A25" s="702">
        <v>6</v>
      </c>
      <c r="B25" s="2031">
        <v>42675</v>
      </c>
      <c r="C25" s="2031">
        <v>42704</v>
      </c>
      <c r="D25" s="1722">
        <f t="shared" si="0"/>
        <v>4186949028</v>
      </c>
      <c r="E25" s="2034">
        <v>7.0099999999999996E-2</v>
      </c>
      <c r="F25" s="2034">
        <v>0</v>
      </c>
      <c r="G25" s="909">
        <f t="shared" si="1"/>
        <v>1.856394262655936E-4</v>
      </c>
      <c r="H25" s="2126">
        <v>0</v>
      </c>
      <c r="I25" s="1356">
        <f t="shared" si="3"/>
        <v>0</v>
      </c>
      <c r="J25" s="2045"/>
    </row>
    <row r="26" spans="1:10" ht="13.5">
      <c r="A26" s="702">
        <v>7</v>
      </c>
      <c r="B26" s="2031">
        <v>42705</v>
      </c>
      <c r="C26" s="2031">
        <v>42723</v>
      </c>
      <c r="D26" s="1722">
        <f t="shared" si="0"/>
        <v>4186949028</v>
      </c>
      <c r="E26" s="2034">
        <v>6.9199999999999998E-2</v>
      </c>
      <c r="F26" s="2034">
        <v>0</v>
      </c>
      <c r="G26" s="909">
        <f t="shared" si="1"/>
        <v>1.8333380436241775E-4</v>
      </c>
      <c r="H26" s="2126">
        <v>0</v>
      </c>
      <c r="I26" s="1356">
        <f t="shared" si="3"/>
        <v>0</v>
      </c>
      <c r="J26" s="2045"/>
    </row>
    <row r="27" spans="1:10" ht="13.5">
      <c r="A27" s="702">
        <v>8</v>
      </c>
      <c r="B27" s="2031">
        <v>42724</v>
      </c>
      <c r="C27" s="2031">
        <v>42735</v>
      </c>
      <c r="D27" s="1722">
        <f t="shared" si="0"/>
        <v>4186949028</v>
      </c>
      <c r="E27" s="2034">
        <v>6.9199999999999998E-2</v>
      </c>
      <c r="F27" s="2034">
        <v>0</v>
      </c>
      <c r="G27" s="909">
        <f t="shared" ref="G27" si="4">((1+E27)^(1/365))-1</f>
        <v>1.8333380436241775E-4</v>
      </c>
      <c r="H27" s="2126">
        <f>C27-B27+1</f>
        <v>12</v>
      </c>
      <c r="I27" s="1356">
        <f t="shared" ref="I27" si="5">ROUND(D27*G27*H27,2)</f>
        <v>9211311.5299999993</v>
      </c>
      <c r="J27" s="2045"/>
    </row>
    <row r="28" spans="1:10" ht="13.5">
      <c r="A28" s="702">
        <v>9</v>
      </c>
      <c r="B28" s="2031">
        <v>42736</v>
      </c>
      <c r="C28" s="2031">
        <v>42766</v>
      </c>
      <c r="D28" s="1722">
        <f t="shared" si="0"/>
        <v>4186949028</v>
      </c>
      <c r="E28" s="2034">
        <v>6.9400000000000003E-2</v>
      </c>
      <c r="F28" s="2034">
        <v>0</v>
      </c>
      <c r="G28" s="909">
        <f t="shared" si="1"/>
        <v>1.8384633200141387E-4</v>
      </c>
      <c r="H28" s="2126">
        <f t="shared" si="2"/>
        <v>31</v>
      </c>
      <c r="I28" s="1356">
        <f t="shared" si="3"/>
        <v>23862411.850000001</v>
      </c>
    </row>
    <row r="29" spans="1:10" ht="13.5">
      <c r="A29" s="702">
        <v>10</v>
      </c>
      <c r="B29" s="2031">
        <v>42767</v>
      </c>
      <c r="C29" s="2031">
        <v>42794</v>
      </c>
      <c r="D29" s="1722">
        <f t="shared" si="0"/>
        <v>4186949028</v>
      </c>
      <c r="E29" s="2034">
        <v>6.7799999999999999E-2</v>
      </c>
      <c r="F29" s="2034">
        <v>0</v>
      </c>
      <c r="G29" s="909">
        <f t="shared" si="1"/>
        <v>1.7974343159732342E-4</v>
      </c>
      <c r="H29" s="2126">
        <f t="shared" si="2"/>
        <v>28</v>
      </c>
      <c r="I29" s="1356">
        <f t="shared" si="3"/>
        <v>21072144.41</v>
      </c>
    </row>
    <row r="30" spans="1:10" ht="13.5">
      <c r="A30" s="702">
        <v>11</v>
      </c>
      <c r="B30" s="2031">
        <v>42795</v>
      </c>
      <c r="C30" s="2031">
        <v>42825</v>
      </c>
      <c r="D30" s="1722">
        <f t="shared" si="0"/>
        <v>4186949028</v>
      </c>
      <c r="E30" s="2034">
        <v>6.6500000000000004E-2</v>
      </c>
      <c r="F30" s="2034">
        <v>0</v>
      </c>
      <c r="G30" s="909">
        <f t="shared" si="1"/>
        <v>1.7640530807794264E-4</v>
      </c>
      <c r="H30" s="2126">
        <f t="shared" si="2"/>
        <v>31</v>
      </c>
      <c r="I30" s="1356">
        <f t="shared" si="3"/>
        <v>22896601.030000001</v>
      </c>
    </row>
    <row r="31" spans="1:10" ht="13.5">
      <c r="A31" s="702">
        <v>12</v>
      </c>
      <c r="B31" s="2191">
        <v>42826</v>
      </c>
      <c r="C31" s="2191">
        <v>42846</v>
      </c>
      <c r="D31" s="1722">
        <f t="shared" si="0"/>
        <v>4186949028</v>
      </c>
      <c r="E31" s="2034">
        <v>6.5299999999999997E-2</v>
      </c>
      <c r="F31" s="2034">
        <v>0</v>
      </c>
      <c r="G31" s="909">
        <f t="shared" si="1"/>
        <v>1.7332035970407667E-4</v>
      </c>
      <c r="H31" s="2126">
        <f>C31-B31+1</f>
        <v>21</v>
      </c>
      <c r="I31" s="1356">
        <f t="shared" si="3"/>
        <v>15239353.74</v>
      </c>
    </row>
    <row r="32" spans="1:10" ht="13.5">
      <c r="A32" s="702">
        <v>13</v>
      </c>
      <c r="B32" s="2191">
        <v>42847</v>
      </c>
      <c r="C32" s="2191">
        <v>42855</v>
      </c>
      <c r="D32" s="1722">
        <f t="shared" si="0"/>
        <v>4186949028</v>
      </c>
      <c r="E32" s="2034">
        <v>0.2233</v>
      </c>
      <c r="F32" s="2034">
        <f t="shared" ref="F32:F96" si="6">+E32*1.5</f>
        <v>0.33494999999999997</v>
      </c>
      <c r="G32" s="909">
        <f>((1+F32)^(1/365))-1</f>
        <v>7.9180327787309324E-4</v>
      </c>
      <c r="H32" s="2126">
        <f>C32-B32+1</f>
        <v>9</v>
      </c>
      <c r="I32" s="1356">
        <f t="shared" si="3"/>
        <v>29837159.68</v>
      </c>
    </row>
    <row r="33" spans="1:9" ht="13.5">
      <c r="A33" s="702">
        <v>14</v>
      </c>
      <c r="B33" s="2191">
        <v>42856</v>
      </c>
      <c r="C33" s="2191">
        <v>42886</v>
      </c>
      <c r="D33" s="1722">
        <f t="shared" si="0"/>
        <v>4186949028</v>
      </c>
      <c r="E33" s="2032">
        <v>0.2233</v>
      </c>
      <c r="F33" s="2034">
        <f t="shared" si="6"/>
        <v>0.33494999999999997</v>
      </c>
      <c r="G33" s="909">
        <f>((1+F33)^(1/365))-1</f>
        <v>7.9180327787309324E-4</v>
      </c>
      <c r="H33" s="2126">
        <f t="shared" ref="H33:H95" si="7">C33-B33+1</f>
        <v>31</v>
      </c>
      <c r="I33" s="1356">
        <f t="shared" si="3"/>
        <v>102772438.90000001</v>
      </c>
    </row>
    <row r="34" spans="1:9" ht="13.5">
      <c r="A34" s="702">
        <v>15</v>
      </c>
      <c r="B34" s="2191">
        <v>42887</v>
      </c>
      <c r="C34" s="2191">
        <v>42916</v>
      </c>
      <c r="D34" s="1722">
        <f t="shared" si="0"/>
        <v>4186949028</v>
      </c>
      <c r="E34" s="2032">
        <v>0.2233</v>
      </c>
      <c r="F34" s="2034">
        <f t="shared" si="6"/>
        <v>0.33494999999999997</v>
      </c>
      <c r="G34" s="909">
        <f t="shared" ref="G34:G96" si="8">((1+F34)^(1/365))-1</f>
        <v>7.9180327787309324E-4</v>
      </c>
      <c r="H34" s="2126">
        <f t="shared" si="7"/>
        <v>30</v>
      </c>
      <c r="I34" s="1356">
        <f t="shared" si="3"/>
        <v>99457198.939999998</v>
      </c>
    </row>
    <row r="35" spans="1:9" ht="13.5">
      <c r="A35" s="702">
        <v>16</v>
      </c>
      <c r="B35" s="2191">
        <v>42917</v>
      </c>
      <c r="C35" s="2191">
        <v>42947</v>
      </c>
      <c r="D35" s="1722">
        <f t="shared" si="0"/>
        <v>4186949028</v>
      </c>
      <c r="E35" s="2032">
        <v>0.2198</v>
      </c>
      <c r="F35" s="2034">
        <f t="shared" si="6"/>
        <v>0.32969999999999999</v>
      </c>
      <c r="G35" s="909">
        <f t="shared" si="8"/>
        <v>7.8099893845218205E-4</v>
      </c>
      <c r="H35" s="2126">
        <f t="shared" si="7"/>
        <v>31</v>
      </c>
      <c r="I35" s="1356">
        <f t="shared" si="3"/>
        <v>101370085.13</v>
      </c>
    </row>
    <row r="36" spans="1:9" ht="13.5">
      <c r="A36" s="702">
        <v>17</v>
      </c>
      <c r="B36" s="2191">
        <v>42948</v>
      </c>
      <c r="C36" s="2191">
        <v>42978</v>
      </c>
      <c r="D36" s="1722">
        <f t="shared" si="0"/>
        <v>4186949028</v>
      </c>
      <c r="E36" s="2032">
        <v>0.2198</v>
      </c>
      <c r="F36" s="2034">
        <f t="shared" si="6"/>
        <v>0.32969999999999999</v>
      </c>
      <c r="G36" s="909">
        <f t="shared" si="8"/>
        <v>7.8099893845218205E-4</v>
      </c>
      <c r="H36" s="2126">
        <f t="shared" si="7"/>
        <v>31</v>
      </c>
      <c r="I36" s="1356">
        <f t="shared" si="3"/>
        <v>101370085.13</v>
      </c>
    </row>
    <row r="37" spans="1:9" ht="13.5">
      <c r="A37" s="702">
        <v>18</v>
      </c>
      <c r="B37" s="2031">
        <v>42979</v>
      </c>
      <c r="C37" s="2031">
        <v>43008</v>
      </c>
      <c r="D37" s="1722">
        <f t="shared" si="0"/>
        <v>4186949028</v>
      </c>
      <c r="E37" s="2032">
        <v>0.21479999999999999</v>
      </c>
      <c r="F37" s="2034">
        <f t="shared" si="6"/>
        <v>0.32219999999999999</v>
      </c>
      <c r="G37" s="909">
        <f t="shared" si="8"/>
        <v>7.6549014202820231E-4</v>
      </c>
      <c r="H37" s="2126">
        <f t="shared" si="7"/>
        <v>30</v>
      </c>
      <c r="I37" s="1356">
        <f t="shared" si="3"/>
        <v>96152046.180000007</v>
      </c>
    </row>
    <row r="38" spans="1:9" ht="13.5">
      <c r="A38" s="702">
        <v>19</v>
      </c>
      <c r="B38" s="2031">
        <v>43009</v>
      </c>
      <c r="C38" s="2031">
        <v>43039</v>
      </c>
      <c r="D38" s="1722">
        <f t="shared" si="0"/>
        <v>4186949028</v>
      </c>
      <c r="E38" s="2032">
        <v>0.21149999999999999</v>
      </c>
      <c r="F38" s="2034">
        <f t="shared" si="6"/>
        <v>0.31724999999999998</v>
      </c>
      <c r="G38" s="909">
        <f t="shared" si="8"/>
        <v>7.5520620308799913E-4</v>
      </c>
      <c r="H38" s="2126">
        <f t="shared" si="7"/>
        <v>31</v>
      </c>
      <c r="I38" s="1356">
        <f t="shared" si="3"/>
        <v>98022306.219999999</v>
      </c>
    </row>
    <row r="39" spans="1:9" ht="13.5">
      <c r="A39" s="702">
        <v>20</v>
      </c>
      <c r="B39" s="2031">
        <v>43040</v>
      </c>
      <c r="C39" s="2031">
        <v>43069</v>
      </c>
      <c r="D39" s="1722">
        <f t="shared" si="0"/>
        <v>4186949028</v>
      </c>
      <c r="E39" s="2032">
        <v>0.20960000000000001</v>
      </c>
      <c r="F39" s="2034">
        <f t="shared" si="6"/>
        <v>0.31440000000000001</v>
      </c>
      <c r="G39" s="909">
        <f t="shared" si="8"/>
        <v>7.4926765057248268E-4</v>
      </c>
      <c r="H39" s="2126">
        <f t="shared" si="7"/>
        <v>30</v>
      </c>
      <c r="I39" s="1356">
        <f t="shared" si="3"/>
        <v>94114363.840000004</v>
      </c>
    </row>
    <row r="40" spans="1:9" ht="13.5">
      <c r="A40" s="702">
        <v>21</v>
      </c>
      <c r="B40" s="2031">
        <v>43070</v>
      </c>
      <c r="C40" s="2031">
        <v>43100</v>
      </c>
      <c r="D40" s="1722">
        <f t="shared" si="0"/>
        <v>4186949028</v>
      </c>
      <c r="E40" s="2032">
        <v>0.2077</v>
      </c>
      <c r="F40" s="2034">
        <f t="shared" si="6"/>
        <v>0.31154999999999999</v>
      </c>
      <c r="G40" s="909">
        <f t="shared" si="8"/>
        <v>7.4331624292400811E-4</v>
      </c>
      <c r="H40" s="2126">
        <f t="shared" si="7"/>
        <v>31</v>
      </c>
      <c r="I40" s="1356">
        <f t="shared" si="3"/>
        <v>96479043.849999994</v>
      </c>
    </row>
    <row r="41" spans="1:9" ht="13.5">
      <c r="A41" s="702">
        <v>22</v>
      </c>
      <c r="B41" s="2031">
        <v>43101</v>
      </c>
      <c r="C41" s="2031">
        <v>43131</v>
      </c>
      <c r="D41" s="1722">
        <f t="shared" si="0"/>
        <v>4186949028</v>
      </c>
      <c r="E41" s="2032">
        <v>0.2069</v>
      </c>
      <c r="F41" s="2034">
        <f t="shared" si="6"/>
        <v>0.31035000000000001</v>
      </c>
      <c r="G41" s="909">
        <f t="shared" si="8"/>
        <v>7.4080652774299871E-4</v>
      </c>
      <c r="H41" s="2126">
        <f t="shared" si="7"/>
        <v>31</v>
      </c>
      <c r="I41" s="1356">
        <f t="shared" si="3"/>
        <v>96153294.310000002</v>
      </c>
    </row>
    <row r="42" spans="1:9" ht="13.5">
      <c r="A42" s="702">
        <v>23</v>
      </c>
      <c r="B42" s="2031">
        <v>43132</v>
      </c>
      <c r="C42" s="2031">
        <v>43159</v>
      </c>
      <c r="D42" s="1722">
        <f t="shared" si="0"/>
        <v>4186949028</v>
      </c>
      <c r="E42" s="2032">
        <v>0.21010000000000001</v>
      </c>
      <c r="F42" s="2034">
        <f t="shared" si="6"/>
        <v>0.31515000000000004</v>
      </c>
      <c r="G42" s="909">
        <f t="shared" si="8"/>
        <v>7.5083167162115494E-4</v>
      </c>
      <c r="H42" s="2126">
        <f t="shared" si="7"/>
        <v>28</v>
      </c>
      <c r="I42" s="1356">
        <f t="shared" si="3"/>
        <v>88023430.260000005</v>
      </c>
    </row>
    <row r="43" spans="1:9" ht="13.5">
      <c r="A43" s="702">
        <v>24</v>
      </c>
      <c r="B43" s="2031">
        <v>43160</v>
      </c>
      <c r="C43" s="2031">
        <v>43190</v>
      </c>
      <c r="D43" s="1722">
        <f t="shared" si="0"/>
        <v>4186949028</v>
      </c>
      <c r="E43" s="2032">
        <v>0.20680000000000001</v>
      </c>
      <c r="F43" s="2034">
        <f t="shared" si="6"/>
        <v>0.31020000000000003</v>
      </c>
      <c r="G43" s="909">
        <f t="shared" si="8"/>
        <v>7.4049265219700011E-4</v>
      </c>
      <c r="H43" s="2126">
        <f t="shared" si="7"/>
        <v>31</v>
      </c>
      <c r="I43" s="1356">
        <f t="shared" si="3"/>
        <v>96112554.700000003</v>
      </c>
    </row>
    <row r="44" spans="1:9" ht="13.5">
      <c r="A44" s="702">
        <v>25</v>
      </c>
      <c r="B44" s="2031">
        <v>43191</v>
      </c>
      <c r="C44" s="2031">
        <v>43220</v>
      </c>
      <c r="D44" s="1722">
        <f t="shared" si="0"/>
        <v>4186949028</v>
      </c>
      <c r="E44" s="2032">
        <v>0.20480000000000001</v>
      </c>
      <c r="F44" s="2034">
        <f t="shared" si="6"/>
        <v>0.30720000000000003</v>
      </c>
      <c r="G44" s="909">
        <f t="shared" si="8"/>
        <v>7.34207604366377E-4</v>
      </c>
      <c r="H44" s="2126">
        <f t="shared" si="7"/>
        <v>30</v>
      </c>
      <c r="I44" s="1356">
        <f t="shared" si="3"/>
        <v>92222694.459999993</v>
      </c>
    </row>
    <row r="45" spans="1:9" ht="13.5">
      <c r="A45" s="702">
        <v>26</v>
      </c>
      <c r="B45" s="2031">
        <v>43221</v>
      </c>
      <c r="C45" s="2031">
        <v>43251</v>
      </c>
      <c r="D45" s="1722">
        <f t="shared" si="0"/>
        <v>4186949028</v>
      </c>
      <c r="E45" s="2032">
        <v>0.2044</v>
      </c>
      <c r="F45" s="2034">
        <f t="shared" si="6"/>
        <v>0.30659999999999998</v>
      </c>
      <c r="G45" s="909">
        <f t="shared" si="8"/>
        <v>7.3294886878794152E-4</v>
      </c>
      <c r="H45" s="2126">
        <f t="shared" si="7"/>
        <v>31</v>
      </c>
      <c r="I45" s="1356">
        <f t="shared" si="3"/>
        <v>95133406.170000002</v>
      </c>
    </row>
    <row r="46" spans="1:9" ht="13.5">
      <c r="A46" s="702">
        <v>27</v>
      </c>
      <c r="B46" s="2031">
        <v>43252</v>
      </c>
      <c r="C46" s="2031">
        <v>43281</v>
      </c>
      <c r="D46" s="1722">
        <f t="shared" si="0"/>
        <v>4186949028</v>
      </c>
      <c r="E46" s="2032">
        <v>0.20280000000000001</v>
      </c>
      <c r="F46" s="2034">
        <f t="shared" si="6"/>
        <v>0.30420000000000003</v>
      </c>
      <c r="G46" s="909">
        <f t="shared" si="8"/>
        <v>7.2790815549184096E-4</v>
      </c>
      <c r="H46" s="2126">
        <f t="shared" si="7"/>
        <v>30</v>
      </c>
      <c r="I46" s="1356">
        <f t="shared" si="3"/>
        <v>91431430.319999993</v>
      </c>
    </row>
    <row r="47" spans="1:9" ht="13.5">
      <c r="A47" s="702">
        <v>28</v>
      </c>
      <c r="B47" s="2031">
        <v>43282</v>
      </c>
      <c r="C47" s="2031">
        <v>43312</v>
      </c>
      <c r="D47" s="1722">
        <f t="shared" si="0"/>
        <v>4186949028</v>
      </c>
      <c r="E47" s="2032">
        <v>0.20030000000000001</v>
      </c>
      <c r="F47" s="2034">
        <f t="shared" si="6"/>
        <v>0.30044999999999999</v>
      </c>
      <c r="G47" s="909">
        <f t="shared" si="8"/>
        <v>7.2001349197825526E-4</v>
      </c>
      <c r="H47" s="2126">
        <f t="shared" si="7"/>
        <v>31</v>
      </c>
      <c r="I47" s="1356">
        <f t="shared" si="3"/>
        <v>93454453.5</v>
      </c>
    </row>
    <row r="48" spans="1:9" ht="13.5">
      <c r="A48" s="702">
        <v>29</v>
      </c>
      <c r="B48" s="2031">
        <v>43313</v>
      </c>
      <c r="C48" s="2031">
        <v>43343</v>
      </c>
      <c r="D48" s="1722">
        <f t="shared" si="0"/>
        <v>4186949028</v>
      </c>
      <c r="E48" s="2032">
        <v>0.19939999999999999</v>
      </c>
      <c r="F48" s="2034">
        <f t="shared" si="6"/>
        <v>0.29909999999999998</v>
      </c>
      <c r="G48" s="909">
        <f t="shared" si="8"/>
        <v>7.1716585429704161E-4</v>
      </c>
      <c r="H48" s="2126">
        <f t="shared" si="7"/>
        <v>31</v>
      </c>
      <c r="I48" s="1356">
        <f t="shared" si="3"/>
        <v>93084843.170000002</v>
      </c>
    </row>
    <row r="49" spans="1:9" ht="13.5">
      <c r="A49" s="702">
        <v>30</v>
      </c>
      <c r="B49" s="2031">
        <v>43344</v>
      </c>
      <c r="C49" s="2031">
        <v>43373</v>
      </c>
      <c r="D49" s="1722">
        <f t="shared" si="0"/>
        <v>4186949028</v>
      </c>
      <c r="E49" s="2032">
        <v>0.1981</v>
      </c>
      <c r="F49" s="2034">
        <f t="shared" si="6"/>
        <v>0.29715000000000003</v>
      </c>
      <c r="G49" s="909">
        <f t="shared" si="8"/>
        <v>7.1304738558919389E-4</v>
      </c>
      <c r="H49" s="2126">
        <f t="shared" si="7"/>
        <v>30</v>
      </c>
      <c r="I49" s="1356">
        <f t="shared" si="3"/>
        <v>89564791.739999995</v>
      </c>
    </row>
    <row r="50" spans="1:9" ht="13.5">
      <c r="A50" s="702">
        <v>31</v>
      </c>
      <c r="B50" s="2031">
        <v>43374</v>
      </c>
      <c r="C50" s="2031">
        <v>43404</v>
      </c>
      <c r="D50" s="1722">
        <f t="shared" si="0"/>
        <v>4186949028</v>
      </c>
      <c r="E50" s="2032">
        <v>0.1963</v>
      </c>
      <c r="F50" s="2034">
        <f t="shared" si="6"/>
        <v>0.29444999999999999</v>
      </c>
      <c r="G50" s="909">
        <f t="shared" si="8"/>
        <v>7.073346857742191E-4</v>
      </c>
      <c r="H50" s="2126">
        <f t="shared" si="7"/>
        <v>31</v>
      </c>
      <c r="I50" s="1356">
        <f t="shared" si="3"/>
        <v>91808802.530000001</v>
      </c>
    </row>
    <row r="51" spans="1:9" ht="13.5">
      <c r="A51" s="702">
        <v>32</v>
      </c>
      <c r="B51" s="2031">
        <v>43405</v>
      </c>
      <c r="C51" s="2031">
        <v>43434</v>
      </c>
      <c r="D51" s="1722">
        <f t="shared" si="0"/>
        <v>4186949028</v>
      </c>
      <c r="E51" s="2032">
        <v>0.19489999999999999</v>
      </c>
      <c r="F51" s="2034">
        <f t="shared" si="6"/>
        <v>0.29235</v>
      </c>
      <c r="G51" s="909">
        <f t="shared" si="8"/>
        <v>7.0288325333756063E-4</v>
      </c>
      <c r="H51" s="2126">
        <f t="shared" si="7"/>
        <v>30</v>
      </c>
      <c r="I51" s="1356">
        <f t="shared" si="3"/>
        <v>88288090.629999995</v>
      </c>
    </row>
    <row r="52" spans="1:9" ht="13.5">
      <c r="A52" s="702">
        <v>33</v>
      </c>
      <c r="B52" s="2031">
        <v>43435</v>
      </c>
      <c r="C52" s="2031">
        <v>43465</v>
      </c>
      <c r="D52" s="1722">
        <f t="shared" si="0"/>
        <v>4186949028</v>
      </c>
      <c r="E52" s="2032">
        <v>0.19400000000000001</v>
      </c>
      <c r="F52" s="2034">
        <f t="shared" si="6"/>
        <v>0.29100000000000004</v>
      </c>
      <c r="G52" s="909">
        <f t="shared" si="8"/>
        <v>7.0001780740103214E-4</v>
      </c>
      <c r="H52" s="2126">
        <f t="shared" si="7"/>
        <v>31</v>
      </c>
      <c r="I52" s="1356">
        <f t="shared" si="3"/>
        <v>90859105.230000004</v>
      </c>
    </row>
    <row r="53" spans="1:9" ht="13.5">
      <c r="A53" s="702">
        <v>34</v>
      </c>
      <c r="B53" s="2031">
        <v>43466</v>
      </c>
      <c r="C53" s="2031">
        <v>43496</v>
      </c>
      <c r="D53" s="1722">
        <f t="shared" si="0"/>
        <v>4186949028</v>
      </c>
      <c r="E53" s="2032">
        <v>0.19159999999999999</v>
      </c>
      <c r="F53" s="2034">
        <f t="shared" si="6"/>
        <v>0.28739999999999999</v>
      </c>
      <c r="G53" s="909">
        <f t="shared" si="8"/>
        <v>6.9236198468725085E-4</v>
      </c>
      <c r="H53" s="2126">
        <f t="shared" si="7"/>
        <v>31</v>
      </c>
      <c r="I53" s="1356">
        <f t="shared" si="3"/>
        <v>89865414.5</v>
      </c>
    </row>
    <row r="54" spans="1:9" ht="13.5">
      <c r="A54" s="702">
        <v>35</v>
      </c>
      <c r="B54" s="2031">
        <v>43497</v>
      </c>
      <c r="C54" s="2031">
        <v>43524</v>
      </c>
      <c r="D54" s="1722">
        <f t="shared" si="0"/>
        <v>4186949028</v>
      </c>
      <c r="E54" s="2032">
        <v>0.19700000000000001</v>
      </c>
      <c r="F54" s="2034">
        <f t="shared" si="6"/>
        <v>0.29549999999999998</v>
      </c>
      <c r="G54" s="909">
        <f t="shared" si="8"/>
        <v>7.0955770203506852E-4</v>
      </c>
      <c r="H54" s="2126">
        <f t="shared" si="7"/>
        <v>28</v>
      </c>
      <c r="I54" s="1356">
        <f t="shared" si="3"/>
        <v>83184694.060000002</v>
      </c>
    </row>
    <row r="55" spans="1:9" ht="13.5">
      <c r="A55" s="702">
        <v>36</v>
      </c>
      <c r="B55" s="2031">
        <v>43525</v>
      </c>
      <c r="C55" s="2031">
        <v>43555</v>
      </c>
      <c r="D55" s="1722">
        <f t="shared" si="0"/>
        <v>4186949028</v>
      </c>
      <c r="E55" s="2032">
        <v>0.19370000000000001</v>
      </c>
      <c r="F55" s="2034">
        <f t="shared" si="6"/>
        <v>0.29055000000000003</v>
      </c>
      <c r="G55" s="909">
        <f t="shared" si="8"/>
        <v>6.9906199467517638E-4</v>
      </c>
      <c r="H55" s="2126">
        <f t="shared" si="7"/>
        <v>31</v>
      </c>
      <c r="I55" s="1356">
        <f t="shared" si="3"/>
        <v>90735045.109999999</v>
      </c>
    </row>
    <row r="56" spans="1:9" ht="13.5">
      <c r="A56" s="702">
        <v>37</v>
      </c>
      <c r="B56" s="2031">
        <v>43556</v>
      </c>
      <c r="C56" s="2031">
        <v>43585</v>
      </c>
      <c r="D56" s="1722">
        <f t="shared" si="0"/>
        <v>4186949028</v>
      </c>
      <c r="E56" s="2032">
        <v>0.19320000000000001</v>
      </c>
      <c r="F56" s="2034">
        <f t="shared" si="6"/>
        <v>0.2898</v>
      </c>
      <c r="G56" s="909">
        <f t="shared" si="8"/>
        <v>6.9746823462724095E-4</v>
      </c>
      <c r="H56" s="2126">
        <f t="shared" si="7"/>
        <v>30</v>
      </c>
      <c r="I56" s="1356">
        <f t="shared" si="3"/>
        <v>87607918.409999996</v>
      </c>
    </row>
    <row r="57" spans="1:9" ht="13.5">
      <c r="A57" s="702">
        <v>38</v>
      </c>
      <c r="B57" s="2031">
        <v>43586</v>
      </c>
      <c r="C57" s="2031">
        <v>43616</v>
      </c>
      <c r="D57" s="1722">
        <f t="shared" si="0"/>
        <v>4186949028</v>
      </c>
      <c r="E57" s="2032">
        <v>0.19339999999999999</v>
      </c>
      <c r="F57" s="2034">
        <f t="shared" si="6"/>
        <v>0.29009999999999997</v>
      </c>
      <c r="G57" s="909">
        <f t="shared" si="8"/>
        <v>6.9810584952367805E-4</v>
      </c>
      <c r="H57" s="2126">
        <f t="shared" si="7"/>
        <v>31</v>
      </c>
      <c r="I57" s="1356">
        <f t="shared" si="3"/>
        <v>90610941.849999994</v>
      </c>
    </row>
    <row r="58" spans="1:9" ht="13.5">
      <c r="A58" s="702">
        <v>39</v>
      </c>
      <c r="B58" s="2031">
        <v>43617</v>
      </c>
      <c r="C58" s="2031">
        <v>43646</v>
      </c>
      <c r="D58" s="1722">
        <f t="shared" si="0"/>
        <v>4186949028</v>
      </c>
      <c r="E58" s="2032">
        <v>0.193</v>
      </c>
      <c r="F58" s="2034">
        <f t="shared" si="6"/>
        <v>0.28949999999999998</v>
      </c>
      <c r="G58" s="909">
        <f t="shared" si="8"/>
        <v>6.9683047181468005E-4</v>
      </c>
      <c r="H58" s="2126">
        <f t="shared" si="7"/>
        <v>30</v>
      </c>
      <c r="I58" s="1356">
        <f t="shared" si="3"/>
        <v>87527810</v>
      </c>
    </row>
    <row r="59" spans="1:9" ht="13.5">
      <c r="A59" s="702">
        <v>40</v>
      </c>
      <c r="B59" s="2031">
        <v>43647</v>
      </c>
      <c r="C59" s="2031">
        <v>43677</v>
      </c>
      <c r="D59" s="1722">
        <f t="shared" si="0"/>
        <v>4186949028</v>
      </c>
      <c r="E59" s="2032">
        <v>0.1928</v>
      </c>
      <c r="F59" s="2034">
        <f t="shared" si="6"/>
        <v>0.28920000000000001</v>
      </c>
      <c r="G59" s="909">
        <f t="shared" si="8"/>
        <v>6.9619256101671745E-4</v>
      </c>
      <c r="H59" s="2126">
        <f t="shared" si="7"/>
        <v>31</v>
      </c>
      <c r="I59" s="1356">
        <f t="shared" si="3"/>
        <v>90362605.769999996</v>
      </c>
    </row>
    <row r="60" spans="1:9" ht="13.5">
      <c r="A60" s="702">
        <v>41</v>
      </c>
      <c r="B60" s="2031">
        <v>43678</v>
      </c>
      <c r="C60" s="2031">
        <v>43708</v>
      </c>
      <c r="D60" s="1722">
        <f t="shared" si="0"/>
        <v>4186949028</v>
      </c>
      <c r="E60" s="2032">
        <v>0.19320000000000001</v>
      </c>
      <c r="F60" s="2034">
        <f t="shared" si="6"/>
        <v>0.2898</v>
      </c>
      <c r="G60" s="909">
        <f t="shared" si="8"/>
        <v>6.9746823462724095E-4</v>
      </c>
      <c r="H60" s="2126">
        <f t="shared" si="7"/>
        <v>31</v>
      </c>
      <c r="I60" s="1356">
        <f t="shared" si="3"/>
        <v>90528182.359999999</v>
      </c>
    </row>
    <row r="61" spans="1:9" ht="13.5">
      <c r="A61" s="702">
        <v>42</v>
      </c>
      <c r="B61" s="2031">
        <v>43709</v>
      </c>
      <c r="C61" s="2031">
        <v>43738</v>
      </c>
      <c r="D61" s="1722">
        <f t="shared" si="0"/>
        <v>4186949028</v>
      </c>
      <c r="E61" s="2032">
        <v>0.19320000000000001</v>
      </c>
      <c r="F61" s="2034">
        <f t="shared" si="6"/>
        <v>0.2898</v>
      </c>
      <c r="G61" s="909">
        <f t="shared" si="8"/>
        <v>6.9746823462724095E-4</v>
      </c>
      <c r="H61" s="2126">
        <f t="shared" si="7"/>
        <v>30</v>
      </c>
      <c r="I61" s="1356">
        <f t="shared" si="3"/>
        <v>87607918.409999996</v>
      </c>
    </row>
    <row r="62" spans="1:9" ht="13.5">
      <c r="A62" s="702">
        <v>43</v>
      </c>
      <c r="B62" s="2031">
        <v>43739</v>
      </c>
      <c r="C62" s="2031">
        <v>43769</v>
      </c>
      <c r="D62" s="1722">
        <f t="shared" si="0"/>
        <v>4186949028</v>
      </c>
      <c r="E62" s="2032">
        <v>0.191</v>
      </c>
      <c r="F62" s="2034">
        <f t="shared" si="6"/>
        <v>0.28649999999999998</v>
      </c>
      <c r="G62" s="909">
        <f t="shared" si="8"/>
        <v>6.9044469314105683E-4</v>
      </c>
      <c r="H62" s="2126">
        <f t="shared" si="7"/>
        <v>31</v>
      </c>
      <c r="I62" s="1356">
        <f t="shared" si="3"/>
        <v>89616558.840000004</v>
      </c>
    </row>
    <row r="63" spans="1:9" ht="13.5">
      <c r="A63" s="702">
        <v>44</v>
      </c>
      <c r="B63" s="2031">
        <v>43770</v>
      </c>
      <c r="C63" s="2031">
        <v>43799</v>
      </c>
      <c r="D63" s="1722">
        <f t="shared" si="0"/>
        <v>4186949028</v>
      </c>
      <c r="E63" s="2032">
        <v>0.1903</v>
      </c>
      <c r="F63" s="2034">
        <f t="shared" si="6"/>
        <v>0.28544999999999998</v>
      </c>
      <c r="G63" s="909">
        <f t="shared" si="8"/>
        <v>6.8820616169262827E-4</v>
      </c>
      <c r="H63" s="2126">
        <f t="shared" si="7"/>
        <v>30</v>
      </c>
      <c r="I63" s="1356">
        <f t="shared" si="3"/>
        <v>86444523.590000004</v>
      </c>
    </row>
    <row r="64" spans="1:9" ht="13.5">
      <c r="A64" s="702">
        <v>45</v>
      </c>
      <c r="B64" s="2031">
        <v>43800</v>
      </c>
      <c r="C64" s="2031">
        <v>43830</v>
      </c>
      <c r="D64" s="1722">
        <f t="shared" si="0"/>
        <v>4186949028</v>
      </c>
      <c r="E64" s="2032">
        <v>0.18909999999999999</v>
      </c>
      <c r="F64" s="2034">
        <f t="shared" si="6"/>
        <v>0.28364999999999996</v>
      </c>
      <c r="G64" s="909">
        <f t="shared" si="8"/>
        <v>6.8436443340047504E-4</v>
      </c>
      <c r="H64" s="2126">
        <f t="shared" si="7"/>
        <v>31</v>
      </c>
      <c r="I64" s="1356">
        <f t="shared" si="3"/>
        <v>88827368.980000004</v>
      </c>
    </row>
    <row r="65" spans="1:9" ht="13.5">
      <c r="A65" s="702">
        <v>46</v>
      </c>
      <c r="B65" s="2031">
        <v>43831</v>
      </c>
      <c r="C65" s="2031">
        <v>43861</v>
      </c>
      <c r="D65" s="1722">
        <f t="shared" si="0"/>
        <v>4186949028</v>
      </c>
      <c r="E65" s="2032">
        <v>0.18770000000000001</v>
      </c>
      <c r="F65" s="2034">
        <f t="shared" si="6"/>
        <v>0.28155000000000002</v>
      </c>
      <c r="G65" s="909">
        <f t="shared" si="8"/>
        <v>6.7987562124560696E-4</v>
      </c>
      <c r="H65" s="2126">
        <f t="shared" si="7"/>
        <v>31</v>
      </c>
      <c r="I65" s="1356">
        <f t="shared" si="3"/>
        <v>88244741.719999999</v>
      </c>
    </row>
    <row r="66" spans="1:9" ht="13.5">
      <c r="A66" s="702">
        <v>47</v>
      </c>
      <c r="B66" s="2031">
        <v>43862</v>
      </c>
      <c r="C66" s="2031">
        <v>43890</v>
      </c>
      <c r="D66" s="1722">
        <f t="shared" si="0"/>
        <v>4186949028</v>
      </c>
      <c r="E66" s="2032">
        <v>0.19059999999999999</v>
      </c>
      <c r="F66" s="2034">
        <f t="shared" si="6"/>
        <v>0.28589999999999999</v>
      </c>
      <c r="G66" s="909">
        <f t="shared" si="8"/>
        <v>6.8916575551658532E-4</v>
      </c>
      <c r="H66" s="2126">
        <f t="shared" si="7"/>
        <v>29</v>
      </c>
      <c r="I66" s="1356">
        <f t="shared" si="3"/>
        <v>83679554.819999993</v>
      </c>
    </row>
    <row r="67" spans="1:9" ht="13.5">
      <c r="A67" s="702">
        <v>48</v>
      </c>
      <c r="B67" s="2031">
        <v>43891</v>
      </c>
      <c r="C67" s="2031">
        <v>43921</v>
      </c>
      <c r="D67" s="1722">
        <f t="shared" si="0"/>
        <v>4186949028</v>
      </c>
      <c r="E67" s="2032">
        <v>0.1895</v>
      </c>
      <c r="F67" s="2034">
        <f t="shared" si="6"/>
        <v>0.28425</v>
      </c>
      <c r="G67" s="909">
        <f t="shared" si="8"/>
        <v>6.8564560609574166E-4</v>
      </c>
      <c r="H67" s="2126">
        <f t="shared" si="7"/>
        <v>31</v>
      </c>
      <c r="I67" s="1356">
        <f t="shared" si="3"/>
        <v>88993659.319999993</v>
      </c>
    </row>
    <row r="68" spans="1:9" s="721" customFormat="1" ht="13.5">
      <c r="A68" s="702">
        <v>49</v>
      </c>
      <c r="B68" s="2031">
        <v>43922</v>
      </c>
      <c r="C68" s="2031">
        <v>43951</v>
      </c>
      <c r="D68" s="1722">
        <f t="shared" si="0"/>
        <v>4186949028</v>
      </c>
      <c r="E68" s="2034">
        <v>0.18690000000000001</v>
      </c>
      <c r="F68" s="2034">
        <f t="shared" si="6"/>
        <v>0.28034999999999999</v>
      </c>
      <c r="G68" s="909">
        <f t="shared" si="8"/>
        <v>6.7730729113191224E-4</v>
      </c>
      <c r="H68" s="2126">
        <f t="shared" si="7"/>
        <v>30</v>
      </c>
      <c r="I68" s="1356">
        <f t="shared" si="3"/>
        <v>85075533.129999995</v>
      </c>
    </row>
    <row r="69" spans="1:9" s="721" customFormat="1" ht="13.5">
      <c r="A69" s="702">
        <v>50</v>
      </c>
      <c r="B69" s="2031">
        <v>43952</v>
      </c>
      <c r="C69" s="2031">
        <v>43982</v>
      </c>
      <c r="D69" s="1722">
        <f t="shared" si="0"/>
        <v>4186949028</v>
      </c>
      <c r="E69" s="2034">
        <v>0.18190000000000001</v>
      </c>
      <c r="F69" s="2034">
        <f t="shared" si="6"/>
        <v>0.27285000000000004</v>
      </c>
      <c r="G69" s="909">
        <f t="shared" si="8"/>
        <v>6.6120063584418354E-4</v>
      </c>
      <c r="H69" s="2126">
        <f t="shared" si="7"/>
        <v>31</v>
      </c>
      <c r="I69" s="1356">
        <f t="shared" si="3"/>
        <v>85820814.150000006</v>
      </c>
    </row>
    <row r="70" spans="1:9" s="721" customFormat="1" ht="13.5">
      <c r="A70" s="702">
        <v>51</v>
      </c>
      <c r="B70" s="2031">
        <v>43983</v>
      </c>
      <c r="C70" s="2031">
        <v>44012</v>
      </c>
      <c r="D70" s="1722">
        <f t="shared" si="0"/>
        <v>4186949028</v>
      </c>
      <c r="E70" s="2034">
        <v>0.1812</v>
      </c>
      <c r="F70" s="2034">
        <f t="shared" si="6"/>
        <v>0.27179999999999999</v>
      </c>
      <c r="G70" s="909">
        <f t="shared" si="8"/>
        <v>6.5893815469997286E-4</v>
      </c>
      <c r="H70" s="2126">
        <f t="shared" si="7"/>
        <v>30</v>
      </c>
      <c r="I70" s="1356">
        <f t="shared" si="3"/>
        <v>82768213.989999995</v>
      </c>
    </row>
    <row r="71" spans="1:9" s="721" customFormat="1" ht="13.5">
      <c r="A71" s="702">
        <v>52</v>
      </c>
      <c r="B71" s="2031">
        <v>44013</v>
      </c>
      <c r="C71" s="2031">
        <v>44043</v>
      </c>
      <c r="D71" s="1722">
        <f t="shared" si="0"/>
        <v>4186949028</v>
      </c>
      <c r="E71" s="2034">
        <v>0.1812</v>
      </c>
      <c r="F71" s="2034">
        <f t="shared" si="6"/>
        <v>0.27179999999999999</v>
      </c>
      <c r="G71" s="909">
        <f t="shared" si="8"/>
        <v>6.5893815469997286E-4</v>
      </c>
      <c r="H71" s="2126">
        <f t="shared" si="7"/>
        <v>31</v>
      </c>
      <c r="I71" s="1356">
        <f t="shared" si="3"/>
        <v>85527154.459999993</v>
      </c>
    </row>
    <row r="72" spans="1:9" s="721" customFormat="1" ht="13.5">
      <c r="A72" s="702">
        <v>53</v>
      </c>
      <c r="B72" s="2031">
        <v>44044</v>
      </c>
      <c r="C72" s="2031">
        <v>44074</v>
      </c>
      <c r="D72" s="1722">
        <f t="shared" si="0"/>
        <v>4186949028</v>
      </c>
      <c r="E72" s="2034">
        <v>0.18290000000000001</v>
      </c>
      <c r="F72" s="2034">
        <f t="shared" si="6"/>
        <v>0.27434999999999998</v>
      </c>
      <c r="G72" s="909">
        <f t="shared" si="8"/>
        <v>6.6442952514544906E-4</v>
      </c>
      <c r="H72" s="2126">
        <f t="shared" si="7"/>
        <v>31</v>
      </c>
      <c r="I72" s="1356">
        <f t="shared" si="3"/>
        <v>86239909.189999998</v>
      </c>
    </row>
    <row r="73" spans="1:9" ht="13.5">
      <c r="A73" s="702">
        <v>54</v>
      </c>
      <c r="B73" s="2031">
        <v>44075</v>
      </c>
      <c r="C73" s="2031">
        <v>44104</v>
      </c>
      <c r="D73" s="1722">
        <f t="shared" si="0"/>
        <v>4186949028</v>
      </c>
      <c r="E73" s="2034">
        <v>0.1835</v>
      </c>
      <c r="F73" s="2034">
        <f t="shared" si="6"/>
        <v>0.27524999999999999</v>
      </c>
      <c r="G73" s="909">
        <f t="shared" si="8"/>
        <v>6.6636503991857055E-4</v>
      </c>
      <c r="H73" s="2126">
        <f t="shared" si="7"/>
        <v>30</v>
      </c>
      <c r="I73" s="1356">
        <f t="shared" si="3"/>
        <v>83701093.689999998</v>
      </c>
    </row>
    <row r="74" spans="1:9" ht="13.5">
      <c r="A74" s="702">
        <v>55</v>
      </c>
      <c r="B74" s="2031">
        <v>44105</v>
      </c>
      <c r="C74" s="2031">
        <v>44135</v>
      </c>
      <c r="D74" s="1722">
        <f t="shared" si="0"/>
        <v>4186949028</v>
      </c>
      <c r="E74" s="1920">
        <v>0.18090000000000001</v>
      </c>
      <c r="F74" s="2034">
        <f t="shared" si="6"/>
        <v>0.27134999999999998</v>
      </c>
      <c r="G74" s="909">
        <f t="shared" si="8"/>
        <v>6.5796794962613703E-4</v>
      </c>
      <c r="H74" s="2126">
        <f t="shared" si="7"/>
        <v>31</v>
      </c>
      <c r="I74" s="1356">
        <f t="shared" si="3"/>
        <v>85401226.280000001</v>
      </c>
    </row>
    <row r="75" spans="1:9" ht="13.5">
      <c r="A75" s="702">
        <v>56</v>
      </c>
      <c r="B75" s="2031">
        <v>44136</v>
      </c>
      <c r="C75" s="2031">
        <v>44165</v>
      </c>
      <c r="D75" s="1722">
        <f t="shared" si="0"/>
        <v>4186949028</v>
      </c>
      <c r="E75" s="1920">
        <v>0.1784</v>
      </c>
      <c r="F75" s="2034">
        <f t="shared" si="6"/>
        <v>0.2676</v>
      </c>
      <c r="G75" s="909">
        <f t="shared" si="8"/>
        <v>6.4986956374091243E-4</v>
      </c>
      <c r="H75" s="2126">
        <f t="shared" si="7"/>
        <v>30</v>
      </c>
      <c r="I75" s="1356">
        <f t="shared" si="3"/>
        <v>81629122.150000006</v>
      </c>
    </row>
    <row r="76" spans="1:9" ht="13.5">
      <c r="A76" s="702">
        <v>57</v>
      </c>
      <c r="B76" s="2031">
        <v>44166</v>
      </c>
      <c r="C76" s="2031">
        <v>44196</v>
      </c>
      <c r="D76" s="1722">
        <f t="shared" si="0"/>
        <v>4186949028</v>
      </c>
      <c r="E76" s="2034">
        <v>0.17460000000000001</v>
      </c>
      <c r="F76" s="2034">
        <f t="shared" si="6"/>
        <v>0.26190000000000002</v>
      </c>
      <c r="G76" s="909">
        <f t="shared" si="8"/>
        <v>6.3751414410861962E-4</v>
      </c>
      <c r="H76" s="2126">
        <f t="shared" si="7"/>
        <v>31</v>
      </c>
      <c r="I76" s="1356">
        <f t="shared" si="3"/>
        <v>82746416.010000005</v>
      </c>
    </row>
    <row r="77" spans="1:9" ht="13.5">
      <c r="A77" s="702">
        <v>58</v>
      </c>
      <c r="B77" s="2031">
        <v>44197</v>
      </c>
      <c r="C77" s="2031">
        <v>44227</v>
      </c>
      <c r="D77" s="1722">
        <f t="shared" si="0"/>
        <v>4186949028</v>
      </c>
      <c r="E77" s="2034">
        <v>0.17319999999999999</v>
      </c>
      <c r="F77" s="2034">
        <f t="shared" si="6"/>
        <v>0.25979999999999998</v>
      </c>
      <c r="G77" s="909">
        <f t="shared" si="8"/>
        <v>6.3294811266723094E-4</v>
      </c>
      <c r="H77" s="2126">
        <f t="shared" si="7"/>
        <v>31</v>
      </c>
      <c r="I77" s="1356">
        <f t="shared" si="3"/>
        <v>82153766.040000007</v>
      </c>
    </row>
    <row r="78" spans="1:9" ht="13.5">
      <c r="A78" s="702">
        <v>59</v>
      </c>
      <c r="B78" s="2031">
        <v>44228</v>
      </c>
      <c r="C78" s="2031">
        <v>44255</v>
      </c>
      <c r="D78" s="1722">
        <f t="shared" si="0"/>
        <v>4186949028</v>
      </c>
      <c r="E78" s="2034">
        <v>0.1754</v>
      </c>
      <c r="F78" s="2034">
        <f t="shared" si="6"/>
        <v>0.2631</v>
      </c>
      <c r="G78" s="909">
        <f t="shared" si="8"/>
        <v>6.4011990387169426E-4</v>
      </c>
      <c r="H78" s="2126">
        <f t="shared" si="7"/>
        <v>28</v>
      </c>
      <c r="I78" s="1356">
        <f t="shared" si="3"/>
        <v>75044183.459999993</v>
      </c>
    </row>
    <row r="79" spans="1:9" ht="13.5">
      <c r="A79" s="702">
        <v>60</v>
      </c>
      <c r="B79" s="2031">
        <v>44256</v>
      </c>
      <c r="C79" s="2031">
        <v>44286</v>
      </c>
      <c r="D79" s="1722">
        <f t="shared" si="0"/>
        <v>4186949028</v>
      </c>
      <c r="E79" s="2034">
        <v>0.1741</v>
      </c>
      <c r="F79" s="2034">
        <f t="shared" si="6"/>
        <v>0.26114999999999999</v>
      </c>
      <c r="G79" s="909">
        <f t="shared" si="8"/>
        <v>6.3588428907812578E-4</v>
      </c>
      <c r="H79" s="2126">
        <f t="shared" si="7"/>
        <v>31</v>
      </c>
      <c r="I79" s="1356">
        <f t="shared" si="3"/>
        <v>82534868.290000007</v>
      </c>
    </row>
    <row r="80" spans="1:9" ht="13.5">
      <c r="A80" s="702">
        <v>61</v>
      </c>
      <c r="B80" s="2031">
        <v>44287</v>
      </c>
      <c r="C80" s="2031">
        <v>44316</v>
      </c>
      <c r="D80" s="1722">
        <f t="shared" si="0"/>
        <v>4186949028</v>
      </c>
      <c r="E80" s="2034">
        <v>0.1731</v>
      </c>
      <c r="F80" s="2034">
        <f t="shared" si="6"/>
        <v>0.25964999999999999</v>
      </c>
      <c r="G80" s="909">
        <f t="shared" si="8"/>
        <v>6.326216771728177E-4</v>
      </c>
      <c r="H80" s="2126">
        <f t="shared" si="7"/>
        <v>30</v>
      </c>
      <c r="I80" s="1356">
        <f t="shared" si="3"/>
        <v>79462641.489999995</v>
      </c>
    </row>
    <row r="81" spans="1:9" ht="13.5">
      <c r="A81" s="702">
        <v>62</v>
      </c>
      <c r="B81" s="2031">
        <v>44317</v>
      </c>
      <c r="C81" s="2031">
        <v>44347</v>
      </c>
      <c r="D81" s="1722">
        <f t="shared" si="0"/>
        <v>4186949028</v>
      </c>
      <c r="E81" s="2034">
        <v>0.17219999999999999</v>
      </c>
      <c r="F81" s="2034">
        <f t="shared" si="6"/>
        <v>0.25829999999999997</v>
      </c>
      <c r="G81" s="909">
        <f t="shared" si="8"/>
        <v>6.2968201205726437E-4</v>
      </c>
      <c r="H81" s="2126">
        <f t="shared" si="7"/>
        <v>31</v>
      </c>
      <c r="I81" s="1356">
        <f t="shared" si="3"/>
        <v>81729841.140000001</v>
      </c>
    </row>
    <row r="82" spans="1:9" ht="13.5">
      <c r="A82" s="702">
        <v>63</v>
      </c>
      <c r="B82" s="2031">
        <v>44348</v>
      </c>
      <c r="C82" s="2031">
        <v>44377</v>
      </c>
      <c r="D82" s="1722">
        <f t="shared" si="0"/>
        <v>4186949028</v>
      </c>
      <c r="E82" s="2034">
        <v>0.1721</v>
      </c>
      <c r="F82" s="2034">
        <f t="shared" si="6"/>
        <v>0.25814999999999999</v>
      </c>
      <c r="G82" s="909">
        <f t="shared" si="8"/>
        <v>6.2935518846773952E-4</v>
      </c>
      <c r="H82" s="2126">
        <f t="shared" si="7"/>
        <v>30</v>
      </c>
      <c r="I82" s="1356">
        <f t="shared" si="3"/>
        <v>79052342.840000004</v>
      </c>
    </row>
    <row r="83" spans="1:9" ht="13.5">
      <c r="A83" s="702">
        <v>64</v>
      </c>
      <c r="B83" s="2031">
        <v>44378</v>
      </c>
      <c r="C83" s="2031">
        <v>44408</v>
      </c>
      <c r="D83" s="1722">
        <f t="shared" si="0"/>
        <v>4186949028</v>
      </c>
      <c r="E83" s="2034">
        <v>0.17180000000000001</v>
      </c>
      <c r="F83" s="2034">
        <f t="shared" si="6"/>
        <v>0.25770000000000004</v>
      </c>
      <c r="G83" s="909">
        <f t="shared" si="8"/>
        <v>6.2837448450037137E-4</v>
      </c>
      <c r="H83" s="2126">
        <f t="shared" si="7"/>
        <v>31</v>
      </c>
      <c r="I83" s="1356">
        <f t="shared" si="3"/>
        <v>81560130.049999997</v>
      </c>
    </row>
    <row r="84" spans="1:9" ht="13.5">
      <c r="A84" s="702">
        <v>65</v>
      </c>
      <c r="B84" s="2031">
        <v>44409</v>
      </c>
      <c r="C84" s="2031">
        <v>44439</v>
      </c>
      <c r="D84" s="1722">
        <f t="shared" ref="D84:D99" si="9">+$D$15</f>
        <v>4186949028</v>
      </c>
      <c r="E84" s="2034">
        <v>0.1724</v>
      </c>
      <c r="F84" s="2034">
        <f t="shared" si="6"/>
        <v>0.2586</v>
      </c>
      <c r="G84" s="909">
        <f t="shared" si="8"/>
        <v>6.3033554269220637E-4</v>
      </c>
      <c r="H84" s="2126">
        <f t="shared" si="7"/>
        <v>31</v>
      </c>
      <c r="I84" s="1356">
        <f t="shared" si="3"/>
        <v>81814666.420000002</v>
      </c>
    </row>
    <row r="85" spans="1:9" ht="13.5">
      <c r="A85" s="702">
        <v>66</v>
      </c>
      <c r="B85" s="2031">
        <v>44440</v>
      </c>
      <c r="C85" s="2031">
        <v>44469</v>
      </c>
      <c r="D85" s="1722">
        <f t="shared" si="9"/>
        <v>4186949028</v>
      </c>
      <c r="E85" s="2034">
        <v>0.1719</v>
      </c>
      <c r="F85" s="2034">
        <f t="shared" si="6"/>
        <v>0.25785000000000002</v>
      </c>
      <c r="G85" s="909">
        <f t="shared" si="8"/>
        <v>6.2870142469861889E-4</v>
      </c>
      <c r="H85" s="2126">
        <f t="shared" si="7"/>
        <v>30</v>
      </c>
      <c r="I85" s="1356">
        <f t="shared" si="3"/>
        <v>78970224.569999993</v>
      </c>
    </row>
    <row r="86" spans="1:9" ht="13.5">
      <c r="A86" s="702">
        <v>67</v>
      </c>
      <c r="B86" s="2031">
        <v>44470</v>
      </c>
      <c r="C86" s="2031">
        <v>44500</v>
      </c>
      <c r="D86" s="1722">
        <f t="shared" si="9"/>
        <v>4186949028</v>
      </c>
      <c r="E86" s="2034">
        <v>0.17080000000000001</v>
      </c>
      <c r="F86" s="2034">
        <f t="shared" si="6"/>
        <v>0.25619999999999998</v>
      </c>
      <c r="G86" s="909">
        <f t="shared" si="8"/>
        <v>6.2510294214179751E-4</v>
      </c>
      <c r="H86" s="2126">
        <f t="shared" si="7"/>
        <v>31</v>
      </c>
      <c r="I86" s="1356">
        <f t="shared" si="3"/>
        <v>81135498.840000004</v>
      </c>
    </row>
    <row r="87" spans="1:9" ht="13.5">
      <c r="A87" s="702">
        <v>68</v>
      </c>
      <c r="B87" s="2031">
        <v>44501</v>
      </c>
      <c r="C87" s="2031">
        <v>44530</v>
      </c>
      <c r="D87" s="1722">
        <f t="shared" si="9"/>
        <v>4186949028</v>
      </c>
      <c r="E87" s="2034">
        <v>0.17269999999999999</v>
      </c>
      <c r="F87" s="2034">
        <f t="shared" si="6"/>
        <v>0.25905</v>
      </c>
      <c r="G87" s="909">
        <f t="shared" si="8"/>
        <v>6.3131554742335005E-4</v>
      </c>
      <c r="H87" s="2126">
        <f t="shared" si="7"/>
        <v>30</v>
      </c>
      <c r="I87" s="1356">
        <f t="shared" si="3"/>
        <v>79298580.530000001</v>
      </c>
    </row>
    <row r="88" spans="1:9" ht="13.5">
      <c r="A88" s="702">
        <v>69</v>
      </c>
      <c r="B88" s="2031">
        <v>44531</v>
      </c>
      <c r="C88" s="2031">
        <v>44561</v>
      </c>
      <c r="D88" s="1722">
        <f t="shared" si="9"/>
        <v>4186949028</v>
      </c>
      <c r="E88" s="2034">
        <v>0.17460000000000001</v>
      </c>
      <c r="F88" s="2034">
        <f t="shared" si="6"/>
        <v>0.26190000000000002</v>
      </c>
      <c r="G88" s="909">
        <f t="shared" si="8"/>
        <v>6.3751414410861962E-4</v>
      </c>
      <c r="H88" s="2126">
        <f t="shared" si="7"/>
        <v>31</v>
      </c>
      <c r="I88" s="1356">
        <f t="shared" si="3"/>
        <v>82746416.010000005</v>
      </c>
    </row>
    <row r="89" spans="1:9" ht="13.5">
      <c r="A89" s="702">
        <v>70</v>
      </c>
      <c r="B89" s="2031">
        <v>44562</v>
      </c>
      <c r="C89" s="2031">
        <v>44592</v>
      </c>
      <c r="D89" s="1722">
        <f t="shared" si="9"/>
        <v>4186949028</v>
      </c>
      <c r="E89" s="2034">
        <v>0.17660000000000001</v>
      </c>
      <c r="F89" s="2034">
        <f t="shared" si="6"/>
        <v>0.26490000000000002</v>
      </c>
      <c r="G89" s="909">
        <f t="shared" si="8"/>
        <v>6.4402391816376081E-4</v>
      </c>
      <c r="H89" s="2126">
        <f t="shared" si="7"/>
        <v>31</v>
      </c>
      <c r="I89" s="1356">
        <f t="shared" ref="I89:I98" si="10">ROUND(D89*G89*H89,2)</f>
        <v>83591354.859999999</v>
      </c>
    </row>
    <row r="90" spans="1:9" ht="13.5">
      <c r="A90" s="702">
        <v>71</v>
      </c>
      <c r="B90" s="2031">
        <v>44593</v>
      </c>
      <c r="C90" s="2031">
        <v>44620</v>
      </c>
      <c r="D90" s="1722">
        <f t="shared" si="9"/>
        <v>4186949028</v>
      </c>
      <c r="E90" s="2034">
        <v>0.183</v>
      </c>
      <c r="F90" s="2034">
        <f t="shared" si="6"/>
        <v>0.27449999999999997</v>
      </c>
      <c r="G90" s="909">
        <f t="shared" si="8"/>
        <v>6.6475220558892545E-4</v>
      </c>
      <c r="H90" s="2126">
        <f t="shared" si="7"/>
        <v>28</v>
      </c>
      <c r="I90" s="1356">
        <f t="shared" si="10"/>
        <v>77931940.829999998</v>
      </c>
    </row>
    <row r="91" spans="1:9" ht="13.5">
      <c r="A91" s="702">
        <v>72</v>
      </c>
      <c r="B91" s="2031">
        <v>44621</v>
      </c>
      <c r="C91" s="2031">
        <v>44651</v>
      </c>
      <c r="D91" s="1722">
        <f t="shared" si="9"/>
        <v>4186949028</v>
      </c>
      <c r="E91" s="2034">
        <v>0.1847</v>
      </c>
      <c r="F91" s="2034">
        <f t="shared" si="6"/>
        <v>0.27705000000000002</v>
      </c>
      <c r="G91" s="909">
        <f t="shared" si="8"/>
        <v>6.7023198611315671E-4</v>
      </c>
      <c r="H91" s="2126">
        <f t="shared" si="7"/>
        <v>31</v>
      </c>
      <c r="I91" s="1356">
        <f t="shared" si="10"/>
        <v>86993042.049999997</v>
      </c>
    </row>
    <row r="92" spans="1:9" ht="13.5">
      <c r="A92" s="702">
        <v>73</v>
      </c>
      <c r="B92" s="2031">
        <v>44652</v>
      </c>
      <c r="C92" s="2031">
        <v>44681</v>
      </c>
      <c r="D92" s="1722">
        <f t="shared" si="9"/>
        <v>4186949028</v>
      </c>
      <c r="E92" s="2034">
        <v>0.1905</v>
      </c>
      <c r="F92" s="2034">
        <f t="shared" si="6"/>
        <v>0.28575</v>
      </c>
      <c r="G92" s="909">
        <f t="shared" si="8"/>
        <v>6.8884592812357148E-4</v>
      </c>
      <c r="H92" s="2126">
        <f t="shared" si="7"/>
        <v>30</v>
      </c>
      <c r="I92" s="1356">
        <f t="shared" si="10"/>
        <v>86524883.680000007</v>
      </c>
    </row>
    <row r="93" spans="1:9" ht="13.5">
      <c r="A93" s="702">
        <v>74</v>
      </c>
      <c r="B93" s="2031">
        <v>44682</v>
      </c>
      <c r="C93" s="2031">
        <v>44712</v>
      </c>
      <c r="D93" s="1722">
        <f t="shared" si="9"/>
        <v>4186949028</v>
      </c>
      <c r="E93" s="2034">
        <v>0.1971</v>
      </c>
      <c r="F93" s="2034">
        <f t="shared" si="6"/>
        <v>0.29564999999999997</v>
      </c>
      <c r="G93" s="909">
        <f t="shared" si="8"/>
        <v>7.0987512909947981E-4</v>
      </c>
      <c r="H93" s="2126">
        <f t="shared" si="7"/>
        <v>31</v>
      </c>
      <c r="I93" s="1356">
        <f t="shared" si="10"/>
        <v>92138540.439999998</v>
      </c>
    </row>
    <row r="94" spans="1:9" ht="13.5">
      <c r="A94" s="702">
        <v>75</v>
      </c>
      <c r="B94" s="2031">
        <v>44713</v>
      </c>
      <c r="C94" s="2031">
        <v>44742</v>
      </c>
      <c r="D94" s="1722">
        <f t="shared" si="9"/>
        <v>4186949028</v>
      </c>
      <c r="E94" s="2034">
        <v>0.20399999999999999</v>
      </c>
      <c r="F94" s="2034">
        <f t="shared" si="6"/>
        <v>0.30599999999999999</v>
      </c>
      <c r="G94" s="909">
        <f t="shared" si="8"/>
        <v>7.3168955664093538E-4</v>
      </c>
      <c r="H94" s="2126">
        <f t="shared" si="7"/>
        <v>30</v>
      </c>
      <c r="I94" s="1356">
        <f t="shared" si="10"/>
        <v>91906406.340000004</v>
      </c>
    </row>
    <row r="95" spans="1:9" ht="13.5">
      <c r="A95" s="702">
        <v>76</v>
      </c>
      <c r="B95" s="2031">
        <v>44743</v>
      </c>
      <c r="C95" s="2031">
        <v>44773</v>
      </c>
      <c r="D95" s="1722">
        <f t="shared" si="9"/>
        <v>4186949028</v>
      </c>
      <c r="E95" s="2034">
        <v>0.21279999999999999</v>
      </c>
      <c r="F95" s="2034">
        <f t="shared" si="6"/>
        <v>0.31919999999999998</v>
      </c>
      <c r="G95" s="909">
        <f t="shared" si="8"/>
        <v>7.5926204501630679E-4</v>
      </c>
      <c r="H95" s="2126">
        <f t="shared" si="7"/>
        <v>31</v>
      </c>
      <c r="I95" s="1356">
        <f t="shared" si="10"/>
        <v>98548735.920000002</v>
      </c>
    </row>
    <row r="96" spans="1:9" ht="13.5">
      <c r="A96" s="702">
        <v>77</v>
      </c>
      <c r="B96" s="2031">
        <v>44774</v>
      </c>
      <c r="C96" s="2031">
        <v>44804</v>
      </c>
      <c r="D96" s="1722">
        <f t="shared" si="9"/>
        <v>4186949028</v>
      </c>
      <c r="E96" s="2034">
        <v>0.22209999999999999</v>
      </c>
      <c r="F96" s="2034">
        <f t="shared" si="6"/>
        <v>0.33315</v>
      </c>
      <c r="G96" s="909">
        <f t="shared" si="8"/>
        <v>7.8810371394433254E-4</v>
      </c>
      <c r="H96" s="2126">
        <f>C96-B96+1</f>
        <v>31</v>
      </c>
      <c r="I96" s="1356">
        <f t="shared" si="10"/>
        <v>102292252.45</v>
      </c>
    </row>
    <row r="97" spans="1:9" ht="13.5">
      <c r="A97" s="702">
        <v>78</v>
      </c>
      <c r="B97" s="2031">
        <v>44805</v>
      </c>
      <c r="C97" s="2031">
        <v>44834</v>
      </c>
      <c r="D97" s="1722">
        <f t="shared" si="9"/>
        <v>4186949028</v>
      </c>
      <c r="E97" s="2034">
        <v>0.23499999999999999</v>
      </c>
      <c r="F97" s="2034">
        <f>+E97*1.5</f>
        <v>0.35249999999999998</v>
      </c>
      <c r="G97" s="909">
        <f>((1+F97)^(1/365))-1</f>
        <v>8.2761552252574866E-4</v>
      </c>
      <c r="H97" s="2126">
        <f>C97-B97+1</f>
        <v>30</v>
      </c>
      <c r="I97" s="1356">
        <f t="shared" si="10"/>
        <v>103955520.23</v>
      </c>
    </row>
    <row r="98" spans="1:9" ht="13.5">
      <c r="A98" s="702">
        <v>79</v>
      </c>
      <c r="B98" s="2031">
        <v>44835</v>
      </c>
      <c r="C98" s="2031">
        <v>44865</v>
      </c>
      <c r="D98" s="1722">
        <f t="shared" si="9"/>
        <v>4186949028</v>
      </c>
      <c r="E98" s="2034">
        <v>0.24610000000000001</v>
      </c>
      <c r="F98" s="2034">
        <f>+E98*1.5</f>
        <v>0.36915000000000003</v>
      </c>
      <c r="G98" s="909">
        <f>((1+F98)^(1/365))-1</f>
        <v>8.611654102768096E-4</v>
      </c>
      <c r="H98" s="2126">
        <f>C98-B98+1</f>
        <v>31</v>
      </c>
      <c r="I98" s="1356">
        <f t="shared" si="10"/>
        <v>111775326</v>
      </c>
    </row>
    <row r="99" spans="1:9" ht="13.5">
      <c r="A99" s="702">
        <v>80</v>
      </c>
      <c r="B99" s="2212">
        <v>44866</v>
      </c>
      <c r="C99" s="2031">
        <v>44895</v>
      </c>
      <c r="D99" s="1722">
        <f t="shared" si="9"/>
        <v>4186949028</v>
      </c>
      <c r="E99" s="2034">
        <v>0.25779999999999997</v>
      </c>
      <c r="F99" s="2034">
        <f>+E99*1.5</f>
        <v>0.38669999999999993</v>
      </c>
      <c r="G99" s="909">
        <f>((1+F99)^(1/365))-1</f>
        <v>8.9609117817124329E-4</v>
      </c>
      <c r="H99" s="2126">
        <f>C99-B99+1</f>
        <v>30</v>
      </c>
      <c r="I99" s="1356">
        <f t="shared" ref="I99" si="11">ROUND(D99*G99*H99,2)</f>
        <v>112556642.62</v>
      </c>
    </row>
    <row r="100" spans="1:9" ht="17.25" thickBot="1">
      <c r="H100" s="2036" t="s">
        <v>97</v>
      </c>
      <c r="I100" s="2038">
        <f>ROUND(SUM(I20:I99),2)</f>
        <v>6186305243.5200005</v>
      </c>
    </row>
    <row r="101" spans="1:9" ht="13.5" thickTop="1">
      <c r="B101" s="2751" t="s">
        <v>346</v>
      </c>
      <c r="C101" s="2751"/>
    </row>
    <row r="102" spans="1:9" ht="26.25">
      <c r="B102" s="1667" t="s">
        <v>959</v>
      </c>
      <c r="C102" s="1616">
        <f>+D20</f>
        <v>4186949028</v>
      </c>
    </row>
    <row r="103" spans="1:9" ht="26.25">
      <c r="B103" s="1667" t="s">
        <v>951</v>
      </c>
      <c r="C103" s="1616">
        <f>+I100</f>
        <v>6186305243.5200005</v>
      </c>
    </row>
    <row r="104" spans="1:9" ht="51">
      <c r="B104" s="1667" t="s">
        <v>1179</v>
      </c>
      <c r="C104" s="2232">
        <v>339269755.41000003</v>
      </c>
    </row>
    <row r="105" spans="1:9" ht="76.5">
      <c r="B105" s="1667" t="s">
        <v>1180</v>
      </c>
      <c r="C105" s="2232">
        <f>15*737717</f>
        <v>11065755</v>
      </c>
    </row>
    <row r="106" spans="1:9">
      <c r="B106" s="1628" t="s">
        <v>1177</v>
      </c>
      <c r="C106" s="2037">
        <f>SUM(C102:C105)</f>
        <v>10723589781.93</v>
      </c>
      <c r="F106" s="2226"/>
    </row>
    <row r="107" spans="1:9">
      <c r="F107" s="686"/>
      <c r="G107" s="2226"/>
    </row>
    <row r="108" spans="1:9">
      <c r="B108" s="2227" t="s">
        <v>62</v>
      </c>
      <c r="F108" s="2226"/>
    </row>
    <row r="109" spans="1:9" ht="13.5">
      <c r="B109" s="721"/>
      <c r="E109" s="2192"/>
      <c r="F109" s="2228"/>
    </row>
    <row r="110" spans="1:9" ht="13.5">
      <c r="B110" s="721"/>
      <c r="E110" s="2192"/>
      <c r="F110" s="2226"/>
      <c r="G110" s="2226"/>
    </row>
    <row r="111" spans="1:9">
      <c r="B111" s="2227" t="s">
        <v>63</v>
      </c>
      <c r="F111" s="686"/>
      <c r="G111" s="2226"/>
    </row>
    <row r="112" spans="1:9">
      <c r="B112" s="2227" t="s">
        <v>64</v>
      </c>
      <c r="E112" s="1889"/>
      <c r="F112" s="686"/>
      <c r="G112" s="2226"/>
    </row>
    <row r="113" spans="2:6">
      <c r="B113" s="2227" t="s">
        <v>65</v>
      </c>
      <c r="F113" s="2226"/>
    </row>
    <row r="114" spans="2:6">
      <c r="F114" s="2226"/>
    </row>
  </sheetData>
  <mergeCells count="4">
    <mergeCell ref="C18:I18"/>
    <mergeCell ref="B101:C101"/>
    <mergeCell ref="E19:F19"/>
    <mergeCell ref="C3:D3"/>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763C6-CD66-49D3-B912-81A83ABB9C52}">
  <sheetPr codeName="Hoja56">
    <pageSetUpPr fitToPage="1"/>
  </sheetPr>
  <dimension ref="A1:L86"/>
  <sheetViews>
    <sheetView topLeftCell="A60" zoomScale="96" zoomScaleNormal="96" workbookViewId="0">
      <selection activeCell="J80" sqref="J80"/>
    </sheetView>
  </sheetViews>
  <sheetFormatPr defaultColWidth="9.140625" defaultRowHeight="13.5"/>
  <cols>
    <col min="1" max="1" width="3" style="690" customWidth="1"/>
    <col min="2" max="2" width="21.28515625" style="690" customWidth="1"/>
    <col min="3" max="3" width="16.5703125" style="2049" bestFit="1" customWidth="1"/>
    <col min="4" max="4" width="11.42578125" style="690" customWidth="1"/>
    <col min="5" max="5" width="13.42578125" style="690" customWidth="1"/>
    <col min="6" max="7" width="11.42578125" style="690" customWidth="1"/>
    <col min="8" max="8" width="16.7109375" style="690" customWidth="1"/>
    <col min="9" max="9" width="11.42578125" style="2054" customWidth="1"/>
    <col min="10" max="10" width="19.140625" style="690" customWidth="1"/>
    <col min="11" max="11" width="17.28515625" style="690" bestFit="1" customWidth="1"/>
    <col min="12" max="256" width="11.42578125" style="690" customWidth="1"/>
    <col min="257" max="16384" width="9.140625" style="690"/>
  </cols>
  <sheetData>
    <row r="1" spans="1:10">
      <c r="F1" s="2050"/>
      <c r="G1" s="2051"/>
      <c r="H1" s="2050"/>
      <c r="I1" s="2052"/>
    </row>
    <row r="2" spans="1:10">
      <c r="B2" s="688" t="s">
        <v>1181</v>
      </c>
      <c r="C2" s="1921"/>
      <c r="F2" s="2050"/>
      <c r="G2" s="2051"/>
      <c r="H2" s="2050"/>
      <c r="I2" s="2052"/>
    </row>
    <row r="3" spans="1:10">
      <c r="B3" s="683" t="s">
        <v>508</v>
      </c>
      <c r="C3" s="1921" t="s">
        <v>1182</v>
      </c>
      <c r="F3" s="2053"/>
      <c r="G3" s="2051"/>
      <c r="H3" s="2050"/>
      <c r="I3" s="2052"/>
    </row>
    <row r="4" spans="1:10">
      <c r="B4" s="688" t="s">
        <v>67</v>
      </c>
      <c r="C4" s="1921">
        <v>3670300000</v>
      </c>
      <c r="F4" s="2050"/>
      <c r="G4" s="2050"/>
      <c r="H4" s="2050"/>
      <c r="I4" s="2052"/>
    </row>
    <row r="5" spans="1:10">
      <c r="B5" s="688" t="s">
        <v>1183</v>
      </c>
      <c r="C5" s="1921" t="s">
        <v>1184</v>
      </c>
      <c r="F5" s="2050"/>
      <c r="G5" s="2050"/>
      <c r="H5" s="2050"/>
      <c r="I5" s="2052"/>
    </row>
    <row r="6" spans="1:10">
      <c r="B6" s="2048" t="s">
        <v>1185</v>
      </c>
    </row>
    <row r="7" spans="1:10" ht="55.5" customHeight="1">
      <c r="A7" s="685"/>
      <c r="B7" s="2026" t="s">
        <v>147</v>
      </c>
      <c r="C7" s="2026" t="s">
        <v>40</v>
      </c>
      <c r="D7" s="2026" t="s">
        <v>148</v>
      </c>
      <c r="E7" s="1919" t="s">
        <v>1186</v>
      </c>
      <c r="F7" s="1642" t="s">
        <v>1187</v>
      </c>
      <c r="G7" s="1919" t="s">
        <v>1188</v>
      </c>
      <c r="H7" s="1642" t="s">
        <v>129</v>
      </c>
      <c r="I7" s="1642" t="s">
        <v>47</v>
      </c>
      <c r="J7" s="1642" t="s">
        <v>48</v>
      </c>
    </row>
    <row r="8" spans="1:10" ht="27">
      <c r="B8" s="1919" t="s">
        <v>1189</v>
      </c>
      <c r="C8" s="1699"/>
      <c r="D8" s="688"/>
      <c r="E8" s="1919"/>
      <c r="F8" s="688"/>
      <c r="G8" s="1918"/>
      <c r="H8" s="1918"/>
      <c r="I8" s="1642"/>
      <c r="J8" s="1918"/>
    </row>
    <row r="9" spans="1:10">
      <c r="A9" s="690">
        <v>1</v>
      </c>
      <c r="B9" s="703">
        <v>42543</v>
      </c>
      <c r="C9" s="703">
        <v>42551</v>
      </c>
      <c r="D9" s="1923">
        <v>0.2054</v>
      </c>
      <c r="E9" s="1924">
        <f t="shared" ref="E9:E14" si="0">+D9*1.5</f>
        <v>0.30809999999999998</v>
      </c>
      <c r="F9" s="1923">
        <f t="shared" ref="F9:F14" si="1">((1+E9)^(1/365)-1)*365</f>
        <v>0.26867453915546902</v>
      </c>
      <c r="G9" s="2055">
        <f>F9/366</f>
        <v>7.3408344031548911E-4</v>
      </c>
      <c r="H9" s="1922">
        <f t="shared" ref="H9:H14" si="2">+$C$4</f>
        <v>3670300000</v>
      </c>
      <c r="I9" s="2056">
        <f>+_xlfn.DAYS(C9,B9)+1</f>
        <v>9</v>
      </c>
      <c r="J9" s="1925">
        <f t="shared" ref="J9:J14" si="3">ROUND(G9*H9*I9,2)</f>
        <v>24248758.059999999</v>
      </c>
    </row>
    <row r="10" spans="1:10">
      <c r="A10" s="690">
        <v>2</v>
      </c>
      <c r="B10" s="703">
        <v>42552</v>
      </c>
      <c r="C10" s="703">
        <v>42643</v>
      </c>
      <c r="D10" s="1923">
        <v>0.21340000000000001</v>
      </c>
      <c r="E10" s="1924">
        <f t="shared" si="0"/>
        <v>0.3201</v>
      </c>
      <c r="F10" s="1923">
        <f t="shared" si="1"/>
        <v>0.27781316392586741</v>
      </c>
      <c r="G10" s="2055">
        <f>F10/366</f>
        <v>7.5905236045318962E-4</v>
      </c>
      <c r="H10" s="1922">
        <f t="shared" si="2"/>
        <v>3670300000</v>
      </c>
      <c r="I10" s="2056">
        <f>+_xlfn.DAYS(C10,B10)-1</f>
        <v>90</v>
      </c>
      <c r="J10" s="1925">
        <f t="shared" si="3"/>
        <v>250735489.06999999</v>
      </c>
    </row>
    <row r="11" spans="1:10">
      <c r="A11" s="690">
        <v>3</v>
      </c>
      <c r="B11" s="703">
        <v>42644</v>
      </c>
      <c r="C11" s="703">
        <v>42735</v>
      </c>
      <c r="D11" s="1923">
        <v>0.21990000000000001</v>
      </c>
      <c r="E11" s="1924">
        <f t="shared" si="0"/>
        <v>0.32985000000000003</v>
      </c>
      <c r="F11" s="1923">
        <f t="shared" si="1"/>
        <v>0.28517750168787659</v>
      </c>
      <c r="G11" s="2055">
        <f>F11/366</f>
        <v>7.7917350187944423E-4</v>
      </c>
      <c r="H11" s="1922">
        <f t="shared" si="2"/>
        <v>3670300000</v>
      </c>
      <c r="I11" s="2056">
        <f>+_xlfn.DAYS(C11,B11)+1</f>
        <v>92</v>
      </c>
      <c r="J11" s="1925">
        <f t="shared" si="3"/>
        <v>263101646.36000001</v>
      </c>
    </row>
    <row r="12" spans="1:10">
      <c r="A12" s="690">
        <v>4</v>
      </c>
      <c r="B12" s="703">
        <v>42736</v>
      </c>
      <c r="C12" s="703">
        <v>42825</v>
      </c>
      <c r="D12" s="1923">
        <v>0.22339999999999999</v>
      </c>
      <c r="E12" s="1924">
        <f t="shared" si="0"/>
        <v>0.33509999999999995</v>
      </c>
      <c r="F12" s="1923">
        <f t="shared" si="1"/>
        <v>0.28912064285252836</v>
      </c>
      <c r="G12" s="2055">
        <f>F12/365</f>
        <v>7.9211135028089963E-4</v>
      </c>
      <c r="H12" s="1922">
        <f t="shared" si="2"/>
        <v>3670300000</v>
      </c>
      <c r="I12" s="2056">
        <f>+_xlfn.DAYS(C12,B12)+1</f>
        <v>90</v>
      </c>
      <c r="J12" s="1925">
        <f t="shared" si="3"/>
        <v>261655766</v>
      </c>
    </row>
    <row r="13" spans="1:10">
      <c r="A13" s="690">
        <v>5</v>
      </c>
      <c r="B13" s="703">
        <v>42826</v>
      </c>
      <c r="C13" s="703">
        <v>42916</v>
      </c>
      <c r="D13" s="1923">
        <v>0.2233</v>
      </c>
      <c r="E13" s="1924">
        <f t="shared" si="0"/>
        <v>0.33494999999999997</v>
      </c>
      <c r="F13" s="1923">
        <f t="shared" si="1"/>
        <v>0.28900819642367903</v>
      </c>
      <c r="G13" s="2055">
        <f>F13/365</f>
        <v>7.9180327787309324E-4</v>
      </c>
      <c r="H13" s="1922">
        <f t="shared" si="2"/>
        <v>3670300000</v>
      </c>
      <c r="I13" s="2056">
        <f>+_xlfn.DAYS(C13,B13)+1</f>
        <v>91</v>
      </c>
      <c r="J13" s="1925">
        <f t="shared" si="3"/>
        <v>264460156.94</v>
      </c>
    </row>
    <row r="14" spans="1:10">
      <c r="A14" s="690">
        <v>6</v>
      </c>
      <c r="B14" s="703">
        <v>42917</v>
      </c>
      <c r="C14" s="703">
        <v>42978</v>
      </c>
      <c r="D14" s="1923">
        <v>0.2198</v>
      </c>
      <c r="E14" s="1924">
        <f t="shared" si="0"/>
        <v>0.32969999999999999</v>
      </c>
      <c r="F14" s="1923">
        <f t="shared" si="1"/>
        <v>0.28506461253504645</v>
      </c>
      <c r="G14" s="2055">
        <f>F14/366</f>
        <v>7.7886506157116516E-4</v>
      </c>
      <c r="H14" s="1922">
        <f t="shared" si="2"/>
        <v>3670300000</v>
      </c>
      <c r="I14" s="2056">
        <f>+_xlfn.DAYS(C14,B14)+1</f>
        <v>62</v>
      </c>
      <c r="J14" s="1925">
        <f t="shared" si="3"/>
        <v>177237443</v>
      </c>
    </row>
    <row r="15" spans="1:10">
      <c r="B15" s="2058"/>
      <c r="C15" s="2058"/>
      <c r="D15" s="2059"/>
      <c r="E15" s="2060"/>
      <c r="F15" s="2059"/>
      <c r="G15" s="2061"/>
      <c r="H15" s="2062"/>
      <c r="I15" s="2063"/>
      <c r="J15" s="2064"/>
    </row>
    <row r="16" spans="1:10" ht="27">
      <c r="B16" s="2065" t="s">
        <v>1190</v>
      </c>
      <c r="C16" s="2066"/>
      <c r="D16" s="2059"/>
      <c r="E16" s="2060"/>
      <c r="F16" s="2059"/>
      <c r="G16" s="2061"/>
      <c r="H16" s="2062"/>
      <c r="I16" s="2063"/>
      <c r="J16" s="2064"/>
    </row>
    <row r="17" spans="1:10">
      <c r="B17" s="703"/>
      <c r="C17" s="703"/>
      <c r="D17" s="1923"/>
      <c r="E17" s="1924"/>
      <c r="F17" s="1923"/>
      <c r="G17" s="2055"/>
      <c r="H17" s="1922"/>
      <c r="I17" s="2056"/>
      <c r="J17" s="2057"/>
    </row>
    <row r="18" spans="1:10">
      <c r="A18" s="690">
        <v>7</v>
      </c>
      <c r="B18" s="703">
        <v>42979</v>
      </c>
      <c r="C18" s="703">
        <v>43008</v>
      </c>
      <c r="D18" s="1923">
        <v>0.21479999999999999</v>
      </c>
      <c r="E18" s="1924">
        <f t="shared" ref="E18:E70" si="4">+D18*1.5</f>
        <v>0.32219999999999999</v>
      </c>
      <c r="F18" s="1923">
        <f t="shared" ref="F18:F70" si="5">((1+E18)^(1/365)-1)*365</f>
        <v>0.27940390184029384</v>
      </c>
      <c r="G18" s="2055">
        <f t="shared" ref="G18:G45" si="6">F18/365</f>
        <v>7.6549014202820231E-4</v>
      </c>
      <c r="H18" s="1922">
        <f t="shared" ref="H18:H78" si="7">+$C$4</f>
        <v>3670300000</v>
      </c>
      <c r="I18" s="2056">
        <f t="shared" ref="I18:I70" si="8">+_xlfn.DAYS(C18,B18)+1</f>
        <v>30</v>
      </c>
      <c r="J18" s="1925">
        <f>ROUND(G18*H18*I18,2)</f>
        <v>84287354.049999997</v>
      </c>
    </row>
    <row r="19" spans="1:10">
      <c r="A19" s="690">
        <v>8</v>
      </c>
      <c r="B19" s="703">
        <v>43009</v>
      </c>
      <c r="C19" s="703">
        <v>43039</v>
      </c>
      <c r="D19" s="1923">
        <v>0.21149999999999999</v>
      </c>
      <c r="E19" s="1924">
        <f t="shared" si="4"/>
        <v>0.31724999999999998</v>
      </c>
      <c r="F19" s="1923">
        <f t="shared" si="5"/>
        <v>0.27565026412711968</v>
      </c>
      <c r="G19" s="2055">
        <f t="shared" si="6"/>
        <v>7.5520620308799913E-4</v>
      </c>
      <c r="H19" s="1922">
        <f t="shared" si="7"/>
        <v>3670300000</v>
      </c>
      <c r="I19" s="2056">
        <f t="shared" si="8"/>
        <v>31</v>
      </c>
      <c r="J19" s="1925">
        <f t="shared" ref="J19:J77" si="9">ROUND(G19*H19*I19,2)</f>
        <v>85926833.140000001</v>
      </c>
    </row>
    <row r="20" spans="1:10">
      <c r="A20" s="690">
        <v>9</v>
      </c>
      <c r="B20" s="703">
        <v>43040</v>
      </c>
      <c r="C20" s="703">
        <v>43069</v>
      </c>
      <c r="D20" s="1923">
        <v>0.20960000000000001</v>
      </c>
      <c r="E20" s="1924">
        <f t="shared" si="4"/>
        <v>0.31440000000000001</v>
      </c>
      <c r="F20" s="1923">
        <f t="shared" si="5"/>
        <v>0.27348269245895618</v>
      </c>
      <c r="G20" s="2055">
        <f t="shared" si="6"/>
        <v>7.4926765057248268E-4</v>
      </c>
      <c r="H20" s="1922">
        <f t="shared" si="7"/>
        <v>3670300000</v>
      </c>
      <c r="I20" s="2056">
        <f t="shared" si="8"/>
        <v>30</v>
      </c>
      <c r="J20" s="1925">
        <f t="shared" si="9"/>
        <v>82501111.739999995</v>
      </c>
    </row>
    <row r="21" spans="1:10">
      <c r="A21" s="690">
        <v>10</v>
      </c>
      <c r="B21" s="703">
        <v>43070</v>
      </c>
      <c r="C21" s="703">
        <v>43100</v>
      </c>
      <c r="D21" s="1923">
        <v>0.2077</v>
      </c>
      <c r="E21" s="1923">
        <f t="shared" si="4"/>
        <v>0.31154999999999999</v>
      </c>
      <c r="F21" s="1923">
        <f t="shared" si="5"/>
        <v>0.27131042866726296</v>
      </c>
      <c r="G21" s="2055">
        <f t="shared" si="6"/>
        <v>7.4331624292400811E-4</v>
      </c>
      <c r="H21" s="1922">
        <f t="shared" si="7"/>
        <v>3670300000</v>
      </c>
      <c r="I21" s="2056">
        <f t="shared" si="8"/>
        <v>31</v>
      </c>
      <c r="J21" s="1925">
        <f t="shared" si="9"/>
        <v>84574001.799999997</v>
      </c>
    </row>
    <row r="22" spans="1:10">
      <c r="A22" s="690">
        <v>11</v>
      </c>
      <c r="B22" s="703">
        <v>43101</v>
      </c>
      <c r="C22" s="703">
        <v>43131</v>
      </c>
      <c r="D22" s="1923">
        <v>0.2069</v>
      </c>
      <c r="E22" s="1923">
        <f t="shared" si="4"/>
        <v>0.31035000000000001</v>
      </c>
      <c r="F22" s="1923">
        <f t="shared" si="5"/>
        <v>0.27039438262619453</v>
      </c>
      <c r="G22" s="2055">
        <f t="shared" si="6"/>
        <v>7.4080652774299871E-4</v>
      </c>
      <c r="H22" s="1922">
        <f t="shared" si="7"/>
        <v>3670300000</v>
      </c>
      <c r="I22" s="2056">
        <f t="shared" si="8"/>
        <v>31</v>
      </c>
      <c r="J22" s="1925">
        <f t="shared" si="9"/>
        <v>84288448.159999996</v>
      </c>
    </row>
    <row r="23" spans="1:10">
      <c r="A23" s="690">
        <v>12</v>
      </c>
      <c r="B23" s="703">
        <v>43132</v>
      </c>
      <c r="C23" s="703">
        <v>43159</v>
      </c>
      <c r="D23" s="1923">
        <v>0.21010000000000001</v>
      </c>
      <c r="E23" s="1923">
        <f t="shared" si="4"/>
        <v>0.31515000000000004</v>
      </c>
      <c r="F23" s="1923">
        <f t="shared" si="5"/>
        <v>0.27405356014172155</v>
      </c>
      <c r="G23" s="2055">
        <f t="shared" si="6"/>
        <v>7.5083167162115494E-4</v>
      </c>
      <c r="H23" s="1922">
        <f t="shared" si="7"/>
        <v>3670300000</v>
      </c>
      <c r="I23" s="2056">
        <f t="shared" si="8"/>
        <v>28</v>
      </c>
      <c r="J23" s="1925">
        <f t="shared" si="9"/>
        <v>77161769.560000002</v>
      </c>
    </row>
    <row r="24" spans="1:10">
      <c r="A24" s="690">
        <v>13</v>
      </c>
      <c r="B24" s="703">
        <v>43160</v>
      </c>
      <c r="C24" s="703">
        <v>43190</v>
      </c>
      <c r="D24" s="1923">
        <v>0.20680000000000001</v>
      </c>
      <c r="E24" s="1923">
        <f t="shared" si="4"/>
        <v>0.31020000000000003</v>
      </c>
      <c r="F24" s="1923">
        <f t="shared" si="5"/>
        <v>0.27027981805190504</v>
      </c>
      <c r="G24" s="2055">
        <f t="shared" si="6"/>
        <v>7.4049265219700011E-4</v>
      </c>
      <c r="H24" s="1922">
        <f t="shared" si="7"/>
        <v>3670300000</v>
      </c>
      <c r="I24" s="2056">
        <f t="shared" si="8"/>
        <v>31</v>
      </c>
      <c r="J24" s="1925">
        <f t="shared" si="9"/>
        <v>84252735.620000005</v>
      </c>
    </row>
    <row r="25" spans="1:10">
      <c r="A25" s="690">
        <v>14</v>
      </c>
      <c r="B25" s="703">
        <v>43191</v>
      </c>
      <c r="C25" s="703">
        <v>43220</v>
      </c>
      <c r="D25" s="1923">
        <v>0.20480000000000001</v>
      </c>
      <c r="E25" s="1923">
        <f t="shared" si="4"/>
        <v>0.30720000000000003</v>
      </c>
      <c r="F25" s="1923">
        <f t="shared" si="5"/>
        <v>0.2679857755937276</v>
      </c>
      <c r="G25" s="2055">
        <f t="shared" si="6"/>
        <v>7.34207604366377E-4</v>
      </c>
      <c r="H25" s="1922">
        <f t="shared" si="7"/>
        <v>3670300000</v>
      </c>
      <c r="I25" s="2056">
        <f t="shared" si="8"/>
        <v>30</v>
      </c>
      <c r="J25" s="1925">
        <f t="shared" si="9"/>
        <v>80842865.109999999</v>
      </c>
    </row>
    <row r="26" spans="1:10">
      <c r="A26" s="690">
        <v>15</v>
      </c>
      <c r="B26" s="703">
        <v>43221</v>
      </c>
      <c r="C26" s="703">
        <v>43251</v>
      </c>
      <c r="D26" s="1923">
        <v>0.2044</v>
      </c>
      <c r="E26" s="1923">
        <f t="shared" si="4"/>
        <v>0.30659999999999998</v>
      </c>
      <c r="F26" s="1923">
        <f t="shared" si="5"/>
        <v>0.26752633710759866</v>
      </c>
      <c r="G26" s="2055">
        <f t="shared" si="6"/>
        <v>7.3294886878794152E-4</v>
      </c>
      <c r="H26" s="1922">
        <f t="shared" si="7"/>
        <v>3670300000</v>
      </c>
      <c r="I26" s="2056">
        <f t="shared" si="8"/>
        <v>31</v>
      </c>
      <c r="J26" s="1925">
        <f t="shared" si="9"/>
        <v>83394409.230000004</v>
      </c>
    </row>
    <row r="27" spans="1:10">
      <c r="A27" s="690">
        <v>16</v>
      </c>
      <c r="B27" s="703">
        <v>43252</v>
      </c>
      <c r="C27" s="703">
        <v>43281</v>
      </c>
      <c r="D27" s="1923">
        <v>0.20280000000000001</v>
      </c>
      <c r="E27" s="1923">
        <f t="shared" si="4"/>
        <v>0.30420000000000003</v>
      </c>
      <c r="F27" s="1923">
        <f t="shared" si="5"/>
        <v>0.26568647675452195</v>
      </c>
      <c r="G27" s="2055">
        <f t="shared" si="6"/>
        <v>7.2790815549184096E-4</v>
      </c>
      <c r="H27" s="1922">
        <f t="shared" si="7"/>
        <v>3670300000</v>
      </c>
      <c r="I27" s="2056">
        <f t="shared" si="8"/>
        <v>30</v>
      </c>
      <c r="J27" s="1925">
        <f t="shared" si="9"/>
        <v>80149239.090000004</v>
      </c>
    </row>
    <row r="28" spans="1:10">
      <c r="A28" s="690">
        <v>17</v>
      </c>
      <c r="B28" s="703">
        <v>43282</v>
      </c>
      <c r="C28" s="703">
        <v>43312</v>
      </c>
      <c r="D28" s="1923">
        <v>0.20030000000000001</v>
      </c>
      <c r="E28" s="1923">
        <f t="shared" si="4"/>
        <v>0.30044999999999999</v>
      </c>
      <c r="F28" s="1923">
        <f t="shared" si="5"/>
        <v>0.26280492457206317</v>
      </c>
      <c r="G28" s="2055">
        <f t="shared" si="6"/>
        <v>7.2001349197825526E-4</v>
      </c>
      <c r="H28" s="1922">
        <f t="shared" si="7"/>
        <v>3670300000</v>
      </c>
      <c r="I28" s="2056">
        <f t="shared" si="8"/>
        <v>31</v>
      </c>
      <c r="J28" s="1925">
        <f t="shared" si="9"/>
        <v>81922631.109999999</v>
      </c>
    </row>
    <row r="29" spans="1:10">
      <c r="A29" s="690">
        <v>18</v>
      </c>
      <c r="B29" s="703">
        <v>43313</v>
      </c>
      <c r="C29" s="703">
        <v>43343</v>
      </c>
      <c r="D29" s="1923">
        <v>0.19939999999999999</v>
      </c>
      <c r="E29" s="1923">
        <f t="shared" si="4"/>
        <v>0.29909999999999998</v>
      </c>
      <c r="F29" s="1923">
        <f t="shared" si="5"/>
        <v>0.26176553681842019</v>
      </c>
      <c r="G29" s="2055">
        <f t="shared" si="6"/>
        <v>7.1716585429704161E-4</v>
      </c>
      <c r="H29" s="1922">
        <f t="shared" si="7"/>
        <v>3670300000</v>
      </c>
      <c r="I29" s="2056">
        <f t="shared" si="8"/>
        <v>31</v>
      </c>
      <c r="J29" s="1925">
        <f t="shared" si="9"/>
        <v>81598628.890000001</v>
      </c>
    </row>
    <row r="30" spans="1:10">
      <c r="A30" s="690">
        <v>19</v>
      </c>
      <c r="B30" s="703">
        <v>43344</v>
      </c>
      <c r="C30" s="703">
        <v>43373</v>
      </c>
      <c r="D30" s="1923">
        <v>0.1981</v>
      </c>
      <c r="E30" s="1923">
        <f t="shared" si="4"/>
        <v>0.29715000000000003</v>
      </c>
      <c r="F30" s="1923">
        <f t="shared" si="5"/>
        <v>0.26026229574005577</v>
      </c>
      <c r="G30" s="2055">
        <f t="shared" si="6"/>
        <v>7.1304738558919389E-4</v>
      </c>
      <c r="H30" s="1922">
        <f t="shared" si="7"/>
        <v>3670300000</v>
      </c>
      <c r="I30" s="2056">
        <f t="shared" si="8"/>
        <v>30</v>
      </c>
      <c r="J30" s="1925">
        <f t="shared" si="9"/>
        <v>78512934.579999998</v>
      </c>
    </row>
    <row r="31" spans="1:10">
      <c r="A31" s="690">
        <v>20</v>
      </c>
      <c r="B31" s="703">
        <v>43374</v>
      </c>
      <c r="C31" s="703">
        <v>43404</v>
      </c>
      <c r="D31" s="1923">
        <v>0.1963</v>
      </c>
      <c r="E31" s="1923">
        <f t="shared" si="4"/>
        <v>0.29444999999999999</v>
      </c>
      <c r="F31" s="1923">
        <f t="shared" si="5"/>
        <v>0.25817716030758997</v>
      </c>
      <c r="G31" s="2055">
        <f t="shared" si="6"/>
        <v>7.073346857742191E-4</v>
      </c>
      <c r="H31" s="1922">
        <f t="shared" si="7"/>
        <v>3670300000</v>
      </c>
      <c r="I31" s="2056">
        <f t="shared" si="8"/>
        <v>31</v>
      </c>
      <c r="J31" s="1925">
        <f t="shared" si="9"/>
        <v>80480045.409999996</v>
      </c>
    </row>
    <row r="32" spans="1:10">
      <c r="A32" s="690">
        <v>21</v>
      </c>
      <c r="B32" s="703">
        <v>43405</v>
      </c>
      <c r="C32" s="703">
        <v>43434</v>
      </c>
      <c r="D32" s="1923">
        <v>0.19489999999999999</v>
      </c>
      <c r="E32" s="1923">
        <f t="shared" si="4"/>
        <v>0.29235</v>
      </c>
      <c r="F32" s="1923">
        <f t="shared" si="5"/>
        <v>0.25655238746820963</v>
      </c>
      <c r="G32" s="2055">
        <f t="shared" si="6"/>
        <v>7.0288325333756063E-4</v>
      </c>
      <c r="H32" s="1922">
        <f t="shared" si="7"/>
        <v>3670300000</v>
      </c>
      <c r="I32" s="2056">
        <f t="shared" si="8"/>
        <v>30</v>
      </c>
      <c r="J32" s="1925">
        <f>ROUND(G32*H32*I32,2)</f>
        <v>77393772.140000001</v>
      </c>
    </row>
    <row r="33" spans="1:10">
      <c r="A33" s="690">
        <v>22</v>
      </c>
      <c r="B33" s="703">
        <v>43435</v>
      </c>
      <c r="C33" s="703">
        <v>43465</v>
      </c>
      <c r="D33" s="1923">
        <v>0.19400000000000001</v>
      </c>
      <c r="E33" s="1923">
        <f t="shared" si="4"/>
        <v>0.29100000000000004</v>
      </c>
      <c r="F33" s="1923">
        <f t="shared" si="5"/>
        <v>0.25550649970137673</v>
      </c>
      <c r="G33" s="2055">
        <f t="shared" si="6"/>
        <v>7.0001780740103214E-4</v>
      </c>
      <c r="H33" s="1922">
        <f t="shared" si="7"/>
        <v>3670300000</v>
      </c>
      <c r="I33" s="2056">
        <f t="shared" si="8"/>
        <v>31</v>
      </c>
      <c r="J33" s="1925">
        <f t="shared" si="9"/>
        <v>79647536.109999999</v>
      </c>
    </row>
    <row r="34" spans="1:10">
      <c r="A34" s="690">
        <v>23</v>
      </c>
      <c r="B34" s="703">
        <v>43466</v>
      </c>
      <c r="C34" s="703">
        <v>43496</v>
      </c>
      <c r="D34" s="1923">
        <v>0.19159999999999999</v>
      </c>
      <c r="E34" s="1923">
        <f t="shared" si="4"/>
        <v>0.28739999999999999</v>
      </c>
      <c r="F34" s="1923">
        <f t="shared" si="5"/>
        <v>0.25271212441084656</v>
      </c>
      <c r="G34" s="2055">
        <f t="shared" si="6"/>
        <v>6.9236198468725085E-4</v>
      </c>
      <c r="H34" s="1922">
        <f t="shared" si="7"/>
        <v>3670300000</v>
      </c>
      <c r="I34" s="2056">
        <f t="shared" si="8"/>
        <v>31</v>
      </c>
      <c r="J34" s="1925">
        <f t="shared" si="9"/>
        <v>78776461.959999993</v>
      </c>
    </row>
    <row r="35" spans="1:10">
      <c r="A35" s="690">
        <v>24</v>
      </c>
      <c r="B35" s="703">
        <v>43497</v>
      </c>
      <c r="C35" s="703">
        <v>43524</v>
      </c>
      <c r="D35" s="1923">
        <v>0.19700000000000001</v>
      </c>
      <c r="E35" s="1923">
        <f t="shared" si="4"/>
        <v>0.29549999999999998</v>
      </c>
      <c r="F35" s="1923">
        <f t="shared" si="5"/>
        <v>0.25898856124280001</v>
      </c>
      <c r="G35" s="2055">
        <f t="shared" si="6"/>
        <v>7.0955770203506852E-4</v>
      </c>
      <c r="H35" s="1922">
        <f t="shared" si="7"/>
        <v>3670300000</v>
      </c>
      <c r="I35" s="2056">
        <f t="shared" si="8"/>
        <v>28</v>
      </c>
      <c r="J35" s="1925">
        <f t="shared" si="9"/>
        <v>72920109.75</v>
      </c>
    </row>
    <row r="36" spans="1:10">
      <c r="A36" s="690">
        <v>25</v>
      </c>
      <c r="B36" s="703">
        <v>43525</v>
      </c>
      <c r="C36" s="703">
        <v>43555</v>
      </c>
      <c r="D36" s="1923">
        <v>0.19370000000000001</v>
      </c>
      <c r="E36" s="1923">
        <f t="shared" si="4"/>
        <v>0.29055000000000003</v>
      </c>
      <c r="F36" s="1923">
        <f t="shared" si="5"/>
        <v>0.25515762805643938</v>
      </c>
      <c r="G36" s="2055">
        <f t="shared" si="6"/>
        <v>6.9906199467517638E-4</v>
      </c>
      <c r="H36" s="1922">
        <f t="shared" si="7"/>
        <v>3670300000</v>
      </c>
      <c r="I36" s="2056">
        <f t="shared" si="8"/>
        <v>31</v>
      </c>
      <c r="J36" s="1925">
        <f t="shared" si="9"/>
        <v>79538784.409999996</v>
      </c>
    </row>
    <row r="37" spans="1:10">
      <c r="A37" s="690">
        <v>26</v>
      </c>
      <c r="B37" s="703">
        <v>43556</v>
      </c>
      <c r="C37" s="703">
        <v>43585</v>
      </c>
      <c r="D37" s="1923">
        <v>0.19320000000000001</v>
      </c>
      <c r="E37" s="1923">
        <f t="shared" si="4"/>
        <v>0.2898</v>
      </c>
      <c r="F37" s="1923">
        <f t="shared" si="5"/>
        <v>0.25457590563894295</v>
      </c>
      <c r="G37" s="2055">
        <f t="shared" si="6"/>
        <v>6.9746823462724095E-4</v>
      </c>
      <c r="H37" s="1922">
        <f t="shared" si="7"/>
        <v>3670300000</v>
      </c>
      <c r="I37" s="2056">
        <f t="shared" si="8"/>
        <v>30</v>
      </c>
      <c r="J37" s="1925">
        <f t="shared" si="9"/>
        <v>76797529.849999994</v>
      </c>
    </row>
    <row r="38" spans="1:10">
      <c r="A38" s="690">
        <v>27</v>
      </c>
      <c r="B38" s="703">
        <v>43586</v>
      </c>
      <c r="C38" s="703">
        <v>43616</v>
      </c>
      <c r="D38" s="1923">
        <v>0.19339999999999999</v>
      </c>
      <c r="E38" s="1923">
        <f t="shared" si="4"/>
        <v>0.29009999999999997</v>
      </c>
      <c r="F38" s="1923">
        <f t="shared" si="5"/>
        <v>0.25480863507614249</v>
      </c>
      <c r="G38" s="2055">
        <f t="shared" si="6"/>
        <v>6.9810584952367805E-4</v>
      </c>
      <c r="H38" s="1922">
        <f t="shared" si="7"/>
        <v>3670300000</v>
      </c>
      <c r="I38" s="2056">
        <f t="shared" si="8"/>
        <v>31</v>
      </c>
      <c r="J38" s="1925">
        <f t="shared" si="9"/>
        <v>79429994.879999995</v>
      </c>
    </row>
    <row r="39" spans="1:10">
      <c r="A39" s="690">
        <v>28</v>
      </c>
      <c r="B39" s="703">
        <v>43617</v>
      </c>
      <c r="C39" s="703">
        <v>43646</v>
      </c>
      <c r="D39" s="1923">
        <v>0.193</v>
      </c>
      <c r="E39" s="1923">
        <f t="shared" si="4"/>
        <v>0.28949999999999998</v>
      </c>
      <c r="F39" s="1923">
        <f t="shared" si="5"/>
        <v>0.25434312221235822</v>
      </c>
      <c r="G39" s="2055">
        <f t="shared" si="6"/>
        <v>6.9683047181468005E-4</v>
      </c>
      <c r="H39" s="1922">
        <f t="shared" si="7"/>
        <v>3670300000</v>
      </c>
      <c r="I39" s="2056">
        <f t="shared" si="8"/>
        <v>30</v>
      </c>
      <c r="J39" s="1925">
        <f>ROUND(G39*H39*I39,2)</f>
        <v>76727306.420000002</v>
      </c>
    </row>
    <row r="40" spans="1:10">
      <c r="A40" s="690">
        <v>29</v>
      </c>
      <c r="B40" s="703">
        <v>43647</v>
      </c>
      <c r="C40" s="703">
        <v>43677</v>
      </c>
      <c r="D40" s="1923">
        <v>0.1928</v>
      </c>
      <c r="E40" s="1923">
        <f t="shared" si="4"/>
        <v>0.28920000000000001</v>
      </c>
      <c r="F40" s="1923">
        <f t="shared" si="5"/>
        <v>0.25411028477110187</v>
      </c>
      <c r="G40" s="2055">
        <f t="shared" si="6"/>
        <v>6.9619256101671745E-4</v>
      </c>
      <c r="H40" s="1922">
        <f t="shared" si="7"/>
        <v>3670300000</v>
      </c>
      <c r="I40" s="2056">
        <f t="shared" si="8"/>
        <v>31</v>
      </c>
      <c r="J40" s="1925">
        <f t="shared" si="9"/>
        <v>79212302.260000005</v>
      </c>
    </row>
    <row r="41" spans="1:10">
      <c r="A41" s="690">
        <v>30</v>
      </c>
      <c r="B41" s="703">
        <v>43678</v>
      </c>
      <c r="C41" s="703">
        <v>43708</v>
      </c>
      <c r="D41" s="1923">
        <v>0.19320000000000001</v>
      </c>
      <c r="E41" s="1923">
        <f t="shared" si="4"/>
        <v>0.2898</v>
      </c>
      <c r="F41" s="1923">
        <f t="shared" si="5"/>
        <v>0.25457590563894295</v>
      </c>
      <c r="G41" s="2055">
        <f t="shared" si="6"/>
        <v>6.9746823462724095E-4</v>
      </c>
      <c r="H41" s="1922">
        <f t="shared" si="7"/>
        <v>3670300000</v>
      </c>
      <c r="I41" s="2056">
        <f t="shared" si="8"/>
        <v>31</v>
      </c>
      <c r="J41" s="1925">
        <f t="shared" si="9"/>
        <v>79357447.510000005</v>
      </c>
    </row>
    <row r="42" spans="1:10">
      <c r="A42" s="690">
        <v>31</v>
      </c>
      <c r="B42" s="703">
        <v>43709</v>
      </c>
      <c r="C42" s="703">
        <v>43738</v>
      </c>
      <c r="D42" s="1923">
        <v>0.19320000000000001</v>
      </c>
      <c r="E42" s="1923">
        <f t="shared" si="4"/>
        <v>0.2898</v>
      </c>
      <c r="F42" s="1923">
        <f t="shared" si="5"/>
        <v>0.25457590563894295</v>
      </c>
      <c r="G42" s="2055">
        <f t="shared" si="6"/>
        <v>6.9746823462724095E-4</v>
      </c>
      <c r="H42" s="1922">
        <f t="shared" si="7"/>
        <v>3670300000</v>
      </c>
      <c r="I42" s="2056">
        <f t="shared" si="8"/>
        <v>30</v>
      </c>
      <c r="J42" s="1925">
        <f t="shared" si="9"/>
        <v>76797529.849999994</v>
      </c>
    </row>
    <row r="43" spans="1:10">
      <c r="A43" s="690">
        <v>32</v>
      </c>
      <c r="B43" s="703">
        <v>43739</v>
      </c>
      <c r="C43" s="703">
        <v>43769</v>
      </c>
      <c r="D43" s="1923">
        <v>0.191</v>
      </c>
      <c r="E43" s="1923">
        <f t="shared" si="4"/>
        <v>0.28649999999999998</v>
      </c>
      <c r="F43" s="1923">
        <f t="shared" si="5"/>
        <v>0.25201231299648574</v>
      </c>
      <c r="G43" s="2055">
        <f t="shared" si="6"/>
        <v>6.9044469314105683E-4</v>
      </c>
      <c r="H43" s="1922">
        <f t="shared" si="7"/>
        <v>3670300000</v>
      </c>
      <c r="I43" s="2056">
        <f t="shared" si="8"/>
        <v>31</v>
      </c>
      <c r="J43" s="1925">
        <f t="shared" si="9"/>
        <v>78558313.870000005</v>
      </c>
    </row>
    <row r="44" spans="1:10">
      <c r="A44" s="690">
        <v>33</v>
      </c>
      <c r="B44" s="703">
        <v>43770</v>
      </c>
      <c r="C44" s="703">
        <v>43799</v>
      </c>
      <c r="D44" s="1923">
        <v>0.1903</v>
      </c>
      <c r="E44" s="1923">
        <f t="shared" si="4"/>
        <v>0.28544999999999998</v>
      </c>
      <c r="F44" s="1923">
        <f t="shared" si="5"/>
        <v>0.25119524901780932</v>
      </c>
      <c r="G44" s="2055">
        <f t="shared" si="6"/>
        <v>6.8820616169262827E-4</v>
      </c>
      <c r="H44" s="1922">
        <f t="shared" si="7"/>
        <v>3670300000</v>
      </c>
      <c r="I44" s="2056">
        <f t="shared" si="8"/>
        <v>30</v>
      </c>
      <c r="J44" s="1925">
        <f t="shared" si="9"/>
        <v>75777692.260000005</v>
      </c>
    </row>
    <row r="45" spans="1:10">
      <c r="A45" s="690">
        <v>34</v>
      </c>
      <c r="B45" s="703">
        <v>43800</v>
      </c>
      <c r="C45" s="703">
        <v>43830</v>
      </c>
      <c r="D45" s="1923">
        <v>0.18909999999999999</v>
      </c>
      <c r="E45" s="1923">
        <f t="shared" si="4"/>
        <v>0.28364999999999996</v>
      </c>
      <c r="F45" s="1923">
        <f t="shared" si="5"/>
        <v>0.24979301819117339</v>
      </c>
      <c r="G45" s="2055">
        <f t="shared" si="6"/>
        <v>6.8436443340047504E-4</v>
      </c>
      <c r="H45" s="1922">
        <f t="shared" si="7"/>
        <v>3670300000</v>
      </c>
      <c r="I45" s="2056">
        <f t="shared" si="8"/>
        <v>31</v>
      </c>
      <c r="J45" s="1925">
        <f t="shared" si="9"/>
        <v>77866506.180000007</v>
      </c>
    </row>
    <row r="46" spans="1:10">
      <c r="A46" s="690">
        <v>35</v>
      </c>
      <c r="B46" s="703">
        <v>43831</v>
      </c>
      <c r="C46" s="703">
        <v>43861</v>
      </c>
      <c r="D46" s="1923">
        <v>0.18770000000000001</v>
      </c>
      <c r="E46" s="1923">
        <f t="shared" si="4"/>
        <v>0.28155000000000002</v>
      </c>
      <c r="F46" s="1923">
        <f t="shared" si="5"/>
        <v>0.24815460175464654</v>
      </c>
      <c r="G46" s="2055">
        <f t="shared" ref="G46:G70" si="10">F46/366</f>
        <v>6.7801803758100153E-4</v>
      </c>
      <c r="H46" s="1922">
        <f t="shared" si="7"/>
        <v>3670300000</v>
      </c>
      <c r="I46" s="2056">
        <f t="shared" si="8"/>
        <v>31</v>
      </c>
      <c r="J46" s="1925">
        <f>ROUND(G46*H46*I46,2)</f>
        <v>77144417.700000003</v>
      </c>
    </row>
    <row r="47" spans="1:10">
      <c r="A47" s="690">
        <v>36</v>
      </c>
      <c r="B47" s="703">
        <v>43862</v>
      </c>
      <c r="C47" s="703">
        <v>43890</v>
      </c>
      <c r="D47" s="1923">
        <v>0.19059999999999999</v>
      </c>
      <c r="E47" s="1923">
        <f t="shared" si="4"/>
        <v>0.28589999999999999</v>
      </c>
      <c r="F47" s="1923">
        <f t="shared" si="5"/>
        <v>0.25154550076355364</v>
      </c>
      <c r="G47" s="2055">
        <f t="shared" si="10"/>
        <v>6.8728278897145804E-4</v>
      </c>
      <c r="H47" s="1922">
        <f t="shared" si="7"/>
        <v>3670300000</v>
      </c>
      <c r="I47" s="2056">
        <f t="shared" si="8"/>
        <v>29</v>
      </c>
      <c r="J47" s="1925">
        <f t="shared" si="9"/>
        <v>73153486.590000004</v>
      </c>
    </row>
    <row r="48" spans="1:10">
      <c r="A48" s="690">
        <v>37</v>
      </c>
      <c r="B48" s="703">
        <v>43891</v>
      </c>
      <c r="C48" s="703">
        <v>43921</v>
      </c>
      <c r="D48" s="1923">
        <v>0.1895</v>
      </c>
      <c r="E48" s="1923">
        <f t="shared" si="4"/>
        <v>0.28425</v>
      </c>
      <c r="F48" s="1923">
        <f t="shared" si="5"/>
        <v>0.2502606462249457</v>
      </c>
      <c r="G48" s="2055">
        <f t="shared" si="10"/>
        <v>6.8377225744520689E-4</v>
      </c>
      <c r="H48" s="1922">
        <f t="shared" si="7"/>
        <v>3670300000</v>
      </c>
      <c r="I48" s="2056">
        <f t="shared" si="8"/>
        <v>31</v>
      </c>
      <c r="J48" s="1925">
        <f t="shared" si="9"/>
        <v>77799128.810000002</v>
      </c>
    </row>
    <row r="49" spans="1:12">
      <c r="A49" s="690">
        <v>38</v>
      </c>
      <c r="B49" s="703">
        <v>43922</v>
      </c>
      <c r="C49" s="703">
        <v>43951</v>
      </c>
      <c r="D49" s="1923">
        <v>0.18690000000000001</v>
      </c>
      <c r="E49" s="1923">
        <f t="shared" si="4"/>
        <v>0.28034999999999999</v>
      </c>
      <c r="F49" s="1923">
        <f t="shared" si="5"/>
        <v>0.24721716126314797</v>
      </c>
      <c r="G49" s="2055">
        <f t="shared" si="10"/>
        <v>6.7545672476269935E-4</v>
      </c>
      <c r="H49" s="1922">
        <f t="shared" si="7"/>
        <v>3670300000</v>
      </c>
      <c r="I49" s="2056">
        <f t="shared" si="8"/>
        <v>30</v>
      </c>
      <c r="J49" s="1925">
        <f t="shared" si="9"/>
        <v>74373864.510000005</v>
      </c>
    </row>
    <row r="50" spans="1:12">
      <c r="A50" s="690">
        <v>39</v>
      </c>
      <c r="B50" s="703">
        <v>43952</v>
      </c>
      <c r="C50" s="703">
        <v>43982</v>
      </c>
      <c r="D50" s="1923">
        <v>0.18190000000000001</v>
      </c>
      <c r="E50" s="1923">
        <f t="shared" si="4"/>
        <v>0.27285000000000004</v>
      </c>
      <c r="F50" s="1923">
        <f t="shared" si="5"/>
        <v>0.24133823208312699</v>
      </c>
      <c r="G50" s="2055">
        <f t="shared" si="10"/>
        <v>6.5939407672985521E-4</v>
      </c>
      <c r="H50" s="1922">
        <f t="shared" si="7"/>
        <v>3670300000</v>
      </c>
      <c r="I50" s="2056">
        <f t="shared" si="8"/>
        <v>31</v>
      </c>
      <c r="J50" s="1925">
        <f t="shared" si="9"/>
        <v>75025396.469999999</v>
      </c>
    </row>
    <row r="51" spans="1:12">
      <c r="A51" s="690">
        <v>40</v>
      </c>
      <c r="B51" s="703">
        <v>43983</v>
      </c>
      <c r="C51" s="703">
        <v>44012</v>
      </c>
      <c r="D51" s="1923">
        <v>0.1812</v>
      </c>
      <c r="E51" s="1923">
        <f t="shared" si="4"/>
        <v>0.27179999999999999</v>
      </c>
      <c r="F51" s="1923">
        <f t="shared" si="5"/>
        <v>0.24051242646549009</v>
      </c>
      <c r="G51" s="2055">
        <f t="shared" si="10"/>
        <v>6.57137777228115E-4</v>
      </c>
      <c r="H51" s="1922">
        <f t="shared" si="7"/>
        <v>3670300000</v>
      </c>
      <c r="I51" s="2056">
        <f t="shared" si="8"/>
        <v>30</v>
      </c>
      <c r="J51" s="1925">
        <f t="shared" si="9"/>
        <v>72356783.510000005</v>
      </c>
    </row>
    <row r="52" spans="1:12">
      <c r="A52" s="690">
        <v>41</v>
      </c>
      <c r="B52" s="703">
        <v>44013</v>
      </c>
      <c r="C52" s="703">
        <v>44043</v>
      </c>
      <c r="D52" s="1923">
        <v>0.1812</v>
      </c>
      <c r="E52" s="1923">
        <f t="shared" si="4"/>
        <v>0.27179999999999999</v>
      </c>
      <c r="F52" s="1923">
        <f t="shared" si="5"/>
        <v>0.24051242646549009</v>
      </c>
      <c r="G52" s="2055">
        <f t="shared" si="10"/>
        <v>6.57137777228115E-4</v>
      </c>
      <c r="H52" s="1922">
        <f t="shared" si="7"/>
        <v>3670300000</v>
      </c>
      <c r="I52" s="2056">
        <f t="shared" si="8"/>
        <v>31</v>
      </c>
      <c r="J52" s="1925">
        <f t="shared" si="9"/>
        <v>74768676.299999997</v>
      </c>
    </row>
    <row r="53" spans="1:12">
      <c r="A53" s="690">
        <v>42</v>
      </c>
      <c r="B53" s="703">
        <v>44044</v>
      </c>
      <c r="C53" s="703">
        <v>44074</v>
      </c>
      <c r="D53" s="1923">
        <v>0.18290000000000001</v>
      </c>
      <c r="E53" s="1923">
        <f t="shared" si="4"/>
        <v>0.27434999999999998</v>
      </c>
      <c r="F53" s="1923">
        <f t="shared" si="5"/>
        <v>0.24251677667808891</v>
      </c>
      <c r="G53" s="2055">
        <f t="shared" si="10"/>
        <v>6.6261414392920466E-4</v>
      </c>
      <c r="H53" s="1922">
        <f t="shared" si="7"/>
        <v>3670300000</v>
      </c>
      <c r="I53" s="2056">
        <f t="shared" si="8"/>
        <v>31</v>
      </c>
      <c r="J53" s="1925">
        <f>ROUND(G53*H53*I53,2)</f>
        <v>75391773.469999999</v>
      </c>
    </row>
    <row r="54" spans="1:12">
      <c r="A54" s="690">
        <v>43</v>
      </c>
      <c r="B54" s="703">
        <v>44075</v>
      </c>
      <c r="C54" s="703">
        <v>44104</v>
      </c>
      <c r="D54" s="1923">
        <v>0.1835</v>
      </c>
      <c r="E54" s="1923">
        <f t="shared" si="4"/>
        <v>0.27524999999999999</v>
      </c>
      <c r="F54" s="1923">
        <f t="shared" si="5"/>
        <v>0.24322323957027825</v>
      </c>
      <c r="G54" s="2055">
        <f t="shared" si="10"/>
        <v>6.6454437041059628E-4</v>
      </c>
      <c r="H54" s="1922">
        <f t="shared" si="7"/>
        <v>3670300000</v>
      </c>
      <c r="I54" s="2056">
        <f t="shared" si="8"/>
        <v>30</v>
      </c>
      <c r="J54" s="1925">
        <f t="shared" si="9"/>
        <v>73172316.079999998</v>
      </c>
    </row>
    <row r="55" spans="1:12">
      <c r="A55" s="690">
        <v>44</v>
      </c>
      <c r="B55" s="703">
        <v>44105</v>
      </c>
      <c r="C55" s="703">
        <v>44135</v>
      </c>
      <c r="D55" s="1923">
        <v>0.18090000000000001</v>
      </c>
      <c r="E55" s="1923">
        <f t="shared" si="4"/>
        <v>0.27134999999999998</v>
      </c>
      <c r="F55" s="1923">
        <f t="shared" si="5"/>
        <v>0.24015830161354002</v>
      </c>
      <c r="G55" s="2055">
        <f t="shared" si="10"/>
        <v>6.5617022298781428E-4</v>
      </c>
      <c r="H55" s="1922">
        <f t="shared" si="7"/>
        <v>3670300000</v>
      </c>
      <c r="I55" s="2056">
        <f t="shared" si="8"/>
        <v>31</v>
      </c>
      <c r="J55" s="1925">
        <f t="shared" si="9"/>
        <v>74658588.650000006</v>
      </c>
    </row>
    <row r="56" spans="1:12">
      <c r="A56" s="690">
        <v>45</v>
      </c>
      <c r="B56" s="703">
        <v>44136</v>
      </c>
      <c r="C56" s="703">
        <v>44165</v>
      </c>
      <c r="D56" s="1923">
        <v>0.1784</v>
      </c>
      <c r="E56" s="1923">
        <f t="shared" si="4"/>
        <v>0.2676</v>
      </c>
      <c r="F56" s="1923">
        <f t="shared" si="5"/>
        <v>0.23720239076543304</v>
      </c>
      <c r="G56" s="2055">
        <f t="shared" si="10"/>
        <v>6.48093963839981E-4</v>
      </c>
      <c r="H56" s="1922">
        <f t="shared" si="7"/>
        <v>3670300000</v>
      </c>
      <c r="I56" s="2056">
        <f t="shared" si="8"/>
        <v>30</v>
      </c>
      <c r="J56" s="1925">
        <f t="shared" si="9"/>
        <v>71360978.260000005</v>
      </c>
    </row>
    <row r="57" spans="1:12">
      <c r="A57" s="690">
        <v>46</v>
      </c>
      <c r="B57" s="703">
        <v>44166</v>
      </c>
      <c r="C57" s="703">
        <v>44196</v>
      </c>
      <c r="D57" s="1923">
        <v>0.17460000000000001</v>
      </c>
      <c r="E57" s="1923">
        <f t="shared" si="4"/>
        <v>0.26190000000000002</v>
      </c>
      <c r="F57" s="1923">
        <f t="shared" si="5"/>
        <v>0.23269266259964616</v>
      </c>
      <c r="G57" s="2055">
        <f t="shared" si="10"/>
        <v>6.3577230218482561E-4</v>
      </c>
      <c r="H57" s="1922">
        <f t="shared" si="7"/>
        <v>3670300000</v>
      </c>
      <c r="I57" s="2056">
        <f t="shared" si="8"/>
        <v>31</v>
      </c>
      <c r="J57" s="1925">
        <f t="shared" si="9"/>
        <v>72337727.5</v>
      </c>
    </row>
    <row r="58" spans="1:12">
      <c r="A58" s="690">
        <v>47</v>
      </c>
      <c r="B58" s="703">
        <v>44197</v>
      </c>
      <c r="C58" s="703">
        <v>44227</v>
      </c>
      <c r="D58" s="1923">
        <v>0.17319999999999999</v>
      </c>
      <c r="E58" s="1923">
        <f t="shared" si="4"/>
        <v>0.25979999999999998</v>
      </c>
      <c r="F58" s="1923">
        <f t="shared" si="5"/>
        <v>0.23102606112353929</v>
      </c>
      <c r="G58" s="2055">
        <f t="shared" si="10"/>
        <v>6.3121874623917843E-4</v>
      </c>
      <c r="H58" s="1922">
        <f t="shared" si="7"/>
        <v>3670300000</v>
      </c>
      <c r="I58" s="2056">
        <f t="shared" si="8"/>
        <v>31</v>
      </c>
      <c r="J58" s="1925">
        <f t="shared" si="9"/>
        <v>71819627.090000004</v>
      </c>
    </row>
    <row r="59" spans="1:12">
      <c r="A59" s="690">
        <v>48</v>
      </c>
      <c r="B59" s="703">
        <v>44228</v>
      </c>
      <c r="C59" s="703">
        <v>44255</v>
      </c>
      <c r="D59" s="1923">
        <v>0.1754</v>
      </c>
      <c r="E59" s="1923">
        <f t="shared" si="4"/>
        <v>0.2631</v>
      </c>
      <c r="F59" s="1923">
        <f t="shared" si="5"/>
        <v>0.23364376491316841</v>
      </c>
      <c r="G59" s="2055">
        <f t="shared" si="10"/>
        <v>6.3837094238570601E-4</v>
      </c>
      <c r="H59" s="1922">
        <f t="shared" si="7"/>
        <v>3670300000</v>
      </c>
      <c r="I59" s="2056">
        <f t="shared" si="8"/>
        <v>28</v>
      </c>
      <c r="J59" s="1925">
        <f t="shared" si="9"/>
        <v>65604360.359999999</v>
      </c>
    </row>
    <row r="60" spans="1:12">
      <c r="A60" s="690">
        <v>49</v>
      </c>
      <c r="B60" s="703">
        <v>44256</v>
      </c>
      <c r="C60" s="703">
        <v>44286</v>
      </c>
      <c r="D60" s="1923">
        <v>0.1741</v>
      </c>
      <c r="E60" s="1923">
        <f t="shared" si="4"/>
        <v>0.26114999999999999</v>
      </c>
      <c r="F60" s="1923">
        <f t="shared" si="5"/>
        <v>0.23209776551351591</v>
      </c>
      <c r="G60" s="2055">
        <f t="shared" si="10"/>
        <v>6.3414690031015275E-4</v>
      </c>
      <c r="H60" s="1922">
        <f t="shared" si="7"/>
        <v>3670300000</v>
      </c>
      <c r="I60" s="2056">
        <f t="shared" si="8"/>
        <v>31</v>
      </c>
      <c r="J60" s="1925">
        <f t="shared" si="9"/>
        <v>72152790.409999996</v>
      </c>
    </row>
    <row r="61" spans="1:12">
      <c r="A61" s="690">
        <v>50</v>
      </c>
      <c r="B61" s="703">
        <v>44287</v>
      </c>
      <c r="C61" s="703">
        <v>44316</v>
      </c>
      <c r="D61" s="1923">
        <v>0.1731</v>
      </c>
      <c r="E61" s="1923">
        <f t="shared" si="4"/>
        <v>0.25964999999999999</v>
      </c>
      <c r="F61" s="1923">
        <f t="shared" si="5"/>
        <v>0.23090691216807846</v>
      </c>
      <c r="G61" s="2055">
        <f t="shared" si="10"/>
        <v>6.3089320264502315E-4</v>
      </c>
      <c r="H61" s="1922">
        <f t="shared" si="7"/>
        <v>3670300000</v>
      </c>
      <c r="I61" s="2056">
        <f t="shared" si="8"/>
        <v>30</v>
      </c>
      <c r="J61" s="1925">
        <f t="shared" si="9"/>
        <v>69467019.650000006</v>
      </c>
    </row>
    <row r="62" spans="1:12">
      <c r="A62" s="690">
        <v>51</v>
      </c>
      <c r="B62" s="703">
        <v>44317</v>
      </c>
      <c r="C62" s="703">
        <v>44347</v>
      </c>
      <c r="D62" s="1923">
        <v>0.17219999999999999</v>
      </c>
      <c r="E62" s="1923">
        <f t="shared" si="4"/>
        <v>0.25829999999999997</v>
      </c>
      <c r="F62" s="1923">
        <f t="shared" si="5"/>
        <v>0.2298339344009015</v>
      </c>
      <c r="G62" s="2055">
        <f t="shared" si="10"/>
        <v>6.2796156940137025E-4</v>
      </c>
      <c r="H62" s="1922">
        <f t="shared" si="7"/>
        <v>3670300000</v>
      </c>
      <c r="I62" s="2056">
        <f t="shared" si="8"/>
        <v>31</v>
      </c>
      <c r="J62" s="1925">
        <f t="shared" si="9"/>
        <v>71449027.790000007</v>
      </c>
      <c r="K62" s="2067"/>
      <c r="L62" s="2064"/>
    </row>
    <row r="63" spans="1:12">
      <c r="A63" s="690">
        <v>52</v>
      </c>
      <c r="B63" s="703">
        <v>44348</v>
      </c>
      <c r="C63" s="703">
        <v>44377</v>
      </c>
      <c r="D63" s="1923">
        <v>0.1721</v>
      </c>
      <c r="E63" s="1923">
        <f t="shared" si="4"/>
        <v>0.25814999999999999</v>
      </c>
      <c r="F63" s="1923">
        <f t="shared" si="5"/>
        <v>0.22971464379072493</v>
      </c>
      <c r="G63" s="2055">
        <f t="shared" si="10"/>
        <v>6.276356387724725E-4</v>
      </c>
      <c r="H63" s="1922">
        <f t="shared" si="7"/>
        <v>3670300000</v>
      </c>
      <c r="I63" s="2056">
        <f t="shared" si="8"/>
        <v>30</v>
      </c>
      <c r="J63" s="1925">
        <f t="shared" si="9"/>
        <v>69108332.549999997</v>
      </c>
    </row>
    <row r="64" spans="1:12">
      <c r="A64" s="690">
        <v>53</v>
      </c>
      <c r="B64" s="703">
        <v>44378</v>
      </c>
      <c r="C64" s="703">
        <v>44408</v>
      </c>
      <c r="D64" s="1923">
        <v>0.17180000000000001</v>
      </c>
      <c r="E64" s="1923">
        <f t="shared" si="4"/>
        <v>0.25770000000000004</v>
      </c>
      <c r="F64" s="1923">
        <f t="shared" si="5"/>
        <v>0.22935668684263555</v>
      </c>
      <c r="G64" s="2055">
        <f t="shared" si="10"/>
        <v>6.2665761432414079E-4</v>
      </c>
      <c r="H64" s="1922">
        <f t="shared" si="7"/>
        <v>3670300000</v>
      </c>
      <c r="I64" s="2056">
        <f t="shared" si="8"/>
        <v>31</v>
      </c>
      <c r="J64" s="1925">
        <f t="shared" si="9"/>
        <v>71300664.700000003</v>
      </c>
    </row>
    <row r="65" spans="1:12" ht="12" customHeight="1">
      <c r="A65" s="690">
        <v>54</v>
      </c>
      <c r="B65" s="703">
        <v>44409</v>
      </c>
      <c r="C65" s="703">
        <v>44439</v>
      </c>
      <c r="D65" s="1923">
        <v>0.1724</v>
      </c>
      <c r="E65" s="1923">
        <f t="shared" si="4"/>
        <v>0.2586</v>
      </c>
      <c r="F65" s="1923">
        <f t="shared" si="5"/>
        <v>0.23007247308265533</v>
      </c>
      <c r="G65" s="2055">
        <f t="shared" si="10"/>
        <v>6.2861331443348455E-4</v>
      </c>
      <c r="H65" s="1922">
        <f t="shared" si="7"/>
        <v>3670300000</v>
      </c>
      <c r="I65" s="2056">
        <f t="shared" si="8"/>
        <v>31</v>
      </c>
      <c r="J65" s="1925">
        <f t="shared" si="9"/>
        <v>71523182.890000001</v>
      </c>
      <c r="L65" s="2068"/>
    </row>
    <row r="66" spans="1:12" ht="12" customHeight="1">
      <c r="A66" s="690">
        <v>55</v>
      </c>
      <c r="B66" s="703">
        <v>44440</v>
      </c>
      <c r="C66" s="703">
        <v>44469</v>
      </c>
      <c r="D66" s="1923">
        <v>0.1719</v>
      </c>
      <c r="E66" s="1923">
        <f t="shared" si="4"/>
        <v>0.25785000000000002</v>
      </c>
      <c r="F66" s="1923">
        <f t="shared" si="5"/>
        <v>0.2294760200149959</v>
      </c>
      <c r="G66" s="2055">
        <f t="shared" si="10"/>
        <v>6.2698366124315822E-4</v>
      </c>
      <c r="H66" s="1922">
        <f t="shared" si="7"/>
        <v>3670300000</v>
      </c>
      <c r="I66" s="2056">
        <f t="shared" si="8"/>
        <v>30</v>
      </c>
      <c r="J66" s="1925">
        <f t="shared" si="9"/>
        <v>69036543.959999993</v>
      </c>
      <c r="L66" s="2068"/>
    </row>
    <row r="67" spans="1:12" ht="12" customHeight="1">
      <c r="A67" s="690">
        <v>56</v>
      </c>
      <c r="B67" s="703">
        <v>44470</v>
      </c>
      <c r="C67" s="703">
        <v>44500</v>
      </c>
      <c r="D67" s="1923">
        <v>0.17080000000000001</v>
      </c>
      <c r="E67" s="1923">
        <f t="shared" si="4"/>
        <v>0.25619999999999998</v>
      </c>
      <c r="F67" s="1923">
        <f t="shared" si="5"/>
        <v>0.22816257388175609</v>
      </c>
      <c r="G67" s="2055">
        <f t="shared" si="10"/>
        <v>6.2339501060589095E-4</v>
      </c>
      <c r="H67" s="1922">
        <f t="shared" si="7"/>
        <v>3670300000</v>
      </c>
      <c r="I67" s="2056">
        <f t="shared" si="8"/>
        <v>31</v>
      </c>
      <c r="J67" s="1925">
        <f>ROUND(G67*H67*I67,2)</f>
        <v>70929447.930000007</v>
      </c>
      <c r="L67" s="2068"/>
    </row>
    <row r="68" spans="1:12" ht="12" customHeight="1">
      <c r="A68" s="690">
        <v>57</v>
      </c>
      <c r="B68" s="703">
        <v>44501</v>
      </c>
      <c r="C68" s="703">
        <v>44530</v>
      </c>
      <c r="D68" s="1923">
        <v>0.17269999999999999</v>
      </c>
      <c r="E68" s="1923">
        <f t="shared" si="4"/>
        <v>0.25905</v>
      </c>
      <c r="F68" s="1923">
        <f t="shared" si="5"/>
        <v>0.23043017480952277</v>
      </c>
      <c r="G68" s="2055">
        <f t="shared" si="10"/>
        <v>6.295906415560731E-4</v>
      </c>
      <c r="H68" s="1922">
        <f t="shared" si="7"/>
        <v>3670300000</v>
      </c>
      <c r="I68" s="2056">
        <f t="shared" si="8"/>
        <v>30</v>
      </c>
      <c r="J68" s="1925">
        <f t="shared" si="9"/>
        <v>69323595.950000003</v>
      </c>
      <c r="L68" s="2068"/>
    </row>
    <row r="69" spans="1:12" ht="12" customHeight="1">
      <c r="A69" s="690">
        <v>58</v>
      </c>
      <c r="B69" s="703">
        <v>44531</v>
      </c>
      <c r="C69" s="703">
        <v>44561</v>
      </c>
      <c r="D69" s="1923">
        <v>0.17460000000000001</v>
      </c>
      <c r="E69" s="1923">
        <f t="shared" si="4"/>
        <v>0.26190000000000002</v>
      </c>
      <c r="F69" s="1923">
        <f t="shared" si="5"/>
        <v>0.23269266259964616</v>
      </c>
      <c r="G69" s="2055">
        <f t="shared" si="10"/>
        <v>6.3577230218482561E-4</v>
      </c>
      <c r="H69" s="1922">
        <f t="shared" si="7"/>
        <v>3670300000</v>
      </c>
      <c r="I69" s="2056">
        <f t="shared" si="8"/>
        <v>31</v>
      </c>
      <c r="J69" s="1925">
        <f t="shared" si="9"/>
        <v>72337727.5</v>
      </c>
      <c r="L69" s="2068"/>
    </row>
    <row r="70" spans="1:12" ht="12" customHeight="1">
      <c r="A70" s="690">
        <v>59</v>
      </c>
      <c r="B70" s="703">
        <v>44562</v>
      </c>
      <c r="C70" s="703">
        <v>44592</v>
      </c>
      <c r="D70" s="1923">
        <v>0.17660000000000001</v>
      </c>
      <c r="E70" s="1923">
        <f t="shared" si="4"/>
        <v>0.26490000000000002</v>
      </c>
      <c r="F70" s="1923">
        <f t="shared" si="5"/>
        <v>0.2350687301297727</v>
      </c>
      <c r="G70" s="2055">
        <f t="shared" si="10"/>
        <v>6.422642899720566E-4</v>
      </c>
      <c r="H70" s="1922">
        <f t="shared" si="7"/>
        <v>3670300000</v>
      </c>
      <c r="I70" s="2056">
        <f t="shared" si="8"/>
        <v>31</v>
      </c>
      <c r="J70" s="1925">
        <f t="shared" si="9"/>
        <v>73076381.329999998</v>
      </c>
      <c r="L70" s="2068"/>
    </row>
    <row r="71" spans="1:12" ht="12" customHeight="1">
      <c r="A71" s="690">
        <v>60</v>
      </c>
      <c r="B71" s="703">
        <v>44593</v>
      </c>
      <c r="C71" s="703">
        <v>44620</v>
      </c>
      <c r="D71" s="1923">
        <v>0.183</v>
      </c>
      <c r="E71" s="1923">
        <f t="shared" ref="E71:E78" si="11">+D71*1.5</f>
        <v>0.27449999999999997</v>
      </c>
      <c r="F71" s="1923">
        <f t="shared" ref="F71:F78" si="12">((1+E71)^(1/365)-1)*365</f>
        <v>0.24263455503995779</v>
      </c>
      <c r="G71" s="2055">
        <f t="shared" ref="G71:G78" si="13">F71/366</f>
        <v>6.6293594273212513E-4</v>
      </c>
      <c r="H71" s="1922">
        <f t="shared" si="7"/>
        <v>3670300000</v>
      </c>
      <c r="I71" s="2056">
        <f t="shared" ref="I71:I78" si="14">+_xlfn.DAYS(C71,B71)+1</f>
        <v>28</v>
      </c>
      <c r="J71" s="1925">
        <f t="shared" si="9"/>
        <v>68128866.140000001</v>
      </c>
      <c r="L71" s="2068"/>
    </row>
    <row r="72" spans="1:12" ht="12" customHeight="1">
      <c r="A72" s="690">
        <v>61</v>
      </c>
      <c r="B72" s="703">
        <v>44621</v>
      </c>
      <c r="C72" s="703">
        <v>44651</v>
      </c>
      <c r="D72" s="1923">
        <v>0.1847</v>
      </c>
      <c r="E72" s="1923">
        <f t="shared" si="11"/>
        <v>0.27705000000000002</v>
      </c>
      <c r="F72" s="1923">
        <f t="shared" si="12"/>
        <v>0.2446346749313022</v>
      </c>
      <c r="G72" s="2055">
        <f t="shared" si="13"/>
        <v>6.6840075117842132E-4</v>
      </c>
      <c r="H72" s="1922">
        <f t="shared" si="7"/>
        <v>3670300000</v>
      </c>
      <c r="I72" s="2056">
        <f t="shared" si="14"/>
        <v>31</v>
      </c>
      <c r="J72" s="1925">
        <f t="shared" si="9"/>
        <v>76050169.590000004</v>
      </c>
      <c r="L72" s="2068"/>
    </row>
    <row r="73" spans="1:12" ht="12" customHeight="1">
      <c r="A73" s="690">
        <v>62</v>
      </c>
      <c r="B73" s="703">
        <v>44652</v>
      </c>
      <c r="C73" s="703">
        <v>44681</v>
      </c>
      <c r="D73" s="1923">
        <v>0.1905</v>
      </c>
      <c r="E73" s="1923">
        <f t="shared" si="11"/>
        <v>0.28575</v>
      </c>
      <c r="F73" s="1923">
        <f t="shared" si="12"/>
        <v>0.25142876376510359</v>
      </c>
      <c r="G73" s="2055">
        <f t="shared" si="13"/>
        <v>6.8696383542378035E-4</v>
      </c>
      <c r="H73" s="1922">
        <f t="shared" si="7"/>
        <v>3670300000</v>
      </c>
      <c r="I73" s="2056">
        <f t="shared" si="14"/>
        <v>30</v>
      </c>
      <c r="J73" s="1925">
        <f t="shared" si="9"/>
        <v>75640900.950000003</v>
      </c>
      <c r="L73" s="2068"/>
    </row>
    <row r="74" spans="1:12" ht="12" customHeight="1">
      <c r="A74" s="690">
        <v>63</v>
      </c>
      <c r="B74" s="703">
        <v>44682</v>
      </c>
      <c r="C74" s="703">
        <v>44712</v>
      </c>
      <c r="D74" s="2069">
        <v>0.1971</v>
      </c>
      <c r="E74" s="1923">
        <f t="shared" si="11"/>
        <v>0.29564999999999997</v>
      </c>
      <c r="F74" s="1923">
        <f t="shared" si="12"/>
        <v>0.25910442212131013</v>
      </c>
      <c r="G74" s="2055">
        <f t="shared" si="13"/>
        <v>7.0793557956642114E-4</v>
      </c>
      <c r="H74" s="1922">
        <f t="shared" si="7"/>
        <v>3670300000</v>
      </c>
      <c r="I74" s="2056">
        <f t="shared" si="14"/>
        <v>31</v>
      </c>
      <c r="J74" s="1925">
        <f>ROUND(G74*H74*I74,2)</f>
        <v>80548414.689999998</v>
      </c>
      <c r="L74" s="2068"/>
    </row>
    <row r="75" spans="1:12" ht="12" customHeight="1">
      <c r="A75" s="690">
        <v>64</v>
      </c>
      <c r="B75" s="703">
        <v>44713</v>
      </c>
      <c r="C75" s="703">
        <v>44742</v>
      </c>
      <c r="D75" s="2069">
        <v>0.20399999999999999</v>
      </c>
      <c r="E75" s="1923">
        <f t="shared" si="11"/>
        <v>0.30599999999999999</v>
      </c>
      <c r="F75" s="1923">
        <f t="shared" si="12"/>
        <v>0.26706668817394141</v>
      </c>
      <c r="G75" s="2055">
        <f t="shared" si="13"/>
        <v>7.2969040484683451E-4</v>
      </c>
      <c r="H75" s="1922">
        <f t="shared" si="7"/>
        <v>3670300000</v>
      </c>
      <c r="I75" s="2056">
        <f t="shared" si="14"/>
        <v>30</v>
      </c>
      <c r="J75" s="1925">
        <f t="shared" si="9"/>
        <v>80345480.790000007</v>
      </c>
      <c r="L75" s="2068"/>
    </row>
    <row r="76" spans="1:12" ht="12" customHeight="1">
      <c r="A76" s="690">
        <v>65</v>
      </c>
      <c r="B76" s="703">
        <v>44743</v>
      </c>
      <c r="C76" s="703">
        <v>44773</v>
      </c>
      <c r="D76" s="2069">
        <v>0.21279999999999999</v>
      </c>
      <c r="E76" s="1923">
        <f t="shared" si="11"/>
        <v>0.31919999999999998</v>
      </c>
      <c r="F76" s="1923">
        <f t="shared" si="12"/>
        <v>0.27713064643095198</v>
      </c>
      <c r="G76" s="2055">
        <f t="shared" si="13"/>
        <v>7.5718755855451361E-4</v>
      </c>
      <c r="H76" s="1922">
        <f t="shared" si="7"/>
        <v>3670300000</v>
      </c>
      <c r="I76" s="2056">
        <f t="shared" si="14"/>
        <v>31</v>
      </c>
      <c r="J76" s="1925">
        <f t="shared" si="9"/>
        <v>86152270.379999995</v>
      </c>
      <c r="L76" s="2068"/>
    </row>
    <row r="77" spans="1:12">
      <c r="A77" s="690">
        <v>66</v>
      </c>
      <c r="B77" s="703">
        <v>44774</v>
      </c>
      <c r="C77" s="703">
        <v>44804</v>
      </c>
      <c r="D77" s="2069">
        <v>0.22209999999999999</v>
      </c>
      <c r="E77" s="1923">
        <f t="shared" si="11"/>
        <v>0.33315</v>
      </c>
      <c r="F77" s="1923">
        <f t="shared" si="12"/>
        <v>0.28765785558968138</v>
      </c>
      <c r="G77" s="2055">
        <f t="shared" si="13"/>
        <v>7.8595042510841906E-4</v>
      </c>
      <c r="H77" s="1922">
        <f t="shared" si="7"/>
        <v>3670300000</v>
      </c>
      <c r="I77" s="2056">
        <f t="shared" si="14"/>
        <v>31</v>
      </c>
      <c r="J77" s="1925">
        <f t="shared" si="9"/>
        <v>89424889.200000003</v>
      </c>
    </row>
    <row r="78" spans="1:12">
      <c r="A78" s="690">
        <v>67</v>
      </c>
      <c r="B78" s="703">
        <v>44805</v>
      </c>
      <c r="C78" s="703">
        <v>44834</v>
      </c>
      <c r="D78" s="2069">
        <v>0.23499999999999999</v>
      </c>
      <c r="E78" s="1923">
        <f t="shared" si="11"/>
        <v>0.35249999999999998</v>
      </c>
      <c r="F78" s="1923">
        <f t="shared" si="12"/>
        <v>0.30207966572189826</v>
      </c>
      <c r="G78" s="2055">
        <f t="shared" si="13"/>
        <v>8.253542779286838E-4</v>
      </c>
      <c r="H78" s="1922">
        <f t="shared" si="7"/>
        <v>3670300000</v>
      </c>
      <c r="I78" s="2056">
        <f t="shared" si="14"/>
        <v>30</v>
      </c>
      <c r="J78" s="1925">
        <f>ROUND(G78*H78*I78,2)</f>
        <v>90878934.189999998</v>
      </c>
    </row>
    <row r="79" spans="1:12" ht="13.5" customHeight="1">
      <c r="H79" s="688" t="s">
        <v>93</v>
      </c>
      <c r="I79" s="688"/>
      <c r="J79" s="2057">
        <f>ROUND(SUM(J9:J78),2)</f>
        <v>5935975320.2600002</v>
      </c>
    </row>
    <row r="80" spans="1:12">
      <c r="H80" s="688" t="s">
        <v>1191</v>
      </c>
      <c r="I80" s="688"/>
      <c r="J80" s="2070">
        <f>+C4</f>
        <v>3670300000</v>
      </c>
    </row>
    <row r="81" spans="2:10" ht="24" customHeight="1" thickBot="1">
      <c r="H81" s="2071" t="s">
        <v>1192</v>
      </c>
      <c r="I81" s="2071"/>
      <c r="J81" s="2072">
        <f>J79+J80</f>
        <v>9606275320.2600002</v>
      </c>
    </row>
    <row r="82" spans="2:10" ht="14.25" thickTop="1">
      <c r="B82" s="2751" t="s">
        <v>346</v>
      </c>
      <c r="C82" s="2751"/>
    </row>
    <row r="83" spans="2:10">
      <c r="B83" s="1667" t="s">
        <v>959</v>
      </c>
      <c r="C83" s="1616">
        <f>+J80</f>
        <v>3670300000</v>
      </c>
    </row>
    <row r="84" spans="2:10">
      <c r="B84" s="1667" t="s">
        <v>951</v>
      </c>
      <c r="C84" s="1616">
        <f>+J79</f>
        <v>5935975320.2600002</v>
      </c>
    </row>
    <row r="85" spans="2:10">
      <c r="B85" s="1628" t="s">
        <v>1177</v>
      </c>
      <c r="C85" s="2037">
        <f>SUM(C83:C84)</f>
        <v>9606275320.2600002</v>
      </c>
    </row>
    <row r="86" spans="2:10">
      <c r="B86" s="1667"/>
      <c r="C86" s="1616"/>
    </row>
  </sheetData>
  <mergeCells count="1">
    <mergeCell ref="B82:C82"/>
  </mergeCells>
  <pageMargins left="0.7" right="0.7" top="0.75" bottom="0.75" header="0.3" footer="0.3"/>
  <pageSetup scale="91" fitToHeight="0" orientation="landscape" r:id="rId1"/>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DD8A1-E844-4F32-874F-43C9B0BAB1FE}">
  <sheetPr codeName="Hoja60"/>
  <dimension ref="A2:N224"/>
  <sheetViews>
    <sheetView topLeftCell="A64" workbookViewId="0">
      <selection activeCell="K40" sqref="K40"/>
    </sheetView>
  </sheetViews>
  <sheetFormatPr defaultColWidth="9.140625" defaultRowHeight="12.75"/>
  <cols>
    <col min="1" max="1" width="3.140625" style="217" customWidth="1"/>
    <col min="2" max="2" width="23.42578125" style="217" customWidth="1"/>
    <col min="3" max="3" width="18" style="217" customWidth="1"/>
    <col min="4" max="4" width="18.140625" style="217" customWidth="1"/>
    <col min="5" max="5" width="16" style="217" customWidth="1"/>
    <col min="6" max="6" width="15.42578125" style="217" customWidth="1"/>
    <col min="7" max="7" width="15.42578125" style="217" hidden="1" customWidth="1"/>
    <col min="8" max="8" width="15.42578125" style="217" customWidth="1"/>
    <col min="9" max="9" width="18.42578125" style="217" bestFit="1" customWidth="1"/>
    <col min="10" max="10" width="12.42578125" style="217" customWidth="1"/>
    <col min="11" max="11" width="16.5703125" style="217" bestFit="1" customWidth="1"/>
    <col min="12" max="12" width="13.85546875" style="217" hidden="1" customWidth="1"/>
    <col min="13" max="13" width="15.42578125" style="217" hidden="1" customWidth="1"/>
    <col min="14" max="14" width="13.85546875" style="217" bestFit="1" customWidth="1"/>
    <col min="15" max="257" width="11.42578125" style="217" customWidth="1"/>
    <col min="258" max="16384" width="9.140625" style="217"/>
  </cols>
  <sheetData>
    <row r="2" spans="2:11">
      <c r="B2" s="221" t="s">
        <v>0</v>
      </c>
      <c r="C2" s="217" t="s">
        <v>1193</v>
      </c>
      <c r="J2" s="217" t="s">
        <v>1194</v>
      </c>
      <c r="K2" s="222">
        <v>7966616222</v>
      </c>
    </row>
    <row r="3" spans="2:11">
      <c r="B3" s="221" t="s">
        <v>185</v>
      </c>
      <c r="C3" s="1542" t="s">
        <v>218</v>
      </c>
      <c r="K3" s="222">
        <v>4458858520</v>
      </c>
    </row>
    <row r="4" spans="2:11">
      <c r="B4" s="221" t="s">
        <v>329</v>
      </c>
      <c r="C4" s="217" t="s">
        <v>226</v>
      </c>
      <c r="K4" s="222">
        <v>3500000000</v>
      </c>
    </row>
    <row r="5" spans="2:11">
      <c r="B5" s="221" t="s">
        <v>291</v>
      </c>
      <c r="C5" s="217" t="s">
        <v>1195</v>
      </c>
      <c r="J5" s="217" t="s">
        <v>1196</v>
      </c>
      <c r="K5" s="594">
        <f>+K2-K4</f>
        <v>4466616222</v>
      </c>
    </row>
    <row r="7" spans="2:11">
      <c r="B7" s="221" t="s">
        <v>1197</v>
      </c>
      <c r="C7" s="548">
        <v>3826485097</v>
      </c>
      <c r="D7" s="548"/>
    </row>
    <row r="8" spans="2:11">
      <c r="B8" s="221" t="s">
        <v>1198</v>
      </c>
      <c r="C8" s="548">
        <v>4751452833</v>
      </c>
      <c r="D8" s="548"/>
    </row>
    <row r="9" spans="2:11">
      <c r="B9" s="221" t="s">
        <v>1199</v>
      </c>
      <c r="C9" s="548">
        <v>3215163389</v>
      </c>
      <c r="D9" s="548"/>
    </row>
    <row r="10" spans="2:11">
      <c r="B10" s="217" t="s">
        <v>1200</v>
      </c>
      <c r="C10" s="548">
        <f>+C8+C9</f>
        <v>7966616222</v>
      </c>
      <c r="D10" s="548"/>
      <c r="I10" s="1543"/>
      <c r="J10" s="1543"/>
    </row>
    <row r="11" spans="2:11">
      <c r="C11" s="548"/>
      <c r="D11" s="548"/>
      <c r="I11" s="1543"/>
      <c r="J11" s="1543"/>
    </row>
    <row r="12" spans="2:11">
      <c r="B12" s="221" t="s">
        <v>1201</v>
      </c>
      <c r="C12" s="548"/>
      <c r="D12" s="548"/>
      <c r="I12" s="1543"/>
      <c r="J12" s="1543"/>
    </row>
    <row r="13" spans="2:11">
      <c r="B13" s="217" t="s">
        <v>1202</v>
      </c>
      <c r="C13" s="1544">
        <v>3500000000</v>
      </c>
      <c r="D13" s="1544">
        <f>+C13-C9</f>
        <v>284836611</v>
      </c>
      <c r="I13" s="1543"/>
      <c r="J13" s="1543"/>
    </row>
    <row r="14" spans="2:11" ht="38.25">
      <c r="B14" s="1545" t="s">
        <v>1203</v>
      </c>
      <c r="C14" s="1544">
        <v>1116654056</v>
      </c>
      <c r="D14" s="1544">
        <f>+C8-D13</f>
        <v>4466616222</v>
      </c>
      <c r="I14" s="1543"/>
      <c r="J14" s="1543"/>
      <c r="K14" s="594"/>
    </row>
    <row r="15" spans="2:11">
      <c r="D15" s="548"/>
      <c r="K15" s="1543"/>
    </row>
    <row r="16" spans="2:11" ht="15" customHeight="1">
      <c r="B16" s="2574" t="s">
        <v>59</v>
      </c>
      <c r="C16" s="2574"/>
      <c r="D16" s="2574"/>
      <c r="E16" s="2574"/>
      <c r="F16" s="2574"/>
      <c r="G16" s="2574"/>
      <c r="H16" s="2574"/>
      <c r="I16" s="2574"/>
      <c r="J16" s="2574"/>
      <c r="K16" s="2574"/>
    </row>
    <row r="17" spans="1:14">
      <c r="B17" s="393" t="s">
        <v>226</v>
      </c>
      <c r="C17" s="393"/>
      <c r="D17" s="548"/>
    </row>
    <row r="18" spans="1:14">
      <c r="B18" s="393" t="s">
        <v>1204</v>
      </c>
      <c r="C18" s="393"/>
      <c r="D18" s="548"/>
    </row>
    <row r="19" spans="1:14" ht="38.25">
      <c r="B19" s="564" t="s">
        <v>147</v>
      </c>
      <c r="C19" s="564" t="s">
        <v>40</v>
      </c>
      <c r="D19" s="1546" t="s">
        <v>1205</v>
      </c>
      <c r="E19" s="1547" t="s">
        <v>1206</v>
      </c>
      <c r="F19" s="1548" t="s">
        <v>229</v>
      </c>
      <c r="G19" s="1549" t="s">
        <v>1207</v>
      </c>
      <c r="H19" s="1550" t="s">
        <v>1208</v>
      </c>
      <c r="I19" s="1550" t="s">
        <v>1209</v>
      </c>
      <c r="J19" s="1550" t="s">
        <v>232</v>
      </c>
      <c r="K19" s="1550" t="s">
        <v>1199</v>
      </c>
      <c r="L19" s="1549" t="s">
        <v>1210</v>
      </c>
      <c r="M19" s="1549" t="s">
        <v>1211</v>
      </c>
    </row>
    <row r="20" spans="1:14" ht="15" customHeight="1">
      <c r="B20" s="2762" t="s">
        <v>1212</v>
      </c>
      <c r="C20" s="2763"/>
      <c r="D20" s="2763"/>
      <c r="E20" s="2763"/>
      <c r="F20" s="2763"/>
      <c r="G20" s="2763"/>
      <c r="H20" s="2763"/>
      <c r="I20" s="2763"/>
      <c r="J20" s="2764"/>
      <c r="K20" s="1551">
        <v>624373424.70000005</v>
      </c>
      <c r="L20" s="1552"/>
      <c r="M20" s="1553">
        <v>624373424.70000005</v>
      </c>
    </row>
    <row r="21" spans="1:14">
      <c r="A21" s="217">
        <v>1</v>
      </c>
      <c r="B21" s="440">
        <v>41263</v>
      </c>
      <c r="C21" s="440">
        <v>41274</v>
      </c>
      <c r="D21" s="1554">
        <v>3826485097</v>
      </c>
      <c r="E21" s="1555">
        <v>2.4400000000000002E-2</v>
      </c>
      <c r="F21" s="1556">
        <v>0.36665999999999999</v>
      </c>
      <c r="G21" s="1557">
        <f t="shared" ref="G21:G26" si="0">YEARFRAC(C21,B21,0)*12</f>
        <v>0.36666666666666664</v>
      </c>
      <c r="H21" s="1555">
        <v>6.9999999999999999E-4</v>
      </c>
      <c r="I21" s="1558">
        <f>(((D21*E21)/12*F21))+D21+52</f>
        <v>3829337954.3521876</v>
      </c>
      <c r="J21" s="1559">
        <v>3.6666665E-3</v>
      </c>
      <c r="K21" s="1560">
        <f>+I21*J21</f>
        <v>14040905.194401696</v>
      </c>
      <c r="L21" s="1561">
        <f t="shared" ref="L21:L27" si="1">G21/100</f>
        <v>3.6666666666666666E-3</v>
      </c>
      <c r="M21" s="1562">
        <f>L21*I21</f>
        <v>14040905.832624687</v>
      </c>
      <c r="N21" s="1563"/>
    </row>
    <row r="22" spans="1:14">
      <c r="A22" s="217">
        <v>2</v>
      </c>
      <c r="B22" s="440">
        <v>41275</v>
      </c>
      <c r="C22" s="440">
        <v>41639</v>
      </c>
      <c r="D22" s="1554">
        <f t="shared" ref="D22:D27" si="2">+I21</f>
        <v>3829337954.3521876</v>
      </c>
      <c r="E22" s="1555">
        <v>2.4400000000000002E-2</v>
      </c>
      <c r="F22" s="1556">
        <v>12</v>
      </c>
      <c r="G22" s="1557">
        <f t="shared" si="0"/>
        <v>12</v>
      </c>
      <c r="H22" s="1555">
        <v>2.4400000000000002E-2</v>
      </c>
      <c r="I22" s="1558">
        <f>(((D22*E22)/12*F22))+D22</f>
        <v>3922773800.4383812</v>
      </c>
      <c r="J22" s="1559">
        <v>0.12</v>
      </c>
      <c r="K22" s="1560">
        <f>+I22*J22</f>
        <v>470732856.05260575</v>
      </c>
      <c r="L22" s="1561">
        <f t="shared" si="1"/>
        <v>0.12</v>
      </c>
      <c r="M22" s="1562">
        <f t="shared" ref="M22:M27" si="3">L22*I22</f>
        <v>470732856.05260575</v>
      </c>
      <c r="N22" s="1563"/>
    </row>
    <row r="23" spans="1:14">
      <c r="A23" s="217">
        <v>3</v>
      </c>
      <c r="B23" s="440">
        <v>41640</v>
      </c>
      <c r="C23" s="440">
        <v>42004</v>
      </c>
      <c r="D23" s="1554">
        <f t="shared" si="2"/>
        <v>3922773800.4383812</v>
      </c>
      <c r="E23" s="1555">
        <v>1.9400000000000001E-2</v>
      </c>
      <c r="F23" s="1556">
        <v>12</v>
      </c>
      <c r="G23" s="1557">
        <f t="shared" si="0"/>
        <v>12</v>
      </c>
      <c r="H23" s="1555">
        <v>1.9400000000000001E-2</v>
      </c>
      <c r="I23" s="1558">
        <f>(((D23*E23)/12*F23))+D23-1</f>
        <v>3998875611.1668859</v>
      </c>
      <c r="J23" s="1559">
        <v>0.12</v>
      </c>
      <c r="K23" s="1560">
        <f>+I23*J23</f>
        <v>479865073.34002626</v>
      </c>
      <c r="L23" s="1561">
        <f t="shared" si="1"/>
        <v>0.12</v>
      </c>
      <c r="M23" s="1562">
        <f t="shared" si="3"/>
        <v>479865073.34002626</v>
      </c>
      <c r="N23" s="1563"/>
    </row>
    <row r="24" spans="1:14">
      <c r="A24" s="217">
        <v>4</v>
      </c>
      <c r="B24" s="440">
        <v>42005</v>
      </c>
      <c r="C24" s="440">
        <v>42369</v>
      </c>
      <c r="D24" s="1554">
        <f t="shared" si="2"/>
        <v>3998875611.1668859</v>
      </c>
      <c r="E24" s="1555">
        <v>3.6600000000000001E-2</v>
      </c>
      <c r="F24" s="1556">
        <v>12</v>
      </c>
      <c r="G24" s="1557">
        <f t="shared" si="0"/>
        <v>12</v>
      </c>
      <c r="H24" s="1555">
        <v>3.6600000000000001E-2</v>
      </c>
      <c r="I24" s="1558">
        <f>(((D24*E24)/12*F24))+D24-1</f>
        <v>4145234457.535594</v>
      </c>
      <c r="J24" s="1559">
        <v>0.12</v>
      </c>
      <c r="K24" s="1560">
        <f>+I24*J24-1</f>
        <v>497428133.90427125</v>
      </c>
      <c r="L24" s="1561">
        <f t="shared" si="1"/>
        <v>0.12</v>
      </c>
      <c r="M24" s="1562">
        <f t="shared" si="3"/>
        <v>497428134.90427125</v>
      </c>
      <c r="N24" s="1563"/>
    </row>
    <row r="25" spans="1:14">
      <c r="A25" s="217">
        <v>5</v>
      </c>
      <c r="B25" s="440">
        <v>42370</v>
      </c>
      <c r="C25" s="440">
        <v>42735</v>
      </c>
      <c r="D25" s="1554">
        <f t="shared" si="2"/>
        <v>4145234457.535594</v>
      </c>
      <c r="E25" s="1555">
        <v>6.7699999999999996E-2</v>
      </c>
      <c r="F25" s="1556">
        <v>12</v>
      </c>
      <c r="G25" s="1557">
        <f t="shared" si="0"/>
        <v>12</v>
      </c>
      <c r="H25" s="1555">
        <v>6.7699999999999996E-2</v>
      </c>
      <c r="I25" s="1558">
        <f>(((D25*E25)/12*F25))+D25</f>
        <v>4425866830.3107538</v>
      </c>
      <c r="J25" s="1559">
        <v>0.12</v>
      </c>
      <c r="K25" s="1560">
        <f>+I25*J25-1</f>
        <v>531104018.63729042</v>
      </c>
      <c r="L25" s="1561">
        <f t="shared" si="1"/>
        <v>0.12</v>
      </c>
      <c r="M25" s="1562">
        <f t="shared" si="3"/>
        <v>531104019.63729042</v>
      </c>
      <c r="N25" s="1563"/>
    </row>
    <row r="26" spans="1:14">
      <c r="A26" s="217">
        <v>6</v>
      </c>
      <c r="B26" s="440">
        <v>42736</v>
      </c>
      <c r="C26" s="440">
        <v>43100</v>
      </c>
      <c r="D26" s="1554">
        <f t="shared" si="2"/>
        <v>4425866830.3107538</v>
      </c>
      <c r="E26" s="1555">
        <v>5.7500000000000002E-2</v>
      </c>
      <c r="F26" s="1556">
        <v>12</v>
      </c>
      <c r="G26" s="1557">
        <f t="shared" si="0"/>
        <v>12</v>
      </c>
      <c r="H26" s="1555">
        <v>5.7500000000000002E-2</v>
      </c>
      <c r="I26" s="1558">
        <f>(((D26*E26)/12*F26))+D26-1</f>
        <v>4680354172.0536222</v>
      </c>
      <c r="J26" s="1559">
        <v>0.12</v>
      </c>
      <c r="K26" s="1560">
        <f>+I26*J26-1</f>
        <v>561642499.64643466</v>
      </c>
      <c r="L26" s="1561">
        <f t="shared" si="1"/>
        <v>0.12</v>
      </c>
      <c r="M26" s="1562">
        <f t="shared" si="3"/>
        <v>561642500.64643466</v>
      </c>
      <c r="N26" s="1563"/>
    </row>
    <row r="27" spans="1:14">
      <c r="A27" s="217">
        <v>7</v>
      </c>
      <c r="B27" s="440">
        <v>43101</v>
      </c>
      <c r="C27" s="440">
        <v>43123</v>
      </c>
      <c r="D27" s="1554">
        <f t="shared" si="2"/>
        <v>4680354172.0536222</v>
      </c>
      <c r="E27" s="1555">
        <v>4.0899999999999999E-2</v>
      </c>
      <c r="F27" s="1556">
        <v>0.766666666</v>
      </c>
      <c r="G27" s="1557">
        <f>YEARFRAC(C27,B27,0)*12</f>
        <v>0.73333333333333328</v>
      </c>
      <c r="H27" s="1555">
        <v>2.5999999999999999E-3</v>
      </c>
      <c r="I27" s="1558">
        <f>(((D27*E27)/12*F27))+D27-1</f>
        <v>4692584196.5142393</v>
      </c>
      <c r="J27" s="1559">
        <v>7.6666666000000001E-3</v>
      </c>
      <c r="K27" s="1560">
        <f>+I27*J27-1</f>
        <v>35976477.527103558</v>
      </c>
      <c r="L27" s="1561">
        <f t="shared" si="1"/>
        <v>7.3333333333333332E-3</v>
      </c>
      <c r="M27" s="1562">
        <f t="shared" si="3"/>
        <v>34412284.107771091</v>
      </c>
    </row>
    <row r="28" spans="1:14">
      <c r="B28" s="1564" t="s">
        <v>93</v>
      </c>
      <c r="C28" s="564"/>
      <c r="D28" s="1546"/>
      <c r="E28" s="1547"/>
      <c r="F28" s="1548"/>
      <c r="G28" s="1565"/>
      <c r="H28" s="1550"/>
      <c r="I28" s="2765" t="s">
        <v>93</v>
      </c>
      <c r="J28" s="2765"/>
      <c r="K28" s="1551">
        <f>SUM(K20:K27)</f>
        <v>3215163389.0021338</v>
      </c>
      <c r="L28" s="1561"/>
      <c r="M28" s="1566">
        <f>SUM(M20:M27)</f>
        <v>3213599199.221024</v>
      </c>
    </row>
    <row r="29" spans="1:14">
      <c r="B29" s="1564" t="s">
        <v>1213</v>
      </c>
      <c r="C29" s="564"/>
      <c r="D29" s="1546"/>
      <c r="E29" s="1547"/>
      <c r="F29" s="1548"/>
      <c r="G29" s="1565"/>
      <c r="H29" s="1550"/>
      <c r="I29" s="1558"/>
      <c r="J29" s="1550"/>
      <c r="K29" s="1551"/>
      <c r="L29" s="1561"/>
      <c r="M29" s="1552"/>
    </row>
    <row r="30" spans="1:14">
      <c r="A30" s="217">
        <v>8</v>
      </c>
      <c r="B30" s="440">
        <v>43124</v>
      </c>
      <c r="C30" s="440">
        <v>43465</v>
      </c>
      <c r="D30" s="1554">
        <f>+I27</f>
        <v>4692584196.5142393</v>
      </c>
      <c r="E30" s="1555">
        <v>4.0899999999999999E-2</v>
      </c>
      <c r="F30" s="1567">
        <f>YEARFRAC(C30,B30,0)*12</f>
        <v>11.233333333333334</v>
      </c>
      <c r="G30" s="1557">
        <f>YEARFRAC(C30,B30,0)*12</f>
        <v>11.233333333333334</v>
      </c>
      <c r="H30" s="1555">
        <v>3.8300000000000001E-2</v>
      </c>
      <c r="I30" s="1568">
        <f>(((D30*E30)/12*F30))+D30-1</f>
        <v>4872248905.9470577</v>
      </c>
      <c r="J30" s="1569">
        <f>+F30/100</f>
        <v>0.11233333333333334</v>
      </c>
      <c r="K30" s="1570">
        <f>+I30*J30</f>
        <v>547315960.43471956</v>
      </c>
      <c r="L30" s="1561">
        <f>G30/100</f>
        <v>0.11233333333333334</v>
      </c>
      <c r="M30" s="1562">
        <f>L30*I30</f>
        <v>547315960.43471956</v>
      </c>
      <c r="N30" s="1571"/>
    </row>
    <row r="31" spans="1:14">
      <c r="A31" s="217">
        <v>9</v>
      </c>
      <c r="B31" s="440">
        <v>43466</v>
      </c>
      <c r="C31" s="440">
        <v>43545</v>
      </c>
      <c r="D31" s="1554">
        <f>+I30</f>
        <v>4872248905.9470577</v>
      </c>
      <c r="E31" s="1555">
        <v>3.1800000000000002E-2</v>
      </c>
      <c r="F31" s="1567">
        <f>YEARFRAC(C31,B31,0)*12</f>
        <v>2.6666666666666665</v>
      </c>
      <c r="G31" s="1557">
        <f>YEARFRAC(C31,B31,0)*12</f>
        <v>2.6666666666666665</v>
      </c>
      <c r="H31" s="538">
        <f>YEARFRAC(C31,B31,0)*E31</f>
        <v>7.0666666666666664E-3</v>
      </c>
      <c r="I31" s="1568">
        <f>(((D31*E31)/12*F31))+D31-1</f>
        <v>4906679463.8824167</v>
      </c>
      <c r="J31" s="1569">
        <f>+F31/100</f>
        <v>2.6666666666666665E-2</v>
      </c>
      <c r="K31" s="1570">
        <f>+I31*J31</f>
        <v>130844785.7035311</v>
      </c>
      <c r="L31" s="1561">
        <f>G31/100</f>
        <v>2.6666666666666665E-2</v>
      </c>
      <c r="M31" s="1562">
        <f>L31*I31</f>
        <v>130844785.7035311</v>
      </c>
      <c r="N31" s="1571"/>
    </row>
    <row r="32" spans="1:14">
      <c r="A32" s="217">
        <v>10</v>
      </c>
      <c r="B32" s="440">
        <v>43546</v>
      </c>
      <c r="C32" s="440">
        <v>43581</v>
      </c>
      <c r="D32" s="1554">
        <f>+I31</f>
        <v>4906679463.8824167</v>
      </c>
      <c r="E32" s="1555">
        <v>3.1800000000000002E-2</v>
      </c>
      <c r="F32" s="1567">
        <f>YEARFRAC(C32,B32,0)*12</f>
        <v>1.1333333333333333</v>
      </c>
      <c r="G32" s="1557">
        <f>YEARFRAC(C32,B32,0)*12</f>
        <v>1.1333333333333333</v>
      </c>
      <c r="H32" s="538">
        <f>YEARFRAC(C32,B32,0)*E32</f>
        <v>3.0033333333333335E-3</v>
      </c>
      <c r="I32" s="1558">
        <f>(((D32*E32)/12*F32))+D32-1</f>
        <v>4921415856.8722773</v>
      </c>
      <c r="J32" s="1572">
        <f>+F32/100</f>
        <v>1.1333333333333332E-2</v>
      </c>
      <c r="K32" s="1560">
        <f>+I32*J32</f>
        <v>55776046.377885804</v>
      </c>
      <c r="L32" s="1561">
        <f>G32/100</f>
        <v>1.1333333333333332E-2</v>
      </c>
      <c r="M32" s="1562">
        <f>L32*I32</f>
        <v>55776046.377885804</v>
      </c>
      <c r="N32" s="1571"/>
    </row>
    <row r="33" spans="1:14">
      <c r="B33" s="1573" t="s">
        <v>1214</v>
      </c>
      <c r="C33" s="440"/>
      <c r="D33" s="1554"/>
      <c r="E33" s="1555"/>
      <c r="F33" s="1567"/>
      <c r="G33" s="1557"/>
      <c r="H33" s="538"/>
      <c r="I33" s="1558"/>
      <c r="J33" s="1572"/>
      <c r="K33" s="1560"/>
      <c r="L33" s="1561"/>
      <c r="M33" s="1562"/>
      <c r="N33" s="1571"/>
    </row>
    <row r="34" spans="1:14">
      <c r="A34" s="217">
        <v>11</v>
      </c>
      <c r="B34" s="440">
        <v>43582</v>
      </c>
      <c r="C34" s="440">
        <v>43830</v>
      </c>
      <c r="D34" s="1574">
        <f>+C56</f>
        <v>4253861982.3905478</v>
      </c>
      <c r="E34" s="1555">
        <v>3.1800000000000002E-2</v>
      </c>
      <c r="F34" s="1567">
        <f>YEARFRAC(C34,B34,0)*12</f>
        <v>8.1333333333333329</v>
      </c>
      <c r="G34" s="1557">
        <f>YEARFRAC(C34,B34,0)*12</f>
        <v>8.1333333333333329</v>
      </c>
      <c r="H34" s="538">
        <f>YEARFRAC(C34,B34,0)*E34</f>
        <v>2.1553333333333334E-2</v>
      </c>
      <c r="I34" s="1558">
        <f>(((D34*E34)/12*F34))+D34-1</f>
        <v>4345546886.6510057</v>
      </c>
      <c r="J34" s="1572">
        <f>+F34/100</f>
        <v>8.1333333333333327E-2</v>
      </c>
      <c r="K34" s="1560">
        <f>+I34*J34</f>
        <v>353437813.44761509</v>
      </c>
      <c r="L34" s="1561">
        <f>G34/100</f>
        <v>8.1333333333333327E-2</v>
      </c>
      <c r="M34" s="1552"/>
    </row>
    <row r="35" spans="1:14">
      <c r="A35" s="217">
        <v>12</v>
      </c>
      <c r="B35" s="440">
        <v>43831</v>
      </c>
      <c r="C35" s="440">
        <v>44166</v>
      </c>
      <c r="D35" s="1575">
        <f>+I34</f>
        <v>4345546886.6510057</v>
      </c>
      <c r="E35" s="1555">
        <v>3.7999999999999999E-2</v>
      </c>
      <c r="F35" s="1567">
        <f>YEARFRAC(C35,B35,0)*12</f>
        <v>11</v>
      </c>
      <c r="G35" s="1557">
        <f>YEARFRAC(C35,B35,0)*12</f>
        <v>11</v>
      </c>
      <c r="H35" s="538">
        <f>+E35</f>
        <v>3.7999999999999999E-2</v>
      </c>
      <c r="I35" s="1558">
        <f>(((D35*E35)/12*F35))+D35-1</f>
        <v>4496916768.8693495</v>
      </c>
      <c r="J35" s="1572">
        <f>+F35/100</f>
        <v>0.11</v>
      </c>
      <c r="K35" s="1560">
        <f>+I35*J35</f>
        <v>494660844.57562846</v>
      </c>
      <c r="L35" s="1561">
        <f>G35/100</f>
        <v>0.11</v>
      </c>
      <c r="M35" s="1562">
        <f>L35*I35</f>
        <v>494660844.57562846</v>
      </c>
    </row>
    <row r="36" spans="1:14">
      <c r="A36" s="217">
        <v>13</v>
      </c>
      <c r="B36" s="440">
        <v>44197</v>
      </c>
      <c r="C36" s="440">
        <v>44531</v>
      </c>
      <c r="D36" s="1554">
        <f>+I35</f>
        <v>4496916768.8693495</v>
      </c>
      <c r="E36" s="1555">
        <v>1.61E-2</v>
      </c>
      <c r="F36" s="1567">
        <f>YEARFRAC(C36,B36,0)*12</f>
        <v>11</v>
      </c>
      <c r="G36" s="1557">
        <f>YEARFRAC(C36,B36,0)*12</f>
        <v>11</v>
      </c>
      <c r="H36" s="538">
        <f>+E36</f>
        <v>1.61E-2</v>
      </c>
      <c r="I36" s="1558">
        <f>(((D36*E36)/12*F36))+D36-1</f>
        <v>4563283764.5165796</v>
      </c>
      <c r="J36" s="1572">
        <f>+F36/100</f>
        <v>0.11</v>
      </c>
      <c r="K36" s="1560">
        <f>+I36*J36</f>
        <v>501961214.09682375</v>
      </c>
      <c r="L36" s="1561">
        <f>G36/100</f>
        <v>0.11</v>
      </c>
      <c r="M36" s="1562">
        <f>L36*I36</f>
        <v>501961214.09682375</v>
      </c>
    </row>
    <row r="37" spans="1:14">
      <c r="A37" s="217">
        <v>14</v>
      </c>
      <c r="B37" s="440">
        <v>44562</v>
      </c>
      <c r="C37" s="440">
        <v>44865</v>
      </c>
      <c r="D37" s="1554">
        <f>+I36</f>
        <v>4563283764.5165796</v>
      </c>
      <c r="E37" s="1555">
        <v>1.61E-2</v>
      </c>
      <c r="F37" s="1914">
        <f>YEARFRAC(C37,B37,0)*12</f>
        <v>10</v>
      </c>
      <c r="G37" s="1557">
        <f>YEARFRAC(C37,B37,0)*12</f>
        <v>10</v>
      </c>
      <c r="H37" s="538">
        <f>+E37</f>
        <v>1.61E-2</v>
      </c>
      <c r="I37" s="1558">
        <f>(((D37*E37)/12*F37))+D37-1</f>
        <v>4624507820.6905107</v>
      </c>
      <c r="J37" s="1572">
        <f>+F37/100</f>
        <v>0.1</v>
      </c>
      <c r="K37" s="1560">
        <f>+I37*J37</f>
        <v>462450782.06905109</v>
      </c>
      <c r="L37" s="1561">
        <f>G37/100</f>
        <v>0.1</v>
      </c>
      <c r="M37" s="1562">
        <f>L37*I37</f>
        <v>462450782.06905109</v>
      </c>
      <c r="N37" s="1577">
        <f>SUM(K30:K37)</f>
        <v>2546447446.705255</v>
      </c>
    </row>
    <row r="38" spans="1:14">
      <c r="B38" s="552"/>
      <c r="C38" s="552"/>
      <c r="D38" s="1623"/>
      <c r="E38" s="1882"/>
      <c r="F38" s="1883"/>
      <c r="G38" s="1884"/>
      <c r="H38" s="546"/>
      <c r="I38" s="1558"/>
      <c r="J38" s="1572"/>
      <c r="K38" s="1560"/>
      <c r="L38" s="1561"/>
      <c r="M38" s="1562"/>
      <c r="N38" s="1577"/>
    </row>
    <row r="39" spans="1:14">
      <c r="I39" s="2574" t="s">
        <v>93</v>
      </c>
      <c r="J39" s="2574"/>
      <c r="K39" s="1576">
        <f>SUM(K34:K37)</f>
        <v>1812510654.1891184</v>
      </c>
      <c r="L39" s="1561"/>
      <c r="M39" s="1552"/>
    </row>
    <row r="41" spans="1:14">
      <c r="B41" s="2574" t="s">
        <v>55</v>
      </c>
      <c r="C41" s="2574"/>
      <c r="H41" s="1577"/>
    </row>
    <row r="42" spans="1:14">
      <c r="B42" s="219" t="s">
        <v>1215</v>
      </c>
      <c r="C42" s="1578">
        <f>+I31</f>
        <v>4906679463.8824167</v>
      </c>
    </row>
    <row r="43" spans="1:14" ht="25.5">
      <c r="B43" s="1579" t="s">
        <v>1216</v>
      </c>
      <c r="C43" s="1580">
        <f>+K28</f>
        <v>3215163389.0021338</v>
      </c>
    </row>
    <row r="44" spans="1:14" ht="25.5">
      <c r="B44" s="1579" t="s">
        <v>1217</v>
      </c>
      <c r="C44" s="1580">
        <f>+K30+K31</f>
        <v>678160746.13825071</v>
      </c>
    </row>
    <row r="45" spans="1:14">
      <c r="B45" s="1579" t="s">
        <v>1218</v>
      </c>
      <c r="C45" s="1580">
        <f>+C43+C44</f>
        <v>3893324135.1403847</v>
      </c>
    </row>
    <row r="46" spans="1:14" ht="25.5">
      <c r="B46" s="1579" t="s">
        <v>1219</v>
      </c>
      <c r="C46" s="1581">
        <v>3500000000</v>
      </c>
      <c r="D46" s="224"/>
      <c r="E46" s="224"/>
    </row>
    <row r="47" spans="1:14" ht="25.5">
      <c r="B47" s="1579" t="s">
        <v>1220</v>
      </c>
      <c r="C47" s="1581">
        <f>+C45-C46</f>
        <v>393324135.14038467</v>
      </c>
      <c r="D47" s="224"/>
      <c r="E47" s="224"/>
    </row>
    <row r="48" spans="1:14">
      <c r="B48" s="1582"/>
      <c r="C48" s="1577"/>
      <c r="D48" s="224"/>
      <c r="E48" s="224"/>
    </row>
    <row r="49" spans="2:5">
      <c r="B49" s="1582"/>
      <c r="C49" s="1577"/>
      <c r="D49" s="224"/>
      <c r="E49" s="224"/>
    </row>
    <row r="50" spans="2:5">
      <c r="B50" s="1583" t="s">
        <v>1221</v>
      </c>
      <c r="C50" s="1584">
        <f>+I32</f>
        <v>4921415856.8722773</v>
      </c>
      <c r="D50" s="224"/>
      <c r="E50" s="224"/>
    </row>
    <row r="51" spans="2:5" ht="25.5">
      <c r="B51" s="1579" t="s">
        <v>1222</v>
      </c>
      <c r="C51" s="1581">
        <f>+K32</f>
        <v>55776046.377885804</v>
      </c>
      <c r="D51" s="224"/>
      <c r="E51" s="224"/>
    </row>
    <row r="52" spans="2:5" ht="25.5">
      <c r="B52" s="1579" t="s">
        <v>1223</v>
      </c>
      <c r="C52" s="1580">
        <v>393324135.14038497</v>
      </c>
      <c r="D52" s="224"/>
      <c r="E52" s="224"/>
    </row>
    <row r="53" spans="2:5" ht="38.25">
      <c r="B53" s="1579" t="s">
        <v>1224</v>
      </c>
      <c r="C53" s="1581">
        <v>1116654056</v>
      </c>
      <c r="D53" s="224"/>
      <c r="E53" s="224"/>
    </row>
    <row r="54" spans="2:5">
      <c r="B54" s="1583" t="s">
        <v>1225</v>
      </c>
      <c r="C54" s="1585">
        <f>(C51+C52)-C53</f>
        <v>-667553874.48172927</v>
      </c>
    </row>
    <row r="56" spans="2:5">
      <c r="B56" s="219" t="s">
        <v>1226</v>
      </c>
      <c r="C56" s="1585">
        <f>+C50+C54</f>
        <v>4253861982.3905478</v>
      </c>
    </row>
    <row r="57" spans="2:5" ht="25.5">
      <c r="B57" s="1579" t="s">
        <v>1227</v>
      </c>
      <c r="C57" s="1586">
        <f>+K39</f>
        <v>1812510654.1891184</v>
      </c>
    </row>
    <row r="58" spans="2:5">
      <c r="B58" s="217" t="s">
        <v>952</v>
      </c>
      <c r="C58" s="1586">
        <v>79666162</v>
      </c>
    </row>
    <row r="59" spans="2:5">
      <c r="B59" s="1583" t="s">
        <v>61</v>
      </c>
      <c r="C59" s="1585">
        <f>SUM(C56:C58)</f>
        <v>6146038798.5796661</v>
      </c>
    </row>
    <row r="63" spans="2:5">
      <c r="D63" s="548"/>
    </row>
    <row r="64" spans="2:5">
      <c r="D64" s="548"/>
    </row>
    <row r="65" spans="4:4">
      <c r="D65" s="548"/>
    </row>
    <row r="66" spans="4:4">
      <c r="D66" s="548"/>
    </row>
    <row r="67" spans="4:4">
      <c r="D67" s="548"/>
    </row>
    <row r="68" spans="4:4">
      <c r="D68" s="548"/>
    </row>
    <row r="69" spans="4:4">
      <c r="D69" s="548"/>
    </row>
    <row r="70" spans="4:4">
      <c r="D70" s="548"/>
    </row>
    <row r="71" spans="4:4">
      <c r="D71" s="548"/>
    </row>
    <row r="72" spans="4:4">
      <c r="D72" s="548"/>
    </row>
    <row r="73" spans="4:4">
      <c r="D73" s="548"/>
    </row>
    <row r="74" spans="4:4">
      <c r="D74" s="548"/>
    </row>
    <row r="75" spans="4:4">
      <c r="D75" s="548"/>
    </row>
    <row r="76" spans="4:4">
      <c r="D76" s="548"/>
    </row>
    <row r="77" spans="4:4">
      <c r="D77" s="548"/>
    </row>
    <row r="78" spans="4:4">
      <c r="D78" s="548"/>
    </row>
    <row r="79" spans="4:4">
      <c r="D79" s="548"/>
    </row>
    <row r="80" spans="4:4">
      <c r="D80" s="548"/>
    </row>
    <row r="81" spans="2:4">
      <c r="D81" s="548"/>
    </row>
    <row r="82" spans="2:4">
      <c r="D82" s="548"/>
    </row>
    <row r="83" spans="2:4">
      <c r="D83" s="548"/>
    </row>
    <row r="84" spans="2:4">
      <c r="D84" s="548"/>
    </row>
    <row r="85" spans="2:4">
      <c r="D85" s="548"/>
    </row>
    <row r="86" spans="2:4">
      <c r="D86" s="548"/>
    </row>
    <row r="87" spans="2:4">
      <c r="D87" s="548"/>
    </row>
    <row r="88" spans="2:4">
      <c r="D88" s="548"/>
    </row>
    <row r="89" spans="2:4">
      <c r="D89" s="548"/>
    </row>
    <row r="90" spans="2:4">
      <c r="D90" s="548"/>
    </row>
    <row r="91" spans="2:4">
      <c r="D91" s="548"/>
    </row>
    <row r="92" spans="2:4">
      <c r="D92" s="548"/>
    </row>
    <row r="93" spans="2:4">
      <c r="D93" s="548"/>
    </row>
    <row r="94" spans="2:4">
      <c r="D94" s="548"/>
    </row>
    <row r="95" spans="2:4">
      <c r="B95" s="217" t="s">
        <v>1228</v>
      </c>
      <c r="C95" s="548"/>
      <c r="D95" s="548"/>
    </row>
    <row r="96" spans="2:4">
      <c r="B96" s="217" t="s">
        <v>1229</v>
      </c>
      <c r="C96" s="548"/>
      <c r="D96" s="548"/>
    </row>
    <row r="97" spans="2:10">
      <c r="B97" s="217" t="s">
        <v>952</v>
      </c>
      <c r="C97" s="548"/>
      <c r="D97" s="548"/>
    </row>
    <row r="98" spans="2:10">
      <c r="B98" s="217" t="s">
        <v>4</v>
      </c>
      <c r="C98" s="552">
        <v>43553</v>
      </c>
      <c r="D98" s="548"/>
    </row>
    <row r="99" spans="2:10">
      <c r="B99" s="221" t="s">
        <v>1230</v>
      </c>
      <c r="C99" s="548">
        <f>+C95</f>
        <v>0</v>
      </c>
      <c r="D99" s="548"/>
    </row>
    <row r="100" spans="2:10">
      <c r="B100" s="217" t="s">
        <v>1231</v>
      </c>
      <c r="C100" s="548"/>
      <c r="D100" s="548"/>
    </row>
    <row r="101" spans="2:10">
      <c r="B101" s="217" t="s">
        <v>1232</v>
      </c>
      <c r="C101" s="548"/>
      <c r="D101" s="548"/>
    </row>
    <row r="102" spans="2:10">
      <c r="C102" s="548"/>
      <c r="D102" s="548"/>
    </row>
    <row r="103" spans="2:10">
      <c r="B103" s="547"/>
      <c r="C103" s="2766" t="s">
        <v>84</v>
      </c>
      <c r="D103" s="2767"/>
      <c r="E103" s="2767"/>
      <c r="F103" s="2767"/>
      <c r="G103" s="2767"/>
      <c r="H103" s="2768"/>
      <c r="I103" s="547"/>
      <c r="J103" s="547"/>
    </row>
    <row r="104" spans="2:10">
      <c r="B104" s="393" t="s">
        <v>226</v>
      </c>
      <c r="C104" s="393"/>
      <c r="D104" s="547"/>
      <c r="E104" s="547"/>
      <c r="F104" s="547"/>
      <c r="G104" s="547"/>
      <c r="H104" s="547"/>
      <c r="I104" s="547"/>
      <c r="J104" s="547"/>
    </row>
    <row r="105" spans="2:10" ht="24">
      <c r="B105" s="564" t="s">
        <v>147</v>
      </c>
      <c r="C105" s="564" t="s">
        <v>40</v>
      </c>
      <c r="D105" s="1587" t="s">
        <v>535</v>
      </c>
      <c r="E105" s="1587" t="s">
        <v>149</v>
      </c>
      <c r="F105" s="564" t="s">
        <v>1233</v>
      </c>
      <c r="G105" s="564"/>
      <c r="H105" s="1587" t="s">
        <v>706</v>
      </c>
      <c r="I105" s="1587" t="s">
        <v>48</v>
      </c>
    </row>
    <row r="106" spans="2:10">
      <c r="B106" s="440">
        <v>43554</v>
      </c>
      <c r="C106" s="440">
        <v>43555</v>
      </c>
      <c r="D106" s="585">
        <f t="shared" ref="D106:D111" si="4">+$C$95</f>
        <v>0</v>
      </c>
      <c r="E106" s="247">
        <v>0.29055000000000003</v>
      </c>
      <c r="F106" s="1588">
        <f t="shared" ref="F106:F111" si="5">((1+E106)^(1/365)-1)</f>
        <v>6.9906199467517638E-4</v>
      </c>
      <c r="G106" s="1588"/>
      <c r="H106" s="1589">
        <f t="shared" ref="H106:H111" si="6">_xlfn.DAYS(C106,B106)+1</f>
        <v>2</v>
      </c>
      <c r="I106" s="585">
        <f t="shared" ref="I106:I111" si="7">+D106*F106*H106</f>
        <v>0</v>
      </c>
    </row>
    <row r="107" spans="2:10">
      <c r="B107" s="440">
        <v>43556</v>
      </c>
      <c r="C107" s="440">
        <v>43585</v>
      </c>
      <c r="D107" s="585">
        <f t="shared" si="4"/>
        <v>0</v>
      </c>
      <c r="E107" s="247">
        <v>0.2898</v>
      </c>
      <c r="F107" s="1588">
        <f t="shared" si="5"/>
        <v>6.9746823462724095E-4</v>
      </c>
      <c r="G107" s="1588"/>
      <c r="H107" s="1589">
        <f t="shared" si="6"/>
        <v>30</v>
      </c>
      <c r="I107" s="585">
        <f t="shared" si="7"/>
        <v>0</v>
      </c>
    </row>
    <row r="108" spans="2:10">
      <c r="B108" s="440">
        <v>43586</v>
      </c>
      <c r="C108" s="440">
        <v>43616</v>
      </c>
      <c r="D108" s="585">
        <f t="shared" si="4"/>
        <v>0</v>
      </c>
      <c r="E108" s="247">
        <v>0.29009999999999997</v>
      </c>
      <c r="F108" s="1588">
        <f t="shared" si="5"/>
        <v>6.9810584952367805E-4</v>
      </c>
      <c r="G108" s="1588"/>
      <c r="H108" s="1589">
        <f t="shared" si="6"/>
        <v>31</v>
      </c>
      <c r="I108" s="585">
        <f t="shared" si="7"/>
        <v>0</v>
      </c>
    </row>
    <row r="109" spans="2:10">
      <c r="B109" s="440">
        <v>43617</v>
      </c>
      <c r="C109" s="440">
        <v>43646</v>
      </c>
      <c r="D109" s="585">
        <f t="shared" si="4"/>
        <v>0</v>
      </c>
      <c r="E109" s="247">
        <v>0.28949999999999998</v>
      </c>
      <c r="F109" s="1588">
        <f t="shared" si="5"/>
        <v>6.9683047181468005E-4</v>
      </c>
      <c r="G109" s="1588"/>
      <c r="H109" s="1589">
        <f t="shared" si="6"/>
        <v>30</v>
      </c>
      <c r="I109" s="585">
        <f t="shared" si="7"/>
        <v>0</v>
      </c>
    </row>
    <row r="110" spans="2:10">
      <c r="B110" s="440">
        <v>43647</v>
      </c>
      <c r="C110" s="440">
        <v>43677</v>
      </c>
      <c r="D110" s="585">
        <f t="shared" si="4"/>
        <v>0</v>
      </c>
      <c r="E110" s="247">
        <v>0.28920000000000001</v>
      </c>
      <c r="F110" s="1588">
        <f t="shared" si="5"/>
        <v>6.9619256101671745E-4</v>
      </c>
      <c r="G110" s="1588"/>
      <c r="H110" s="1589">
        <f t="shared" si="6"/>
        <v>31</v>
      </c>
      <c r="I110" s="585">
        <f t="shared" si="7"/>
        <v>0</v>
      </c>
    </row>
    <row r="111" spans="2:10">
      <c r="B111" s="440">
        <v>43678</v>
      </c>
      <c r="C111" s="440">
        <v>43682</v>
      </c>
      <c r="D111" s="585">
        <f t="shared" si="4"/>
        <v>0</v>
      </c>
      <c r="E111" s="247">
        <v>0.2898</v>
      </c>
      <c r="F111" s="1588">
        <f t="shared" si="5"/>
        <v>6.9746823462724095E-4</v>
      </c>
      <c r="G111" s="1588"/>
      <c r="H111" s="1589">
        <f t="shared" si="6"/>
        <v>5</v>
      </c>
      <c r="I111" s="585">
        <f t="shared" si="7"/>
        <v>0</v>
      </c>
    </row>
    <row r="112" spans="2:10">
      <c r="B112" s="440"/>
      <c r="C112" s="440"/>
      <c r="D112" s="585"/>
      <c r="E112" s="247"/>
      <c r="F112" s="2755" t="s">
        <v>913</v>
      </c>
      <c r="G112" s="2756"/>
      <c r="H112" s="2757"/>
      <c r="I112" s="585">
        <f>SUM(I106:I111)</f>
        <v>0</v>
      </c>
    </row>
    <row r="113" spans="2:10">
      <c r="B113" s="221" t="s">
        <v>1234</v>
      </c>
      <c r="D113" s="563"/>
      <c r="E113" s="1590"/>
      <c r="F113" s="1591"/>
      <c r="G113" s="1591"/>
      <c r="H113" s="1589" t="s">
        <v>1235</v>
      </c>
      <c r="I113" s="585">
        <v>1116654055.5</v>
      </c>
    </row>
    <row r="114" spans="2:10" ht="51">
      <c r="B114" s="1582" t="s">
        <v>1236</v>
      </c>
      <c r="C114" s="548"/>
      <c r="D114" s="563"/>
      <c r="E114" s="563"/>
      <c r="F114" s="1591"/>
      <c r="G114" s="1591"/>
      <c r="H114" s="1592" t="s">
        <v>1237</v>
      </c>
      <c r="I114" s="585">
        <f>+I113-I112</f>
        <v>1116654055.5</v>
      </c>
      <c r="J114" s="589"/>
    </row>
    <row r="115" spans="2:10" ht="25.5">
      <c r="B115" s="552"/>
      <c r="C115" s="552"/>
      <c r="D115" s="563"/>
      <c r="E115" s="563"/>
      <c r="F115" s="1591"/>
      <c r="G115" s="1591"/>
      <c r="H115" s="1593" t="s">
        <v>1238</v>
      </c>
      <c r="I115" s="585">
        <f>+C99-I114</f>
        <v>-1116654055.5</v>
      </c>
      <c r="J115" s="589"/>
    </row>
    <row r="117" spans="2:10">
      <c r="B117" s="217" t="s">
        <v>1239</v>
      </c>
    </row>
    <row r="118" spans="2:10">
      <c r="B118" s="440">
        <v>43684</v>
      </c>
      <c r="C118" s="440">
        <v>43708</v>
      </c>
      <c r="D118" s="585">
        <f t="shared" ref="D118:D147" si="8">+$I$115</f>
        <v>-1116654055.5</v>
      </c>
      <c r="E118" s="247">
        <f>19.32*1.5%</f>
        <v>0.2898</v>
      </c>
      <c r="F118" s="1588">
        <f t="shared" ref="F118:F147" si="9">((1+E118)^(1/365)-1)</f>
        <v>6.9746823462724095E-4</v>
      </c>
      <c r="G118" s="1588"/>
      <c r="H118" s="1589">
        <f t="shared" ref="H118:H147" si="10">_xlfn.DAYS(C118,B118)+1</f>
        <v>25</v>
      </c>
      <c r="I118" s="585">
        <f t="shared" ref="I118:I147" si="11">+D118*F118*H118</f>
        <v>-19470768.319473356</v>
      </c>
    </row>
    <row r="119" spans="2:10">
      <c r="B119" s="440">
        <v>43709</v>
      </c>
      <c r="C119" s="440">
        <v>43738</v>
      </c>
      <c r="D119" s="585">
        <f t="shared" si="8"/>
        <v>-1116654055.5</v>
      </c>
      <c r="E119" s="247">
        <v>0.2898</v>
      </c>
      <c r="F119" s="1588">
        <f t="shared" si="9"/>
        <v>6.9746823462724095E-4</v>
      </c>
      <c r="G119" s="1588"/>
      <c r="H119" s="1589">
        <f t="shared" si="10"/>
        <v>30</v>
      </c>
      <c r="I119" s="585">
        <f t="shared" si="11"/>
        <v>-23364921.983368024</v>
      </c>
    </row>
    <row r="120" spans="2:10">
      <c r="B120" s="440">
        <v>43739</v>
      </c>
      <c r="C120" s="440">
        <v>43769</v>
      </c>
      <c r="D120" s="585">
        <f t="shared" si="8"/>
        <v>-1116654055.5</v>
      </c>
      <c r="E120" s="247">
        <v>0.28649999999999998</v>
      </c>
      <c r="F120" s="1588">
        <f t="shared" si="9"/>
        <v>6.9044469314105683E-4</v>
      </c>
      <c r="G120" s="1588"/>
      <c r="H120" s="1589">
        <f t="shared" si="10"/>
        <v>31</v>
      </c>
      <c r="I120" s="585">
        <f t="shared" si="11"/>
        <v>-23900623.86752684</v>
      </c>
    </row>
    <row r="121" spans="2:10">
      <c r="B121" s="440">
        <v>43770</v>
      </c>
      <c r="C121" s="440">
        <v>43799</v>
      </c>
      <c r="D121" s="585">
        <f t="shared" si="8"/>
        <v>-1116654055.5</v>
      </c>
      <c r="E121" s="247">
        <v>0.28544999999999998</v>
      </c>
      <c r="F121" s="1588">
        <f t="shared" si="9"/>
        <v>6.8820616169262827E-4</v>
      </c>
      <c r="G121" s="1588"/>
      <c r="H121" s="1589">
        <f t="shared" si="10"/>
        <v>30</v>
      </c>
      <c r="I121" s="585">
        <f t="shared" si="11"/>
        <v>-23054646.044224862</v>
      </c>
    </row>
    <row r="122" spans="2:10">
      <c r="B122" s="440">
        <v>43800</v>
      </c>
      <c r="C122" s="440">
        <v>43830</v>
      </c>
      <c r="D122" s="585">
        <f t="shared" si="8"/>
        <v>-1116654055.5</v>
      </c>
      <c r="E122" s="247">
        <v>0.28364999999999996</v>
      </c>
      <c r="F122" s="1588">
        <f t="shared" si="9"/>
        <v>6.8436443340047504E-4</v>
      </c>
      <c r="G122" s="1588"/>
      <c r="H122" s="1589">
        <f t="shared" si="10"/>
        <v>31</v>
      </c>
      <c r="I122" s="585">
        <f t="shared" si="11"/>
        <v>-23690147.919894606</v>
      </c>
    </row>
    <row r="123" spans="2:10">
      <c r="B123" s="440">
        <v>43831</v>
      </c>
      <c r="C123" s="440">
        <v>43861</v>
      </c>
      <c r="D123" s="585">
        <f t="shared" si="8"/>
        <v>-1116654055.5</v>
      </c>
      <c r="E123" s="247">
        <v>0.28154999999999997</v>
      </c>
      <c r="F123" s="1588">
        <f t="shared" si="9"/>
        <v>6.7987562124560696E-4</v>
      </c>
      <c r="G123" s="1588"/>
      <c r="H123" s="1589">
        <f t="shared" si="10"/>
        <v>31</v>
      </c>
      <c r="I123" s="585">
        <f t="shared" si="11"/>
        <v>-23534761.960684158</v>
      </c>
    </row>
    <row r="124" spans="2:10">
      <c r="B124" s="440">
        <v>43862</v>
      </c>
      <c r="C124" s="440">
        <v>43890</v>
      </c>
      <c r="D124" s="585">
        <f t="shared" si="8"/>
        <v>-1116654055.5</v>
      </c>
      <c r="E124" s="247">
        <v>0.28589999999999993</v>
      </c>
      <c r="F124" s="1588">
        <f t="shared" si="9"/>
        <v>6.8916575551658532E-4</v>
      </c>
      <c r="G124" s="1588"/>
      <c r="H124" s="1589">
        <f t="shared" si="10"/>
        <v>29</v>
      </c>
      <c r="I124" s="585">
        <f t="shared" si="11"/>
        <v>-22317232.33847018</v>
      </c>
    </row>
    <row r="125" spans="2:10">
      <c r="B125" s="440">
        <v>43891</v>
      </c>
      <c r="C125" s="440">
        <v>43921</v>
      </c>
      <c r="D125" s="585">
        <f t="shared" si="8"/>
        <v>-1116654055.5</v>
      </c>
      <c r="E125" s="247">
        <v>0.28425</v>
      </c>
      <c r="F125" s="1588">
        <f t="shared" si="9"/>
        <v>6.8564560609574166E-4</v>
      </c>
      <c r="G125" s="1588"/>
      <c r="H125" s="1589">
        <f t="shared" si="10"/>
        <v>31</v>
      </c>
      <c r="I125" s="585">
        <f t="shared" si="11"/>
        <v>-23734497.347159531</v>
      </c>
    </row>
    <row r="126" spans="2:10">
      <c r="B126" s="440">
        <v>43922</v>
      </c>
      <c r="C126" s="440">
        <v>43951</v>
      </c>
      <c r="D126" s="585">
        <f t="shared" si="8"/>
        <v>-1116654055.5</v>
      </c>
      <c r="E126" s="247">
        <v>0.28034999999999999</v>
      </c>
      <c r="F126" s="1588">
        <f t="shared" si="9"/>
        <v>6.7730729113191224E-4</v>
      </c>
      <c r="G126" s="1588"/>
      <c r="H126" s="1589">
        <f t="shared" si="10"/>
        <v>30</v>
      </c>
      <c r="I126" s="585">
        <f t="shared" si="11"/>
        <v>-22689538.003865071</v>
      </c>
    </row>
    <row r="127" spans="2:10">
      <c r="B127" s="440">
        <v>43952</v>
      </c>
      <c r="C127" s="440">
        <v>43982</v>
      </c>
      <c r="D127" s="585">
        <f t="shared" si="8"/>
        <v>-1116654055.5</v>
      </c>
      <c r="E127" s="247">
        <v>0.27284999999999998</v>
      </c>
      <c r="F127" s="1588">
        <f t="shared" si="9"/>
        <v>6.6120063584418354E-4</v>
      </c>
      <c r="G127" s="1588"/>
      <c r="H127" s="1589">
        <f t="shared" si="10"/>
        <v>31</v>
      </c>
      <c r="I127" s="585">
        <f t="shared" si="11"/>
        <v>-22888303.516952176</v>
      </c>
    </row>
    <row r="128" spans="2:10">
      <c r="B128" s="440">
        <v>43983</v>
      </c>
      <c r="C128" s="440">
        <v>44012</v>
      </c>
      <c r="D128" s="585">
        <f t="shared" si="8"/>
        <v>-1116654055.5</v>
      </c>
      <c r="E128" s="247">
        <v>0.27179999999999999</v>
      </c>
      <c r="F128" s="1588">
        <f t="shared" si="9"/>
        <v>6.5893815469997286E-4</v>
      </c>
      <c r="G128" s="1588"/>
      <c r="H128" s="1589">
        <f t="shared" si="10"/>
        <v>30</v>
      </c>
      <c r="I128" s="585">
        <f t="shared" si="11"/>
        <v>-22074178.88308233</v>
      </c>
    </row>
    <row r="129" spans="2:9">
      <c r="B129" s="440">
        <v>44013</v>
      </c>
      <c r="C129" s="440">
        <v>44043</v>
      </c>
      <c r="D129" s="585">
        <f t="shared" si="8"/>
        <v>-1116654055.5</v>
      </c>
      <c r="E129" s="247">
        <v>0.27179999999999999</v>
      </c>
      <c r="F129" s="1588">
        <f t="shared" si="9"/>
        <v>6.5893815469997286E-4</v>
      </c>
      <c r="G129" s="1588"/>
      <c r="H129" s="1589">
        <f t="shared" si="10"/>
        <v>31</v>
      </c>
      <c r="I129" s="585">
        <f t="shared" si="11"/>
        <v>-22809984.845851742</v>
      </c>
    </row>
    <row r="130" spans="2:9">
      <c r="B130" s="440">
        <v>44044</v>
      </c>
      <c r="C130" s="440">
        <v>44074</v>
      </c>
      <c r="D130" s="585">
        <f t="shared" si="8"/>
        <v>-1116654055.5</v>
      </c>
      <c r="E130" s="247">
        <v>0.27434999999999998</v>
      </c>
      <c r="F130" s="1588">
        <f t="shared" si="9"/>
        <v>6.6442952514544906E-4</v>
      </c>
      <c r="G130" s="1588"/>
      <c r="H130" s="1589">
        <f t="shared" si="10"/>
        <v>31</v>
      </c>
      <c r="I130" s="585">
        <f t="shared" si="11"/>
        <v>-23000075.639275752</v>
      </c>
    </row>
    <row r="131" spans="2:9">
      <c r="B131" s="440">
        <v>44075</v>
      </c>
      <c r="C131" s="440">
        <v>44104</v>
      </c>
      <c r="D131" s="585">
        <f t="shared" si="8"/>
        <v>-1116654055.5</v>
      </c>
      <c r="E131" s="247">
        <v>0.27524999999999999</v>
      </c>
      <c r="F131" s="1588">
        <f t="shared" si="9"/>
        <v>6.6636503991857055E-4</v>
      </c>
      <c r="G131" s="1588"/>
      <c r="H131" s="1589">
        <f t="shared" si="10"/>
        <v>30</v>
      </c>
      <c r="I131" s="585">
        <f t="shared" si="11"/>
        <v>-22322976.728054736</v>
      </c>
    </row>
    <row r="132" spans="2:9">
      <c r="B132" s="440">
        <v>44105</v>
      </c>
      <c r="C132" s="440">
        <v>44135</v>
      </c>
      <c r="D132" s="585">
        <f t="shared" si="8"/>
        <v>-1116654055.5</v>
      </c>
      <c r="E132" s="247">
        <v>0.27134999999999998</v>
      </c>
      <c r="F132" s="1588">
        <f t="shared" si="9"/>
        <v>6.5796794962613703E-4</v>
      </c>
      <c r="G132" s="1588"/>
      <c r="H132" s="1589">
        <f t="shared" si="10"/>
        <v>31</v>
      </c>
      <c r="I132" s="585">
        <f t="shared" si="11"/>
        <v>-22776399.959510412</v>
      </c>
    </row>
    <row r="133" spans="2:9">
      <c r="B133" s="440">
        <v>44136</v>
      </c>
      <c r="C133" s="440">
        <v>44165</v>
      </c>
      <c r="D133" s="585">
        <f t="shared" si="8"/>
        <v>-1116654055.5</v>
      </c>
      <c r="E133" s="247">
        <v>0.2676</v>
      </c>
      <c r="F133" s="1588">
        <f t="shared" si="9"/>
        <v>6.4986956374091243E-4</v>
      </c>
      <c r="G133" s="1588"/>
      <c r="H133" s="1589">
        <f t="shared" si="10"/>
        <v>30</v>
      </c>
      <c r="I133" s="585">
        <f t="shared" si="11"/>
        <v>-21770384.516919166</v>
      </c>
    </row>
    <row r="134" spans="2:9">
      <c r="B134" s="440">
        <v>44166</v>
      </c>
      <c r="C134" s="440">
        <v>44196</v>
      </c>
      <c r="D134" s="585">
        <f t="shared" si="8"/>
        <v>-1116654055.5</v>
      </c>
      <c r="E134" s="247">
        <v>0.26189999999999997</v>
      </c>
      <c r="F134" s="1588">
        <f t="shared" si="9"/>
        <v>6.3751414410861962E-4</v>
      </c>
      <c r="G134" s="1588"/>
      <c r="H134" s="1589">
        <f t="shared" si="10"/>
        <v>31</v>
      </c>
      <c r="I134" s="585">
        <f t="shared" si="11"/>
        <v>-22068365.388182551</v>
      </c>
    </row>
    <row r="135" spans="2:9">
      <c r="B135" s="440">
        <v>44197</v>
      </c>
      <c r="C135" s="440">
        <v>44227</v>
      </c>
      <c r="D135" s="585">
        <f t="shared" si="8"/>
        <v>-1116654055.5</v>
      </c>
      <c r="E135" s="247">
        <f>17.32*1.5%</f>
        <v>0.25979999999999998</v>
      </c>
      <c r="F135" s="1588">
        <f t="shared" si="9"/>
        <v>6.3294811266723094E-4</v>
      </c>
      <c r="G135" s="1588"/>
      <c r="H135" s="1589">
        <f t="shared" si="10"/>
        <v>31</v>
      </c>
      <c r="I135" s="585">
        <f t="shared" si="11"/>
        <v>-21910306.384858966</v>
      </c>
    </row>
    <row r="136" spans="2:9">
      <c r="B136" s="440">
        <v>44228</v>
      </c>
      <c r="C136" s="440">
        <v>44255</v>
      </c>
      <c r="D136" s="585">
        <f t="shared" si="8"/>
        <v>-1116654055.5</v>
      </c>
      <c r="E136" s="247">
        <f>17.54*1.5%</f>
        <v>0.2631</v>
      </c>
      <c r="F136" s="1588">
        <f t="shared" si="9"/>
        <v>6.4011990387169426E-4</v>
      </c>
      <c r="G136" s="1588"/>
      <c r="H136" s="1589">
        <f t="shared" si="10"/>
        <v>28</v>
      </c>
      <c r="I136" s="585">
        <f t="shared" si="11"/>
        <v>-20014189.626608729</v>
      </c>
    </row>
    <row r="137" spans="2:9">
      <c r="B137" s="440">
        <v>44256</v>
      </c>
      <c r="C137" s="440">
        <v>44286</v>
      </c>
      <c r="D137" s="585">
        <f t="shared" si="8"/>
        <v>-1116654055.5</v>
      </c>
      <c r="E137" s="247">
        <f>17.41*1.5%</f>
        <v>0.26114999999999999</v>
      </c>
      <c r="F137" s="1588">
        <f t="shared" si="9"/>
        <v>6.3588428907812578E-4</v>
      </c>
      <c r="G137" s="1588"/>
      <c r="H137" s="1589">
        <f t="shared" si="10"/>
        <v>31</v>
      </c>
      <c r="I137" s="585">
        <f t="shared" si="11"/>
        <v>-22011945.877062529</v>
      </c>
    </row>
    <row r="138" spans="2:9">
      <c r="B138" s="440">
        <v>44287</v>
      </c>
      <c r="C138" s="440">
        <v>44316</v>
      </c>
      <c r="D138" s="585">
        <f t="shared" si="8"/>
        <v>-1116654055.5</v>
      </c>
      <c r="E138" s="247">
        <f>17.31*1.5%</f>
        <v>0.25964999999999999</v>
      </c>
      <c r="F138" s="1588">
        <f t="shared" si="9"/>
        <v>6.326216771728177E-4</v>
      </c>
      <c r="G138" s="1588"/>
      <c r="H138" s="1589">
        <f t="shared" si="10"/>
        <v>30</v>
      </c>
      <c r="I138" s="585">
        <f t="shared" si="11"/>
        <v>-21192586.842367157</v>
      </c>
    </row>
    <row r="139" spans="2:9">
      <c r="B139" s="440">
        <v>44317</v>
      </c>
      <c r="C139" s="440">
        <v>44347</v>
      </c>
      <c r="D139" s="585">
        <f t="shared" si="8"/>
        <v>-1116654055.5</v>
      </c>
      <c r="E139" s="247">
        <f>17.22*1.5%</f>
        <v>0.25829999999999997</v>
      </c>
      <c r="F139" s="1588">
        <f t="shared" si="9"/>
        <v>6.2968201205726437E-4</v>
      </c>
      <c r="G139" s="1588"/>
      <c r="H139" s="1589">
        <f t="shared" si="10"/>
        <v>31</v>
      </c>
      <c r="I139" s="585">
        <f t="shared" si="11"/>
        <v>-21797246.145613469</v>
      </c>
    </row>
    <row r="140" spans="2:9">
      <c r="B140" s="440">
        <v>44348</v>
      </c>
      <c r="C140" s="440">
        <v>44377</v>
      </c>
      <c r="D140" s="585">
        <f t="shared" si="8"/>
        <v>-1116654055.5</v>
      </c>
      <c r="E140" s="247">
        <f>17.21*1.5%</f>
        <v>0.25814999999999999</v>
      </c>
      <c r="F140" s="1588">
        <f t="shared" si="9"/>
        <v>6.2935518846773952E-4</v>
      </c>
      <c r="G140" s="1588"/>
      <c r="H140" s="1589">
        <f t="shared" si="10"/>
        <v>30</v>
      </c>
      <c r="I140" s="585">
        <f t="shared" si="11"/>
        <v>-21083160.706574045</v>
      </c>
    </row>
    <row r="141" spans="2:9">
      <c r="B141" s="440">
        <v>44378</v>
      </c>
      <c r="C141" s="440">
        <v>44408</v>
      </c>
      <c r="D141" s="585">
        <f t="shared" si="8"/>
        <v>-1116654055.5</v>
      </c>
      <c r="E141" s="247">
        <f>17.18*1.5%</f>
        <v>0.25769999999999998</v>
      </c>
      <c r="F141" s="1588">
        <f t="shared" si="9"/>
        <v>6.2837448450037137E-4</v>
      </c>
      <c r="G141" s="1588"/>
      <c r="H141" s="1589">
        <f t="shared" si="10"/>
        <v>31</v>
      </c>
      <c r="I141" s="585">
        <f t="shared" si="11"/>
        <v>-21751984.411191907</v>
      </c>
    </row>
    <row r="142" spans="2:9">
      <c r="B142" s="440">
        <v>44409</v>
      </c>
      <c r="C142" s="440">
        <v>44439</v>
      </c>
      <c r="D142" s="585">
        <f t="shared" si="8"/>
        <v>-1116654055.5</v>
      </c>
      <c r="E142" s="247">
        <f>17.24*1.5%</f>
        <v>0.25859999999999994</v>
      </c>
      <c r="F142" s="1588">
        <f t="shared" si="9"/>
        <v>6.3033554269220637E-4</v>
      </c>
      <c r="G142" s="1588"/>
      <c r="H142" s="1589">
        <f t="shared" si="10"/>
        <v>31</v>
      </c>
      <c r="I142" s="585">
        <f t="shared" si="11"/>
        <v>-21819868.942264415</v>
      </c>
    </row>
    <row r="143" spans="2:9">
      <c r="B143" s="440">
        <v>44440</v>
      </c>
      <c r="C143" s="440">
        <v>44469</v>
      </c>
      <c r="D143" s="585">
        <f t="shared" si="8"/>
        <v>-1116654055.5</v>
      </c>
      <c r="E143" s="247">
        <f>17.19*1.5%</f>
        <v>0.25785000000000002</v>
      </c>
      <c r="F143" s="1588">
        <f t="shared" si="9"/>
        <v>6.2870142469861889E-4</v>
      </c>
      <c r="G143" s="1588"/>
      <c r="H143" s="1589">
        <f t="shared" si="10"/>
        <v>30</v>
      </c>
      <c r="I143" s="585">
        <f t="shared" si="11"/>
        <v>-21061259.867650222</v>
      </c>
    </row>
    <row r="144" spans="2:9">
      <c r="B144" s="440">
        <v>44470</v>
      </c>
      <c r="C144" s="440">
        <v>44500</v>
      </c>
      <c r="D144" s="585">
        <f t="shared" si="8"/>
        <v>-1116654055.5</v>
      </c>
      <c r="E144" s="247">
        <f>17.08*1.5%</f>
        <v>0.25619999999999998</v>
      </c>
      <c r="F144" s="1588">
        <f t="shared" si="9"/>
        <v>6.2510294214179751E-4</v>
      </c>
      <c r="G144" s="1588"/>
      <c r="H144" s="1589">
        <f t="shared" si="10"/>
        <v>31</v>
      </c>
      <c r="I144" s="585">
        <f t="shared" si="11"/>
        <v>-21638735.798876222</v>
      </c>
    </row>
    <row r="145" spans="2:9">
      <c r="B145" s="440">
        <v>44501</v>
      </c>
      <c r="C145" s="440">
        <v>44530</v>
      </c>
      <c r="D145" s="585">
        <f t="shared" si="8"/>
        <v>-1116654055.5</v>
      </c>
      <c r="E145" s="247">
        <f>17.27*1.5%</f>
        <v>0.25905</v>
      </c>
      <c r="F145" s="1588">
        <f t="shared" si="9"/>
        <v>6.3131554742335005E-4</v>
      </c>
      <c r="G145" s="1588"/>
      <c r="H145" s="1589">
        <f t="shared" si="10"/>
        <v>30</v>
      </c>
      <c r="I145" s="585">
        <f t="shared" si="11"/>
        <v>-21148831.989914592</v>
      </c>
    </row>
    <row r="146" spans="2:9">
      <c r="B146" s="440">
        <v>44531</v>
      </c>
      <c r="C146" s="440">
        <v>44561</v>
      </c>
      <c r="D146" s="585">
        <f t="shared" si="8"/>
        <v>-1116654055.5</v>
      </c>
      <c r="E146" s="247">
        <f>17.46*1.5%</f>
        <v>0.26190000000000002</v>
      </c>
      <c r="F146" s="1588">
        <f t="shared" si="9"/>
        <v>6.3751414410861962E-4</v>
      </c>
      <c r="G146" s="1588"/>
      <c r="H146" s="1589">
        <f t="shared" si="10"/>
        <v>31</v>
      </c>
      <c r="I146" s="585">
        <f t="shared" si="11"/>
        <v>-22068365.388182551</v>
      </c>
    </row>
    <row r="147" spans="2:9">
      <c r="B147" s="440">
        <v>44562</v>
      </c>
      <c r="C147" s="440">
        <v>44592</v>
      </c>
      <c r="D147" s="585">
        <f t="shared" si="8"/>
        <v>-1116654055.5</v>
      </c>
      <c r="E147" s="247">
        <f>17.66*1.5%</f>
        <v>0.26489999999999997</v>
      </c>
      <c r="F147" s="1588">
        <f t="shared" si="9"/>
        <v>6.4402391816376081E-4</v>
      </c>
      <c r="G147" s="1588"/>
      <c r="H147" s="1589">
        <f t="shared" si="10"/>
        <v>31</v>
      </c>
      <c r="I147" s="585">
        <f t="shared" si="11"/>
        <v>-22293709.521753471</v>
      </c>
    </row>
    <row r="148" spans="2:9">
      <c r="B148" s="552"/>
      <c r="C148" s="552"/>
      <c r="H148" s="219" t="s">
        <v>1240</v>
      </c>
      <c r="I148" s="1594">
        <f>SUM(I118:I147)</f>
        <v>-665259998.76541352</v>
      </c>
    </row>
    <row r="149" spans="2:9">
      <c r="B149" s="552"/>
      <c r="C149" s="552"/>
    </row>
    <row r="150" spans="2:9">
      <c r="B150" s="552"/>
      <c r="C150" s="552"/>
    </row>
    <row r="151" spans="2:9">
      <c r="B151" s="2758" t="s">
        <v>55</v>
      </c>
      <c r="C151" s="2758"/>
    </row>
    <row r="152" spans="2:9">
      <c r="B152" s="440" t="s">
        <v>1241</v>
      </c>
      <c r="C152" s="1554">
        <f>+I115</f>
        <v>-1116654055.5</v>
      </c>
    </row>
    <row r="153" spans="2:9">
      <c r="B153" s="440" t="s">
        <v>284</v>
      </c>
      <c r="C153" s="1554">
        <f>+I148</f>
        <v>-665259998.76541352</v>
      </c>
    </row>
    <row r="154" spans="2:9">
      <c r="B154" s="440" t="s">
        <v>348</v>
      </c>
      <c r="C154" s="1554">
        <v>79666162</v>
      </c>
    </row>
    <row r="155" spans="2:9">
      <c r="B155" s="440" t="s">
        <v>61</v>
      </c>
      <c r="C155" s="1554">
        <f>+C152+C153+C154</f>
        <v>-1702247892.2654135</v>
      </c>
    </row>
    <row r="156" spans="2:9">
      <c r="B156" s="552"/>
      <c r="C156" s="552"/>
    </row>
    <row r="157" spans="2:9">
      <c r="B157" s="552"/>
      <c r="C157" s="552"/>
    </row>
    <row r="158" spans="2:9">
      <c r="B158" s="552"/>
      <c r="C158" s="552"/>
    </row>
    <row r="159" spans="2:9">
      <c r="B159" s="552"/>
      <c r="C159" s="552"/>
    </row>
    <row r="160" spans="2:9">
      <c r="B160" s="552"/>
      <c r="C160" s="552"/>
    </row>
    <row r="161" spans="2:11">
      <c r="B161" s="552"/>
      <c r="C161" s="552"/>
    </row>
    <row r="162" spans="2:11">
      <c r="B162" s="552"/>
      <c r="C162" s="552"/>
    </row>
    <row r="163" spans="2:11">
      <c r="C163" s="548"/>
    </row>
    <row r="164" spans="2:11">
      <c r="B164" s="217" t="s">
        <v>142</v>
      </c>
    </row>
    <row r="165" spans="2:11">
      <c r="B165" s="217" t="s">
        <v>143</v>
      </c>
      <c r="C165" s="581">
        <v>14452438</v>
      </c>
    </row>
    <row r="166" spans="2:11">
      <c r="B166" s="217" t="s">
        <v>145</v>
      </c>
      <c r="D166" s="217" t="s">
        <v>1242</v>
      </c>
    </row>
    <row r="167" spans="2:11">
      <c r="C167" s="581"/>
      <c r="D167" s="217" t="s">
        <v>1243</v>
      </c>
    </row>
    <row r="168" spans="2:11">
      <c r="B168" s="217" t="s">
        <v>1244</v>
      </c>
      <c r="C168" s="581"/>
      <c r="D168" s="217" t="s">
        <v>76</v>
      </c>
    </row>
    <row r="171" spans="2:11">
      <c r="B171" s="217" t="s">
        <v>226</v>
      </c>
    </row>
    <row r="172" spans="2:11">
      <c r="C172" s="217" t="s">
        <v>227</v>
      </c>
      <c r="D172" s="217" t="s">
        <v>228</v>
      </c>
      <c r="E172" s="217" t="s">
        <v>230</v>
      </c>
      <c r="F172" s="217" t="s">
        <v>231</v>
      </c>
      <c r="H172" s="217" t="s">
        <v>232</v>
      </c>
      <c r="I172" s="217" t="s">
        <v>233</v>
      </c>
    </row>
    <row r="173" spans="2:11">
      <c r="B173" s="217">
        <v>2010</v>
      </c>
      <c r="C173" s="1536">
        <f>+C165</f>
        <v>14452438</v>
      </c>
      <c r="D173" s="546">
        <v>0.02</v>
      </c>
      <c r="E173" s="546">
        <v>1.78E-2</v>
      </c>
      <c r="F173" s="1536">
        <f t="shared" ref="F173:F184" si="12">(((C173*D173)/12))+C173</f>
        <v>14476525.396666666</v>
      </c>
      <c r="G173" s="1536"/>
      <c r="H173" s="546">
        <v>0.107</v>
      </c>
      <c r="I173" s="1536">
        <f t="shared" ref="I173:I184" si="13">+F173*H173</f>
        <v>1548988.2174433332</v>
      </c>
      <c r="J173" s="1595"/>
      <c r="K173" s="594"/>
    </row>
    <row r="174" spans="2:11">
      <c r="B174" s="217">
        <v>2011</v>
      </c>
      <c r="C174" s="1536">
        <f t="shared" ref="C174:C184" si="14">+F173</f>
        <v>14476525.396666666</v>
      </c>
      <c r="D174" s="546">
        <v>3.1699999999999999E-2</v>
      </c>
      <c r="E174" s="546">
        <v>3.1699999999999999E-2</v>
      </c>
      <c r="F174" s="1536">
        <f t="shared" si="12"/>
        <v>14514767.551256195</v>
      </c>
      <c r="G174" s="1536"/>
      <c r="H174" s="1596">
        <v>0.12</v>
      </c>
      <c r="I174" s="1536">
        <f t="shared" si="13"/>
        <v>1741772.1061507433</v>
      </c>
    </row>
    <row r="175" spans="2:11">
      <c r="B175" s="217">
        <v>2012</v>
      </c>
      <c r="C175" s="1536">
        <f t="shared" si="14"/>
        <v>14514767.551256195</v>
      </c>
      <c r="D175" s="546">
        <v>3.73E-2</v>
      </c>
      <c r="E175" s="546">
        <v>3.73E-2</v>
      </c>
      <c r="F175" s="1536">
        <f t="shared" si="12"/>
        <v>14559884.287061349</v>
      </c>
      <c r="G175" s="1536"/>
      <c r="H175" s="1596">
        <v>0.12</v>
      </c>
      <c r="I175" s="1536">
        <f t="shared" si="13"/>
        <v>1747186.1144473618</v>
      </c>
    </row>
    <row r="176" spans="2:11">
      <c r="B176" s="217">
        <v>2013</v>
      </c>
      <c r="C176" s="1536">
        <f t="shared" si="14"/>
        <v>14559884.287061349</v>
      </c>
      <c r="D176" s="546">
        <v>1.9400000000000001E-2</v>
      </c>
      <c r="E176" s="546">
        <v>1.9400000000000001E-2</v>
      </c>
      <c r="F176" s="1536">
        <f t="shared" si="12"/>
        <v>14583422.766658764</v>
      </c>
      <c r="G176" s="1536"/>
      <c r="H176" s="1596">
        <v>0.12</v>
      </c>
      <c r="I176" s="1536">
        <f t="shared" si="13"/>
        <v>1750010.7319990518</v>
      </c>
    </row>
    <row r="177" spans="2:9">
      <c r="B177" s="217">
        <v>2014</v>
      </c>
      <c r="C177" s="1536">
        <f t="shared" si="14"/>
        <v>14583422.766658764</v>
      </c>
      <c r="D177" s="546">
        <v>2.4400000000000002E-2</v>
      </c>
      <c r="E177" s="546">
        <v>2.4400000000000002E-2</v>
      </c>
      <c r="F177" s="1536">
        <f t="shared" si="12"/>
        <v>14613075.726284305</v>
      </c>
      <c r="G177" s="1536"/>
      <c r="H177" s="1596">
        <v>0.12</v>
      </c>
      <c r="I177" s="1536">
        <f t="shared" si="13"/>
        <v>1753569.0871541165</v>
      </c>
    </row>
    <row r="178" spans="2:9">
      <c r="B178" s="217">
        <v>2015</v>
      </c>
      <c r="C178" s="1536">
        <f t="shared" si="14"/>
        <v>14613075.726284305</v>
      </c>
      <c r="D178" s="546">
        <v>3.6600000000000001E-2</v>
      </c>
      <c r="E178" s="546">
        <v>3.6600000000000001E-2</v>
      </c>
      <c r="F178" s="1536">
        <f t="shared" si="12"/>
        <v>14657645.607249472</v>
      </c>
      <c r="G178" s="1536"/>
      <c r="H178" s="1596">
        <v>0.12</v>
      </c>
      <c r="I178" s="1536">
        <f t="shared" si="13"/>
        <v>1758917.4728699366</v>
      </c>
    </row>
    <row r="179" spans="2:9">
      <c r="B179" s="217">
        <v>2016</v>
      </c>
      <c r="C179" s="1536">
        <f t="shared" si="14"/>
        <v>14657645.607249472</v>
      </c>
      <c r="D179" s="546">
        <v>6.7699999999999996E-2</v>
      </c>
      <c r="E179" s="546">
        <v>6.7699999999999996E-2</v>
      </c>
      <c r="F179" s="1536">
        <f t="shared" si="12"/>
        <v>14740339.157883706</v>
      </c>
      <c r="G179" s="1536"/>
      <c r="H179" s="1596">
        <v>0.12</v>
      </c>
      <c r="I179" s="1536">
        <f t="shared" si="13"/>
        <v>1768840.6989460445</v>
      </c>
    </row>
    <row r="180" spans="2:9">
      <c r="B180" s="217">
        <v>2017</v>
      </c>
      <c r="C180" s="1536">
        <f t="shared" si="14"/>
        <v>14740339.157883706</v>
      </c>
      <c r="D180" s="546">
        <v>5.7500000000000002E-2</v>
      </c>
      <c r="E180" s="546">
        <v>5.7500000000000002E-2</v>
      </c>
      <c r="F180" s="1536">
        <f t="shared" si="12"/>
        <v>14810969.949681899</v>
      </c>
      <c r="G180" s="1536"/>
      <c r="H180" s="1596">
        <v>0.12</v>
      </c>
      <c r="I180" s="1536">
        <f t="shared" si="13"/>
        <v>1777316.3939618277</v>
      </c>
    </row>
    <row r="181" spans="2:9">
      <c r="B181" s="217">
        <v>2018</v>
      </c>
      <c r="C181" s="1536">
        <f t="shared" si="14"/>
        <v>14810969.949681899</v>
      </c>
      <c r="D181" s="546">
        <v>4.0899999999999999E-2</v>
      </c>
      <c r="E181" s="546">
        <v>4.0899999999999999E-2</v>
      </c>
      <c r="F181" s="1536">
        <f t="shared" si="12"/>
        <v>14861450.672260398</v>
      </c>
      <c r="G181" s="1536"/>
      <c r="H181" s="1596">
        <v>0.12</v>
      </c>
      <c r="I181" s="1536">
        <f t="shared" si="13"/>
        <v>1783374.0806712478</v>
      </c>
    </row>
    <row r="182" spans="2:9">
      <c r="B182" s="217">
        <v>2019</v>
      </c>
      <c r="C182" s="1536">
        <f t="shared" si="14"/>
        <v>14861450.672260398</v>
      </c>
      <c r="D182" s="546">
        <v>3.1800000000000002E-2</v>
      </c>
      <c r="E182" s="546">
        <v>3.1800000000000002E-2</v>
      </c>
      <c r="F182" s="1536">
        <f t="shared" si="12"/>
        <v>14900833.516541889</v>
      </c>
      <c r="G182" s="1536"/>
      <c r="H182" s="1596">
        <v>0.12</v>
      </c>
      <c r="I182" s="1536">
        <f t="shared" si="13"/>
        <v>1788100.0219850265</v>
      </c>
    </row>
    <row r="183" spans="2:9">
      <c r="B183" s="217">
        <v>2020</v>
      </c>
      <c r="C183" s="1536">
        <f t="shared" si="14"/>
        <v>14900833.516541889</v>
      </c>
      <c r="D183" s="546">
        <v>3.7999999999999999E-2</v>
      </c>
      <c r="E183" s="546">
        <v>3.7999999999999999E-2</v>
      </c>
      <c r="F183" s="1536">
        <f t="shared" si="12"/>
        <v>14948019.489344271</v>
      </c>
      <c r="G183" s="1536"/>
      <c r="H183" s="1596">
        <v>0.12</v>
      </c>
      <c r="I183" s="1536">
        <f t="shared" si="13"/>
        <v>1793762.3387213123</v>
      </c>
    </row>
    <row r="184" spans="2:9">
      <c r="B184" s="217">
        <v>2021</v>
      </c>
      <c r="C184" s="1536">
        <f t="shared" si="14"/>
        <v>14948019.489344271</v>
      </c>
      <c r="D184" s="546">
        <v>1.61E-2</v>
      </c>
      <c r="E184" s="546">
        <v>1.61E-2</v>
      </c>
      <c r="F184" s="1536">
        <f t="shared" si="12"/>
        <v>14968074.748825807</v>
      </c>
      <c r="G184" s="1536"/>
      <c r="H184" s="1596">
        <v>0.05</v>
      </c>
      <c r="I184" s="1536">
        <f t="shared" si="13"/>
        <v>748403.7374412904</v>
      </c>
    </row>
    <row r="185" spans="2:9">
      <c r="F185" s="236" t="s">
        <v>338</v>
      </c>
      <c r="G185" s="236"/>
      <c r="I185" s="1536">
        <f>SUM(I173:I184)</f>
        <v>19960241.001791291</v>
      </c>
    </row>
    <row r="189" spans="2:9">
      <c r="B189" s="2759" t="s">
        <v>55</v>
      </c>
      <c r="C189" s="2760"/>
      <c r="D189" s="2761"/>
    </row>
    <row r="190" spans="2:9">
      <c r="B190" s="219" t="s">
        <v>56</v>
      </c>
      <c r="C190" s="219" t="s">
        <v>163</v>
      </c>
      <c r="D190" s="216"/>
    </row>
    <row r="191" spans="2:9">
      <c r="B191" s="1583" t="s">
        <v>133</v>
      </c>
      <c r="C191" s="251">
        <f>+C165</f>
        <v>14452438</v>
      </c>
      <c r="D191" s="251"/>
    </row>
    <row r="192" spans="2:9" ht="38.25">
      <c r="B192" s="1583" t="s">
        <v>174</v>
      </c>
      <c r="C192" s="252"/>
      <c r="D192" s="251"/>
    </row>
    <row r="193" spans="2:4">
      <c r="B193" s="219" t="s">
        <v>97</v>
      </c>
      <c r="C193" s="1597">
        <f>SUM(C191:C192)</f>
        <v>14452438</v>
      </c>
      <c r="D193" s="251"/>
    </row>
    <row r="194" spans="2:4">
      <c r="B194" s="216"/>
      <c r="C194" s="216"/>
      <c r="D194" s="216"/>
    </row>
    <row r="217" spans="4:11">
      <c r="J217" s="1598"/>
      <c r="K217" s="640"/>
    </row>
    <row r="219" spans="4:11">
      <c r="F219" s="1595"/>
      <c r="G219" s="1595"/>
    </row>
    <row r="220" spans="4:11">
      <c r="F220" s="1595"/>
      <c r="G220" s="1595"/>
    </row>
    <row r="221" spans="4:11">
      <c r="F221" s="1595"/>
      <c r="G221" s="1595"/>
    </row>
    <row r="222" spans="4:11">
      <c r="D222" s="223"/>
    </row>
    <row r="223" spans="4:11">
      <c r="D223" s="223"/>
    </row>
    <row r="224" spans="4:11">
      <c r="D224" s="640"/>
    </row>
  </sheetData>
  <mergeCells count="9">
    <mergeCell ref="F112:H112"/>
    <mergeCell ref="B151:C151"/>
    <mergeCell ref="B189:D189"/>
    <mergeCell ref="B16:K16"/>
    <mergeCell ref="B20:J20"/>
    <mergeCell ref="I28:J28"/>
    <mergeCell ref="I39:J39"/>
    <mergeCell ref="B41:C41"/>
    <mergeCell ref="C103:H103"/>
  </mergeCell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F4888-6D14-451F-8336-6E965267A32F}">
  <sheetPr codeName="Hoja35"/>
  <dimension ref="A2:I128"/>
  <sheetViews>
    <sheetView topLeftCell="A7" zoomScaleNormal="100" workbookViewId="0">
      <selection activeCell="C120" sqref="C120"/>
    </sheetView>
  </sheetViews>
  <sheetFormatPr defaultColWidth="11.42578125" defaultRowHeight="12.75"/>
  <cols>
    <col min="1" max="1" width="2.7109375" customWidth="1"/>
    <col min="2" max="2" width="23" customWidth="1"/>
    <col min="3" max="3" width="16.7109375" customWidth="1"/>
    <col min="4" max="4" width="13.140625" bestFit="1" customWidth="1"/>
    <col min="5" max="5" width="12.85546875" bestFit="1" customWidth="1"/>
    <col min="6" max="6" width="12.85546875" customWidth="1"/>
    <col min="8" max="8" width="12.5703125" customWidth="1"/>
    <col min="9" max="9" width="18.85546875" customWidth="1"/>
    <col min="10" max="10" width="17.140625" customWidth="1"/>
  </cols>
  <sheetData>
    <row r="2" spans="2:7">
      <c r="B2" s="196" t="s">
        <v>508</v>
      </c>
      <c r="C2" s="196" t="s">
        <v>1245</v>
      </c>
      <c r="D2" s="2"/>
    </row>
    <row r="3" spans="2:7">
      <c r="B3" s="196" t="s">
        <v>1246</v>
      </c>
      <c r="C3" s="196" t="s">
        <v>1247</v>
      </c>
      <c r="D3" s="2"/>
    </row>
    <row r="4" spans="2:7">
      <c r="B4" s="196" t="s">
        <v>220</v>
      </c>
      <c r="C4" s="2" t="s">
        <v>1248</v>
      </c>
      <c r="D4" s="2"/>
    </row>
    <row r="5" spans="2:7">
      <c r="B5" s="196" t="s">
        <v>1249</v>
      </c>
      <c r="C5" s="63">
        <v>41866</v>
      </c>
      <c r="D5" s="2"/>
    </row>
    <row r="6" spans="2:7">
      <c r="B6" s="196" t="s">
        <v>180</v>
      </c>
      <c r="C6" s="345">
        <v>41879</v>
      </c>
      <c r="D6" s="2"/>
    </row>
    <row r="7" spans="2:7">
      <c r="B7" s="196" t="s">
        <v>814</v>
      </c>
      <c r="C7" s="196" t="s">
        <v>1250</v>
      </c>
      <c r="D7" s="2"/>
    </row>
    <row r="8" spans="2:7">
      <c r="B8" s="196" t="s">
        <v>129</v>
      </c>
      <c r="C8" s="69">
        <v>43104741.969999999</v>
      </c>
      <c r="D8" s="2"/>
    </row>
    <row r="9" spans="2:7">
      <c r="B9" s="196" t="s">
        <v>1251</v>
      </c>
      <c r="C9" s="2"/>
      <c r="D9" s="2"/>
    </row>
    <row r="10" spans="2:7">
      <c r="B10" s="196" t="s">
        <v>1252</v>
      </c>
      <c r="C10" s="63">
        <v>39063</v>
      </c>
      <c r="D10" s="2"/>
    </row>
    <row r="11" spans="2:7">
      <c r="B11" s="196" t="s">
        <v>1253</v>
      </c>
      <c r="C11" s="63">
        <v>41879</v>
      </c>
      <c r="D11" s="42"/>
    </row>
    <row r="12" spans="2:7">
      <c r="B12" s="379" t="s">
        <v>921</v>
      </c>
    </row>
    <row r="15" spans="2:7">
      <c r="B15" s="3" t="s">
        <v>142</v>
      </c>
      <c r="C15" s="2"/>
      <c r="D15" s="2"/>
      <c r="E15" s="2"/>
      <c r="F15" s="2"/>
      <c r="G15" s="2"/>
    </row>
    <row r="16" spans="2:7">
      <c r="B16" s="2" t="s">
        <v>143</v>
      </c>
      <c r="C16" s="2508">
        <f>+C8</f>
        <v>43104741.969999999</v>
      </c>
      <c r="D16" s="2"/>
      <c r="E16" s="2"/>
      <c r="F16" s="2"/>
      <c r="G16" s="2"/>
    </row>
    <row r="17" spans="1:9" ht="25.5">
      <c r="B17" s="2" t="s">
        <v>145</v>
      </c>
      <c r="C17" s="2"/>
      <c r="D17" s="187" t="s">
        <v>1254</v>
      </c>
      <c r="E17" s="2">
        <v>81.900000000000006</v>
      </c>
      <c r="F17" s="2"/>
      <c r="G17" s="2"/>
    </row>
    <row r="18" spans="1:9" ht="25.5">
      <c r="B18" s="2"/>
      <c r="C18" s="2508">
        <f>+C16*E19</f>
        <v>57562014.794439912</v>
      </c>
      <c r="D18" s="187" t="s">
        <v>1255</v>
      </c>
      <c r="E18" s="6">
        <v>61.33</v>
      </c>
      <c r="F18" s="621"/>
    </row>
    <row r="19" spans="1:9">
      <c r="B19" s="3"/>
      <c r="C19" s="9"/>
      <c r="D19" s="2" t="s">
        <v>76</v>
      </c>
      <c r="E19" s="2">
        <f>+E17/E18</f>
        <v>1.3353986629708137</v>
      </c>
      <c r="F19" s="2"/>
      <c r="G19" s="2"/>
    </row>
    <row r="20" spans="1:9">
      <c r="H20" s="7"/>
      <c r="I20" s="7"/>
    </row>
    <row r="21" spans="1:9">
      <c r="B21" s="393" t="s">
        <v>317</v>
      </c>
    </row>
    <row r="22" spans="1:9">
      <c r="B22" s="354" t="s">
        <v>180</v>
      </c>
      <c r="C22" s="16">
        <f>+C11</f>
        <v>41879</v>
      </c>
    </row>
    <row r="23" spans="1:9">
      <c r="B23" s="354" t="s">
        <v>129</v>
      </c>
      <c r="C23" s="398">
        <f>+C18</f>
        <v>57562014.794439912</v>
      </c>
      <c r="D23" s="398"/>
    </row>
    <row r="24" spans="1:9" ht="22.5">
      <c r="B24" s="229" t="s">
        <v>206</v>
      </c>
      <c r="C24" s="229" t="s">
        <v>10</v>
      </c>
      <c r="D24" s="228" t="s">
        <v>129</v>
      </c>
      <c r="E24" s="228" t="s">
        <v>320</v>
      </c>
      <c r="F24" s="391" t="s">
        <v>59</v>
      </c>
      <c r="G24" s="392" t="s">
        <v>43</v>
      </c>
      <c r="H24" s="229" t="s">
        <v>279</v>
      </c>
      <c r="I24" s="228" t="s">
        <v>253</v>
      </c>
    </row>
    <row r="25" spans="1:9">
      <c r="A25">
        <v>1</v>
      </c>
      <c r="B25" s="16">
        <v>41880</v>
      </c>
      <c r="C25" s="16">
        <v>41882</v>
      </c>
      <c r="D25" s="22">
        <f t="shared" ref="D25:D31" si="0">+$C$23</f>
        <v>57562014.794439912</v>
      </c>
      <c r="E25" s="18">
        <v>0.1933</v>
      </c>
      <c r="F25" s="18">
        <f>+E25*1.5</f>
        <v>0.28994999999999999</v>
      </c>
      <c r="G25" s="43">
        <f t="shared" ref="G25:G31" si="1">((1+F25)^(1/365)-1)</f>
        <v>6.9778706056067286E-4</v>
      </c>
      <c r="H25" s="400">
        <f t="shared" ref="H25:H31" si="2">_xlfn.DAYS(C25,B25)+1</f>
        <v>3</v>
      </c>
      <c r="I25" s="22">
        <f t="shared" ref="I25:I31" si="3">+D25*H25*G25</f>
        <v>120498.08731008657</v>
      </c>
    </row>
    <row r="26" spans="1:9">
      <c r="A26">
        <v>2</v>
      </c>
      <c r="B26" s="16">
        <v>41883</v>
      </c>
      <c r="C26" s="16">
        <v>41912</v>
      </c>
      <c r="D26" s="22">
        <f t="shared" si="0"/>
        <v>57562014.794439912</v>
      </c>
      <c r="E26" s="18">
        <v>0.1933</v>
      </c>
      <c r="F26" s="18">
        <f t="shared" ref="F26:F31" si="4">+E26*1.5</f>
        <v>0.28994999999999999</v>
      </c>
      <c r="G26" s="43">
        <f t="shared" si="1"/>
        <v>6.9778706056067286E-4</v>
      </c>
      <c r="H26" s="400">
        <f t="shared" si="2"/>
        <v>30</v>
      </c>
      <c r="I26" s="22">
        <f t="shared" si="3"/>
        <v>1204980.8731008656</v>
      </c>
    </row>
    <row r="27" spans="1:9">
      <c r="A27">
        <v>3</v>
      </c>
      <c r="B27" s="16">
        <v>41913</v>
      </c>
      <c r="C27" s="16">
        <v>41943</v>
      </c>
      <c r="D27" s="22">
        <f t="shared" si="0"/>
        <v>57562014.794439912</v>
      </c>
      <c r="E27" s="18">
        <v>0.19170000000000001</v>
      </c>
      <c r="F27" s="18">
        <f t="shared" si="4"/>
        <v>0.28755000000000003</v>
      </c>
      <c r="G27" s="43">
        <f t="shared" si="1"/>
        <v>6.9268140331879557E-4</v>
      </c>
      <c r="H27" s="400">
        <f t="shared" si="2"/>
        <v>31</v>
      </c>
      <c r="I27" s="22">
        <f t="shared" si="3"/>
        <v>1236036.2527557672</v>
      </c>
    </row>
    <row r="28" spans="1:9">
      <c r="A28">
        <v>4</v>
      </c>
      <c r="B28" s="16">
        <v>41944</v>
      </c>
      <c r="C28" s="16">
        <v>41973</v>
      </c>
      <c r="D28" s="22">
        <f t="shared" si="0"/>
        <v>57562014.794439912</v>
      </c>
      <c r="E28" s="18">
        <v>0.19170000000000001</v>
      </c>
      <c r="F28" s="18">
        <f t="shared" si="4"/>
        <v>0.28755000000000003</v>
      </c>
      <c r="G28" s="43">
        <f t="shared" si="1"/>
        <v>6.9268140331879557E-4</v>
      </c>
      <c r="H28" s="400">
        <f t="shared" si="2"/>
        <v>30</v>
      </c>
      <c r="I28" s="22">
        <f t="shared" si="3"/>
        <v>1196164.1155700972</v>
      </c>
    </row>
    <row r="29" spans="1:9">
      <c r="A29">
        <v>5</v>
      </c>
      <c r="B29" s="16">
        <v>41974</v>
      </c>
      <c r="C29" s="16">
        <v>42004</v>
      </c>
      <c r="D29" s="22">
        <f t="shared" si="0"/>
        <v>57562014.794439912</v>
      </c>
      <c r="E29" s="18">
        <v>0.19170000000000001</v>
      </c>
      <c r="F29" s="18">
        <f t="shared" si="4"/>
        <v>0.28755000000000003</v>
      </c>
      <c r="G29" s="43">
        <f t="shared" si="1"/>
        <v>6.9268140331879557E-4</v>
      </c>
      <c r="H29" s="400">
        <f t="shared" si="2"/>
        <v>31</v>
      </c>
      <c r="I29" s="22">
        <f t="shared" si="3"/>
        <v>1236036.2527557672</v>
      </c>
    </row>
    <row r="30" spans="1:9">
      <c r="A30">
        <v>6</v>
      </c>
      <c r="B30" s="59">
        <v>42005</v>
      </c>
      <c r="C30" s="59">
        <v>42035</v>
      </c>
      <c r="D30" s="22">
        <f t="shared" si="0"/>
        <v>57562014.794439912</v>
      </c>
      <c r="E30" s="18">
        <v>0.19209999999999999</v>
      </c>
      <c r="F30" s="18">
        <f t="shared" si="4"/>
        <v>0.28815000000000002</v>
      </c>
      <c r="G30" s="43">
        <f t="shared" si="1"/>
        <v>6.9395870684818561E-4</v>
      </c>
      <c r="H30" s="400">
        <f t="shared" si="2"/>
        <v>31</v>
      </c>
      <c r="I30" s="22">
        <f t="shared" si="3"/>
        <v>1238315.5018600952</v>
      </c>
    </row>
    <row r="31" spans="1:9" ht="12" customHeight="1">
      <c r="A31">
        <v>7</v>
      </c>
      <c r="B31" s="59">
        <v>42036</v>
      </c>
      <c r="C31" s="59">
        <v>42063</v>
      </c>
      <c r="D31" s="22">
        <f t="shared" si="0"/>
        <v>57562014.794439912</v>
      </c>
      <c r="E31" s="18">
        <v>0.19209999999999999</v>
      </c>
      <c r="F31" s="18">
        <f t="shared" si="4"/>
        <v>0.28815000000000002</v>
      </c>
      <c r="G31" s="43">
        <f t="shared" si="1"/>
        <v>6.9395870684818561E-4</v>
      </c>
      <c r="H31" s="400">
        <f t="shared" si="2"/>
        <v>28</v>
      </c>
      <c r="I31" s="22">
        <f t="shared" si="3"/>
        <v>1118478.5178091181</v>
      </c>
    </row>
    <row r="32" spans="1:9">
      <c r="B32" s="16"/>
      <c r="C32" s="16"/>
      <c r="D32" s="22"/>
      <c r="E32" s="22"/>
      <c r="F32" s="28"/>
      <c r="G32" s="43"/>
      <c r="H32" s="400"/>
      <c r="I32" s="2"/>
    </row>
    <row r="33" spans="1:9" ht="15">
      <c r="B33" s="20" t="s">
        <v>1256</v>
      </c>
      <c r="C33" s="16"/>
      <c r="D33" s="22"/>
      <c r="E33" s="22"/>
      <c r="F33" s="28"/>
      <c r="G33" s="43"/>
      <c r="H33" s="400"/>
      <c r="I33" s="2"/>
    </row>
    <row r="34" spans="1:9">
      <c r="A34">
        <v>8</v>
      </c>
      <c r="B34" s="16">
        <v>42147</v>
      </c>
      <c r="C34" s="16">
        <v>42155</v>
      </c>
      <c r="D34" s="22">
        <f t="shared" ref="D34:D65" si="5">+$C$23</f>
        <v>57562014.794439912</v>
      </c>
      <c r="E34" s="238">
        <v>0.19370000000000001</v>
      </c>
      <c r="F34" s="28">
        <f>+E34*1.5</f>
        <v>0.29055000000000003</v>
      </c>
      <c r="G34" s="43">
        <f>((1+F34)^(1/365)-1)</f>
        <v>6.9906199467517638E-4</v>
      </c>
      <c r="H34" s="400">
        <f t="shared" ref="H34:H65" si="6">_xlfn.DAYS(C34,B34)+1</f>
        <v>9</v>
      </c>
      <c r="I34" s="22">
        <f t="shared" ref="I34:I65" si="7">+D34*H34*G34</f>
        <v>362154.75191750861</v>
      </c>
    </row>
    <row r="35" spans="1:9">
      <c r="A35">
        <v>9</v>
      </c>
      <c r="B35" s="16">
        <v>42156</v>
      </c>
      <c r="C35" s="16">
        <v>42185</v>
      </c>
      <c r="D35" s="22">
        <f t="shared" si="5"/>
        <v>57562014.794439912</v>
      </c>
      <c r="E35" s="238">
        <v>0.19370000000000001</v>
      </c>
      <c r="F35" s="28">
        <f t="shared" ref="F35:F98" si="8">+E35*1.5</f>
        <v>0.29055000000000003</v>
      </c>
      <c r="G35" s="43">
        <f t="shared" ref="G35:G94" si="9">((1+F35)^(1/365)-1)</f>
        <v>6.9906199467517638E-4</v>
      </c>
      <c r="H35" s="400">
        <f t="shared" si="6"/>
        <v>30</v>
      </c>
      <c r="I35" s="22">
        <f t="shared" si="7"/>
        <v>1207182.5063916952</v>
      </c>
    </row>
    <row r="36" spans="1:9">
      <c r="A36">
        <v>10</v>
      </c>
      <c r="B36" s="16">
        <v>42186</v>
      </c>
      <c r="C36" s="16">
        <v>42216</v>
      </c>
      <c r="D36" s="22">
        <f t="shared" si="5"/>
        <v>57562014.794439912</v>
      </c>
      <c r="E36" s="238">
        <v>0.19259999999999999</v>
      </c>
      <c r="F36" s="28">
        <f t="shared" si="8"/>
        <v>0.28889999999999999</v>
      </c>
      <c r="G36" s="43">
        <f t="shared" si="9"/>
        <v>6.9555450216518544E-4</v>
      </c>
      <c r="H36" s="400">
        <f t="shared" si="6"/>
        <v>31</v>
      </c>
      <c r="I36" s="22">
        <f t="shared" si="7"/>
        <v>1241163.0748631225</v>
      </c>
    </row>
    <row r="37" spans="1:9">
      <c r="A37">
        <v>11</v>
      </c>
      <c r="B37" s="16">
        <v>42217</v>
      </c>
      <c r="C37" s="16">
        <v>42247</v>
      </c>
      <c r="D37" s="22">
        <f t="shared" si="5"/>
        <v>57562014.794439912</v>
      </c>
      <c r="E37" s="238">
        <v>0.19259999999999999</v>
      </c>
      <c r="F37" s="28">
        <f t="shared" si="8"/>
        <v>0.28889999999999999</v>
      </c>
      <c r="G37" s="43">
        <f t="shared" si="9"/>
        <v>6.9555450216518544E-4</v>
      </c>
      <c r="H37" s="400">
        <f t="shared" si="6"/>
        <v>31</v>
      </c>
      <c r="I37" s="22">
        <f t="shared" si="7"/>
        <v>1241163.0748631225</v>
      </c>
    </row>
    <row r="38" spans="1:9">
      <c r="A38">
        <v>12</v>
      </c>
      <c r="B38" s="16">
        <v>42248</v>
      </c>
      <c r="C38" s="16">
        <v>42277</v>
      </c>
      <c r="D38" s="22">
        <f t="shared" si="5"/>
        <v>57562014.794439912</v>
      </c>
      <c r="E38" s="238">
        <v>0.19259999999999999</v>
      </c>
      <c r="F38" s="28">
        <f t="shared" si="8"/>
        <v>0.28889999999999999</v>
      </c>
      <c r="G38" s="43">
        <f t="shared" si="9"/>
        <v>6.9555450216518544E-4</v>
      </c>
      <c r="H38" s="400">
        <f t="shared" si="6"/>
        <v>30</v>
      </c>
      <c r="I38" s="22">
        <f t="shared" si="7"/>
        <v>1201125.5563191508</v>
      </c>
    </row>
    <row r="39" spans="1:9">
      <c r="A39">
        <v>13</v>
      </c>
      <c r="B39" s="16">
        <v>42278</v>
      </c>
      <c r="C39" s="16">
        <v>42308</v>
      </c>
      <c r="D39" s="22">
        <f t="shared" si="5"/>
        <v>57562014.794439912</v>
      </c>
      <c r="E39" s="238">
        <v>0.1933</v>
      </c>
      <c r="F39" s="28">
        <f t="shared" si="8"/>
        <v>0.28994999999999999</v>
      </c>
      <c r="G39" s="43">
        <f t="shared" si="9"/>
        <v>6.9778706056067286E-4</v>
      </c>
      <c r="H39" s="400">
        <f t="shared" si="6"/>
        <v>31</v>
      </c>
      <c r="I39" s="22">
        <f t="shared" si="7"/>
        <v>1245146.9022042279</v>
      </c>
    </row>
    <row r="40" spans="1:9">
      <c r="A40">
        <v>14</v>
      </c>
      <c r="B40" s="16">
        <v>42309</v>
      </c>
      <c r="C40" s="16">
        <v>42338</v>
      </c>
      <c r="D40" s="22">
        <f t="shared" si="5"/>
        <v>57562014.794439912</v>
      </c>
      <c r="E40" s="238">
        <v>0.1933</v>
      </c>
      <c r="F40" s="28">
        <f t="shared" si="8"/>
        <v>0.28994999999999999</v>
      </c>
      <c r="G40" s="43">
        <f t="shared" si="9"/>
        <v>6.9778706056067286E-4</v>
      </c>
      <c r="H40" s="400">
        <f t="shared" si="6"/>
        <v>30</v>
      </c>
      <c r="I40" s="22">
        <f t="shared" si="7"/>
        <v>1204980.8731008656</v>
      </c>
    </row>
    <row r="41" spans="1:9">
      <c r="A41">
        <v>15</v>
      </c>
      <c r="B41" s="16">
        <v>42339</v>
      </c>
      <c r="C41" s="16">
        <v>42369</v>
      </c>
      <c r="D41" s="22">
        <f t="shared" si="5"/>
        <v>57562014.794439912</v>
      </c>
      <c r="E41" s="247">
        <v>0.1933</v>
      </c>
      <c r="F41" s="28">
        <f t="shared" si="8"/>
        <v>0.28994999999999999</v>
      </c>
      <c r="G41" s="43">
        <f t="shared" si="9"/>
        <v>6.9778706056067286E-4</v>
      </c>
      <c r="H41" s="400">
        <f t="shared" si="6"/>
        <v>31</v>
      </c>
      <c r="I41" s="22">
        <f t="shared" si="7"/>
        <v>1245146.9022042279</v>
      </c>
    </row>
    <row r="42" spans="1:9">
      <c r="A42">
        <v>16</v>
      </c>
      <c r="B42" s="16">
        <v>42370</v>
      </c>
      <c r="C42" s="16">
        <v>42400</v>
      </c>
      <c r="D42" s="22">
        <f t="shared" si="5"/>
        <v>57562014.794439912</v>
      </c>
      <c r="E42" s="247">
        <v>0.1968</v>
      </c>
      <c r="F42" s="28">
        <f t="shared" si="8"/>
        <v>0.29520000000000002</v>
      </c>
      <c r="G42" s="43">
        <f t="shared" si="9"/>
        <v>7.0892273793354832E-4</v>
      </c>
      <c r="H42" s="400">
        <f t="shared" si="6"/>
        <v>31</v>
      </c>
      <c r="I42" s="22">
        <f t="shared" si="7"/>
        <v>1265017.6550004187</v>
      </c>
    </row>
    <row r="43" spans="1:9">
      <c r="A43">
        <v>17</v>
      </c>
      <c r="B43" s="16">
        <v>42401</v>
      </c>
      <c r="C43" s="16">
        <v>42429</v>
      </c>
      <c r="D43" s="22">
        <f t="shared" si="5"/>
        <v>57562014.794439912</v>
      </c>
      <c r="E43" s="244">
        <v>0.1968</v>
      </c>
      <c r="F43" s="28">
        <f t="shared" si="8"/>
        <v>0.29520000000000002</v>
      </c>
      <c r="G43" s="43">
        <f t="shared" si="9"/>
        <v>7.0892273793354832E-4</v>
      </c>
      <c r="H43" s="400">
        <f t="shared" si="6"/>
        <v>29</v>
      </c>
      <c r="I43" s="22">
        <f t="shared" si="7"/>
        <v>1183403.6127423269</v>
      </c>
    </row>
    <row r="44" spans="1:9">
      <c r="A44">
        <v>18</v>
      </c>
      <c r="B44" s="16">
        <v>42430</v>
      </c>
      <c r="C44" s="16">
        <v>42460</v>
      </c>
      <c r="D44" s="22">
        <f t="shared" si="5"/>
        <v>57562014.794439912</v>
      </c>
      <c r="E44" s="238">
        <v>0.1968</v>
      </c>
      <c r="F44" s="28">
        <f t="shared" si="8"/>
        <v>0.29520000000000002</v>
      </c>
      <c r="G44" s="43">
        <f t="shared" si="9"/>
        <v>7.0892273793354832E-4</v>
      </c>
      <c r="H44" s="400">
        <f t="shared" si="6"/>
        <v>31</v>
      </c>
      <c r="I44" s="22">
        <f t="shared" si="7"/>
        <v>1265017.6550004187</v>
      </c>
    </row>
    <row r="45" spans="1:9">
      <c r="A45">
        <v>19</v>
      </c>
      <c r="B45" s="16">
        <v>42461</v>
      </c>
      <c r="C45" s="16">
        <v>42490</v>
      </c>
      <c r="D45" s="22">
        <f t="shared" si="5"/>
        <v>57562014.794439912</v>
      </c>
      <c r="E45" s="238">
        <v>0.2054</v>
      </c>
      <c r="F45" s="28">
        <f t="shared" si="8"/>
        <v>0.30809999999999998</v>
      </c>
      <c r="G45" s="43">
        <f t="shared" si="9"/>
        <v>7.3609462782320279E-4</v>
      </c>
      <c r="H45" s="400">
        <f t="shared" si="6"/>
        <v>30</v>
      </c>
      <c r="I45" s="22">
        <f t="shared" si="7"/>
        <v>1271132.6957060082</v>
      </c>
    </row>
    <row r="46" spans="1:9">
      <c r="A46">
        <v>20</v>
      </c>
      <c r="B46" s="16">
        <v>42491</v>
      </c>
      <c r="C46" s="16">
        <v>42521</v>
      </c>
      <c r="D46" s="22">
        <f t="shared" si="5"/>
        <v>57562014.794439912</v>
      </c>
      <c r="E46" s="238">
        <v>0.2054</v>
      </c>
      <c r="F46" s="28">
        <f t="shared" si="8"/>
        <v>0.30809999999999998</v>
      </c>
      <c r="G46" s="43">
        <f t="shared" si="9"/>
        <v>7.3609462782320279E-4</v>
      </c>
      <c r="H46" s="400">
        <f t="shared" si="6"/>
        <v>31</v>
      </c>
      <c r="I46" s="22">
        <f t="shared" si="7"/>
        <v>1313503.7855628752</v>
      </c>
    </row>
    <row r="47" spans="1:9">
      <c r="A47">
        <v>21</v>
      </c>
      <c r="B47" s="16">
        <v>42522</v>
      </c>
      <c r="C47" s="16">
        <v>42551</v>
      </c>
      <c r="D47" s="22">
        <f t="shared" si="5"/>
        <v>57562014.794439912</v>
      </c>
      <c r="E47" s="238">
        <v>0.2054</v>
      </c>
      <c r="F47" s="28">
        <f t="shared" si="8"/>
        <v>0.30809999999999998</v>
      </c>
      <c r="G47" s="43">
        <f t="shared" si="9"/>
        <v>7.3609462782320279E-4</v>
      </c>
      <c r="H47" s="400">
        <f t="shared" si="6"/>
        <v>30</v>
      </c>
      <c r="I47" s="22">
        <f t="shared" si="7"/>
        <v>1271132.6957060082</v>
      </c>
    </row>
    <row r="48" spans="1:9">
      <c r="A48">
        <v>22</v>
      </c>
      <c r="B48" s="16">
        <v>42552</v>
      </c>
      <c r="C48" s="16">
        <v>42582</v>
      </c>
      <c r="D48" s="22">
        <f t="shared" si="5"/>
        <v>57562014.794439912</v>
      </c>
      <c r="E48" s="238">
        <v>0.21340000000000001</v>
      </c>
      <c r="F48" s="28">
        <f t="shared" si="8"/>
        <v>0.3201</v>
      </c>
      <c r="G48" s="43">
        <f t="shared" si="9"/>
        <v>7.6113195596128058E-4</v>
      </c>
      <c r="H48" s="400">
        <f t="shared" si="6"/>
        <v>31</v>
      </c>
      <c r="I48" s="22">
        <f t="shared" si="7"/>
        <v>1358180.9561964909</v>
      </c>
    </row>
    <row r="49" spans="1:9">
      <c r="A49">
        <v>23</v>
      </c>
      <c r="B49" s="16">
        <v>42583</v>
      </c>
      <c r="C49" s="16">
        <v>42613</v>
      </c>
      <c r="D49" s="22">
        <f t="shared" si="5"/>
        <v>57562014.794439912</v>
      </c>
      <c r="E49" s="238">
        <v>0.21340000000000001</v>
      </c>
      <c r="F49" s="28">
        <f t="shared" si="8"/>
        <v>0.3201</v>
      </c>
      <c r="G49" s="43">
        <f t="shared" si="9"/>
        <v>7.6113195596128058E-4</v>
      </c>
      <c r="H49" s="400">
        <f t="shared" si="6"/>
        <v>31</v>
      </c>
      <c r="I49" s="22">
        <f t="shared" si="7"/>
        <v>1358180.9561964909</v>
      </c>
    </row>
    <row r="50" spans="1:9">
      <c r="A50">
        <v>24</v>
      </c>
      <c r="B50" s="16">
        <v>42614</v>
      </c>
      <c r="C50" s="16">
        <v>42643</v>
      </c>
      <c r="D50" s="22">
        <f t="shared" si="5"/>
        <v>57562014.794439912</v>
      </c>
      <c r="E50" s="238">
        <v>0.21340000000000001</v>
      </c>
      <c r="F50" s="28">
        <f t="shared" si="8"/>
        <v>0.3201</v>
      </c>
      <c r="G50" s="43">
        <f t="shared" si="9"/>
        <v>7.6113195596128058E-4</v>
      </c>
      <c r="H50" s="400">
        <f t="shared" si="6"/>
        <v>30</v>
      </c>
      <c r="I50" s="22">
        <f t="shared" si="7"/>
        <v>1314368.6672869266</v>
      </c>
    </row>
    <row r="51" spans="1:9">
      <c r="A51">
        <v>25</v>
      </c>
      <c r="B51" s="16">
        <v>42644</v>
      </c>
      <c r="C51" s="16">
        <v>42674</v>
      </c>
      <c r="D51" s="22">
        <f t="shared" si="5"/>
        <v>57562014.794439912</v>
      </c>
      <c r="E51" s="238">
        <v>0.21990000000000001</v>
      </c>
      <c r="F51" s="28">
        <f t="shared" si="8"/>
        <v>0.32985000000000003</v>
      </c>
      <c r="G51" s="43">
        <f t="shared" si="9"/>
        <v>7.8130822380240161E-4</v>
      </c>
      <c r="H51" s="400">
        <f t="shared" si="6"/>
        <v>31</v>
      </c>
      <c r="I51" s="22">
        <f t="shared" si="7"/>
        <v>1394183.9416634738</v>
      </c>
    </row>
    <row r="52" spans="1:9">
      <c r="A52">
        <v>26</v>
      </c>
      <c r="B52" s="16">
        <v>42675</v>
      </c>
      <c r="C52" s="16">
        <v>42704</v>
      </c>
      <c r="D52" s="22">
        <f t="shared" si="5"/>
        <v>57562014.794439912</v>
      </c>
      <c r="E52" s="238">
        <v>0.21990000000000001</v>
      </c>
      <c r="F52" s="28">
        <f t="shared" si="8"/>
        <v>0.32985000000000003</v>
      </c>
      <c r="G52" s="43">
        <f t="shared" si="9"/>
        <v>7.8130822380240161E-4</v>
      </c>
      <c r="H52" s="400">
        <f t="shared" si="6"/>
        <v>30</v>
      </c>
      <c r="I52" s="22">
        <f t="shared" si="7"/>
        <v>1349210.2661259423</v>
      </c>
    </row>
    <row r="53" spans="1:9">
      <c r="A53">
        <v>27</v>
      </c>
      <c r="B53" s="16">
        <v>42705</v>
      </c>
      <c r="C53" s="16">
        <v>42735</v>
      </c>
      <c r="D53" s="22">
        <f t="shared" si="5"/>
        <v>57562014.794439912</v>
      </c>
      <c r="E53" s="238">
        <v>0.21990000000000001</v>
      </c>
      <c r="F53" s="28">
        <f t="shared" si="8"/>
        <v>0.32985000000000003</v>
      </c>
      <c r="G53" s="43">
        <f t="shared" si="9"/>
        <v>7.8130822380240161E-4</v>
      </c>
      <c r="H53" s="400">
        <f t="shared" si="6"/>
        <v>31</v>
      </c>
      <c r="I53" s="22">
        <f t="shared" si="7"/>
        <v>1394183.9416634738</v>
      </c>
    </row>
    <row r="54" spans="1:9">
      <c r="A54">
        <v>28</v>
      </c>
      <c r="B54" s="16">
        <v>42736</v>
      </c>
      <c r="C54" s="16">
        <v>42766</v>
      </c>
      <c r="D54" s="22">
        <f t="shared" si="5"/>
        <v>57562014.794439912</v>
      </c>
      <c r="E54" s="238">
        <v>0.22339999999999999</v>
      </c>
      <c r="F54" s="28">
        <f t="shared" si="8"/>
        <v>0.33509999999999995</v>
      </c>
      <c r="G54" s="43">
        <f t="shared" si="9"/>
        <v>7.9211135028089963E-4</v>
      </c>
      <c r="H54" s="400">
        <f t="shared" si="6"/>
        <v>31</v>
      </c>
      <c r="I54" s="22">
        <f t="shared" si="7"/>
        <v>1413461.2831751006</v>
      </c>
    </row>
    <row r="55" spans="1:9">
      <c r="A55">
        <v>29</v>
      </c>
      <c r="B55" s="16">
        <v>42767</v>
      </c>
      <c r="C55" s="16">
        <v>42794</v>
      </c>
      <c r="D55" s="22">
        <f t="shared" si="5"/>
        <v>57562014.794439912</v>
      </c>
      <c r="E55" s="238">
        <v>0.22339999999999999</v>
      </c>
      <c r="F55" s="28">
        <f t="shared" si="8"/>
        <v>0.33509999999999995</v>
      </c>
      <c r="G55" s="43">
        <f t="shared" si="9"/>
        <v>7.9211135028089963E-4</v>
      </c>
      <c r="H55" s="400">
        <f t="shared" si="6"/>
        <v>28</v>
      </c>
      <c r="I55" s="22">
        <f t="shared" si="7"/>
        <v>1276674.7073839616</v>
      </c>
    </row>
    <row r="56" spans="1:9">
      <c r="A56">
        <v>30</v>
      </c>
      <c r="B56" s="16">
        <v>42795</v>
      </c>
      <c r="C56" s="16">
        <v>42825</v>
      </c>
      <c r="D56" s="22">
        <f t="shared" si="5"/>
        <v>57562014.794439912</v>
      </c>
      <c r="E56" s="238">
        <v>0.22339999999999999</v>
      </c>
      <c r="F56" s="28">
        <f t="shared" si="8"/>
        <v>0.33509999999999995</v>
      </c>
      <c r="G56" s="43">
        <f t="shared" si="9"/>
        <v>7.9211135028089963E-4</v>
      </c>
      <c r="H56" s="400">
        <f t="shared" si="6"/>
        <v>31</v>
      </c>
      <c r="I56" s="22">
        <f t="shared" si="7"/>
        <v>1413461.2831751006</v>
      </c>
    </row>
    <row r="57" spans="1:9">
      <c r="A57">
        <v>31</v>
      </c>
      <c r="B57" s="16">
        <v>42826</v>
      </c>
      <c r="C57" s="16">
        <v>42855</v>
      </c>
      <c r="D57" s="22">
        <f t="shared" si="5"/>
        <v>57562014.794439912</v>
      </c>
      <c r="E57" s="238">
        <v>0.2233</v>
      </c>
      <c r="F57" s="28">
        <f t="shared" si="8"/>
        <v>0.33494999999999997</v>
      </c>
      <c r="G57" s="43">
        <f t="shared" si="9"/>
        <v>7.9180327787309324E-4</v>
      </c>
      <c r="H57" s="400">
        <f t="shared" si="6"/>
        <v>30</v>
      </c>
      <c r="I57" s="22">
        <f t="shared" si="7"/>
        <v>1367333.7598565102</v>
      </c>
    </row>
    <row r="58" spans="1:9">
      <c r="A58">
        <v>32</v>
      </c>
      <c r="B58" s="16">
        <v>42856</v>
      </c>
      <c r="C58" s="16">
        <v>42886</v>
      </c>
      <c r="D58" s="22">
        <f t="shared" si="5"/>
        <v>57562014.794439912</v>
      </c>
      <c r="E58" s="238">
        <v>0.2233</v>
      </c>
      <c r="F58" s="28">
        <f t="shared" si="8"/>
        <v>0.33494999999999997</v>
      </c>
      <c r="G58" s="43">
        <f t="shared" si="9"/>
        <v>7.9180327787309324E-4</v>
      </c>
      <c r="H58" s="400">
        <f t="shared" si="6"/>
        <v>31</v>
      </c>
      <c r="I58" s="22">
        <f t="shared" si="7"/>
        <v>1412911.5518517273</v>
      </c>
    </row>
    <row r="59" spans="1:9">
      <c r="A59">
        <v>33</v>
      </c>
      <c r="B59" s="16">
        <v>42887</v>
      </c>
      <c r="C59" s="16">
        <v>42916</v>
      </c>
      <c r="D59" s="22">
        <f t="shared" si="5"/>
        <v>57562014.794439912</v>
      </c>
      <c r="E59" s="238">
        <v>0.2233</v>
      </c>
      <c r="F59" s="28">
        <f t="shared" si="8"/>
        <v>0.33494999999999997</v>
      </c>
      <c r="G59" s="43">
        <f t="shared" si="9"/>
        <v>7.9180327787309324E-4</v>
      </c>
      <c r="H59" s="400">
        <f t="shared" si="6"/>
        <v>30</v>
      </c>
      <c r="I59" s="22">
        <f t="shared" si="7"/>
        <v>1367333.7598565102</v>
      </c>
    </row>
    <row r="60" spans="1:9">
      <c r="A60">
        <v>34</v>
      </c>
      <c r="B60" s="16">
        <v>42917</v>
      </c>
      <c r="C60" s="16">
        <v>42947</v>
      </c>
      <c r="D60" s="22">
        <f t="shared" si="5"/>
        <v>57562014.794439912</v>
      </c>
      <c r="E60" s="238">
        <v>0.2198</v>
      </c>
      <c r="F60" s="28">
        <f t="shared" si="8"/>
        <v>0.32969999999999999</v>
      </c>
      <c r="G60" s="43">
        <f t="shared" si="9"/>
        <v>7.8099893845218205E-4</v>
      </c>
      <c r="H60" s="400">
        <f t="shared" si="6"/>
        <v>31</v>
      </c>
      <c r="I60" s="22">
        <f t="shared" si="7"/>
        <v>1393632.0459384175</v>
      </c>
    </row>
    <row r="61" spans="1:9">
      <c r="A61">
        <v>35</v>
      </c>
      <c r="B61" s="16">
        <v>42948</v>
      </c>
      <c r="C61" s="16">
        <v>42978</v>
      </c>
      <c r="D61" s="22">
        <f t="shared" si="5"/>
        <v>57562014.794439912</v>
      </c>
      <c r="E61" s="238">
        <v>0.2198</v>
      </c>
      <c r="F61" s="28">
        <f t="shared" si="8"/>
        <v>0.32969999999999999</v>
      </c>
      <c r="G61" s="43">
        <f t="shared" si="9"/>
        <v>7.8099893845218205E-4</v>
      </c>
      <c r="H61" s="400">
        <f t="shared" si="6"/>
        <v>31</v>
      </c>
      <c r="I61" s="22">
        <f t="shared" si="7"/>
        <v>1393632.0459384175</v>
      </c>
    </row>
    <row r="62" spans="1:9">
      <c r="A62">
        <v>36</v>
      </c>
      <c r="B62" s="16">
        <v>42979</v>
      </c>
      <c r="C62" s="16">
        <v>43008</v>
      </c>
      <c r="D62" s="22">
        <f t="shared" si="5"/>
        <v>57562014.794439912</v>
      </c>
      <c r="E62" s="238">
        <v>0.21479999999999999</v>
      </c>
      <c r="F62" s="28">
        <f t="shared" si="8"/>
        <v>0.32219999999999999</v>
      </c>
      <c r="G62" s="43">
        <f t="shared" si="9"/>
        <v>7.6549014202820231E-4</v>
      </c>
      <c r="H62" s="400">
        <f t="shared" si="6"/>
        <v>30</v>
      </c>
      <c r="I62" s="22">
        <f t="shared" si="7"/>
        <v>1321894.6464127586</v>
      </c>
    </row>
    <row r="63" spans="1:9">
      <c r="A63">
        <v>37</v>
      </c>
      <c r="B63" s="16">
        <v>43009</v>
      </c>
      <c r="C63" s="16">
        <v>43039</v>
      </c>
      <c r="D63" s="22">
        <f t="shared" si="5"/>
        <v>57562014.794439912</v>
      </c>
      <c r="E63" s="238">
        <v>0.21149999999999999</v>
      </c>
      <c r="F63" s="28">
        <f t="shared" si="8"/>
        <v>0.31724999999999998</v>
      </c>
      <c r="G63" s="43">
        <f t="shared" si="9"/>
        <v>7.5520620308799913E-4</v>
      </c>
      <c r="H63" s="400">
        <f t="shared" si="6"/>
        <v>31</v>
      </c>
      <c r="I63" s="22">
        <f t="shared" si="7"/>
        <v>1347606.9096851302</v>
      </c>
    </row>
    <row r="64" spans="1:9">
      <c r="A64">
        <v>38</v>
      </c>
      <c r="B64" s="16">
        <v>43040</v>
      </c>
      <c r="C64" s="16">
        <v>43069</v>
      </c>
      <c r="D64" s="22">
        <f t="shared" si="5"/>
        <v>57562014.794439912</v>
      </c>
      <c r="E64" s="238">
        <v>0.20960000000000001</v>
      </c>
      <c r="F64" s="28">
        <f t="shared" si="8"/>
        <v>0.31440000000000001</v>
      </c>
      <c r="G64" s="43">
        <f t="shared" si="9"/>
        <v>7.4926765057248268E-4</v>
      </c>
      <c r="H64" s="400">
        <f t="shared" si="6"/>
        <v>30</v>
      </c>
      <c r="I64" s="22">
        <f t="shared" si="7"/>
        <v>1293880.6676174544</v>
      </c>
    </row>
    <row r="65" spans="1:9">
      <c r="A65">
        <v>39</v>
      </c>
      <c r="B65" s="16">
        <v>43070</v>
      </c>
      <c r="C65" s="16">
        <v>43100</v>
      </c>
      <c r="D65" s="22">
        <f t="shared" si="5"/>
        <v>57562014.794439912</v>
      </c>
      <c r="E65" s="238">
        <v>0.2077</v>
      </c>
      <c r="F65" s="28">
        <f t="shared" si="8"/>
        <v>0.31154999999999999</v>
      </c>
      <c r="G65" s="43">
        <f t="shared" si="9"/>
        <v>7.4331624292400811E-4</v>
      </c>
      <c r="H65" s="400">
        <f t="shared" si="6"/>
        <v>31</v>
      </c>
      <c r="I65" s="22">
        <f t="shared" si="7"/>
        <v>1326390.1977363168</v>
      </c>
    </row>
    <row r="66" spans="1:9">
      <c r="A66">
        <v>40</v>
      </c>
      <c r="B66" s="16">
        <v>43101</v>
      </c>
      <c r="C66" s="16">
        <v>43131</v>
      </c>
      <c r="D66" s="22">
        <f t="shared" ref="D66:D88" si="10">+$C$23</f>
        <v>57562014.794439912</v>
      </c>
      <c r="E66" s="238">
        <v>0.2069</v>
      </c>
      <c r="F66" s="28">
        <f t="shared" si="8"/>
        <v>0.31035000000000001</v>
      </c>
      <c r="G66" s="43">
        <f t="shared" si="9"/>
        <v>7.4080652774299871E-4</v>
      </c>
      <c r="H66" s="400">
        <f t="shared" ref="H66:H97" si="11">_xlfn.DAYS(C66,B66)+1</f>
        <v>31</v>
      </c>
      <c r="I66" s="22">
        <f t="shared" ref="I66:I97" si="12">+D66*H66*G66</f>
        <v>1321911.8056025647</v>
      </c>
    </row>
    <row r="67" spans="1:9">
      <c r="A67">
        <v>41</v>
      </c>
      <c r="B67" s="16">
        <v>43132</v>
      </c>
      <c r="C67" s="16">
        <v>43159</v>
      </c>
      <c r="D67" s="22">
        <f t="shared" si="10"/>
        <v>57562014.794439912</v>
      </c>
      <c r="E67" s="238">
        <v>0.21010000000000001</v>
      </c>
      <c r="F67" s="28">
        <f t="shared" si="8"/>
        <v>0.31515000000000004</v>
      </c>
      <c r="G67" s="43">
        <f t="shared" si="9"/>
        <v>7.5083167162115494E-4</v>
      </c>
      <c r="H67" s="400">
        <f t="shared" si="11"/>
        <v>28</v>
      </c>
      <c r="I67" s="22">
        <f t="shared" si="12"/>
        <v>1210142.7461197472</v>
      </c>
    </row>
    <row r="68" spans="1:9">
      <c r="A68">
        <v>42</v>
      </c>
      <c r="B68" s="16">
        <v>43160</v>
      </c>
      <c r="C68" s="16">
        <v>43190</v>
      </c>
      <c r="D68" s="22">
        <f t="shared" si="10"/>
        <v>57562014.794439912</v>
      </c>
      <c r="E68" s="238">
        <v>0.20680000000000001</v>
      </c>
      <c r="F68" s="28">
        <f t="shared" si="8"/>
        <v>0.31020000000000003</v>
      </c>
      <c r="G68" s="43">
        <f t="shared" si="9"/>
        <v>7.4049265219700011E-4</v>
      </c>
      <c r="H68" s="400">
        <f t="shared" si="11"/>
        <v>31</v>
      </c>
      <c r="I68" s="22">
        <f t="shared" si="12"/>
        <v>1321351.7190290708</v>
      </c>
    </row>
    <row r="69" spans="1:9">
      <c r="A69">
        <v>43</v>
      </c>
      <c r="B69" s="16">
        <v>43191</v>
      </c>
      <c r="C69" s="16">
        <v>43220</v>
      </c>
      <c r="D69" s="22">
        <f t="shared" si="10"/>
        <v>57562014.794439912</v>
      </c>
      <c r="E69" s="238">
        <v>0.20480000000000001</v>
      </c>
      <c r="F69" s="28">
        <f t="shared" si="8"/>
        <v>0.30720000000000003</v>
      </c>
      <c r="G69" s="43">
        <f t="shared" si="9"/>
        <v>7.34207604366377E-4</v>
      </c>
      <c r="H69" s="400">
        <f t="shared" si="11"/>
        <v>30</v>
      </c>
      <c r="I69" s="22">
        <f t="shared" si="12"/>
        <v>1267874.0695418303</v>
      </c>
    </row>
    <row r="70" spans="1:9">
      <c r="A70">
        <v>44</v>
      </c>
      <c r="B70" s="16">
        <v>43221</v>
      </c>
      <c r="C70" s="16">
        <v>43251</v>
      </c>
      <c r="D70" s="22">
        <f t="shared" si="10"/>
        <v>57562014.794439912</v>
      </c>
      <c r="E70" s="238">
        <v>0.2044</v>
      </c>
      <c r="F70" s="28">
        <f t="shared" si="8"/>
        <v>0.30659999999999998</v>
      </c>
      <c r="G70" s="43">
        <f t="shared" si="9"/>
        <v>7.3294886878794152E-4</v>
      </c>
      <c r="H70" s="400">
        <f t="shared" si="11"/>
        <v>31</v>
      </c>
      <c r="I70" s="22">
        <f t="shared" si="12"/>
        <v>1307890.4224909241</v>
      </c>
    </row>
    <row r="71" spans="1:9">
      <c r="A71">
        <v>45</v>
      </c>
      <c r="B71" s="16">
        <v>43252</v>
      </c>
      <c r="C71" s="16">
        <v>43281</v>
      </c>
      <c r="D71" s="22">
        <f t="shared" si="10"/>
        <v>57562014.794439912</v>
      </c>
      <c r="E71" s="238">
        <v>0.20280000000000001</v>
      </c>
      <c r="F71" s="28">
        <f t="shared" si="8"/>
        <v>0.30420000000000003</v>
      </c>
      <c r="G71" s="43">
        <f t="shared" si="9"/>
        <v>7.2790815549184096E-4</v>
      </c>
      <c r="H71" s="400">
        <f t="shared" si="11"/>
        <v>30</v>
      </c>
      <c r="I71" s="22">
        <f t="shared" si="12"/>
        <v>1256995.8004624445</v>
      </c>
    </row>
    <row r="72" spans="1:9">
      <c r="A72">
        <v>46</v>
      </c>
      <c r="B72" s="16">
        <v>43282</v>
      </c>
      <c r="C72" s="16">
        <v>43312</v>
      </c>
      <c r="D72" s="22">
        <f t="shared" si="10"/>
        <v>57562014.794439912</v>
      </c>
      <c r="E72" s="238">
        <v>0.20030000000000001</v>
      </c>
      <c r="F72" s="28">
        <f t="shared" si="8"/>
        <v>0.30044999999999999</v>
      </c>
      <c r="G72" s="43">
        <f t="shared" si="9"/>
        <v>7.2001349197825526E-4</v>
      </c>
      <c r="H72" s="400">
        <f t="shared" si="11"/>
        <v>31</v>
      </c>
      <c r="I72" s="22">
        <f t="shared" si="12"/>
        <v>1284808.245600909</v>
      </c>
    </row>
    <row r="73" spans="1:9">
      <c r="A73">
        <v>47</v>
      </c>
      <c r="B73" s="16">
        <v>43313</v>
      </c>
      <c r="C73" s="16">
        <v>43343</v>
      </c>
      <c r="D73" s="22">
        <f t="shared" si="10"/>
        <v>57562014.794439912</v>
      </c>
      <c r="E73" s="238">
        <v>0.19939999999999999</v>
      </c>
      <c r="F73" s="28">
        <f t="shared" si="8"/>
        <v>0.29909999999999998</v>
      </c>
      <c r="G73" s="43">
        <f t="shared" si="9"/>
        <v>7.1716585429704161E-4</v>
      </c>
      <c r="H73" s="400">
        <f t="shared" si="11"/>
        <v>31</v>
      </c>
      <c r="I73" s="22">
        <f t="shared" si="12"/>
        <v>1279726.8569685169</v>
      </c>
    </row>
    <row r="74" spans="1:9">
      <c r="A74">
        <v>48</v>
      </c>
      <c r="B74" s="16">
        <v>43344</v>
      </c>
      <c r="C74" s="16">
        <v>43373</v>
      </c>
      <c r="D74" s="22">
        <f t="shared" si="10"/>
        <v>57562014.794439912</v>
      </c>
      <c r="E74" s="238">
        <v>0.1981</v>
      </c>
      <c r="F74" s="28">
        <f t="shared" si="8"/>
        <v>0.29715000000000003</v>
      </c>
      <c r="G74" s="43">
        <f t="shared" si="9"/>
        <v>7.1304738558919389E-4</v>
      </c>
      <c r="H74" s="400">
        <f t="shared" si="11"/>
        <v>30</v>
      </c>
      <c r="I74" s="22">
        <f t="shared" si="12"/>
        <v>1231333.3247526563</v>
      </c>
    </row>
    <row r="75" spans="1:9">
      <c r="A75">
        <v>49</v>
      </c>
      <c r="B75" s="16">
        <v>43374</v>
      </c>
      <c r="C75" s="16">
        <v>43404</v>
      </c>
      <c r="D75" s="22">
        <f t="shared" si="10"/>
        <v>57562014.794439912</v>
      </c>
      <c r="E75" s="238">
        <v>0.1963</v>
      </c>
      <c r="F75" s="28">
        <f t="shared" si="8"/>
        <v>0.29444999999999999</v>
      </c>
      <c r="G75" s="43">
        <f t="shared" si="9"/>
        <v>7.073346857742191E-4</v>
      </c>
      <c r="H75" s="400">
        <f t="shared" si="11"/>
        <v>31</v>
      </c>
      <c r="I75" s="22">
        <f t="shared" si="12"/>
        <v>1262183.8990618393</v>
      </c>
    </row>
    <row r="76" spans="1:9">
      <c r="A76">
        <v>50</v>
      </c>
      <c r="B76" s="16">
        <v>43405</v>
      </c>
      <c r="C76" s="16">
        <v>43434</v>
      </c>
      <c r="D76" s="22">
        <f t="shared" si="10"/>
        <v>57562014.794439912</v>
      </c>
      <c r="E76" s="238">
        <v>0.19489999999999999</v>
      </c>
      <c r="F76" s="28">
        <f t="shared" si="8"/>
        <v>0.29235</v>
      </c>
      <c r="G76" s="43">
        <f t="shared" si="9"/>
        <v>7.0288325333756063E-4</v>
      </c>
      <c r="H76" s="400">
        <f t="shared" si="11"/>
        <v>30</v>
      </c>
      <c r="I76" s="22">
        <f t="shared" si="12"/>
        <v>1213781.2868214217</v>
      </c>
    </row>
    <row r="77" spans="1:9">
      <c r="A77">
        <v>51</v>
      </c>
      <c r="B77" s="16">
        <v>43435</v>
      </c>
      <c r="C77" s="16">
        <v>43465</v>
      </c>
      <c r="D77" s="22">
        <f t="shared" si="10"/>
        <v>57562014.794439912</v>
      </c>
      <c r="E77" s="238">
        <v>0.19400000000000001</v>
      </c>
      <c r="F77" s="28">
        <f t="shared" si="8"/>
        <v>0.29100000000000004</v>
      </c>
      <c r="G77" s="43">
        <f t="shared" si="9"/>
        <v>7.0001780740103214E-4</v>
      </c>
      <c r="H77" s="400">
        <f t="shared" si="11"/>
        <v>31</v>
      </c>
      <c r="I77" s="22">
        <f t="shared" si="12"/>
        <v>1249127.4969656777</v>
      </c>
    </row>
    <row r="78" spans="1:9">
      <c r="A78">
        <v>52</v>
      </c>
      <c r="B78" s="16">
        <v>43466</v>
      </c>
      <c r="C78" s="16">
        <v>43496</v>
      </c>
      <c r="D78" s="22">
        <f t="shared" si="10"/>
        <v>57562014.794439912</v>
      </c>
      <c r="E78" s="238">
        <v>0.19159999999999999</v>
      </c>
      <c r="F78" s="28">
        <f t="shared" si="8"/>
        <v>0.28739999999999999</v>
      </c>
      <c r="G78" s="43">
        <f t="shared" si="9"/>
        <v>6.9236198468725085E-4</v>
      </c>
      <c r="H78" s="400">
        <f t="shared" si="11"/>
        <v>31</v>
      </c>
      <c r="I78" s="22">
        <f t="shared" si="12"/>
        <v>1235466.2749759348</v>
      </c>
    </row>
    <row r="79" spans="1:9">
      <c r="A79">
        <v>53</v>
      </c>
      <c r="B79" s="16">
        <v>43497</v>
      </c>
      <c r="C79" s="16">
        <v>43524</v>
      </c>
      <c r="D79" s="22">
        <f t="shared" si="10"/>
        <v>57562014.794439912</v>
      </c>
      <c r="E79" s="238">
        <v>0.19700000000000001</v>
      </c>
      <c r="F79" s="28">
        <f t="shared" si="8"/>
        <v>0.29549999999999998</v>
      </c>
      <c r="G79" s="43">
        <f t="shared" si="9"/>
        <v>7.0955770203506852E-4</v>
      </c>
      <c r="H79" s="400">
        <f t="shared" si="11"/>
        <v>28</v>
      </c>
      <c r="I79" s="22">
        <f t="shared" si="12"/>
        <v>1143619.9863774392</v>
      </c>
    </row>
    <row r="80" spans="1:9">
      <c r="A80">
        <v>54</v>
      </c>
      <c r="B80" s="16">
        <v>43525</v>
      </c>
      <c r="C80" s="16">
        <v>43555</v>
      </c>
      <c r="D80" s="22">
        <f t="shared" si="10"/>
        <v>57562014.794439912</v>
      </c>
      <c r="E80" s="238">
        <v>0.19370000000000001</v>
      </c>
      <c r="F80" s="28">
        <f t="shared" si="8"/>
        <v>0.29055000000000003</v>
      </c>
      <c r="G80" s="43">
        <f t="shared" si="9"/>
        <v>6.9906199467517638E-4</v>
      </c>
      <c r="H80" s="400">
        <f t="shared" si="11"/>
        <v>31</v>
      </c>
      <c r="I80" s="22">
        <f t="shared" si="12"/>
        <v>1247421.9232714185</v>
      </c>
    </row>
    <row r="81" spans="1:9">
      <c r="A81">
        <v>55</v>
      </c>
      <c r="B81" s="16">
        <v>43556</v>
      </c>
      <c r="C81" s="16">
        <v>43585</v>
      </c>
      <c r="D81" s="22">
        <f t="shared" si="10"/>
        <v>57562014.794439912</v>
      </c>
      <c r="E81" s="238">
        <v>0.19320000000000001</v>
      </c>
      <c r="F81" s="28">
        <f t="shared" si="8"/>
        <v>0.2898</v>
      </c>
      <c r="G81" s="43">
        <f t="shared" si="9"/>
        <v>6.9746823462724095E-4</v>
      </c>
      <c r="H81" s="400">
        <f t="shared" si="11"/>
        <v>30</v>
      </c>
      <c r="I81" s="22">
        <f t="shared" si="12"/>
        <v>1204430.305207954</v>
      </c>
    </row>
    <row r="82" spans="1:9">
      <c r="A82">
        <v>56</v>
      </c>
      <c r="B82" s="16">
        <v>43586</v>
      </c>
      <c r="C82" s="16">
        <v>43616</v>
      </c>
      <c r="D82" s="22">
        <f t="shared" si="10"/>
        <v>57562014.794439912</v>
      </c>
      <c r="E82" s="238">
        <v>0.19339999999999999</v>
      </c>
      <c r="F82" s="28">
        <f t="shared" si="8"/>
        <v>0.29009999999999997</v>
      </c>
      <c r="G82" s="43">
        <f t="shared" si="9"/>
        <v>6.9810584952367805E-4</v>
      </c>
      <c r="H82" s="400">
        <f t="shared" si="11"/>
        <v>31</v>
      </c>
      <c r="I82" s="22">
        <f t="shared" si="12"/>
        <v>1245715.7563893769</v>
      </c>
    </row>
    <row r="83" spans="1:9">
      <c r="A83">
        <v>57</v>
      </c>
      <c r="B83" s="16">
        <v>43617</v>
      </c>
      <c r="C83" s="16">
        <v>43646</v>
      </c>
      <c r="D83" s="22">
        <f t="shared" si="10"/>
        <v>57562014.794439912</v>
      </c>
      <c r="E83" s="238">
        <v>0.193</v>
      </c>
      <c r="F83" s="28">
        <f t="shared" si="8"/>
        <v>0.28949999999999998</v>
      </c>
      <c r="G83" s="43">
        <f t="shared" si="9"/>
        <v>6.9683047181468005E-4</v>
      </c>
      <c r="H83" s="400">
        <f t="shared" si="11"/>
        <v>30</v>
      </c>
      <c r="I83" s="22">
        <f t="shared" si="12"/>
        <v>1203328.9778343947</v>
      </c>
    </row>
    <row r="84" spans="1:9">
      <c r="A84">
        <v>58</v>
      </c>
      <c r="B84" s="16">
        <v>43647</v>
      </c>
      <c r="C84" s="16">
        <v>43677</v>
      </c>
      <c r="D84" s="22">
        <f t="shared" si="10"/>
        <v>57562014.794439912</v>
      </c>
      <c r="E84" s="238">
        <v>0.1928</v>
      </c>
      <c r="F84" s="28">
        <f t="shared" si="8"/>
        <v>0.28920000000000001</v>
      </c>
      <c r="G84" s="43">
        <f t="shared" si="9"/>
        <v>6.9619256101671745E-4</v>
      </c>
      <c r="H84" s="400">
        <f t="shared" si="11"/>
        <v>31</v>
      </c>
      <c r="I84" s="22">
        <f t="shared" si="12"/>
        <v>1242301.6414077224</v>
      </c>
    </row>
    <row r="85" spans="1:9">
      <c r="A85">
        <v>59</v>
      </c>
      <c r="B85" s="16">
        <v>43678</v>
      </c>
      <c r="C85" s="16">
        <v>43708</v>
      </c>
      <c r="D85" s="22">
        <f t="shared" si="10"/>
        <v>57562014.794439912</v>
      </c>
      <c r="E85" s="238">
        <v>0.19320000000000001</v>
      </c>
      <c r="F85" s="28">
        <f t="shared" si="8"/>
        <v>0.2898</v>
      </c>
      <c r="G85" s="43">
        <f t="shared" si="9"/>
        <v>6.9746823462724095E-4</v>
      </c>
      <c r="H85" s="400">
        <f t="shared" si="11"/>
        <v>31</v>
      </c>
      <c r="I85" s="22">
        <f t="shared" si="12"/>
        <v>1244577.9820482191</v>
      </c>
    </row>
    <row r="86" spans="1:9">
      <c r="A86">
        <v>60</v>
      </c>
      <c r="B86" s="16">
        <v>43709</v>
      </c>
      <c r="C86" s="16">
        <v>43738</v>
      </c>
      <c r="D86" s="22">
        <f t="shared" si="10"/>
        <v>57562014.794439912</v>
      </c>
      <c r="E86" s="238">
        <v>0.19320000000000001</v>
      </c>
      <c r="F86" s="28">
        <f t="shared" si="8"/>
        <v>0.2898</v>
      </c>
      <c r="G86" s="43">
        <f t="shared" si="9"/>
        <v>6.9746823462724095E-4</v>
      </c>
      <c r="H86" s="400">
        <f t="shared" si="11"/>
        <v>30</v>
      </c>
      <c r="I86" s="22">
        <f t="shared" si="12"/>
        <v>1204430.305207954</v>
      </c>
    </row>
    <row r="87" spans="1:9">
      <c r="A87">
        <v>61</v>
      </c>
      <c r="B87" s="16">
        <v>43739</v>
      </c>
      <c r="C87" s="16">
        <v>43769</v>
      </c>
      <c r="D87" s="22">
        <f t="shared" si="10"/>
        <v>57562014.794439912</v>
      </c>
      <c r="E87" s="238">
        <v>0.191</v>
      </c>
      <c r="F87" s="28">
        <f t="shared" si="8"/>
        <v>0.28649999999999998</v>
      </c>
      <c r="G87" s="43">
        <f t="shared" si="9"/>
        <v>6.9044469314105683E-4</v>
      </c>
      <c r="H87" s="400">
        <f t="shared" si="11"/>
        <v>31</v>
      </c>
      <c r="I87" s="22">
        <f t="shared" si="12"/>
        <v>1232045.0168811693</v>
      </c>
    </row>
    <row r="88" spans="1:9">
      <c r="A88">
        <v>62</v>
      </c>
      <c r="B88" s="16">
        <v>43770</v>
      </c>
      <c r="C88" s="16">
        <v>43799</v>
      </c>
      <c r="D88" s="22">
        <f t="shared" si="10"/>
        <v>57562014.794439912</v>
      </c>
      <c r="E88" s="238">
        <v>0.1903</v>
      </c>
      <c r="F88" s="28">
        <f t="shared" si="8"/>
        <v>0.28544999999999998</v>
      </c>
      <c r="G88" s="43">
        <f t="shared" si="9"/>
        <v>6.8820616169262827E-4</v>
      </c>
      <c r="H88" s="400">
        <f t="shared" si="11"/>
        <v>30</v>
      </c>
      <c r="I88" s="22">
        <f t="shared" si="12"/>
        <v>1188435.9978292733</v>
      </c>
    </row>
    <row r="89" spans="1:9">
      <c r="A89">
        <v>63</v>
      </c>
      <c r="B89" s="16">
        <v>43800</v>
      </c>
      <c r="C89" s="16">
        <v>43830</v>
      </c>
      <c r="D89" s="22">
        <f t="shared" ref="D89:D113" si="13">+$C$23</f>
        <v>57562014.794439912</v>
      </c>
      <c r="E89" s="238">
        <v>0.18909999999999999</v>
      </c>
      <c r="F89" s="28">
        <f t="shared" si="8"/>
        <v>0.28364999999999996</v>
      </c>
      <c r="G89" s="43">
        <f t="shared" si="9"/>
        <v>6.8436443340047504E-4</v>
      </c>
      <c r="H89" s="400">
        <f t="shared" si="11"/>
        <v>31</v>
      </c>
      <c r="I89" s="22">
        <f t="shared" si="12"/>
        <v>1221195.2648457857</v>
      </c>
    </row>
    <row r="90" spans="1:9">
      <c r="A90">
        <v>64</v>
      </c>
      <c r="B90" s="16">
        <v>43831</v>
      </c>
      <c r="C90" s="16">
        <v>43861</v>
      </c>
      <c r="D90" s="22">
        <f t="shared" si="13"/>
        <v>57562014.794439912</v>
      </c>
      <c r="E90" s="238">
        <v>0.18770000000000001</v>
      </c>
      <c r="F90" s="28">
        <f t="shared" si="8"/>
        <v>0.28155000000000002</v>
      </c>
      <c r="G90" s="43">
        <f t="shared" si="9"/>
        <v>6.7987562124560696E-4</v>
      </c>
      <c r="H90" s="400">
        <f t="shared" si="11"/>
        <v>31</v>
      </c>
      <c r="I90" s="22">
        <f t="shared" si="12"/>
        <v>1213185.3276240784</v>
      </c>
    </row>
    <row r="91" spans="1:9">
      <c r="A91">
        <v>65</v>
      </c>
      <c r="B91" s="16">
        <v>43862</v>
      </c>
      <c r="C91" s="16">
        <v>43890</v>
      </c>
      <c r="D91" s="22">
        <f t="shared" si="13"/>
        <v>57562014.794439912</v>
      </c>
      <c r="E91" s="238">
        <v>0.19059999999999999</v>
      </c>
      <c r="F91" s="28">
        <f t="shared" si="8"/>
        <v>0.28589999999999999</v>
      </c>
      <c r="G91" s="43">
        <f t="shared" si="9"/>
        <v>6.8916575551658532E-4</v>
      </c>
      <c r="H91" s="400">
        <f t="shared" si="11"/>
        <v>29</v>
      </c>
      <c r="I91" s="22">
        <f t="shared" si="12"/>
        <v>1150423.3130311442</v>
      </c>
    </row>
    <row r="92" spans="1:9">
      <c r="A92">
        <v>66</v>
      </c>
      <c r="B92" s="16">
        <v>43891</v>
      </c>
      <c r="C92" s="16">
        <v>43921</v>
      </c>
      <c r="D92" s="22">
        <f t="shared" si="13"/>
        <v>57562014.794439912</v>
      </c>
      <c r="E92" s="238">
        <v>0.1895</v>
      </c>
      <c r="F92" s="28">
        <f t="shared" si="8"/>
        <v>0.28425</v>
      </c>
      <c r="G92" s="43">
        <f t="shared" si="9"/>
        <v>6.8564560609574166E-4</v>
      </c>
      <c r="H92" s="400">
        <f t="shared" si="11"/>
        <v>31</v>
      </c>
      <c r="I92" s="22">
        <f t="shared" si="12"/>
        <v>1223481.4181766</v>
      </c>
    </row>
    <row r="93" spans="1:9">
      <c r="A93">
        <v>67</v>
      </c>
      <c r="B93" s="16">
        <v>43922</v>
      </c>
      <c r="C93" s="16">
        <v>43951</v>
      </c>
      <c r="D93" s="22">
        <f t="shared" si="13"/>
        <v>57562014.794439912</v>
      </c>
      <c r="E93" s="238">
        <v>0.18690000000000001</v>
      </c>
      <c r="F93" s="28">
        <f t="shared" si="8"/>
        <v>0.28034999999999999</v>
      </c>
      <c r="G93" s="43">
        <f t="shared" si="9"/>
        <v>6.7730729113191224E-4</v>
      </c>
      <c r="H93" s="400">
        <f t="shared" si="11"/>
        <v>30</v>
      </c>
      <c r="I93" s="22">
        <f t="shared" si="12"/>
        <v>1169615.1693755146</v>
      </c>
    </row>
    <row r="94" spans="1:9">
      <c r="A94">
        <v>68</v>
      </c>
      <c r="B94" s="16">
        <v>43952</v>
      </c>
      <c r="C94" s="16">
        <v>43982</v>
      </c>
      <c r="D94" s="22">
        <f t="shared" si="13"/>
        <v>57562014.794439912</v>
      </c>
      <c r="E94" s="238">
        <v>0.18190000000000001</v>
      </c>
      <c r="F94" s="28">
        <f t="shared" si="8"/>
        <v>0.27285000000000004</v>
      </c>
      <c r="G94" s="43">
        <f t="shared" si="9"/>
        <v>6.6120063584418354E-4</v>
      </c>
      <c r="H94" s="400">
        <f t="shared" si="11"/>
        <v>31</v>
      </c>
      <c r="I94" s="22">
        <f t="shared" si="12"/>
        <v>1179861.2642592352</v>
      </c>
    </row>
    <row r="95" spans="1:9">
      <c r="A95">
        <v>69</v>
      </c>
      <c r="B95" s="16">
        <v>43983</v>
      </c>
      <c r="C95" s="16">
        <v>44012</v>
      </c>
      <c r="D95" s="22">
        <f t="shared" si="13"/>
        <v>57562014.794439912</v>
      </c>
      <c r="E95" s="238">
        <v>0.1812</v>
      </c>
      <c r="F95" s="28">
        <f t="shared" si="8"/>
        <v>0.27179999999999999</v>
      </c>
      <c r="G95" s="43">
        <f t="shared" ref="G95:G110" si="14">((1+F95)^(1/365)-1)</f>
        <v>6.5893815469997286E-4</v>
      </c>
      <c r="H95" s="400">
        <f t="shared" si="11"/>
        <v>30</v>
      </c>
      <c r="I95" s="22">
        <f t="shared" si="12"/>
        <v>1137894.2342838233</v>
      </c>
    </row>
    <row r="96" spans="1:9">
      <c r="A96">
        <v>70</v>
      </c>
      <c r="B96" s="16">
        <v>44013</v>
      </c>
      <c r="C96" s="16">
        <v>44043</v>
      </c>
      <c r="D96" s="22">
        <f t="shared" si="13"/>
        <v>57562014.794439912</v>
      </c>
      <c r="E96" s="238">
        <v>0.1812</v>
      </c>
      <c r="F96" s="28">
        <f t="shared" si="8"/>
        <v>0.27179999999999999</v>
      </c>
      <c r="G96" s="43">
        <f t="shared" si="14"/>
        <v>6.5893815469997286E-4</v>
      </c>
      <c r="H96" s="400">
        <f t="shared" si="11"/>
        <v>31</v>
      </c>
      <c r="I96" s="22">
        <f t="shared" si="12"/>
        <v>1175824.042093284</v>
      </c>
    </row>
    <row r="97" spans="1:9">
      <c r="A97">
        <v>71</v>
      </c>
      <c r="B97" s="16">
        <v>44044</v>
      </c>
      <c r="C97" s="16">
        <v>44074</v>
      </c>
      <c r="D97" s="22">
        <f t="shared" si="13"/>
        <v>57562014.794439912</v>
      </c>
      <c r="E97" s="238">
        <v>0.18290000000000001</v>
      </c>
      <c r="F97" s="28">
        <f t="shared" si="8"/>
        <v>0.27434999999999998</v>
      </c>
      <c r="G97" s="43">
        <f t="shared" si="14"/>
        <v>6.6442952514544906E-4</v>
      </c>
      <c r="H97" s="400">
        <f t="shared" si="11"/>
        <v>31</v>
      </c>
      <c r="I97" s="22">
        <f t="shared" si="12"/>
        <v>1185622.9668448358</v>
      </c>
    </row>
    <row r="98" spans="1:9">
      <c r="A98">
        <v>72</v>
      </c>
      <c r="B98" s="16">
        <v>44075</v>
      </c>
      <c r="C98" s="16">
        <v>44104</v>
      </c>
      <c r="D98" s="22">
        <f t="shared" si="13"/>
        <v>57562014.794439912</v>
      </c>
      <c r="E98" s="238">
        <v>0.1835</v>
      </c>
      <c r="F98" s="28">
        <f t="shared" si="8"/>
        <v>0.27524999999999999</v>
      </c>
      <c r="G98" s="43">
        <f t="shared" si="14"/>
        <v>6.6636503991857055E-4</v>
      </c>
      <c r="H98" s="400">
        <f t="shared" ref="H98:H112" si="15">_xlfn.DAYS(C98,B98)+1</f>
        <v>30</v>
      </c>
      <c r="I98" s="22">
        <f t="shared" ref="I98:I112" si="16">+D98*H98*G98</f>
        <v>1150719.4285887091</v>
      </c>
    </row>
    <row r="99" spans="1:9">
      <c r="A99">
        <v>73</v>
      </c>
      <c r="B99" s="16">
        <v>44105</v>
      </c>
      <c r="C99" s="16">
        <v>44135</v>
      </c>
      <c r="D99" s="22">
        <f t="shared" si="13"/>
        <v>57562014.794439912</v>
      </c>
      <c r="E99" s="238">
        <v>0.18090000000000001</v>
      </c>
      <c r="F99" s="28">
        <f t="shared" ref="F99:F112" si="17">+E99*1.5</f>
        <v>0.27134999999999998</v>
      </c>
      <c r="G99" s="43">
        <f t="shared" si="14"/>
        <v>6.5796794962613703E-4</v>
      </c>
      <c r="H99" s="400">
        <f t="shared" si="15"/>
        <v>31</v>
      </c>
      <c r="I99" s="22">
        <f t="shared" si="16"/>
        <v>1174092.7863700569</v>
      </c>
    </row>
    <row r="100" spans="1:9">
      <c r="A100">
        <v>74</v>
      </c>
      <c r="B100" s="16">
        <v>44136</v>
      </c>
      <c r="C100" s="16">
        <v>44165</v>
      </c>
      <c r="D100" s="22">
        <f t="shared" si="13"/>
        <v>57562014.794439912</v>
      </c>
      <c r="E100" s="238">
        <v>0.1784</v>
      </c>
      <c r="F100" s="28">
        <f t="shared" si="17"/>
        <v>0.2676</v>
      </c>
      <c r="G100" s="43">
        <f t="shared" si="14"/>
        <v>6.4986956374091243E-4</v>
      </c>
      <c r="H100" s="400">
        <f t="shared" si="15"/>
        <v>30</v>
      </c>
      <c r="I100" s="22">
        <f t="shared" si="16"/>
        <v>1122234.0432753183</v>
      </c>
    </row>
    <row r="101" spans="1:9">
      <c r="A101">
        <v>75</v>
      </c>
      <c r="B101" s="16">
        <v>44166</v>
      </c>
      <c r="C101" s="16">
        <v>44196</v>
      </c>
      <c r="D101" s="22">
        <f t="shared" si="13"/>
        <v>57562014.794439912</v>
      </c>
      <c r="E101" s="238">
        <v>0.17460000000000001</v>
      </c>
      <c r="F101" s="28">
        <f t="shared" si="17"/>
        <v>0.26190000000000002</v>
      </c>
      <c r="G101" s="43">
        <f t="shared" si="14"/>
        <v>6.3751414410861962E-4</v>
      </c>
      <c r="H101" s="400">
        <f t="shared" si="15"/>
        <v>31</v>
      </c>
      <c r="I101" s="22">
        <f t="shared" si="16"/>
        <v>1137594.5564401969</v>
      </c>
    </row>
    <row r="102" spans="1:9">
      <c r="A102">
        <v>76</v>
      </c>
      <c r="B102" s="16">
        <v>44197</v>
      </c>
      <c r="C102" s="16">
        <v>44227</v>
      </c>
      <c r="D102" s="22">
        <f t="shared" si="13"/>
        <v>57562014.794439912</v>
      </c>
      <c r="E102" s="238">
        <v>0.17319999999999999</v>
      </c>
      <c r="F102" s="28">
        <f t="shared" si="17"/>
        <v>0.25979999999999998</v>
      </c>
      <c r="G102" s="43">
        <f t="shared" si="14"/>
        <v>6.3294811266723094E-4</v>
      </c>
      <c r="H102" s="400">
        <f t="shared" si="15"/>
        <v>31</v>
      </c>
      <c r="I102" s="22">
        <f t="shared" si="16"/>
        <v>1129446.827389383</v>
      </c>
    </row>
    <row r="103" spans="1:9">
      <c r="A103">
        <v>77</v>
      </c>
      <c r="B103" s="16">
        <v>44228</v>
      </c>
      <c r="C103" s="16">
        <v>44255</v>
      </c>
      <c r="D103" s="22">
        <f t="shared" si="13"/>
        <v>57562014.794439912</v>
      </c>
      <c r="E103" s="238">
        <v>0.1754</v>
      </c>
      <c r="F103" s="28">
        <f t="shared" si="17"/>
        <v>0.2631</v>
      </c>
      <c r="G103" s="43">
        <f t="shared" si="14"/>
        <v>6.4011990387169426E-4</v>
      </c>
      <c r="H103" s="400">
        <f t="shared" si="15"/>
        <v>28</v>
      </c>
      <c r="I103" s="22">
        <f t="shared" si="16"/>
        <v>1031704.5585525817</v>
      </c>
    </row>
    <row r="104" spans="1:9">
      <c r="A104">
        <v>78</v>
      </c>
      <c r="B104" s="16">
        <v>44256</v>
      </c>
      <c r="C104" s="16">
        <v>44286</v>
      </c>
      <c r="D104" s="22">
        <f t="shared" si="13"/>
        <v>57562014.794439912</v>
      </c>
      <c r="E104" s="238">
        <v>0.1741</v>
      </c>
      <c r="F104" s="28">
        <f t="shared" si="17"/>
        <v>0.26114999999999999</v>
      </c>
      <c r="G104" s="43">
        <f t="shared" si="14"/>
        <v>6.3588428907812578E-4</v>
      </c>
      <c r="H104" s="400">
        <f t="shared" si="15"/>
        <v>31</v>
      </c>
      <c r="I104" s="22">
        <f t="shared" si="16"/>
        <v>1134686.2065194766</v>
      </c>
    </row>
    <row r="105" spans="1:9">
      <c r="A105">
        <v>79</v>
      </c>
      <c r="B105" s="16">
        <v>44287</v>
      </c>
      <c r="C105" s="16">
        <v>44316</v>
      </c>
      <c r="D105" s="22">
        <f t="shared" si="13"/>
        <v>57562014.794439912</v>
      </c>
      <c r="E105" s="238">
        <v>0.1731</v>
      </c>
      <c r="F105" s="28">
        <f t="shared" si="17"/>
        <v>0.25964999999999999</v>
      </c>
      <c r="G105" s="43">
        <f t="shared" si="14"/>
        <v>6.326216771728177E-4</v>
      </c>
      <c r="H105" s="400">
        <f t="shared" si="15"/>
        <v>30</v>
      </c>
      <c r="I105" s="22">
        <f t="shared" si="16"/>
        <v>1092449.3502211536</v>
      </c>
    </row>
    <row r="106" spans="1:9">
      <c r="A106">
        <v>80</v>
      </c>
      <c r="B106" s="16">
        <v>44317</v>
      </c>
      <c r="C106" s="16">
        <v>44347</v>
      </c>
      <c r="D106" s="22">
        <f t="shared" si="13"/>
        <v>57562014.794439912</v>
      </c>
      <c r="E106" s="247">
        <v>0.17219999999999999</v>
      </c>
      <c r="F106" s="28">
        <f t="shared" si="17"/>
        <v>0.25829999999999997</v>
      </c>
      <c r="G106" s="43">
        <f t="shared" si="14"/>
        <v>6.2968201205726437E-4</v>
      </c>
      <c r="H106" s="400">
        <f t="shared" si="15"/>
        <v>31</v>
      </c>
      <c r="I106" s="22">
        <f t="shared" si="16"/>
        <v>1123618.7241088212</v>
      </c>
    </row>
    <row r="107" spans="1:9">
      <c r="A107">
        <v>81</v>
      </c>
      <c r="B107" s="16">
        <v>44348</v>
      </c>
      <c r="C107" s="16">
        <v>44377</v>
      </c>
      <c r="D107" s="22">
        <f t="shared" si="13"/>
        <v>57562014.794439912</v>
      </c>
      <c r="E107" s="247">
        <v>0.1721</v>
      </c>
      <c r="F107" s="28">
        <f t="shared" si="17"/>
        <v>0.25814999999999999</v>
      </c>
      <c r="G107" s="43">
        <f t="shared" si="14"/>
        <v>6.2935518846773952E-4</v>
      </c>
      <c r="H107" s="400">
        <f t="shared" si="15"/>
        <v>30</v>
      </c>
      <c r="I107" s="22">
        <f t="shared" si="16"/>
        <v>1086808.5800861262</v>
      </c>
    </row>
    <row r="108" spans="1:9">
      <c r="A108">
        <v>82</v>
      </c>
      <c r="B108" s="16">
        <v>44378</v>
      </c>
      <c r="C108" s="16">
        <v>44408</v>
      </c>
      <c r="D108" s="22">
        <f t="shared" si="13"/>
        <v>57562014.794439912</v>
      </c>
      <c r="E108" s="247">
        <v>0.17180000000000001</v>
      </c>
      <c r="F108" s="28">
        <f t="shared" si="17"/>
        <v>0.25770000000000004</v>
      </c>
      <c r="G108" s="43">
        <f t="shared" si="14"/>
        <v>6.2837448450037137E-4</v>
      </c>
      <c r="H108" s="400">
        <f t="shared" si="15"/>
        <v>31</v>
      </c>
      <c r="I108" s="22">
        <f t="shared" si="16"/>
        <v>1121285.5425710268</v>
      </c>
    </row>
    <row r="109" spans="1:9">
      <c r="A109">
        <v>83</v>
      </c>
      <c r="B109" s="16">
        <v>44409</v>
      </c>
      <c r="C109" s="16">
        <v>44439</v>
      </c>
      <c r="D109" s="22">
        <f t="shared" si="13"/>
        <v>57562014.794439912</v>
      </c>
      <c r="E109" s="247">
        <v>0.1724</v>
      </c>
      <c r="F109" s="28">
        <f t="shared" si="17"/>
        <v>0.2586</v>
      </c>
      <c r="G109" s="43">
        <f t="shared" si="14"/>
        <v>6.3033554269220637E-4</v>
      </c>
      <c r="H109" s="400">
        <f t="shared" si="15"/>
        <v>31</v>
      </c>
      <c r="I109" s="22">
        <f t="shared" si="16"/>
        <v>1124784.898851213</v>
      </c>
    </row>
    <row r="110" spans="1:9">
      <c r="A110">
        <v>84</v>
      </c>
      <c r="B110" s="16">
        <v>44440</v>
      </c>
      <c r="C110" s="16">
        <v>44469</v>
      </c>
      <c r="D110" s="22">
        <f t="shared" si="13"/>
        <v>57562014.794439912</v>
      </c>
      <c r="E110" s="247">
        <v>0.1719</v>
      </c>
      <c r="F110" s="28">
        <f t="shared" si="17"/>
        <v>0.25785000000000002</v>
      </c>
      <c r="G110" s="43">
        <f t="shared" si="14"/>
        <v>6.2870142469861889E-4</v>
      </c>
      <c r="H110" s="400">
        <f t="shared" si="15"/>
        <v>30</v>
      </c>
      <c r="I110" s="22">
        <f t="shared" si="16"/>
        <v>1085679.6212936204</v>
      </c>
    </row>
    <row r="111" spans="1:9">
      <c r="A111">
        <v>85</v>
      </c>
      <c r="B111" s="16">
        <v>44470</v>
      </c>
      <c r="C111" s="16">
        <v>44500</v>
      </c>
      <c r="D111" s="22">
        <f t="shared" si="13"/>
        <v>57562014.794439912</v>
      </c>
      <c r="E111" s="247">
        <v>0.17080000000000001</v>
      </c>
      <c r="F111" s="28">
        <f t="shared" si="17"/>
        <v>0.25619999999999998</v>
      </c>
      <c r="G111" s="43">
        <f>((1+F111)^(1/365)-1)</f>
        <v>6.2510294214179751E-4</v>
      </c>
      <c r="H111" s="400">
        <f t="shared" si="15"/>
        <v>31</v>
      </c>
      <c r="I111" s="22">
        <f t="shared" si="16"/>
        <v>1115447.7289120362</v>
      </c>
    </row>
    <row r="112" spans="1:9">
      <c r="A112">
        <v>86</v>
      </c>
      <c r="B112" s="16">
        <v>44501</v>
      </c>
      <c r="C112" s="16">
        <v>44530</v>
      </c>
      <c r="D112" s="22">
        <f t="shared" si="13"/>
        <v>57562014.794439912</v>
      </c>
      <c r="E112" s="247">
        <v>0.17269999999999999</v>
      </c>
      <c r="F112" s="28">
        <f t="shared" si="17"/>
        <v>0.25905</v>
      </c>
      <c r="G112" s="43">
        <f>((1+F112)^(1/365)-1)</f>
        <v>6.3131554742335005E-4</v>
      </c>
      <c r="H112" s="400">
        <f t="shared" si="15"/>
        <v>30</v>
      </c>
      <c r="I112" s="22">
        <f t="shared" si="16"/>
        <v>1090193.8464222841</v>
      </c>
    </row>
    <row r="113" spans="1:9">
      <c r="A113">
        <v>87</v>
      </c>
      <c r="B113" s="16">
        <v>44531</v>
      </c>
      <c r="C113" s="16">
        <v>44561</v>
      </c>
      <c r="D113" s="22">
        <f t="shared" si="13"/>
        <v>57562014.794439912</v>
      </c>
      <c r="E113" s="247">
        <v>0.17269999999999999</v>
      </c>
      <c r="F113" s="28">
        <f>+E113*1.5</f>
        <v>0.25905</v>
      </c>
      <c r="G113" s="43">
        <f>((1+F113)^(1/365)-1)</f>
        <v>6.3131554742335005E-4</v>
      </c>
      <c r="H113" s="400">
        <f>_xlfn.DAYS(C113,B113)+1</f>
        <v>31</v>
      </c>
      <c r="I113" s="22">
        <f>+D113*H113*G113</f>
        <v>1126533.641303027</v>
      </c>
    </row>
    <row r="114" spans="1:9">
      <c r="G114" s="66" t="s">
        <v>162</v>
      </c>
      <c r="H114" s="66"/>
      <c r="I114" s="22">
        <f>SUM(I25:I113)</f>
        <v>105467588.11279175</v>
      </c>
    </row>
    <row r="115" spans="1:9">
      <c r="F115" s="1" t="s">
        <v>1257</v>
      </c>
      <c r="G115" s="439"/>
      <c r="H115" s="439"/>
      <c r="I115" s="22">
        <v>80336264</v>
      </c>
    </row>
    <row r="116" spans="1:9">
      <c r="G116" s="2770" t="s">
        <v>1258</v>
      </c>
      <c r="H116" s="2770"/>
      <c r="I116" s="497">
        <f>+I114-I115</f>
        <v>25131324.112791747</v>
      </c>
    </row>
    <row r="117" spans="1:9">
      <c r="B117" s="2769" t="s">
        <v>346</v>
      </c>
      <c r="C117" s="2769"/>
    </row>
    <row r="118" spans="1:9">
      <c r="B118" s="196" t="s">
        <v>959</v>
      </c>
      <c r="C118" s="22">
        <f>+C23</f>
        <v>57562014.794439912</v>
      </c>
    </row>
    <row r="119" spans="1:9">
      <c r="B119" s="196" t="s">
        <v>951</v>
      </c>
      <c r="C119" s="22">
        <f>+I116</f>
        <v>25131324.112791747</v>
      </c>
    </row>
    <row r="120" spans="1:9">
      <c r="B120" s="3" t="s">
        <v>61</v>
      </c>
      <c r="C120" s="101">
        <f>+C118+C119</f>
        <v>82693338.907231659</v>
      </c>
    </row>
    <row r="122" spans="1:9">
      <c r="A122" s="1" t="s">
        <v>1259</v>
      </c>
    </row>
    <row r="123" spans="1:9">
      <c r="B123" s="639" t="s">
        <v>62</v>
      </c>
    </row>
    <row r="124" spans="1:9">
      <c r="B124" s="591"/>
    </row>
    <row r="125" spans="1:9">
      <c r="B125" s="591"/>
    </row>
    <row r="126" spans="1:9">
      <c r="B126" s="639" t="s">
        <v>63</v>
      </c>
    </row>
    <row r="127" spans="1:9">
      <c r="B127" s="639" t="s">
        <v>64</v>
      </c>
    </row>
    <row r="128" spans="1:9">
      <c r="B128" s="639" t="s">
        <v>65</v>
      </c>
    </row>
  </sheetData>
  <mergeCells count="2">
    <mergeCell ref="B117:C117"/>
    <mergeCell ref="G116:H116"/>
  </mergeCells>
  <pageMargins left="0.7" right="0.7" top="0.75" bottom="0.75" header="0.3" footer="0.3"/>
  <pageSetup paperSize="9" scale="62" orientation="portrait" r:id="rId1"/>
  <rowBreaks count="1" manualBreakCount="1">
    <brk id="88" max="9"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C74F0-051D-444B-927C-654C3524A8FA}">
  <sheetPr codeName="Hoja93"/>
  <dimension ref="A1:Q167"/>
  <sheetViews>
    <sheetView topLeftCell="B1" zoomScaleNormal="100" workbookViewId="0">
      <selection activeCell="C155" sqref="C155"/>
    </sheetView>
  </sheetViews>
  <sheetFormatPr defaultColWidth="11.42578125" defaultRowHeight="12.75"/>
  <cols>
    <col min="1" max="1" width="3.42578125" style="217" customWidth="1"/>
    <col min="2" max="2" width="17.28515625" style="217" customWidth="1"/>
    <col min="3" max="3" width="16.28515625" style="348" customWidth="1"/>
    <col min="4" max="4" width="12.7109375" style="217" bestFit="1" customWidth="1"/>
    <col min="5" max="5" width="8.28515625" style="217" customWidth="1"/>
    <col min="6" max="6" width="11.7109375" style="348" customWidth="1"/>
    <col min="7" max="7" width="10.28515625" style="217" customWidth="1"/>
    <col min="8" max="8" width="11.28515625" style="348" customWidth="1"/>
    <col min="9" max="10" width="9.7109375" style="348" customWidth="1"/>
    <col min="11" max="11" width="10.42578125" style="348" customWidth="1"/>
    <col min="12" max="12" width="11" style="348" customWidth="1"/>
    <col min="13" max="13" width="12" style="348" customWidth="1"/>
    <col min="14" max="14" width="13.42578125" style="348" customWidth="1"/>
    <col min="15" max="256" width="11.42578125" style="217"/>
    <col min="257" max="257" width="3.42578125" style="217" customWidth="1"/>
    <col min="258" max="258" width="16.42578125" style="217" customWidth="1"/>
    <col min="259" max="259" width="12.7109375" style="217" customWidth="1"/>
    <col min="260" max="260" width="12.7109375" style="217" bestFit="1" customWidth="1"/>
    <col min="261" max="261" width="8.28515625" style="217" customWidth="1"/>
    <col min="262" max="262" width="11.7109375" style="217" customWidth="1"/>
    <col min="263" max="263" width="10.28515625" style="217" customWidth="1"/>
    <col min="264" max="264" width="10" style="217" customWidth="1"/>
    <col min="265" max="266" width="9.7109375" style="217" customWidth="1"/>
    <col min="267" max="267" width="10.42578125" style="217" customWidth="1"/>
    <col min="268" max="268" width="11" style="217" customWidth="1"/>
    <col min="269" max="269" width="12" style="217" customWidth="1"/>
    <col min="270" max="270" width="13.42578125" style="217" customWidth="1"/>
    <col min="271" max="512" width="11.42578125" style="217"/>
    <col min="513" max="513" width="3.42578125" style="217" customWidth="1"/>
    <col min="514" max="514" width="16.42578125" style="217" customWidth="1"/>
    <col min="515" max="515" width="12.7109375" style="217" customWidth="1"/>
    <col min="516" max="516" width="12.7109375" style="217" bestFit="1" customWidth="1"/>
    <col min="517" max="517" width="8.28515625" style="217" customWidth="1"/>
    <col min="518" max="518" width="11.7109375" style="217" customWidth="1"/>
    <col min="519" max="519" width="10.28515625" style="217" customWidth="1"/>
    <col min="520" max="520" width="10" style="217" customWidth="1"/>
    <col min="521" max="522" width="9.7109375" style="217" customWidth="1"/>
    <col min="523" max="523" width="10.42578125" style="217" customWidth="1"/>
    <col min="524" max="524" width="11" style="217" customWidth="1"/>
    <col min="525" max="525" width="12" style="217" customWidth="1"/>
    <col min="526" max="526" width="13.42578125" style="217" customWidth="1"/>
    <col min="527" max="768" width="11.42578125" style="217"/>
    <col min="769" max="769" width="3.42578125" style="217" customWidth="1"/>
    <col min="770" max="770" width="16.42578125" style="217" customWidth="1"/>
    <col min="771" max="771" width="12.7109375" style="217" customWidth="1"/>
    <col min="772" max="772" width="12.7109375" style="217" bestFit="1" customWidth="1"/>
    <col min="773" max="773" width="8.28515625" style="217" customWidth="1"/>
    <col min="774" max="774" width="11.7109375" style="217" customWidth="1"/>
    <col min="775" max="775" width="10.28515625" style="217" customWidth="1"/>
    <col min="776" max="776" width="10" style="217" customWidth="1"/>
    <col min="777" max="778" width="9.7109375" style="217" customWidth="1"/>
    <col min="779" max="779" width="10.42578125" style="217" customWidth="1"/>
    <col min="780" max="780" width="11" style="217" customWidth="1"/>
    <col min="781" max="781" width="12" style="217" customWidth="1"/>
    <col min="782" max="782" width="13.42578125" style="217" customWidth="1"/>
    <col min="783" max="1024" width="11.42578125" style="217"/>
    <col min="1025" max="1025" width="3.42578125" style="217" customWidth="1"/>
    <col min="1026" max="1026" width="16.42578125" style="217" customWidth="1"/>
    <col min="1027" max="1027" width="12.7109375" style="217" customWidth="1"/>
    <col min="1028" max="1028" width="12.7109375" style="217" bestFit="1" customWidth="1"/>
    <col min="1029" max="1029" width="8.28515625" style="217" customWidth="1"/>
    <col min="1030" max="1030" width="11.7109375" style="217" customWidth="1"/>
    <col min="1031" max="1031" width="10.28515625" style="217" customWidth="1"/>
    <col min="1032" max="1032" width="10" style="217" customWidth="1"/>
    <col min="1033" max="1034" width="9.7109375" style="217" customWidth="1"/>
    <col min="1035" max="1035" width="10.42578125" style="217" customWidth="1"/>
    <col min="1036" max="1036" width="11" style="217" customWidth="1"/>
    <col min="1037" max="1037" width="12" style="217" customWidth="1"/>
    <col min="1038" max="1038" width="13.42578125" style="217" customWidth="1"/>
    <col min="1039" max="1280" width="11.42578125" style="217"/>
    <col min="1281" max="1281" width="3.42578125" style="217" customWidth="1"/>
    <col min="1282" max="1282" width="16.42578125" style="217" customWidth="1"/>
    <col min="1283" max="1283" width="12.7109375" style="217" customWidth="1"/>
    <col min="1284" max="1284" width="12.7109375" style="217" bestFit="1" customWidth="1"/>
    <col min="1285" max="1285" width="8.28515625" style="217" customWidth="1"/>
    <col min="1286" max="1286" width="11.7109375" style="217" customWidth="1"/>
    <col min="1287" max="1287" width="10.28515625" style="217" customWidth="1"/>
    <col min="1288" max="1288" width="10" style="217" customWidth="1"/>
    <col min="1289" max="1290" width="9.7109375" style="217" customWidth="1"/>
    <col min="1291" max="1291" width="10.42578125" style="217" customWidth="1"/>
    <col min="1292" max="1292" width="11" style="217" customWidth="1"/>
    <col min="1293" max="1293" width="12" style="217" customWidth="1"/>
    <col min="1294" max="1294" width="13.42578125" style="217" customWidth="1"/>
    <col min="1295" max="1536" width="11.42578125" style="217"/>
    <col min="1537" max="1537" width="3.42578125" style="217" customWidth="1"/>
    <col min="1538" max="1538" width="16.42578125" style="217" customWidth="1"/>
    <col min="1539" max="1539" width="12.7109375" style="217" customWidth="1"/>
    <col min="1540" max="1540" width="12.7109375" style="217" bestFit="1" customWidth="1"/>
    <col min="1541" max="1541" width="8.28515625" style="217" customWidth="1"/>
    <col min="1542" max="1542" width="11.7109375" style="217" customWidth="1"/>
    <col min="1543" max="1543" width="10.28515625" style="217" customWidth="1"/>
    <col min="1544" max="1544" width="10" style="217" customWidth="1"/>
    <col min="1545" max="1546" width="9.7109375" style="217" customWidth="1"/>
    <col min="1547" max="1547" width="10.42578125" style="217" customWidth="1"/>
    <col min="1548" max="1548" width="11" style="217" customWidth="1"/>
    <col min="1549" max="1549" width="12" style="217" customWidth="1"/>
    <col min="1550" max="1550" width="13.42578125" style="217" customWidth="1"/>
    <col min="1551" max="1792" width="11.42578125" style="217"/>
    <col min="1793" max="1793" width="3.42578125" style="217" customWidth="1"/>
    <col min="1794" max="1794" width="16.42578125" style="217" customWidth="1"/>
    <col min="1795" max="1795" width="12.7109375" style="217" customWidth="1"/>
    <col min="1796" max="1796" width="12.7109375" style="217" bestFit="1" customWidth="1"/>
    <col min="1797" max="1797" width="8.28515625" style="217" customWidth="1"/>
    <col min="1798" max="1798" width="11.7109375" style="217" customWidth="1"/>
    <col min="1799" max="1799" width="10.28515625" style="217" customWidth="1"/>
    <col min="1800" max="1800" width="10" style="217" customWidth="1"/>
    <col min="1801" max="1802" width="9.7109375" style="217" customWidth="1"/>
    <col min="1803" max="1803" width="10.42578125" style="217" customWidth="1"/>
    <col min="1804" max="1804" width="11" style="217" customWidth="1"/>
    <col min="1805" max="1805" width="12" style="217" customWidth="1"/>
    <col min="1806" max="1806" width="13.42578125" style="217" customWidth="1"/>
    <col min="1807" max="2048" width="11.42578125" style="217"/>
    <col min="2049" max="2049" width="3.42578125" style="217" customWidth="1"/>
    <col min="2050" max="2050" width="16.42578125" style="217" customWidth="1"/>
    <col min="2051" max="2051" width="12.7109375" style="217" customWidth="1"/>
    <col min="2052" max="2052" width="12.7109375" style="217" bestFit="1" customWidth="1"/>
    <col min="2053" max="2053" width="8.28515625" style="217" customWidth="1"/>
    <col min="2054" max="2054" width="11.7109375" style="217" customWidth="1"/>
    <col min="2055" max="2055" width="10.28515625" style="217" customWidth="1"/>
    <col min="2056" max="2056" width="10" style="217" customWidth="1"/>
    <col min="2057" max="2058" width="9.7109375" style="217" customWidth="1"/>
    <col min="2059" max="2059" width="10.42578125" style="217" customWidth="1"/>
    <col min="2060" max="2060" width="11" style="217" customWidth="1"/>
    <col min="2061" max="2061" width="12" style="217" customWidth="1"/>
    <col min="2062" max="2062" width="13.42578125" style="217" customWidth="1"/>
    <col min="2063" max="2304" width="11.42578125" style="217"/>
    <col min="2305" max="2305" width="3.42578125" style="217" customWidth="1"/>
    <col min="2306" max="2306" width="16.42578125" style="217" customWidth="1"/>
    <col min="2307" max="2307" width="12.7109375" style="217" customWidth="1"/>
    <col min="2308" max="2308" width="12.7109375" style="217" bestFit="1" customWidth="1"/>
    <col min="2309" max="2309" width="8.28515625" style="217" customWidth="1"/>
    <col min="2310" max="2310" width="11.7109375" style="217" customWidth="1"/>
    <col min="2311" max="2311" width="10.28515625" style="217" customWidth="1"/>
    <col min="2312" max="2312" width="10" style="217" customWidth="1"/>
    <col min="2313" max="2314" width="9.7109375" style="217" customWidth="1"/>
    <col min="2315" max="2315" width="10.42578125" style="217" customWidth="1"/>
    <col min="2316" max="2316" width="11" style="217" customWidth="1"/>
    <col min="2317" max="2317" width="12" style="217" customWidth="1"/>
    <col min="2318" max="2318" width="13.42578125" style="217" customWidth="1"/>
    <col min="2319" max="2560" width="11.42578125" style="217"/>
    <col min="2561" max="2561" width="3.42578125" style="217" customWidth="1"/>
    <col min="2562" max="2562" width="16.42578125" style="217" customWidth="1"/>
    <col min="2563" max="2563" width="12.7109375" style="217" customWidth="1"/>
    <col min="2564" max="2564" width="12.7109375" style="217" bestFit="1" customWidth="1"/>
    <col min="2565" max="2565" width="8.28515625" style="217" customWidth="1"/>
    <col min="2566" max="2566" width="11.7109375" style="217" customWidth="1"/>
    <col min="2567" max="2567" width="10.28515625" style="217" customWidth="1"/>
    <col min="2568" max="2568" width="10" style="217" customWidth="1"/>
    <col min="2569" max="2570" width="9.7109375" style="217" customWidth="1"/>
    <col min="2571" max="2571" width="10.42578125" style="217" customWidth="1"/>
    <col min="2572" max="2572" width="11" style="217" customWidth="1"/>
    <col min="2573" max="2573" width="12" style="217" customWidth="1"/>
    <col min="2574" max="2574" width="13.42578125" style="217" customWidth="1"/>
    <col min="2575" max="2816" width="11.42578125" style="217"/>
    <col min="2817" max="2817" width="3.42578125" style="217" customWidth="1"/>
    <col min="2818" max="2818" width="16.42578125" style="217" customWidth="1"/>
    <col min="2819" max="2819" width="12.7109375" style="217" customWidth="1"/>
    <col min="2820" max="2820" width="12.7109375" style="217" bestFit="1" customWidth="1"/>
    <col min="2821" max="2821" width="8.28515625" style="217" customWidth="1"/>
    <col min="2822" max="2822" width="11.7109375" style="217" customWidth="1"/>
    <col min="2823" max="2823" width="10.28515625" style="217" customWidth="1"/>
    <col min="2824" max="2824" width="10" style="217" customWidth="1"/>
    <col min="2825" max="2826" width="9.7109375" style="217" customWidth="1"/>
    <col min="2827" max="2827" width="10.42578125" style="217" customWidth="1"/>
    <col min="2828" max="2828" width="11" style="217" customWidth="1"/>
    <col min="2829" max="2829" width="12" style="217" customWidth="1"/>
    <col min="2830" max="2830" width="13.42578125" style="217" customWidth="1"/>
    <col min="2831" max="3072" width="11.42578125" style="217"/>
    <col min="3073" max="3073" width="3.42578125" style="217" customWidth="1"/>
    <col min="3074" max="3074" width="16.42578125" style="217" customWidth="1"/>
    <col min="3075" max="3075" width="12.7109375" style="217" customWidth="1"/>
    <col min="3076" max="3076" width="12.7109375" style="217" bestFit="1" customWidth="1"/>
    <col min="3077" max="3077" width="8.28515625" style="217" customWidth="1"/>
    <col min="3078" max="3078" width="11.7109375" style="217" customWidth="1"/>
    <col min="3079" max="3079" width="10.28515625" style="217" customWidth="1"/>
    <col min="3080" max="3080" width="10" style="217" customWidth="1"/>
    <col min="3081" max="3082" width="9.7109375" style="217" customWidth="1"/>
    <col min="3083" max="3083" width="10.42578125" style="217" customWidth="1"/>
    <col min="3084" max="3084" width="11" style="217" customWidth="1"/>
    <col min="3085" max="3085" width="12" style="217" customWidth="1"/>
    <col min="3086" max="3086" width="13.42578125" style="217" customWidth="1"/>
    <col min="3087" max="3328" width="11.42578125" style="217"/>
    <col min="3329" max="3329" width="3.42578125" style="217" customWidth="1"/>
    <col min="3330" max="3330" width="16.42578125" style="217" customWidth="1"/>
    <col min="3331" max="3331" width="12.7109375" style="217" customWidth="1"/>
    <col min="3332" max="3332" width="12.7109375" style="217" bestFit="1" customWidth="1"/>
    <col min="3333" max="3333" width="8.28515625" style="217" customWidth="1"/>
    <col min="3334" max="3334" width="11.7109375" style="217" customWidth="1"/>
    <col min="3335" max="3335" width="10.28515625" style="217" customWidth="1"/>
    <col min="3336" max="3336" width="10" style="217" customWidth="1"/>
    <col min="3337" max="3338" width="9.7109375" style="217" customWidth="1"/>
    <col min="3339" max="3339" width="10.42578125" style="217" customWidth="1"/>
    <col min="3340" max="3340" width="11" style="217" customWidth="1"/>
    <col min="3341" max="3341" width="12" style="217" customWidth="1"/>
    <col min="3342" max="3342" width="13.42578125" style="217" customWidth="1"/>
    <col min="3343" max="3584" width="11.42578125" style="217"/>
    <col min="3585" max="3585" width="3.42578125" style="217" customWidth="1"/>
    <col min="3586" max="3586" width="16.42578125" style="217" customWidth="1"/>
    <col min="3587" max="3587" width="12.7109375" style="217" customWidth="1"/>
    <col min="3588" max="3588" width="12.7109375" style="217" bestFit="1" customWidth="1"/>
    <col min="3589" max="3589" width="8.28515625" style="217" customWidth="1"/>
    <col min="3590" max="3590" width="11.7109375" style="217" customWidth="1"/>
    <col min="3591" max="3591" width="10.28515625" style="217" customWidth="1"/>
    <col min="3592" max="3592" width="10" style="217" customWidth="1"/>
    <col min="3593" max="3594" width="9.7109375" style="217" customWidth="1"/>
    <col min="3595" max="3595" width="10.42578125" style="217" customWidth="1"/>
    <col min="3596" max="3596" width="11" style="217" customWidth="1"/>
    <col min="3597" max="3597" width="12" style="217" customWidth="1"/>
    <col min="3598" max="3598" width="13.42578125" style="217" customWidth="1"/>
    <col min="3599" max="3840" width="11.42578125" style="217"/>
    <col min="3841" max="3841" width="3.42578125" style="217" customWidth="1"/>
    <col min="3842" max="3842" width="16.42578125" style="217" customWidth="1"/>
    <col min="3843" max="3843" width="12.7109375" style="217" customWidth="1"/>
    <col min="3844" max="3844" width="12.7109375" style="217" bestFit="1" customWidth="1"/>
    <col min="3845" max="3845" width="8.28515625" style="217" customWidth="1"/>
    <col min="3846" max="3846" width="11.7109375" style="217" customWidth="1"/>
    <col min="3847" max="3847" width="10.28515625" style="217" customWidth="1"/>
    <col min="3848" max="3848" width="10" style="217" customWidth="1"/>
    <col min="3849" max="3850" width="9.7109375" style="217" customWidth="1"/>
    <col min="3851" max="3851" width="10.42578125" style="217" customWidth="1"/>
    <col min="3852" max="3852" width="11" style="217" customWidth="1"/>
    <col min="3853" max="3853" width="12" style="217" customWidth="1"/>
    <col min="3854" max="3854" width="13.42578125" style="217" customWidth="1"/>
    <col min="3855" max="4096" width="11.42578125" style="217"/>
    <col min="4097" max="4097" width="3.42578125" style="217" customWidth="1"/>
    <col min="4098" max="4098" width="16.42578125" style="217" customWidth="1"/>
    <col min="4099" max="4099" width="12.7109375" style="217" customWidth="1"/>
    <col min="4100" max="4100" width="12.7109375" style="217" bestFit="1" customWidth="1"/>
    <col min="4101" max="4101" width="8.28515625" style="217" customWidth="1"/>
    <col min="4102" max="4102" width="11.7109375" style="217" customWidth="1"/>
    <col min="4103" max="4103" width="10.28515625" style="217" customWidth="1"/>
    <col min="4104" max="4104" width="10" style="217" customWidth="1"/>
    <col min="4105" max="4106" width="9.7109375" style="217" customWidth="1"/>
    <col min="4107" max="4107" width="10.42578125" style="217" customWidth="1"/>
    <col min="4108" max="4108" width="11" style="217" customWidth="1"/>
    <col min="4109" max="4109" width="12" style="217" customWidth="1"/>
    <col min="4110" max="4110" width="13.42578125" style="217" customWidth="1"/>
    <col min="4111" max="4352" width="11.42578125" style="217"/>
    <col min="4353" max="4353" width="3.42578125" style="217" customWidth="1"/>
    <col min="4354" max="4354" width="16.42578125" style="217" customWidth="1"/>
    <col min="4355" max="4355" width="12.7109375" style="217" customWidth="1"/>
    <col min="4356" max="4356" width="12.7109375" style="217" bestFit="1" customWidth="1"/>
    <col min="4357" max="4357" width="8.28515625" style="217" customWidth="1"/>
    <col min="4358" max="4358" width="11.7109375" style="217" customWidth="1"/>
    <col min="4359" max="4359" width="10.28515625" style="217" customWidth="1"/>
    <col min="4360" max="4360" width="10" style="217" customWidth="1"/>
    <col min="4361" max="4362" width="9.7109375" style="217" customWidth="1"/>
    <col min="4363" max="4363" width="10.42578125" style="217" customWidth="1"/>
    <col min="4364" max="4364" width="11" style="217" customWidth="1"/>
    <col min="4365" max="4365" width="12" style="217" customWidth="1"/>
    <col min="4366" max="4366" width="13.42578125" style="217" customWidth="1"/>
    <col min="4367" max="4608" width="11.42578125" style="217"/>
    <col min="4609" max="4609" width="3.42578125" style="217" customWidth="1"/>
    <col min="4610" max="4610" width="16.42578125" style="217" customWidth="1"/>
    <col min="4611" max="4611" width="12.7109375" style="217" customWidth="1"/>
    <col min="4612" max="4612" width="12.7109375" style="217" bestFit="1" customWidth="1"/>
    <col min="4613" max="4613" width="8.28515625" style="217" customWidth="1"/>
    <col min="4614" max="4614" width="11.7109375" style="217" customWidth="1"/>
    <col min="4615" max="4615" width="10.28515625" style="217" customWidth="1"/>
    <col min="4616" max="4616" width="10" style="217" customWidth="1"/>
    <col min="4617" max="4618" width="9.7109375" style="217" customWidth="1"/>
    <col min="4619" max="4619" width="10.42578125" style="217" customWidth="1"/>
    <col min="4620" max="4620" width="11" style="217" customWidth="1"/>
    <col min="4621" max="4621" width="12" style="217" customWidth="1"/>
    <col min="4622" max="4622" width="13.42578125" style="217" customWidth="1"/>
    <col min="4623" max="4864" width="11.42578125" style="217"/>
    <col min="4865" max="4865" width="3.42578125" style="217" customWidth="1"/>
    <col min="4866" max="4866" width="16.42578125" style="217" customWidth="1"/>
    <col min="4867" max="4867" width="12.7109375" style="217" customWidth="1"/>
    <col min="4868" max="4868" width="12.7109375" style="217" bestFit="1" customWidth="1"/>
    <col min="4869" max="4869" width="8.28515625" style="217" customWidth="1"/>
    <col min="4870" max="4870" width="11.7109375" style="217" customWidth="1"/>
    <col min="4871" max="4871" width="10.28515625" style="217" customWidth="1"/>
    <col min="4872" max="4872" width="10" style="217" customWidth="1"/>
    <col min="4873" max="4874" width="9.7109375" style="217" customWidth="1"/>
    <col min="4875" max="4875" width="10.42578125" style="217" customWidth="1"/>
    <col min="4876" max="4876" width="11" style="217" customWidth="1"/>
    <col min="4877" max="4877" width="12" style="217" customWidth="1"/>
    <col min="4878" max="4878" width="13.42578125" style="217" customWidth="1"/>
    <col min="4879" max="5120" width="11.42578125" style="217"/>
    <col min="5121" max="5121" width="3.42578125" style="217" customWidth="1"/>
    <col min="5122" max="5122" width="16.42578125" style="217" customWidth="1"/>
    <col min="5123" max="5123" width="12.7109375" style="217" customWidth="1"/>
    <col min="5124" max="5124" width="12.7109375" style="217" bestFit="1" customWidth="1"/>
    <col min="5125" max="5125" width="8.28515625" style="217" customWidth="1"/>
    <col min="5126" max="5126" width="11.7109375" style="217" customWidth="1"/>
    <col min="5127" max="5127" width="10.28515625" style="217" customWidth="1"/>
    <col min="5128" max="5128" width="10" style="217" customWidth="1"/>
    <col min="5129" max="5130" width="9.7109375" style="217" customWidth="1"/>
    <col min="5131" max="5131" width="10.42578125" style="217" customWidth="1"/>
    <col min="5132" max="5132" width="11" style="217" customWidth="1"/>
    <col min="5133" max="5133" width="12" style="217" customWidth="1"/>
    <col min="5134" max="5134" width="13.42578125" style="217" customWidth="1"/>
    <col min="5135" max="5376" width="11.42578125" style="217"/>
    <col min="5377" max="5377" width="3.42578125" style="217" customWidth="1"/>
    <col min="5378" max="5378" width="16.42578125" style="217" customWidth="1"/>
    <col min="5379" max="5379" width="12.7109375" style="217" customWidth="1"/>
    <col min="5380" max="5380" width="12.7109375" style="217" bestFit="1" customWidth="1"/>
    <col min="5381" max="5381" width="8.28515625" style="217" customWidth="1"/>
    <col min="5382" max="5382" width="11.7109375" style="217" customWidth="1"/>
    <col min="5383" max="5383" width="10.28515625" style="217" customWidth="1"/>
    <col min="5384" max="5384" width="10" style="217" customWidth="1"/>
    <col min="5385" max="5386" width="9.7109375" style="217" customWidth="1"/>
    <col min="5387" max="5387" width="10.42578125" style="217" customWidth="1"/>
    <col min="5388" max="5388" width="11" style="217" customWidth="1"/>
    <col min="5389" max="5389" width="12" style="217" customWidth="1"/>
    <col min="5390" max="5390" width="13.42578125" style="217" customWidth="1"/>
    <col min="5391" max="5632" width="11.42578125" style="217"/>
    <col min="5633" max="5633" width="3.42578125" style="217" customWidth="1"/>
    <col min="5634" max="5634" width="16.42578125" style="217" customWidth="1"/>
    <col min="5635" max="5635" width="12.7109375" style="217" customWidth="1"/>
    <col min="5636" max="5636" width="12.7109375" style="217" bestFit="1" customWidth="1"/>
    <col min="5637" max="5637" width="8.28515625" style="217" customWidth="1"/>
    <col min="5638" max="5638" width="11.7109375" style="217" customWidth="1"/>
    <col min="5639" max="5639" width="10.28515625" style="217" customWidth="1"/>
    <col min="5640" max="5640" width="10" style="217" customWidth="1"/>
    <col min="5641" max="5642" width="9.7109375" style="217" customWidth="1"/>
    <col min="5643" max="5643" width="10.42578125" style="217" customWidth="1"/>
    <col min="5644" max="5644" width="11" style="217" customWidth="1"/>
    <col min="5645" max="5645" width="12" style="217" customWidth="1"/>
    <col min="5646" max="5646" width="13.42578125" style="217" customWidth="1"/>
    <col min="5647" max="5888" width="11.42578125" style="217"/>
    <col min="5889" max="5889" width="3.42578125" style="217" customWidth="1"/>
    <col min="5890" max="5890" width="16.42578125" style="217" customWidth="1"/>
    <col min="5891" max="5891" width="12.7109375" style="217" customWidth="1"/>
    <col min="5892" max="5892" width="12.7109375" style="217" bestFit="1" customWidth="1"/>
    <col min="5893" max="5893" width="8.28515625" style="217" customWidth="1"/>
    <col min="5894" max="5894" width="11.7109375" style="217" customWidth="1"/>
    <col min="5895" max="5895" width="10.28515625" style="217" customWidth="1"/>
    <col min="5896" max="5896" width="10" style="217" customWidth="1"/>
    <col min="5897" max="5898" width="9.7109375" style="217" customWidth="1"/>
    <col min="5899" max="5899" width="10.42578125" style="217" customWidth="1"/>
    <col min="5900" max="5900" width="11" style="217" customWidth="1"/>
    <col min="5901" max="5901" width="12" style="217" customWidth="1"/>
    <col min="5902" max="5902" width="13.42578125" style="217" customWidth="1"/>
    <col min="5903" max="6144" width="11.42578125" style="217"/>
    <col min="6145" max="6145" width="3.42578125" style="217" customWidth="1"/>
    <col min="6146" max="6146" width="16.42578125" style="217" customWidth="1"/>
    <col min="6147" max="6147" width="12.7109375" style="217" customWidth="1"/>
    <col min="6148" max="6148" width="12.7109375" style="217" bestFit="1" customWidth="1"/>
    <col min="6149" max="6149" width="8.28515625" style="217" customWidth="1"/>
    <col min="6150" max="6150" width="11.7109375" style="217" customWidth="1"/>
    <col min="6151" max="6151" width="10.28515625" style="217" customWidth="1"/>
    <col min="6152" max="6152" width="10" style="217" customWidth="1"/>
    <col min="6153" max="6154" width="9.7109375" style="217" customWidth="1"/>
    <col min="6155" max="6155" width="10.42578125" style="217" customWidth="1"/>
    <col min="6156" max="6156" width="11" style="217" customWidth="1"/>
    <col min="6157" max="6157" width="12" style="217" customWidth="1"/>
    <col min="6158" max="6158" width="13.42578125" style="217" customWidth="1"/>
    <col min="6159" max="6400" width="11.42578125" style="217"/>
    <col min="6401" max="6401" width="3.42578125" style="217" customWidth="1"/>
    <col min="6402" max="6402" width="16.42578125" style="217" customWidth="1"/>
    <col min="6403" max="6403" width="12.7109375" style="217" customWidth="1"/>
    <col min="6404" max="6404" width="12.7109375" style="217" bestFit="1" customWidth="1"/>
    <col min="6405" max="6405" width="8.28515625" style="217" customWidth="1"/>
    <col min="6406" max="6406" width="11.7109375" style="217" customWidth="1"/>
    <col min="6407" max="6407" width="10.28515625" style="217" customWidth="1"/>
    <col min="6408" max="6408" width="10" style="217" customWidth="1"/>
    <col min="6409" max="6410" width="9.7109375" style="217" customWidth="1"/>
    <col min="6411" max="6411" width="10.42578125" style="217" customWidth="1"/>
    <col min="6412" max="6412" width="11" style="217" customWidth="1"/>
    <col min="6413" max="6413" width="12" style="217" customWidth="1"/>
    <col min="6414" max="6414" width="13.42578125" style="217" customWidth="1"/>
    <col min="6415" max="6656" width="11.42578125" style="217"/>
    <col min="6657" max="6657" width="3.42578125" style="217" customWidth="1"/>
    <col min="6658" max="6658" width="16.42578125" style="217" customWidth="1"/>
    <col min="6659" max="6659" width="12.7109375" style="217" customWidth="1"/>
    <col min="6660" max="6660" width="12.7109375" style="217" bestFit="1" customWidth="1"/>
    <col min="6661" max="6661" width="8.28515625" style="217" customWidth="1"/>
    <col min="6662" max="6662" width="11.7109375" style="217" customWidth="1"/>
    <col min="6663" max="6663" width="10.28515625" style="217" customWidth="1"/>
    <col min="6664" max="6664" width="10" style="217" customWidth="1"/>
    <col min="6665" max="6666" width="9.7109375" style="217" customWidth="1"/>
    <col min="6667" max="6667" width="10.42578125" style="217" customWidth="1"/>
    <col min="6668" max="6668" width="11" style="217" customWidth="1"/>
    <col min="6669" max="6669" width="12" style="217" customWidth="1"/>
    <col min="6670" max="6670" width="13.42578125" style="217" customWidth="1"/>
    <col min="6671" max="6912" width="11.42578125" style="217"/>
    <col min="6913" max="6913" width="3.42578125" style="217" customWidth="1"/>
    <col min="6914" max="6914" width="16.42578125" style="217" customWidth="1"/>
    <col min="6915" max="6915" width="12.7109375" style="217" customWidth="1"/>
    <col min="6916" max="6916" width="12.7109375" style="217" bestFit="1" customWidth="1"/>
    <col min="6917" max="6917" width="8.28515625" style="217" customWidth="1"/>
    <col min="6918" max="6918" width="11.7109375" style="217" customWidth="1"/>
    <col min="6919" max="6919" width="10.28515625" style="217" customWidth="1"/>
    <col min="6920" max="6920" width="10" style="217" customWidth="1"/>
    <col min="6921" max="6922" width="9.7109375" style="217" customWidth="1"/>
    <col min="6923" max="6923" width="10.42578125" style="217" customWidth="1"/>
    <col min="6924" max="6924" width="11" style="217" customWidth="1"/>
    <col min="6925" max="6925" width="12" style="217" customWidth="1"/>
    <col min="6926" max="6926" width="13.42578125" style="217" customWidth="1"/>
    <col min="6927" max="7168" width="11.42578125" style="217"/>
    <col min="7169" max="7169" width="3.42578125" style="217" customWidth="1"/>
    <col min="7170" max="7170" width="16.42578125" style="217" customWidth="1"/>
    <col min="7171" max="7171" width="12.7109375" style="217" customWidth="1"/>
    <col min="7172" max="7172" width="12.7109375" style="217" bestFit="1" customWidth="1"/>
    <col min="7173" max="7173" width="8.28515625" style="217" customWidth="1"/>
    <col min="7174" max="7174" width="11.7109375" style="217" customWidth="1"/>
    <col min="7175" max="7175" width="10.28515625" style="217" customWidth="1"/>
    <col min="7176" max="7176" width="10" style="217" customWidth="1"/>
    <col min="7177" max="7178" width="9.7109375" style="217" customWidth="1"/>
    <col min="7179" max="7179" width="10.42578125" style="217" customWidth="1"/>
    <col min="7180" max="7180" width="11" style="217" customWidth="1"/>
    <col min="7181" max="7181" width="12" style="217" customWidth="1"/>
    <col min="7182" max="7182" width="13.42578125" style="217" customWidth="1"/>
    <col min="7183" max="7424" width="11.42578125" style="217"/>
    <col min="7425" max="7425" width="3.42578125" style="217" customWidth="1"/>
    <col min="7426" max="7426" width="16.42578125" style="217" customWidth="1"/>
    <col min="7427" max="7427" width="12.7109375" style="217" customWidth="1"/>
    <col min="7428" max="7428" width="12.7109375" style="217" bestFit="1" customWidth="1"/>
    <col min="7429" max="7429" width="8.28515625" style="217" customWidth="1"/>
    <col min="7430" max="7430" width="11.7109375" style="217" customWidth="1"/>
    <col min="7431" max="7431" width="10.28515625" style="217" customWidth="1"/>
    <col min="7432" max="7432" width="10" style="217" customWidth="1"/>
    <col min="7433" max="7434" width="9.7109375" style="217" customWidth="1"/>
    <col min="7435" max="7435" width="10.42578125" style="217" customWidth="1"/>
    <col min="7436" max="7436" width="11" style="217" customWidth="1"/>
    <col min="7437" max="7437" width="12" style="217" customWidth="1"/>
    <col min="7438" max="7438" width="13.42578125" style="217" customWidth="1"/>
    <col min="7439" max="7680" width="11.42578125" style="217"/>
    <col min="7681" max="7681" width="3.42578125" style="217" customWidth="1"/>
    <col min="7682" max="7682" width="16.42578125" style="217" customWidth="1"/>
    <col min="7683" max="7683" width="12.7109375" style="217" customWidth="1"/>
    <col min="7684" max="7684" width="12.7109375" style="217" bestFit="1" customWidth="1"/>
    <col min="7685" max="7685" width="8.28515625" style="217" customWidth="1"/>
    <col min="7686" max="7686" width="11.7109375" style="217" customWidth="1"/>
    <col min="7687" max="7687" width="10.28515625" style="217" customWidth="1"/>
    <col min="7688" max="7688" width="10" style="217" customWidth="1"/>
    <col min="7689" max="7690" width="9.7109375" style="217" customWidth="1"/>
    <col min="7691" max="7691" width="10.42578125" style="217" customWidth="1"/>
    <col min="7692" max="7692" width="11" style="217" customWidth="1"/>
    <col min="7693" max="7693" width="12" style="217" customWidth="1"/>
    <col min="7694" max="7694" width="13.42578125" style="217" customWidth="1"/>
    <col min="7695" max="7936" width="11.42578125" style="217"/>
    <col min="7937" max="7937" width="3.42578125" style="217" customWidth="1"/>
    <col min="7938" max="7938" width="16.42578125" style="217" customWidth="1"/>
    <col min="7939" max="7939" width="12.7109375" style="217" customWidth="1"/>
    <col min="7940" max="7940" width="12.7109375" style="217" bestFit="1" customWidth="1"/>
    <col min="7941" max="7941" width="8.28515625" style="217" customWidth="1"/>
    <col min="7942" max="7942" width="11.7109375" style="217" customWidth="1"/>
    <col min="7943" max="7943" width="10.28515625" style="217" customWidth="1"/>
    <col min="7944" max="7944" width="10" style="217" customWidth="1"/>
    <col min="7945" max="7946" width="9.7109375" style="217" customWidth="1"/>
    <col min="7947" max="7947" width="10.42578125" style="217" customWidth="1"/>
    <col min="7948" max="7948" width="11" style="217" customWidth="1"/>
    <col min="7949" max="7949" width="12" style="217" customWidth="1"/>
    <col min="7950" max="7950" width="13.42578125" style="217" customWidth="1"/>
    <col min="7951" max="8192" width="11.42578125" style="217"/>
    <col min="8193" max="8193" width="3.42578125" style="217" customWidth="1"/>
    <col min="8194" max="8194" width="16.42578125" style="217" customWidth="1"/>
    <col min="8195" max="8195" width="12.7109375" style="217" customWidth="1"/>
    <col min="8196" max="8196" width="12.7109375" style="217" bestFit="1" customWidth="1"/>
    <col min="8197" max="8197" width="8.28515625" style="217" customWidth="1"/>
    <col min="8198" max="8198" width="11.7109375" style="217" customWidth="1"/>
    <col min="8199" max="8199" width="10.28515625" style="217" customWidth="1"/>
    <col min="8200" max="8200" width="10" style="217" customWidth="1"/>
    <col min="8201" max="8202" width="9.7109375" style="217" customWidth="1"/>
    <col min="8203" max="8203" width="10.42578125" style="217" customWidth="1"/>
    <col min="8204" max="8204" width="11" style="217" customWidth="1"/>
    <col min="8205" max="8205" width="12" style="217" customWidth="1"/>
    <col min="8206" max="8206" width="13.42578125" style="217" customWidth="1"/>
    <col min="8207" max="8448" width="11.42578125" style="217"/>
    <col min="8449" max="8449" width="3.42578125" style="217" customWidth="1"/>
    <col min="8450" max="8450" width="16.42578125" style="217" customWidth="1"/>
    <col min="8451" max="8451" width="12.7109375" style="217" customWidth="1"/>
    <col min="8452" max="8452" width="12.7109375" style="217" bestFit="1" customWidth="1"/>
    <col min="8453" max="8453" width="8.28515625" style="217" customWidth="1"/>
    <col min="8454" max="8454" width="11.7109375" style="217" customWidth="1"/>
    <col min="8455" max="8455" width="10.28515625" style="217" customWidth="1"/>
    <col min="8456" max="8456" width="10" style="217" customWidth="1"/>
    <col min="8457" max="8458" width="9.7109375" style="217" customWidth="1"/>
    <col min="8459" max="8459" width="10.42578125" style="217" customWidth="1"/>
    <col min="8460" max="8460" width="11" style="217" customWidth="1"/>
    <col min="8461" max="8461" width="12" style="217" customWidth="1"/>
    <col min="8462" max="8462" width="13.42578125" style="217" customWidth="1"/>
    <col min="8463" max="8704" width="11.42578125" style="217"/>
    <col min="8705" max="8705" width="3.42578125" style="217" customWidth="1"/>
    <col min="8706" max="8706" width="16.42578125" style="217" customWidth="1"/>
    <col min="8707" max="8707" width="12.7109375" style="217" customWidth="1"/>
    <col min="8708" max="8708" width="12.7109375" style="217" bestFit="1" customWidth="1"/>
    <col min="8709" max="8709" width="8.28515625" style="217" customWidth="1"/>
    <col min="8710" max="8710" width="11.7109375" style="217" customWidth="1"/>
    <col min="8711" max="8711" width="10.28515625" style="217" customWidth="1"/>
    <col min="8712" max="8712" width="10" style="217" customWidth="1"/>
    <col min="8713" max="8714" width="9.7109375" style="217" customWidth="1"/>
    <col min="8715" max="8715" width="10.42578125" style="217" customWidth="1"/>
    <col min="8716" max="8716" width="11" style="217" customWidth="1"/>
    <col min="8717" max="8717" width="12" style="217" customWidth="1"/>
    <col min="8718" max="8718" width="13.42578125" style="217" customWidth="1"/>
    <col min="8719" max="8960" width="11.42578125" style="217"/>
    <col min="8961" max="8961" width="3.42578125" style="217" customWidth="1"/>
    <col min="8962" max="8962" width="16.42578125" style="217" customWidth="1"/>
    <col min="8963" max="8963" width="12.7109375" style="217" customWidth="1"/>
    <col min="8964" max="8964" width="12.7109375" style="217" bestFit="1" customWidth="1"/>
    <col min="8965" max="8965" width="8.28515625" style="217" customWidth="1"/>
    <col min="8966" max="8966" width="11.7109375" style="217" customWidth="1"/>
    <col min="8967" max="8967" width="10.28515625" style="217" customWidth="1"/>
    <col min="8968" max="8968" width="10" style="217" customWidth="1"/>
    <col min="8969" max="8970" width="9.7109375" style="217" customWidth="1"/>
    <col min="8971" max="8971" width="10.42578125" style="217" customWidth="1"/>
    <col min="8972" max="8972" width="11" style="217" customWidth="1"/>
    <col min="8973" max="8973" width="12" style="217" customWidth="1"/>
    <col min="8974" max="8974" width="13.42578125" style="217" customWidth="1"/>
    <col min="8975" max="9216" width="11.42578125" style="217"/>
    <col min="9217" max="9217" width="3.42578125" style="217" customWidth="1"/>
    <col min="9218" max="9218" width="16.42578125" style="217" customWidth="1"/>
    <col min="9219" max="9219" width="12.7109375" style="217" customWidth="1"/>
    <col min="9220" max="9220" width="12.7109375" style="217" bestFit="1" customWidth="1"/>
    <col min="9221" max="9221" width="8.28515625" style="217" customWidth="1"/>
    <col min="9222" max="9222" width="11.7109375" style="217" customWidth="1"/>
    <col min="9223" max="9223" width="10.28515625" style="217" customWidth="1"/>
    <col min="9224" max="9224" width="10" style="217" customWidth="1"/>
    <col min="9225" max="9226" width="9.7109375" style="217" customWidth="1"/>
    <col min="9227" max="9227" width="10.42578125" style="217" customWidth="1"/>
    <col min="9228" max="9228" width="11" style="217" customWidth="1"/>
    <col min="9229" max="9229" width="12" style="217" customWidth="1"/>
    <col min="9230" max="9230" width="13.42578125" style="217" customWidth="1"/>
    <col min="9231" max="9472" width="11.42578125" style="217"/>
    <col min="9473" max="9473" width="3.42578125" style="217" customWidth="1"/>
    <col min="9474" max="9474" width="16.42578125" style="217" customWidth="1"/>
    <col min="9475" max="9475" width="12.7109375" style="217" customWidth="1"/>
    <col min="9476" max="9476" width="12.7109375" style="217" bestFit="1" customWidth="1"/>
    <col min="9477" max="9477" width="8.28515625" style="217" customWidth="1"/>
    <col min="9478" max="9478" width="11.7109375" style="217" customWidth="1"/>
    <col min="9479" max="9479" width="10.28515625" style="217" customWidth="1"/>
    <col min="9480" max="9480" width="10" style="217" customWidth="1"/>
    <col min="9481" max="9482" width="9.7109375" style="217" customWidth="1"/>
    <col min="9483" max="9483" width="10.42578125" style="217" customWidth="1"/>
    <col min="9484" max="9484" width="11" style="217" customWidth="1"/>
    <col min="9485" max="9485" width="12" style="217" customWidth="1"/>
    <col min="9486" max="9486" width="13.42578125" style="217" customWidth="1"/>
    <col min="9487" max="9728" width="11.42578125" style="217"/>
    <col min="9729" max="9729" width="3.42578125" style="217" customWidth="1"/>
    <col min="9730" max="9730" width="16.42578125" style="217" customWidth="1"/>
    <col min="9731" max="9731" width="12.7109375" style="217" customWidth="1"/>
    <col min="9732" max="9732" width="12.7109375" style="217" bestFit="1" customWidth="1"/>
    <col min="9733" max="9733" width="8.28515625" style="217" customWidth="1"/>
    <col min="9734" max="9734" width="11.7109375" style="217" customWidth="1"/>
    <col min="9735" max="9735" width="10.28515625" style="217" customWidth="1"/>
    <col min="9736" max="9736" width="10" style="217" customWidth="1"/>
    <col min="9737" max="9738" width="9.7109375" style="217" customWidth="1"/>
    <col min="9739" max="9739" width="10.42578125" style="217" customWidth="1"/>
    <col min="9740" max="9740" width="11" style="217" customWidth="1"/>
    <col min="9741" max="9741" width="12" style="217" customWidth="1"/>
    <col min="9742" max="9742" width="13.42578125" style="217" customWidth="1"/>
    <col min="9743" max="9984" width="11.42578125" style="217"/>
    <col min="9985" max="9985" width="3.42578125" style="217" customWidth="1"/>
    <col min="9986" max="9986" width="16.42578125" style="217" customWidth="1"/>
    <col min="9987" max="9987" width="12.7109375" style="217" customWidth="1"/>
    <col min="9988" max="9988" width="12.7109375" style="217" bestFit="1" customWidth="1"/>
    <col min="9989" max="9989" width="8.28515625" style="217" customWidth="1"/>
    <col min="9990" max="9990" width="11.7109375" style="217" customWidth="1"/>
    <col min="9991" max="9991" width="10.28515625" style="217" customWidth="1"/>
    <col min="9992" max="9992" width="10" style="217" customWidth="1"/>
    <col min="9993" max="9994" width="9.7109375" style="217" customWidth="1"/>
    <col min="9995" max="9995" width="10.42578125" style="217" customWidth="1"/>
    <col min="9996" max="9996" width="11" style="217" customWidth="1"/>
    <col min="9997" max="9997" width="12" style="217" customWidth="1"/>
    <col min="9998" max="9998" width="13.42578125" style="217" customWidth="1"/>
    <col min="9999" max="10240" width="11.42578125" style="217"/>
    <col min="10241" max="10241" width="3.42578125" style="217" customWidth="1"/>
    <col min="10242" max="10242" width="16.42578125" style="217" customWidth="1"/>
    <col min="10243" max="10243" width="12.7109375" style="217" customWidth="1"/>
    <col min="10244" max="10244" width="12.7109375" style="217" bestFit="1" customWidth="1"/>
    <col min="10245" max="10245" width="8.28515625" style="217" customWidth="1"/>
    <col min="10246" max="10246" width="11.7109375" style="217" customWidth="1"/>
    <col min="10247" max="10247" width="10.28515625" style="217" customWidth="1"/>
    <col min="10248" max="10248" width="10" style="217" customWidth="1"/>
    <col min="10249" max="10250" width="9.7109375" style="217" customWidth="1"/>
    <col min="10251" max="10251" width="10.42578125" style="217" customWidth="1"/>
    <col min="10252" max="10252" width="11" style="217" customWidth="1"/>
    <col min="10253" max="10253" width="12" style="217" customWidth="1"/>
    <col min="10254" max="10254" width="13.42578125" style="217" customWidth="1"/>
    <col min="10255" max="10496" width="11.42578125" style="217"/>
    <col min="10497" max="10497" width="3.42578125" style="217" customWidth="1"/>
    <col min="10498" max="10498" width="16.42578125" style="217" customWidth="1"/>
    <col min="10499" max="10499" width="12.7109375" style="217" customWidth="1"/>
    <col min="10500" max="10500" width="12.7109375" style="217" bestFit="1" customWidth="1"/>
    <col min="10501" max="10501" width="8.28515625" style="217" customWidth="1"/>
    <col min="10502" max="10502" width="11.7109375" style="217" customWidth="1"/>
    <col min="10503" max="10503" width="10.28515625" style="217" customWidth="1"/>
    <col min="10504" max="10504" width="10" style="217" customWidth="1"/>
    <col min="10505" max="10506" width="9.7109375" style="217" customWidth="1"/>
    <col min="10507" max="10507" width="10.42578125" style="217" customWidth="1"/>
    <col min="10508" max="10508" width="11" style="217" customWidth="1"/>
    <col min="10509" max="10509" width="12" style="217" customWidth="1"/>
    <col min="10510" max="10510" width="13.42578125" style="217" customWidth="1"/>
    <col min="10511" max="10752" width="11.42578125" style="217"/>
    <col min="10753" max="10753" width="3.42578125" style="217" customWidth="1"/>
    <col min="10754" max="10754" width="16.42578125" style="217" customWidth="1"/>
    <col min="10755" max="10755" width="12.7109375" style="217" customWidth="1"/>
    <col min="10756" max="10756" width="12.7109375" style="217" bestFit="1" customWidth="1"/>
    <col min="10757" max="10757" width="8.28515625" style="217" customWidth="1"/>
    <col min="10758" max="10758" width="11.7109375" style="217" customWidth="1"/>
    <col min="10759" max="10759" width="10.28515625" style="217" customWidth="1"/>
    <col min="10760" max="10760" width="10" style="217" customWidth="1"/>
    <col min="10761" max="10762" width="9.7109375" style="217" customWidth="1"/>
    <col min="10763" max="10763" width="10.42578125" style="217" customWidth="1"/>
    <col min="10764" max="10764" width="11" style="217" customWidth="1"/>
    <col min="10765" max="10765" width="12" style="217" customWidth="1"/>
    <col min="10766" max="10766" width="13.42578125" style="217" customWidth="1"/>
    <col min="10767" max="11008" width="11.42578125" style="217"/>
    <col min="11009" max="11009" width="3.42578125" style="217" customWidth="1"/>
    <col min="11010" max="11010" width="16.42578125" style="217" customWidth="1"/>
    <col min="11011" max="11011" width="12.7109375" style="217" customWidth="1"/>
    <col min="11012" max="11012" width="12.7109375" style="217" bestFit="1" customWidth="1"/>
    <col min="11013" max="11013" width="8.28515625" style="217" customWidth="1"/>
    <col min="11014" max="11014" width="11.7109375" style="217" customWidth="1"/>
    <col min="11015" max="11015" width="10.28515625" style="217" customWidth="1"/>
    <col min="11016" max="11016" width="10" style="217" customWidth="1"/>
    <col min="11017" max="11018" width="9.7109375" style="217" customWidth="1"/>
    <col min="11019" max="11019" width="10.42578125" style="217" customWidth="1"/>
    <col min="11020" max="11020" width="11" style="217" customWidth="1"/>
    <col min="11021" max="11021" width="12" style="217" customWidth="1"/>
    <col min="11022" max="11022" width="13.42578125" style="217" customWidth="1"/>
    <col min="11023" max="11264" width="11.42578125" style="217"/>
    <col min="11265" max="11265" width="3.42578125" style="217" customWidth="1"/>
    <col min="11266" max="11266" width="16.42578125" style="217" customWidth="1"/>
    <col min="11267" max="11267" width="12.7109375" style="217" customWidth="1"/>
    <col min="11268" max="11268" width="12.7109375" style="217" bestFit="1" customWidth="1"/>
    <col min="11269" max="11269" width="8.28515625" style="217" customWidth="1"/>
    <col min="11270" max="11270" width="11.7109375" style="217" customWidth="1"/>
    <col min="11271" max="11271" width="10.28515625" style="217" customWidth="1"/>
    <col min="11272" max="11272" width="10" style="217" customWidth="1"/>
    <col min="11273" max="11274" width="9.7109375" style="217" customWidth="1"/>
    <col min="11275" max="11275" width="10.42578125" style="217" customWidth="1"/>
    <col min="11276" max="11276" width="11" style="217" customWidth="1"/>
    <col min="11277" max="11277" width="12" style="217" customWidth="1"/>
    <col min="11278" max="11278" width="13.42578125" style="217" customWidth="1"/>
    <col min="11279" max="11520" width="11.42578125" style="217"/>
    <col min="11521" max="11521" width="3.42578125" style="217" customWidth="1"/>
    <col min="11522" max="11522" width="16.42578125" style="217" customWidth="1"/>
    <col min="11523" max="11523" width="12.7109375" style="217" customWidth="1"/>
    <col min="11524" max="11524" width="12.7109375" style="217" bestFit="1" customWidth="1"/>
    <col min="11525" max="11525" width="8.28515625" style="217" customWidth="1"/>
    <col min="11526" max="11526" width="11.7109375" style="217" customWidth="1"/>
    <col min="11527" max="11527" width="10.28515625" style="217" customWidth="1"/>
    <col min="11528" max="11528" width="10" style="217" customWidth="1"/>
    <col min="11529" max="11530" width="9.7109375" style="217" customWidth="1"/>
    <col min="11531" max="11531" width="10.42578125" style="217" customWidth="1"/>
    <col min="11532" max="11532" width="11" style="217" customWidth="1"/>
    <col min="11533" max="11533" width="12" style="217" customWidth="1"/>
    <col min="11534" max="11534" width="13.42578125" style="217" customWidth="1"/>
    <col min="11535" max="11776" width="11.42578125" style="217"/>
    <col min="11777" max="11777" width="3.42578125" style="217" customWidth="1"/>
    <col min="11778" max="11778" width="16.42578125" style="217" customWidth="1"/>
    <col min="11779" max="11779" width="12.7109375" style="217" customWidth="1"/>
    <col min="11780" max="11780" width="12.7109375" style="217" bestFit="1" customWidth="1"/>
    <col min="11781" max="11781" width="8.28515625" style="217" customWidth="1"/>
    <col min="11782" max="11782" width="11.7109375" style="217" customWidth="1"/>
    <col min="11783" max="11783" width="10.28515625" style="217" customWidth="1"/>
    <col min="11784" max="11784" width="10" style="217" customWidth="1"/>
    <col min="11785" max="11786" width="9.7109375" style="217" customWidth="1"/>
    <col min="11787" max="11787" width="10.42578125" style="217" customWidth="1"/>
    <col min="11788" max="11788" width="11" style="217" customWidth="1"/>
    <col min="11789" max="11789" width="12" style="217" customWidth="1"/>
    <col min="11790" max="11790" width="13.42578125" style="217" customWidth="1"/>
    <col min="11791" max="12032" width="11.42578125" style="217"/>
    <col min="12033" max="12033" width="3.42578125" style="217" customWidth="1"/>
    <col min="12034" max="12034" width="16.42578125" style="217" customWidth="1"/>
    <col min="12035" max="12035" width="12.7109375" style="217" customWidth="1"/>
    <col min="12036" max="12036" width="12.7109375" style="217" bestFit="1" customWidth="1"/>
    <col min="12037" max="12037" width="8.28515625" style="217" customWidth="1"/>
    <col min="12038" max="12038" width="11.7109375" style="217" customWidth="1"/>
    <col min="12039" max="12039" width="10.28515625" style="217" customWidth="1"/>
    <col min="12040" max="12040" width="10" style="217" customWidth="1"/>
    <col min="12041" max="12042" width="9.7109375" style="217" customWidth="1"/>
    <col min="12043" max="12043" width="10.42578125" style="217" customWidth="1"/>
    <col min="12044" max="12044" width="11" style="217" customWidth="1"/>
    <col min="12045" max="12045" width="12" style="217" customWidth="1"/>
    <col min="12046" max="12046" width="13.42578125" style="217" customWidth="1"/>
    <col min="12047" max="12288" width="11.42578125" style="217"/>
    <col min="12289" max="12289" width="3.42578125" style="217" customWidth="1"/>
    <col min="12290" max="12290" width="16.42578125" style="217" customWidth="1"/>
    <col min="12291" max="12291" width="12.7109375" style="217" customWidth="1"/>
    <col min="12292" max="12292" width="12.7109375" style="217" bestFit="1" customWidth="1"/>
    <col min="12293" max="12293" width="8.28515625" style="217" customWidth="1"/>
    <col min="12294" max="12294" width="11.7109375" style="217" customWidth="1"/>
    <col min="12295" max="12295" width="10.28515625" style="217" customWidth="1"/>
    <col min="12296" max="12296" width="10" style="217" customWidth="1"/>
    <col min="12297" max="12298" width="9.7109375" style="217" customWidth="1"/>
    <col min="12299" max="12299" width="10.42578125" style="217" customWidth="1"/>
    <col min="12300" max="12300" width="11" style="217" customWidth="1"/>
    <col min="12301" max="12301" width="12" style="217" customWidth="1"/>
    <col min="12302" max="12302" width="13.42578125" style="217" customWidth="1"/>
    <col min="12303" max="12544" width="11.42578125" style="217"/>
    <col min="12545" max="12545" width="3.42578125" style="217" customWidth="1"/>
    <col min="12546" max="12546" width="16.42578125" style="217" customWidth="1"/>
    <col min="12547" max="12547" width="12.7109375" style="217" customWidth="1"/>
    <col min="12548" max="12548" width="12.7109375" style="217" bestFit="1" customWidth="1"/>
    <col min="12549" max="12549" width="8.28515625" style="217" customWidth="1"/>
    <col min="12550" max="12550" width="11.7109375" style="217" customWidth="1"/>
    <col min="12551" max="12551" width="10.28515625" style="217" customWidth="1"/>
    <col min="12552" max="12552" width="10" style="217" customWidth="1"/>
    <col min="12553" max="12554" width="9.7109375" style="217" customWidth="1"/>
    <col min="12555" max="12555" width="10.42578125" style="217" customWidth="1"/>
    <col min="12556" max="12556" width="11" style="217" customWidth="1"/>
    <col min="12557" max="12557" width="12" style="217" customWidth="1"/>
    <col min="12558" max="12558" width="13.42578125" style="217" customWidth="1"/>
    <col min="12559" max="12800" width="11.42578125" style="217"/>
    <col min="12801" max="12801" width="3.42578125" style="217" customWidth="1"/>
    <col min="12802" max="12802" width="16.42578125" style="217" customWidth="1"/>
    <col min="12803" max="12803" width="12.7109375" style="217" customWidth="1"/>
    <col min="12804" max="12804" width="12.7109375" style="217" bestFit="1" customWidth="1"/>
    <col min="12805" max="12805" width="8.28515625" style="217" customWidth="1"/>
    <col min="12806" max="12806" width="11.7109375" style="217" customWidth="1"/>
    <col min="12807" max="12807" width="10.28515625" style="217" customWidth="1"/>
    <col min="12808" max="12808" width="10" style="217" customWidth="1"/>
    <col min="12809" max="12810" width="9.7109375" style="217" customWidth="1"/>
    <col min="12811" max="12811" width="10.42578125" style="217" customWidth="1"/>
    <col min="12812" max="12812" width="11" style="217" customWidth="1"/>
    <col min="12813" max="12813" width="12" style="217" customWidth="1"/>
    <col min="12814" max="12814" width="13.42578125" style="217" customWidth="1"/>
    <col min="12815" max="13056" width="11.42578125" style="217"/>
    <col min="13057" max="13057" width="3.42578125" style="217" customWidth="1"/>
    <col min="13058" max="13058" width="16.42578125" style="217" customWidth="1"/>
    <col min="13059" max="13059" width="12.7109375" style="217" customWidth="1"/>
    <col min="13060" max="13060" width="12.7109375" style="217" bestFit="1" customWidth="1"/>
    <col min="13061" max="13061" width="8.28515625" style="217" customWidth="1"/>
    <col min="13062" max="13062" width="11.7109375" style="217" customWidth="1"/>
    <col min="13063" max="13063" width="10.28515625" style="217" customWidth="1"/>
    <col min="13064" max="13064" width="10" style="217" customWidth="1"/>
    <col min="13065" max="13066" width="9.7109375" style="217" customWidth="1"/>
    <col min="13067" max="13067" width="10.42578125" style="217" customWidth="1"/>
    <col min="13068" max="13068" width="11" style="217" customWidth="1"/>
    <col min="13069" max="13069" width="12" style="217" customWidth="1"/>
    <col min="13070" max="13070" width="13.42578125" style="217" customWidth="1"/>
    <col min="13071" max="13312" width="11.42578125" style="217"/>
    <col min="13313" max="13313" width="3.42578125" style="217" customWidth="1"/>
    <col min="13314" max="13314" width="16.42578125" style="217" customWidth="1"/>
    <col min="13315" max="13315" width="12.7109375" style="217" customWidth="1"/>
    <col min="13316" max="13316" width="12.7109375" style="217" bestFit="1" customWidth="1"/>
    <col min="13317" max="13317" width="8.28515625" style="217" customWidth="1"/>
    <col min="13318" max="13318" width="11.7109375" style="217" customWidth="1"/>
    <col min="13319" max="13319" width="10.28515625" style="217" customWidth="1"/>
    <col min="13320" max="13320" width="10" style="217" customWidth="1"/>
    <col min="13321" max="13322" width="9.7109375" style="217" customWidth="1"/>
    <col min="13323" max="13323" width="10.42578125" style="217" customWidth="1"/>
    <col min="13324" max="13324" width="11" style="217" customWidth="1"/>
    <col min="13325" max="13325" width="12" style="217" customWidth="1"/>
    <col min="13326" max="13326" width="13.42578125" style="217" customWidth="1"/>
    <col min="13327" max="13568" width="11.42578125" style="217"/>
    <col min="13569" max="13569" width="3.42578125" style="217" customWidth="1"/>
    <col min="13570" max="13570" width="16.42578125" style="217" customWidth="1"/>
    <col min="13571" max="13571" width="12.7109375" style="217" customWidth="1"/>
    <col min="13572" max="13572" width="12.7109375" style="217" bestFit="1" customWidth="1"/>
    <col min="13573" max="13573" width="8.28515625" style="217" customWidth="1"/>
    <col min="13574" max="13574" width="11.7109375" style="217" customWidth="1"/>
    <col min="13575" max="13575" width="10.28515625" style="217" customWidth="1"/>
    <col min="13576" max="13576" width="10" style="217" customWidth="1"/>
    <col min="13577" max="13578" width="9.7109375" style="217" customWidth="1"/>
    <col min="13579" max="13579" width="10.42578125" style="217" customWidth="1"/>
    <col min="13580" max="13580" width="11" style="217" customWidth="1"/>
    <col min="13581" max="13581" width="12" style="217" customWidth="1"/>
    <col min="13582" max="13582" width="13.42578125" style="217" customWidth="1"/>
    <col min="13583" max="13824" width="11.42578125" style="217"/>
    <col min="13825" max="13825" width="3.42578125" style="217" customWidth="1"/>
    <col min="13826" max="13826" width="16.42578125" style="217" customWidth="1"/>
    <col min="13827" max="13827" width="12.7109375" style="217" customWidth="1"/>
    <col min="13828" max="13828" width="12.7109375" style="217" bestFit="1" customWidth="1"/>
    <col min="13829" max="13829" width="8.28515625" style="217" customWidth="1"/>
    <col min="13830" max="13830" width="11.7109375" style="217" customWidth="1"/>
    <col min="13831" max="13831" width="10.28515625" style="217" customWidth="1"/>
    <col min="13832" max="13832" width="10" style="217" customWidth="1"/>
    <col min="13833" max="13834" width="9.7109375" style="217" customWidth="1"/>
    <col min="13835" max="13835" width="10.42578125" style="217" customWidth="1"/>
    <col min="13836" max="13836" width="11" style="217" customWidth="1"/>
    <col min="13837" max="13837" width="12" style="217" customWidth="1"/>
    <col min="13838" max="13838" width="13.42578125" style="217" customWidth="1"/>
    <col min="13839" max="14080" width="11.42578125" style="217"/>
    <col min="14081" max="14081" width="3.42578125" style="217" customWidth="1"/>
    <col min="14082" max="14082" width="16.42578125" style="217" customWidth="1"/>
    <col min="14083" max="14083" width="12.7109375" style="217" customWidth="1"/>
    <col min="14084" max="14084" width="12.7109375" style="217" bestFit="1" customWidth="1"/>
    <col min="14085" max="14085" width="8.28515625" style="217" customWidth="1"/>
    <col min="14086" max="14086" width="11.7109375" style="217" customWidth="1"/>
    <col min="14087" max="14087" width="10.28515625" style="217" customWidth="1"/>
    <col min="14088" max="14088" width="10" style="217" customWidth="1"/>
    <col min="14089" max="14090" width="9.7109375" style="217" customWidth="1"/>
    <col min="14091" max="14091" width="10.42578125" style="217" customWidth="1"/>
    <col min="14092" max="14092" width="11" style="217" customWidth="1"/>
    <col min="14093" max="14093" width="12" style="217" customWidth="1"/>
    <col min="14094" max="14094" width="13.42578125" style="217" customWidth="1"/>
    <col min="14095" max="14336" width="11.42578125" style="217"/>
    <col min="14337" max="14337" width="3.42578125" style="217" customWidth="1"/>
    <col min="14338" max="14338" width="16.42578125" style="217" customWidth="1"/>
    <col min="14339" max="14339" width="12.7109375" style="217" customWidth="1"/>
    <col min="14340" max="14340" width="12.7109375" style="217" bestFit="1" customWidth="1"/>
    <col min="14341" max="14341" width="8.28515625" style="217" customWidth="1"/>
    <col min="14342" max="14342" width="11.7109375" style="217" customWidth="1"/>
    <col min="14343" max="14343" width="10.28515625" style="217" customWidth="1"/>
    <col min="14344" max="14344" width="10" style="217" customWidth="1"/>
    <col min="14345" max="14346" width="9.7109375" style="217" customWidth="1"/>
    <col min="14347" max="14347" width="10.42578125" style="217" customWidth="1"/>
    <col min="14348" max="14348" width="11" style="217" customWidth="1"/>
    <col min="14349" max="14349" width="12" style="217" customWidth="1"/>
    <col min="14350" max="14350" width="13.42578125" style="217" customWidth="1"/>
    <col min="14351" max="14592" width="11.42578125" style="217"/>
    <col min="14593" max="14593" width="3.42578125" style="217" customWidth="1"/>
    <col min="14594" max="14594" width="16.42578125" style="217" customWidth="1"/>
    <col min="14595" max="14595" width="12.7109375" style="217" customWidth="1"/>
    <col min="14596" max="14596" width="12.7109375" style="217" bestFit="1" customWidth="1"/>
    <col min="14597" max="14597" width="8.28515625" style="217" customWidth="1"/>
    <col min="14598" max="14598" width="11.7109375" style="217" customWidth="1"/>
    <col min="14599" max="14599" width="10.28515625" style="217" customWidth="1"/>
    <col min="14600" max="14600" width="10" style="217" customWidth="1"/>
    <col min="14601" max="14602" width="9.7109375" style="217" customWidth="1"/>
    <col min="14603" max="14603" width="10.42578125" style="217" customWidth="1"/>
    <col min="14604" max="14604" width="11" style="217" customWidth="1"/>
    <col min="14605" max="14605" width="12" style="217" customWidth="1"/>
    <col min="14606" max="14606" width="13.42578125" style="217" customWidth="1"/>
    <col min="14607" max="14848" width="11.42578125" style="217"/>
    <col min="14849" max="14849" width="3.42578125" style="217" customWidth="1"/>
    <col min="14850" max="14850" width="16.42578125" style="217" customWidth="1"/>
    <col min="14851" max="14851" width="12.7109375" style="217" customWidth="1"/>
    <col min="14852" max="14852" width="12.7109375" style="217" bestFit="1" customWidth="1"/>
    <col min="14853" max="14853" width="8.28515625" style="217" customWidth="1"/>
    <col min="14854" max="14854" width="11.7109375" style="217" customWidth="1"/>
    <col min="14855" max="14855" width="10.28515625" style="217" customWidth="1"/>
    <col min="14856" max="14856" width="10" style="217" customWidth="1"/>
    <col min="14857" max="14858" width="9.7109375" style="217" customWidth="1"/>
    <col min="14859" max="14859" width="10.42578125" style="217" customWidth="1"/>
    <col min="14860" max="14860" width="11" style="217" customWidth="1"/>
    <col min="14861" max="14861" width="12" style="217" customWidth="1"/>
    <col min="14862" max="14862" width="13.42578125" style="217" customWidth="1"/>
    <col min="14863" max="15104" width="11.42578125" style="217"/>
    <col min="15105" max="15105" width="3.42578125" style="217" customWidth="1"/>
    <col min="15106" max="15106" width="16.42578125" style="217" customWidth="1"/>
    <col min="15107" max="15107" width="12.7109375" style="217" customWidth="1"/>
    <col min="15108" max="15108" width="12.7109375" style="217" bestFit="1" customWidth="1"/>
    <col min="15109" max="15109" width="8.28515625" style="217" customWidth="1"/>
    <col min="15110" max="15110" width="11.7109375" style="217" customWidth="1"/>
    <col min="15111" max="15111" width="10.28515625" style="217" customWidth="1"/>
    <col min="15112" max="15112" width="10" style="217" customWidth="1"/>
    <col min="15113" max="15114" width="9.7109375" style="217" customWidth="1"/>
    <col min="15115" max="15115" width="10.42578125" style="217" customWidth="1"/>
    <col min="15116" max="15116" width="11" style="217" customWidth="1"/>
    <col min="15117" max="15117" width="12" style="217" customWidth="1"/>
    <col min="15118" max="15118" width="13.42578125" style="217" customWidth="1"/>
    <col min="15119" max="15360" width="11.42578125" style="217"/>
    <col min="15361" max="15361" width="3.42578125" style="217" customWidth="1"/>
    <col min="15362" max="15362" width="16.42578125" style="217" customWidth="1"/>
    <col min="15363" max="15363" width="12.7109375" style="217" customWidth="1"/>
    <col min="15364" max="15364" width="12.7109375" style="217" bestFit="1" customWidth="1"/>
    <col min="15365" max="15365" width="8.28515625" style="217" customWidth="1"/>
    <col min="15366" max="15366" width="11.7109375" style="217" customWidth="1"/>
    <col min="15367" max="15367" width="10.28515625" style="217" customWidth="1"/>
    <col min="15368" max="15368" width="10" style="217" customWidth="1"/>
    <col min="15369" max="15370" width="9.7109375" style="217" customWidth="1"/>
    <col min="15371" max="15371" width="10.42578125" style="217" customWidth="1"/>
    <col min="15372" max="15372" width="11" style="217" customWidth="1"/>
    <col min="15373" max="15373" width="12" style="217" customWidth="1"/>
    <col min="15374" max="15374" width="13.42578125" style="217" customWidth="1"/>
    <col min="15375" max="15616" width="11.42578125" style="217"/>
    <col min="15617" max="15617" width="3.42578125" style="217" customWidth="1"/>
    <col min="15618" max="15618" width="16.42578125" style="217" customWidth="1"/>
    <col min="15619" max="15619" width="12.7109375" style="217" customWidth="1"/>
    <col min="15620" max="15620" width="12.7109375" style="217" bestFit="1" customWidth="1"/>
    <col min="15621" max="15621" width="8.28515625" style="217" customWidth="1"/>
    <col min="15622" max="15622" width="11.7109375" style="217" customWidth="1"/>
    <col min="15623" max="15623" width="10.28515625" style="217" customWidth="1"/>
    <col min="15624" max="15624" width="10" style="217" customWidth="1"/>
    <col min="15625" max="15626" width="9.7109375" style="217" customWidth="1"/>
    <col min="15627" max="15627" width="10.42578125" style="217" customWidth="1"/>
    <col min="15628" max="15628" width="11" style="217" customWidth="1"/>
    <col min="15629" max="15629" width="12" style="217" customWidth="1"/>
    <col min="15630" max="15630" width="13.42578125" style="217" customWidth="1"/>
    <col min="15631" max="15872" width="11.42578125" style="217"/>
    <col min="15873" max="15873" width="3.42578125" style="217" customWidth="1"/>
    <col min="15874" max="15874" width="16.42578125" style="217" customWidth="1"/>
    <col min="15875" max="15875" width="12.7109375" style="217" customWidth="1"/>
    <col min="15876" max="15876" width="12.7109375" style="217" bestFit="1" customWidth="1"/>
    <col min="15877" max="15877" width="8.28515625" style="217" customWidth="1"/>
    <col min="15878" max="15878" width="11.7109375" style="217" customWidth="1"/>
    <col min="15879" max="15879" width="10.28515625" style="217" customWidth="1"/>
    <col min="15880" max="15880" width="10" style="217" customWidth="1"/>
    <col min="15881" max="15882" width="9.7109375" style="217" customWidth="1"/>
    <col min="15883" max="15883" width="10.42578125" style="217" customWidth="1"/>
    <col min="15884" max="15884" width="11" style="217" customWidth="1"/>
    <col min="15885" max="15885" width="12" style="217" customWidth="1"/>
    <col min="15886" max="15886" width="13.42578125" style="217" customWidth="1"/>
    <col min="15887" max="16128" width="11.42578125" style="217"/>
    <col min="16129" max="16129" width="3.42578125" style="217" customWidth="1"/>
    <col min="16130" max="16130" width="16.42578125" style="217" customWidth="1"/>
    <col min="16131" max="16131" width="12.7109375" style="217" customWidth="1"/>
    <col min="16132" max="16132" width="12.7109375" style="217" bestFit="1" customWidth="1"/>
    <col min="16133" max="16133" width="8.28515625" style="217" customWidth="1"/>
    <col min="16134" max="16134" width="11.7109375" style="217" customWidth="1"/>
    <col min="16135" max="16135" width="10.28515625" style="217" customWidth="1"/>
    <col min="16136" max="16136" width="10" style="217" customWidth="1"/>
    <col min="16137" max="16138" width="9.7109375" style="217" customWidth="1"/>
    <col min="16139" max="16139" width="10.42578125" style="217" customWidth="1"/>
    <col min="16140" max="16140" width="11" style="217" customWidth="1"/>
    <col min="16141" max="16141" width="12" style="217" customWidth="1"/>
    <col min="16142" max="16142" width="13.42578125" style="217" customWidth="1"/>
    <col min="16143" max="16384" width="11.42578125" style="217"/>
  </cols>
  <sheetData>
    <row r="1" spans="2:14">
      <c r="B1" s="2660" t="s">
        <v>960</v>
      </c>
      <c r="C1" s="2660"/>
      <c r="D1" s="2660"/>
      <c r="E1" s="2660"/>
      <c r="F1" s="2660"/>
      <c r="G1" s="2660"/>
      <c r="H1" s="2660"/>
      <c r="I1" s="2660"/>
      <c r="J1" s="2660"/>
      <c r="K1" s="2660"/>
      <c r="L1" s="2660"/>
      <c r="M1" s="2660"/>
      <c r="N1" s="2660"/>
    </row>
    <row r="2" spans="2:14">
      <c r="B2" s="2660"/>
      <c r="C2" s="2660"/>
      <c r="D2" s="2660"/>
      <c r="E2" s="2660"/>
      <c r="F2" s="2660"/>
      <c r="G2" s="2660"/>
      <c r="H2" s="2660"/>
      <c r="I2" s="2660"/>
      <c r="J2" s="2660"/>
      <c r="K2" s="2660"/>
      <c r="L2" s="2660"/>
      <c r="M2" s="2660"/>
      <c r="N2" s="2660"/>
    </row>
    <row r="3" spans="2:14">
      <c r="B3" s="219" t="s">
        <v>964</v>
      </c>
      <c r="C3" s="216" t="s">
        <v>1260</v>
      </c>
    </row>
    <row r="4" spans="2:14">
      <c r="B4" s="219" t="s">
        <v>177</v>
      </c>
      <c r="C4" s="216">
        <v>3799657</v>
      </c>
    </row>
    <row r="5" spans="2:14">
      <c r="B5" s="219" t="s">
        <v>291</v>
      </c>
      <c r="C5" s="216" t="s">
        <v>243</v>
      </c>
    </row>
    <row r="6" spans="2:14" ht="13.5">
      <c r="B6" s="1526" t="s">
        <v>1261</v>
      </c>
      <c r="C6" s="807">
        <v>44183</v>
      </c>
      <c r="H6" s="225"/>
      <c r="I6" s="225"/>
      <c r="J6" s="225"/>
      <c r="K6" s="225"/>
      <c r="L6" s="225"/>
      <c r="M6" s="225"/>
      <c r="N6" s="225"/>
    </row>
    <row r="7" spans="2:14" ht="13.5">
      <c r="B7" s="1527"/>
      <c r="C7" s="1528"/>
      <c r="H7" s="225"/>
      <c r="I7" s="225"/>
      <c r="J7" s="225"/>
      <c r="K7" s="225"/>
      <c r="L7" s="225"/>
      <c r="M7" s="225"/>
      <c r="N7" s="225"/>
    </row>
    <row r="8" spans="2:14" ht="11.25" customHeight="1">
      <c r="B8" s="226" t="s">
        <v>76</v>
      </c>
      <c r="C8" s="227">
        <v>100</v>
      </c>
      <c r="E8" s="234"/>
      <c r="F8" s="235"/>
      <c r="G8" s="234"/>
      <c r="H8" s="235"/>
      <c r="I8" s="235"/>
      <c r="J8" s="235"/>
      <c r="K8" s="235"/>
      <c r="L8" s="235"/>
      <c r="M8" s="235"/>
      <c r="N8" s="235"/>
    </row>
    <row r="9" spans="2:14">
      <c r="B9" s="226" t="s">
        <v>11</v>
      </c>
      <c r="C9" s="351" t="s">
        <v>12</v>
      </c>
      <c r="D9" s="226" t="s">
        <v>76</v>
      </c>
      <c r="E9" s="226" t="s">
        <v>77</v>
      </c>
      <c r="F9" s="351" t="s">
        <v>57</v>
      </c>
      <c r="G9" s="349"/>
    </row>
    <row r="10" spans="2:14">
      <c r="B10" s="233" t="s">
        <v>29</v>
      </c>
      <c r="C10" s="231">
        <v>2062098</v>
      </c>
      <c r="D10" s="232">
        <v>81.900000000000006</v>
      </c>
      <c r="E10" s="233">
        <f>$C8/D10</f>
        <v>1.2210012210012209</v>
      </c>
      <c r="F10" s="231">
        <f>INT(C10*E10)</f>
        <v>2517824</v>
      </c>
      <c r="G10" s="234"/>
    </row>
    <row r="11" spans="2:14">
      <c r="B11" s="233" t="s">
        <v>31</v>
      </c>
      <c r="C11" s="231">
        <v>2062098</v>
      </c>
      <c r="D11" s="232">
        <v>82.01</v>
      </c>
      <c r="E11" s="233">
        <f>$C8/D11</f>
        <v>1.2193634922570418</v>
      </c>
      <c r="F11" s="231">
        <f t="shared" ref="F11:F19" si="0">INT(C11*E11)</f>
        <v>2514447</v>
      </c>
      <c r="G11" s="234"/>
    </row>
    <row r="12" spans="2:14">
      <c r="B12" s="233" t="s">
        <v>33</v>
      </c>
      <c r="C12" s="231">
        <v>2062098</v>
      </c>
      <c r="D12" s="232">
        <v>82.14</v>
      </c>
      <c r="E12" s="233">
        <f>$C8/D12</f>
        <v>1.2174336498660823</v>
      </c>
      <c r="F12" s="231">
        <f t="shared" si="0"/>
        <v>2510467</v>
      </c>
      <c r="G12" s="234"/>
    </row>
    <row r="13" spans="2:14">
      <c r="B13" s="233" t="s">
        <v>34</v>
      </c>
      <c r="C13" s="231">
        <v>2062098</v>
      </c>
      <c r="D13" s="232">
        <v>82.25</v>
      </c>
      <c r="E13" s="233">
        <f>$C8/D13</f>
        <v>1.21580547112462</v>
      </c>
      <c r="F13" s="231">
        <f t="shared" si="0"/>
        <v>2507110</v>
      </c>
      <c r="G13" s="234"/>
    </row>
    <row r="14" spans="2:14">
      <c r="B14" s="233" t="s">
        <v>35</v>
      </c>
      <c r="C14" s="231">
        <v>2062098</v>
      </c>
      <c r="D14" s="232">
        <v>82.47</v>
      </c>
      <c r="E14" s="233">
        <f>$C8/D14</f>
        <v>1.2125621438098704</v>
      </c>
      <c r="F14" s="231">
        <f t="shared" si="0"/>
        <v>2500421</v>
      </c>
      <c r="G14" s="234"/>
    </row>
    <row r="15" spans="2:14" ht="22.5">
      <c r="B15" s="508" t="s">
        <v>1262</v>
      </c>
      <c r="C15" s="231">
        <v>429604</v>
      </c>
      <c r="D15" s="232">
        <v>81.73</v>
      </c>
      <c r="E15" s="233">
        <f>$C8/D15</f>
        <v>1.223540927444023</v>
      </c>
      <c r="F15" s="231">
        <f t="shared" si="0"/>
        <v>525638</v>
      </c>
      <c r="G15" s="234"/>
    </row>
    <row r="16" spans="2:14" ht="22.5">
      <c r="B16" s="508" t="s">
        <v>1263</v>
      </c>
      <c r="C16" s="231">
        <v>437062</v>
      </c>
      <c r="D16" s="232">
        <v>82.47</v>
      </c>
      <c r="E16" s="233">
        <f>$C8/D16</f>
        <v>1.2125621438098704</v>
      </c>
      <c r="F16" s="231">
        <f t="shared" si="0"/>
        <v>529964</v>
      </c>
      <c r="G16" s="234"/>
    </row>
    <row r="17" spans="2:14" ht="33.75">
      <c r="B17" s="508" t="s">
        <v>1264</v>
      </c>
      <c r="C17" s="231">
        <v>57281</v>
      </c>
      <c r="D17" s="232">
        <v>82.47</v>
      </c>
      <c r="E17" s="233">
        <f>$C8/D17</f>
        <v>1.2125621438098704</v>
      </c>
      <c r="F17" s="231">
        <f t="shared" si="0"/>
        <v>69456</v>
      </c>
      <c r="G17" s="234"/>
    </row>
    <row r="18" spans="2:14" ht="22.5">
      <c r="B18" s="508" t="s">
        <v>992</v>
      </c>
      <c r="C18" s="231">
        <v>611887</v>
      </c>
      <c r="D18" s="232">
        <v>82.47</v>
      </c>
      <c r="E18" s="233">
        <f>$C8/D18</f>
        <v>1.2125621438098704</v>
      </c>
      <c r="F18" s="231">
        <f t="shared" si="0"/>
        <v>741951</v>
      </c>
      <c r="G18" s="234"/>
    </row>
    <row r="19" spans="2:14" ht="22.5">
      <c r="B19" s="508" t="s">
        <v>1265</v>
      </c>
      <c r="C19" s="231">
        <v>889300</v>
      </c>
      <c r="D19" s="232">
        <v>82.47</v>
      </c>
      <c r="E19" s="233">
        <f>$C8/D19</f>
        <v>1.2125621438098704</v>
      </c>
      <c r="F19" s="231">
        <f t="shared" si="0"/>
        <v>1078331</v>
      </c>
      <c r="G19" s="234"/>
    </row>
    <row r="20" spans="2:14">
      <c r="B20" s="233" t="s">
        <v>96</v>
      </c>
      <c r="C20" s="231"/>
      <c r="D20" s="232"/>
      <c r="E20" s="233"/>
      <c r="F20" s="231">
        <f>SUM(F10:F19)</f>
        <v>15495609</v>
      </c>
      <c r="G20" s="234"/>
    </row>
    <row r="21" spans="2:14">
      <c r="B21" s="233" t="s">
        <v>98</v>
      </c>
      <c r="C21" s="231"/>
      <c r="D21" s="232"/>
      <c r="E21" s="233"/>
      <c r="F21" s="231">
        <f>SUM(C31+D31+E31)</f>
        <v>825000</v>
      </c>
      <c r="G21" s="234"/>
    </row>
    <row r="22" spans="2:14">
      <c r="B22" s="233" t="s">
        <v>99</v>
      </c>
      <c r="C22" s="231"/>
      <c r="D22" s="232"/>
      <c r="E22" s="233"/>
      <c r="F22" s="231">
        <f>(F20-F21)</f>
        <v>14670609</v>
      </c>
      <c r="G22" s="234"/>
      <c r="H22" s="235"/>
      <c r="I22" s="235"/>
      <c r="J22" s="235"/>
      <c r="K22" s="235"/>
      <c r="L22" s="235"/>
      <c r="M22" s="235"/>
      <c r="N22" s="235"/>
    </row>
    <row r="23" spans="2:14">
      <c r="B23" s="234"/>
      <c r="C23" s="235"/>
      <c r="D23" s="376"/>
      <c r="E23" s="234"/>
      <c r="F23" s="235"/>
      <c r="G23" s="234"/>
      <c r="H23" s="235"/>
      <c r="I23" s="235"/>
      <c r="J23" s="235"/>
      <c r="K23" s="235"/>
      <c r="L23" s="235"/>
      <c r="M23" s="235"/>
      <c r="N23" s="235"/>
    </row>
    <row r="24" spans="2:14">
      <c r="B24" s="2717" t="s">
        <v>1012</v>
      </c>
      <c r="C24" s="2717"/>
      <c r="D24" s="2717"/>
      <c r="E24" s="2717"/>
      <c r="F24" s="2717"/>
      <c r="G24" s="2717"/>
      <c r="H24" s="2717"/>
      <c r="I24" s="2717"/>
      <c r="J24" s="235"/>
      <c r="K24" s="235"/>
      <c r="L24" s="235"/>
      <c r="M24" s="235"/>
      <c r="N24" s="235"/>
    </row>
    <row r="25" spans="2:14" ht="22.5" customHeight="1">
      <c r="B25" s="226" t="s">
        <v>185</v>
      </c>
      <c r="C25" s="1179" t="s">
        <v>1006</v>
      </c>
      <c r="D25" s="1179" t="s">
        <v>1007</v>
      </c>
      <c r="E25" s="351" t="s">
        <v>974</v>
      </c>
      <c r="F25" s="1179" t="s">
        <v>186</v>
      </c>
      <c r="G25" s="1179" t="s">
        <v>187</v>
      </c>
      <c r="H25" s="1179" t="s">
        <v>1009</v>
      </c>
      <c r="I25" s="1179" t="s">
        <v>1010</v>
      </c>
      <c r="J25" s="235"/>
      <c r="K25" s="235"/>
      <c r="L25" s="235"/>
      <c r="M25" s="235"/>
      <c r="N25" s="235"/>
    </row>
    <row r="26" spans="2:14">
      <c r="B26" s="233" t="s">
        <v>29</v>
      </c>
      <c r="C26" s="231">
        <v>82500</v>
      </c>
      <c r="D26" s="353">
        <v>82500</v>
      </c>
      <c r="E26" s="353">
        <v>0</v>
      </c>
      <c r="F26" s="353">
        <v>175300</v>
      </c>
      <c r="G26" s="353">
        <v>247500</v>
      </c>
      <c r="H26" s="353">
        <f>SUM(C26+F26)</f>
        <v>257800</v>
      </c>
      <c r="I26" s="353">
        <f>SUM(D26+G26+E26)</f>
        <v>330000</v>
      </c>
      <c r="J26" s="235"/>
      <c r="K26" s="235"/>
      <c r="L26" s="235"/>
      <c r="M26" s="235"/>
      <c r="N26" s="235"/>
    </row>
    <row r="27" spans="2:14">
      <c r="B27" s="233" t="s">
        <v>31</v>
      </c>
      <c r="C27" s="231">
        <v>82500</v>
      </c>
      <c r="D27" s="353">
        <v>82500</v>
      </c>
      <c r="E27" s="353">
        <v>0</v>
      </c>
      <c r="F27" s="353">
        <v>175300</v>
      </c>
      <c r="G27" s="353">
        <v>247500</v>
      </c>
      <c r="H27" s="353">
        <f>SUM(C27+F27)</f>
        <v>257800</v>
      </c>
      <c r="I27" s="353">
        <f>SUM(D27+G27+E27)</f>
        <v>330000</v>
      </c>
      <c r="J27" s="235"/>
      <c r="K27" s="235"/>
      <c r="L27" s="235"/>
      <c r="M27" s="235"/>
      <c r="N27" s="235"/>
    </row>
    <row r="28" spans="2:14">
      <c r="B28" s="233" t="s">
        <v>33</v>
      </c>
      <c r="C28" s="231">
        <v>82500</v>
      </c>
      <c r="D28" s="353">
        <v>82500</v>
      </c>
      <c r="E28" s="353">
        <v>0</v>
      </c>
      <c r="F28" s="353">
        <v>175300</v>
      </c>
      <c r="G28" s="353">
        <v>247500</v>
      </c>
      <c r="H28" s="353">
        <f>SUM(C28+F28)</f>
        <v>257800</v>
      </c>
      <c r="I28" s="353">
        <f>SUM(D28+G28+E28)</f>
        <v>330000</v>
      </c>
      <c r="J28" s="235"/>
      <c r="K28" s="235"/>
      <c r="L28" s="235"/>
      <c r="M28" s="235"/>
      <c r="N28" s="235"/>
    </row>
    <row r="29" spans="2:14">
      <c r="B29" s="233" t="s">
        <v>34</v>
      </c>
      <c r="C29" s="231">
        <v>82500</v>
      </c>
      <c r="D29" s="353">
        <v>82500</v>
      </c>
      <c r="E29" s="353">
        <v>0</v>
      </c>
      <c r="F29" s="353">
        <v>175300</v>
      </c>
      <c r="G29" s="353">
        <v>247500</v>
      </c>
      <c r="H29" s="353">
        <f>SUM(C29+F29)</f>
        <v>257800</v>
      </c>
      <c r="I29" s="353">
        <f>SUM(D29+G29+E29)</f>
        <v>330000</v>
      </c>
      <c r="J29" s="235"/>
      <c r="K29" s="235"/>
      <c r="L29" s="235"/>
      <c r="M29" s="235"/>
      <c r="N29" s="235"/>
    </row>
    <row r="30" spans="2:14">
      <c r="B30" s="233" t="s">
        <v>35</v>
      </c>
      <c r="C30" s="231">
        <v>82500</v>
      </c>
      <c r="D30" s="353">
        <v>82500</v>
      </c>
      <c r="E30" s="353">
        <v>0</v>
      </c>
      <c r="F30" s="353">
        <v>175300</v>
      </c>
      <c r="G30" s="353">
        <v>247500</v>
      </c>
      <c r="H30" s="353">
        <f>SUM(C30+F30)</f>
        <v>257800</v>
      </c>
      <c r="I30" s="353">
        <f>SUM(D30+G30+E30)</f>
        <v>330000</v>
      </c>
      <c r="J30" s="235"/>
      <c r="K30" s="235"/>
      <c r="L30" s="235"/>
      <c r="M30" s="235"/>
      <c r="N30" s="235"/>
    </row>
    <row r="31" spans="2:14">
      <c r="B31" s="233" t="s">
        <v>1266</v>
      </c>
      <c r="C31" s="231">
        <f t="shared" ref="C31:I31" si="1">SUM(C26:C30)</f>
        <v>412500</v>
      </c>
      <c r="D31" s="353">
        <f t="shared" si="1"/>
        <v>412500</v>
      </c>
      <c r="E31" s="353">
        <f t="shared" si="1"/>
        <v>0</v>
      </c>
      <c r="F31" s="353">
        <f t="shared" si="1"/>
        <v>876500</v>
      </c>
      <c r="G31" s="353">
        <f t="shared" si="1"/>
        <v>1237500</v>
      </c>
      <c r="H31" s="353">
        <f t="shared" si="1"/>
        <v>1289000</v>
      </c>
      <c r="I31" s="353">
        <f t="shared" si="1"/>
        <v>1650000</v>
      </c>
      <c r="J31" s="235"/>
      <c r="K31" s="235"/>
      <c r="L31" s="235"/>
      <c r="M31" s="235"/>
      <c r="N31" s="235"/>
    </row>
    <row r="32" spans="2:14">
      <c r="B32" s="234"/>
      <c r="J32" s="235"/>
      <c r="K32" s="235"/>
      <c r="L32" s="235"/>
      <c r="M32" s="235"/>
      <c r="N32" s="235"/>
    </row>
    <row r="33" spans="2:14">
      <c r="B33" s="226" t="s">
        <v>11</v>
      </c>
      <c r="C33" s="351" t="s">
        <v>13</v>
      </c>
      <c r="D33" s="226" t="s">
        <v>76</v>
      </c>
      <c r="E33" s="226" t="s">
        <v>77</v>
      </c>
      <c r="F33" s="351" t="s">
        <v>57</v>
      </c>
      <c r="G33" s="234"/>
      <c r="H33" s="235"/>
      <c r="I33" s="235"/>
      <c r="J33" s="235"/>
      <c r="K33" s="235"/>
      <c r="L33" s="235"/>
      <c r="M33" s="235"/>
      <c r="N33" s="235"/>
    </row>
    <row r="34" spans="2:14">
      <c r="B34" s="233" t="s">
        <v>16</v>
      </c>
      <c r="C34" s="231">
        <v>2185824</v>
      </c>
      <c r="D34" s="232">
        <v>83</v>
      </c>
      <c r="E34" s="233">
        <f>$C8/D34</f>
        <v>1.2048192771084338</v>
      </c>
      <c r="F34" s="231">
        <f>INT(C34*E34)</f>
        <v>2633522</v>
      </c>
      <c r="G34" s="235"/>
      <c r="H34" s="235"/>
      <c r="I34" s="235"/>
      <c r="J34" s="235"/>
      <c r="K34" s="235"/>
      <c r="L34" s="235"/>
      <c r="M34" s="235"/>
      <c r="N34" s="235"/>
    </row>
    <row r="35" spans="2:14">
      <c r="B35" s="233" t="s">
        <v>17</v>
      </c>
      <c r="C35" s="231">
        <v>2185824</v>
      </c>
      <c r="D35" s="232">
        <v>83.96</v>
      </c>
      <c r="E35" s="233">
        <f>$C8/D35</f>
        <v>1.1910433539780849</v>
      </c>
      <c r="F35" s="231">
        <f t="shared" ref="F35:F40" si="2">INT(C35*E35)</f>
        <v>2603411</v>
      </c>
      <c r="G35" s="235"/>
      <c r="H35" s="235"/>
      <c r="I35" s="235"/>
      <c r="J35" s="235"/>
      <c r="K35" s="235"/>
      <c r="L35" s="235"/>
      <c r="M35" s="235"/>
      <c r="N35" s="235"/>
    </row>
    <row r="36" spans="2:14">
      <c r="B36" s="233" t="s">
        <v>19</v>
      </c>
      <c r="C36" s="231">
        <v>2185824</v>
      </c>
      <c r="D36" s="232">
        <v>84.45</v>
      </c>
      <c r="E36" s="233">
        <f>$C8/D36</f>
        <v>1.1841326228537596</v>
      </c>
      <c r="F36" s="231">
        <f t="shared" si="2"/>
        <v>2588305</v>
      </c>
      <c r="G36" s="235"/>
      <c r="H36" s="235"/>
      <c r="I36" s="235"/>
      <c r="J36" s="235"/>
      <c r="K36" s="235"/>
      <c r="L36" s="235"/>
      <c r="M36" s="235"/>
      <c r="N36" s="235"/>
    </row>
    <row r="37" spans="2:14">
      <c r="B37" s="233" t="s">
        <v>21</v>
      </c>
      <c r="C37" s="231">
        <v>2185824</v>
      </c>
      <c r="D37" s="232">
        <v>84.9</v>
      </c>
      <c r="E37" s="233">
        <f>$C8/D37</f>
        <v>1.1778563015312131</v>
      </c>
      <c r="F37" s="231">
        <f t="shared" si="2"/>
        <v>2574586</v>
      </c>
      <c r="G37" s="235"/>
      <c r="H37" s="235"/>
      <c r="I37" s="235"/>
      <c r="J37" s="235"/>
      <c r="K37" s="235"/>
      <c r="L37" s="235"/>
      <c r="M37" s="235"/>
      <c r="N37" s="235"/>
    </row>
    <row r="38" spans="2:14">
      <c r="B38" s="233" t="s">
        <v>23</v>
      </c>
      <c r="C38" s="231">
        <v>2185824</v>
      </c>
      <c r="D38" s="232">
        <v>85.12</v>
      </c>
      <c r="E38" s="233">
        <f>$C8/D38</f>
        <v>1.1748120300751879</v>
      </c>
      <c r="F38" s="231">
        <f t="shared" si="2"/>
        <v>2567932</v>
      </c>
      <c r="G38" s="235"/>
      <c r="H38" s="235"/>
      <c r="I38" s="235"/>
      <c r="J38" s="235"/>
      <c r="K38" s="235"/>
      <c r="L38" s="235"/>
      <c r="M38" s="235"/>
      <c r="N38" s="235"/>
    </row>
    <row r="39" spans="2:14">
      <c r="B39" s="233" t="s">
        <v>25</v>
      </c>
      <c r="C39" s="231">
        <v>2185824</v>
      </c>
      <c r="D39" s="232">
        <v>85.21</v>
      </c>
      <c r="E39" s="233">
        <f>$C8/D39</f>
        <v>1.1735711770918906</v>
      </c>
      <c r="F39" s="231">
        <f t="shared" si="2"/>
        <v>2565220</v>
      </c>
      <c r="G39" s="235"/>
      <c r="H39" s="235"/>
    </row>
    <row r="40" spans="2:14">
      <c r="B40" s="233" t="s">
        <v>27</v>
      </c>
      <c r="C40" s="231">
        <v>2185824</v>
      </c>
      <c r="D40" s="232">
        <v>85.37</v>
      </c>
      <c r="E40" s="233">
        <f>$C8/D40</f>
        <v>1.1713716762328685</v>
      </c>
      <c r="F40" s="231">
        <f t="shared" si="2"/>
        <v>2560412</v>
      </c>
      <c r="G40" s="235"/>
      <c r="H40" s="235"/>
    </row>
    <row r="41" spans="2:14">
      <c r="B41" s="233" t="s">
        <v>29</v>
      </c>
      <c r="C41" s="231">
        <v>2185824</v>
      </c>
      <c r="D41" s="232">
        <v>85.78</v>
      </c>
      <c r="E41" s="233">
        <f>$C8/D41</f>
        <v>1.1657729074376311</v>
      </c>
      <c r="F41" s="231">
        <f>INT(C41*E41)</f>
        <v>2548174</v>
      </c>
      <c r="G41" s="235"/>
      <c r="H41" s="235"/>
    </row>
    <row r="42" spans="2:14">
      <c r="B42" s="233" t="s">
        <v>31</v>
      </c>
      <c r="C42" s="231">
        <v>2185824</v>
      </c>
      <c r="D42" s="232">
        <v>86.39</v>
      </c>
      <c r="E42" s="233">
        <f>$C8/D42</f>
        <v>1.1575413821044103</v>
      </c>
      <c r="F42" s="231">
        <f t="shared" ref="F42:F49" si="3">INT(C42*E42)</f>
        <v>2530181</v>
      </c>
      <c r="G42" s="235"/>
      <c r="H42" s="235"/>
    </row>
    <row r="43" spans="2:14">
      <c r="B43" s="233" t="s">
        <v>33</v>
      </c>
      <c r="C43" s="231">
        <v>2185824</v>
      </c>
      <c r="D43" s="232">
        <v>86.98</v>
      </c>
      <c r="E43" s="233">
        <f>$C8/D43</f>
        <v>1.1496895838123706</v>
      </c>
      <c r="F43" s="231">
        <f t="shared" si="3"/>
        <v>2513019</v>
      </c>
      <c r="G43" s="235"/>
      <c r="H43" s="235"/>
    </row>
    <row r="44" spans="2:14">
      <c r="B44" s="233" t="s">
        <v>34</v>
      </c>
      <c r="C44" s="231">
        <v>2185824</v>
      </c>
      <c r="D44" s="232">
        <v>87.51</v>
      </c>
      <c r="E44" s="233">
        <f>$C8/D44</f>
        <v>1.1427265455376527</v>
      </c>
      <c r="F44" s="231">
        <f t="shared" si="3"/>
        <v>2497799</v>
      </c>
      <c r="G44" s="235"/>
      <c r="H44" s="235"/>
    </row>
    <row r="45" spans="2:14">
      <c r="B45" s="233" t="s">
        <v>35</v>
      </c>
      <c r="C45" s="231">
        <v>2185824</v>
      </c>
      <c r="D45" s="232">
        <v>88.05</v>
      </c>
      <c r="E45" s="233">
        <f>$C8/D45</f>
        <v>1.1357183418512209</v>
      </c>
      <c r="F45" s="231">
        <f t="shared" si="3"/>
        <v>2482480</v>
      </c>
      <c r="G45" s="235"/>
      <c r="H45" s="235"/>
    </row>
    <row r="46" spans="2:14">
      <c r="B46" s="233" t="s">
        <v>1267</v>
      </c>
      <c r="C46" s="231">
        <v>1092912</v>
      </c>
      <c r="D46" s="232">
        <v>85.37</v>
      </c>
      <c r="E46" s="233">
        <f>$C8/D46</f>
        <v>1.1713716762328685</v>
      </c>
      <c r="F46" s="231">
        <f t="shared" si="3"/>
        <v>1280206</v>
      </c>
      <c r="G46" s="234"/>
    </row>
    <row r="47" spans="2:14">
      <c r="B47" s="233" t="s">
        <v>471</v>
      </c>
      <c r="C47" s="231">
        <v>1517933</v>
      </c>
      <c r="D47" s="232">
        <v>88.05</v>
      </c>
      <c r="E47" s="233">
        <f>$C8/D47</f>
        <v>1.1357183418512209</v>
      </c>
      <c r="F47" s="231">
        <f t="shared" si="3"/>
        <v>1723944</v>
      </c>
      <c r="G47" s="234"/>
    </row>
    <row r="48" spans="2:14" ht="22.5">
      <c r="B48" s="508" t="s">
        <v>24</v>
      </c>
      <c r="C48" s="231">
        <v>145722</v>
      </c>
      <c r="D48" s="232">
        <v>88.05</v>
      </c>
      <c r="E48" s="233">
        <f>$C8/D48</f>
        <v>1.1357183418512209</v>
      </c>
      <c r="F48" s="231">
        <f t="shared" si="3"/>
        <v>165499</v>
      </c>
      <c r="G48" s="234"/>
    </row>
    <row r="49" spans="2:14">
      <c r="B49" s="233" t="s">
        <v>104</v>
      </c>
      <c r="C49" s="231">
        <v>1593830</v>
      </c>
      <c r="D49" s="232">
        <v>88.05</v>
      </c>
      <c r="E49" s="233">
        <f>$C8/D49</f>
        <v>1.1357183418512209</v>
      </c>
      <c r="F49" s="231">
        <f t="shared" si="3"/>
        <v>1810141</v>
      </c>
      <c r="G49" s="234"/>
    </row>
    <row r="50" spans="2:14">
      <c r="B50" s="233" t="s">
        <v>26</v>
      </c>
      <c r="C50" s="231">
        <v>2403394</v>
      </c>
      <c r="D50" s="232">
        <v>88.05</v>
      </c>
      <c r="E50" s="233">
        <f>$C8/D50</f>
        <v>1.1357183418512209</v>
      </c>
      <c r="F50" s="231">
        <f>INT(C50*E50)</f>
        <v>2729578</v>
      </c>
      <c r="G50" s="234"/>
    </row>
    <row r="51" spans="2:14">
      <c r="B51" s="233" t="s">
        <v>96</v>
      </c>
      <c r="C51" s="231"/>
      <c r="D51" s="232"/>
      <c r="E51" s="233"/>
      <c r="F51" s="231">
        <f>SUM(F34:F50)</f>
        <v>38374409</v>
      </c>
      <c r="G51" s="234"/>
    </row>
    <row r="52" spans="2:14">
      <c r="B52" s="233" t="s">
        <v>98</v>
      </c>
      <c r="C52" s="231"/>
      <c r="D52" s="232"/>
      <c r="E52" s="233"/>
      <c r="F52" s="231">
        <f>SUM(C73+D73+E73)</f>
        <v>2097600</v>
      </c>
      <c r="G52" s="234"/>
    </row>
    <row r="53" spans="2:14">
      <c r="B53" s="233" t="s">
        <v>99</v>
      </c>
      <c r="C53" s="231"/>
      <c r="D53" s="232"/>
      <c r="E53" s="233"/>
      <c r="F53" s="231">
        <f>(F51-F52)</f>
        <v>36276809</v>
      </c>
      <c r="G53" s="234"/>
    </row>
    <row r="54" spans="2:14">
      <c r="B54" s="234"/>
      <c r="C54" s="235"/>
      <c r="D54" s="376"/>
      <c r="E54" s="234"/>
      <c r="F54" s="235"/>
      <c r="G54" s="234"/>
    </row>
    <row r="55" spans="2:14">
      <c r="B55" s="234"/>
      <c r="C55" s="235"/>
      <c r="D55" s="376"/>
      <c r="E55" s="234"/>
      <c r="F55" s="235"/>
      <c r="G55" s="234"/>
    </row>
    <row r="56" spans="2:14">
      <c r="B56" s="234"/>
      <c r="C56" s="235"/>
      <c r="D56" s="376"/>
      <c r="E56" s="234"/>
      <c r="F56" s="235"/>
      <c r="G56" s="234"/>
    </row>
    <row r="57" spans="2:14">
      <c r="G57" s="234"/>
    </row>
    <row r="58" spans="2:14">
      <c r="G58" s="234"/>
    </row>
    <row r="59" spans="2:14">
      <c r="B59" s="2717" t="s">
        <v>1013</v>
      </c>
      <c r="C59" s="2717"/>
      <c r="D59" s="2717"/>
      <c r="E59" s="2717"/>
      <c r="F59" s="2717"/>
      <c r="G59" s="2717"/>
      <c r="H59" s="2717"/>
      <c r="I59" s="2717"/>
    </row>
    <row r="60" spans="2:14" ht="22.5">
      <c r="B60" s="1529" t="s">
        <v>185</v>
      </c>
      <c r="C60" s="1179" t="s">
        <v>1006</v>
      </c>
      <c r="D60" s="1179" t="s">
        <v>1007</v>
      </c>
      <c r="E60" s="351" t="s">
        <v>974</v>
      </c>
      <c r="F60" s="1179" t="s">
        <v>186</v>
      </c>
      <c r="G60" s="1179" t="s">
        <v>187</v>
      </c>
      <c r="H60" s="1179" t="s">
        <v>1009</v>
      </c>
      <c r="I60" s="1179" t="s">
        <v>1010</v>
      </c>
    </row>
    <row r="61" spans="2:14">
      <c r="B61" s="233" t="s">
        <v>16</v>
      </c>
      <c r="C61" s="231">
        <v>87400</v>
      </c>
      <c r="D61" s="353">
        <v>87400</v>
      </c>
      <c r="E61" s="353">
        <v>0</v>
      </c>
      <c r="F61" s="353">
        <v>185800</v>
      </c>
      <c r="G61" s="353">
        <v>349800</v>
      </c>
      <c r="H61" s="353">
        <v>273200</v>
      </c>
      <c r="I61" s="353">
        <f t="shared" ref="I61:I72" si="4">SUM(D61+G61+E61)</f>
        <v>437200</v>
      </c>
    </row>
    <row r="62" spans="2:14">
      <c r="B62" s="233" t="s">
        <v>17</v>
      </c>
      <c r="C62" s="231">
        <v>87400</v>
      </c>
      <c r="D62" s="353">
        <v>87400</v>
      </c>
      <c r="E62" s="353">
        <v>0</v>
      </c>
      <c r="F62" s="353">
        <v>185800</v>
      </c>
      <c r="G62" s="353">
        <v>349800</v>
      </c>
      <c r="H62" s="353">
        <f t="shared" ref="H62:H72" si="5">SUM(C62+F62)</f>
        <v>273200</v>
      </c>
      <c r="I62" s="353">
        <f t="shared" si="4"/>
        <v>437200</v>
      </c>
    </row>
    <row r="63" spans="2:14">
      <c r="B63" s="233" t="s">
        <v>19</v>
      </c>
      <c r="C63" s="231">
        <v>87400</v>
      </c>
      <c r="D63" s="353">
        <v>87400</v>
      </c>
      <c r="E63" s="353">
        <v>0</v>
      </c>
      <c r="F63" s="353">
        <v>185800</v>
      </c>
      <c r="G63" s="353">
        <v>349800</v>
      </c>
      <c r="H63" s="353">
        <f t="shared" si="5"/>
        <v>273200</v>
      </c>
      <c r="I63" s="353">
        <f t="shared" si="4"/>
        <v>437200</v>
      </c>
    </row>
    <row r="64" spans="2:14">
      <c r="B64" s="233" t="s">
        <v>21</v>
      </c>
      <c r="C64" s="231">
        <v>87400</v>
      </c>
      <c r="D64" s="353">
        <v>87400</v>
      </c>
      <c r="E64" s="353">
        <v>0</v>
      </c>
      <c r="F64" s="353">
        <v>185800</v>
      </c>
      <c r="G64" s="353">
        <v>349800</v>
      </c>
      <c r="H64" s="353">
        <f t="shared" si="5"/>
        <v>273200</v>
      </c>
      <c r="I64" s="353">
        <f t="shared" si="4"/>
        <v>437200</v>
      </c>
      <c r="J64" s="235"/>
      <c r="K64" s="235"/>
      <c r="L64" s="235"/>
      <c r="M64" s="235"/>
      <c r="N64" s="235"/>
    </row>
    <row r="65" spans="2:14">
      <c r="B65" s="233" t="s">
        <v>23</v>
      </c>
      <c r="C65" s="231">
        <v>87400</v>
      </c>
      <c r="D65" s="353">
        <v>87400</v>
      </c>
      <c r="E65" s="353">
        <v>0</v>
      </c>
      <c r="F65" s="353">
        <v>185800</v>
      </c>
      <c r="G65" s="353">
        <v>349800</v>
      </c>
      <c r="H65" s="353">
        <f t="shared" si="5"/>
        <v>273200</v>
      </c>
      <c r="I65" s="353">
        <f t="shared" si="4"/>
        <v>437200</v>
      </c>
      <c r="J65" s="235"/>
      <c r="K65" s="235"/>
      <c r="L65" s="235"/>
      <c r="M65" s="235"/>
      <c r="N65" s="235"/>
    </row>
    <row r="66" spans="2:14">
      <c r="B66" s="233" t="s">
        <v>25</v>
      </c>
      <c r="C66" s="231">
        <v>87400</v>
      </c>
      <c r="D66" s="353">
        <v>87400</v>
      </c>
      <c r="E66" s="353">
        <v>0</v>
      </c>
      <c r="F66" s="353">
        <v>185800</v>
      </c>
      <c r="G66" s="353">
        <v>349800</v>
      </c>
      <c r="H66" s="353">
        <f t="shared" si="5"/>
        <v>273200</v>
      </c>
      <c r="I66" s="353">
        <f t="shared" si="4"/>
        <v>437200</v>
      </c>
      <c r="J66" s="235"/>
      <c r="K66" s="235"/>
      <c r="L66" s="235"/>
      <c r="M66" s="235"/>
      <c r="N66" s="235"/>
    </row>
    <row r="67" spans="2:14">
      <c r="B67" s="233" t="s">
        <v>27</v>
      </c>
      <c r="C67" s="231">
        <v>87400</v>
      </c>
      <c r="D67" s="353">
        <v>87400</v>
      </c>
      <c r="E67" s="353">
        <v>0</v>
      </c>
      <c r="F67" s="353">
        <v>185800</v>
      </c>
      <c r="G67" s="353">
        <v>349800</v>
      </c>
      <c r="H67" s="353">
        <f t="shared" si="5"/>
        <v>273200</v>
      </c>
      <c r="I67" s="353">
        <f t="shared" si="4"/>
        <v>437200</v>
      </c>
      <c r="J67" s="235"/>
      <c r="K67" s="235"/>
      <c r="L67" s="235"/>
      <c r="M67" s="235"/>
      <c r="N67" s="235"/>
    </row>
    <row r="68" spans="2:14">
      <c r="B68" s="233" t="s">
        <v>29</v>
      </c>
      <c r="C68" s="231">
        <v>87400</v>
      </c>
      <c r="D68" s="353">
        <v>87400</v>
      </c>
      <c r="E68" s="353">
        <v>0</v>
      </c>
      <c r="F68" s="353">
        <v>185800</v>
      </c>
      <c r="G68" s="353">
        <v>349800</v>
      </c>
      <c r="H68" s="353">
        <f t="shared" si="5"/>
        <v>273200</v>
      </c>
      <c r="I68" s="353">
        <f t="shared" si="4"/>
        <v>437200</v>
      </c>
      <c r="J68" s="235"/>
      <c r="K68" s="235"/>
      <c r="L68" s="235"/>
      <c r="M68" s="235"/>
      <c r="N68" s="235"/>
    </row>
    <row r="69" spans="2:14">
      <c r="B69" s="233" t="s">
        <v>31</v>
      </c>
      <c r="C69" s="231">
        <v>87400</v>
      </c>
      <c r="D69" s="353">
        <v>87400</v>
      </c>
      <c r="E69" s="353">
        <v>0</v>
      </c>
      <c r="F69" s="353">
        <v>185800</v>
      </c>
      <c r="G69" s="353">
        <v>349800</v>
      </c>
      <c r="H69" s="353">
        <f t="shared" si="5"/>
        <v>273200</v>
      </c>
      <c r="I69" s="353">
        <f t="shared" si="4"/>
        <v>437200</v>
      </c>
      <c r="J69" s="235"/>
      <c r="K69" s="235"/>
      <c r="L69" s="235"/>
      <c r="M69" s="235"/>
      <c r="N69" s="235"/>
    </row>
    <row r="70" spans="2:14">
      <c r="B70" s="233" t="s">
        <v>33</v>
      </c>
      <c r="C70" s="231">
        <v>87400</v>
      </c>
      <c r="D70" s="353">
        <v>87400</v>
      </c>
      <c r="E70" s="353">
        <v>0</v>
      </c>
      <c r="F70" s="353">
        <v>185800</v>
      </c>
      <c r="G70" s="353">
        <v>349800</v>
      </c>
      <c r="H70" s="353">
        <f t="shared" si="5"/>
        <v>273200</v>
      </c>
      <c r="I70" s="353">
        <f t="shared" si="4"/>
        <v>437200</v>
      </c>
      <c r="J70" s="235"/>
      <c r="K70" s="235"/>
      <c r="L70" s="235"/>
      <c r="M70" s="235"/>
      <c r="N70" s="235"/>
    </row>
    <row r="71" spans="2:14">
      <c r="B71" s="233" t="s">
        <v>34</v>
      </c>
      <c r="C71" s="231">
        <v>87400</v>
      </c>
      <c r="D71" s="353">
        <v>87400</v>
      </c>
      <c r="E71" s="353">
        <v>0</v>
      </c>
      <c r="F71" s="353">
        <v>185800</v>
      </c>
      <c r="G71" s="353">
        <v>349800</v>
      </c>
      <c r="H71" s="353">
        <f t="shared" si="5"/>
        <v>273200</v>
      </c>
      <c r="I71" s="353">
        <f t="shared" si="4"/>
        <v>437200</v>
      </c>
      <c r="J71" s="235"/>
      <c r="K71" s="235"/>
      <c r="L71" s="235"/>
      <c r="M71" s="235"/>
      <c r="N71" s="235"/>
    </row>
    <row r="72" spans="2:14">
      <c r="B72" s="233" t="s">
        <v>35</v>
      </c>
      <c r="C72" s="231">
        <v>87400</v>
      </c>
      <c r="D72" s="353">
        <v>87400</v>
      </c>
      <c r="E72" s="353">
        <v>0</v>
      </c>
      <c r="F72" s="353">
        <v>185800</v>
      </c>
      <c r="G72" s="353">
        <v>349800</v>
      </c>
      <c r="H72" s="353">
        <f t="shared" si="5"/>
        <v>273200</v>
      </c>
      <c r="I72" s="353">
        <f t="shared" si="4"/>
        <v>437200</v>
      </c>
      <c r="J72" s="235"/>
      <c r="K72" s="235"/>
      <c r="L72" s="235"/>
      <c r="M72" s="235"/>
      <c r="N72" s="235"/>
    </row>
    <row r="73" spans="2:14">
      <c r="B73" s="233" t="s">
        <v>1266</v>
      </c>
      <c r="C73" s="231">
        <f t="shared" ref="C73:I73" si="6">SUM(C61:C72)</f>
        <v>1048800</v>
      </c>
      <c r="D73" s="231">
        <f t="shared" si="6"/>
        <v>1048800</v>
      </c>
      <c r="E73" s="231">
        <f t="shared" si="6"/>
        <v>0</v>
      </c>
      <c r="F73" s="231">
        <f t="shared" si="6"/>
        <v>2229600</v>
      </c>
      <c r="G73" s="231">
        <f t="shared" si="6"/>
        <v>4197600</v>
      </c>
      <c r="H73" s="231">
        <f t="shared" si="6"/>
        <v>3278400</v>
      </c>
      <c r="I73" s="231">
        <f t="shared" si="6"/>
        <v>5246400</v>
      </c>
      <c r="J73" s="235"/>
      <c r="K73" s="235"/>
      <c r="L73" s="235"/>
      <c r="M73" s="235"/>
      <c r="N73" s="235"/>
    </row>
    <row r="74" spans="2:14">
      <c r="B74" s="234"/>
      <c r="C74" s="235"/>
      <c r="D74" s="376"/>
      <c r="E74" s="234"/>
      <c r="F74" s="235"/>
      <c r="G74" s="234"/>
      <c r="H74" s="235"/>
      <c r="I74" s="235"/>
      <c r="J74" s="235"/>
      <c r="K74" s="235"/>
      <c r="L74" s="235"/>
      <c r="M74" s="235"/>
      <c r="N74" s="235"/>
    </row>
    <row r="75" spans="2:14">
      <c r="B75" s="226" t="s">
        <v>11</v>
      </c>
      <c r="C75" s="351">
        <v>2016</v>
      </c>
      <c r="D75" s="226" t="s">
        <v>76</v>
      </c>
      <c r="E75" s="226" t="s">
        <v>77</v>
      </c>
      <c r="F75" s="351" t="s">
        <v>57</v>
      </c>
      <c r="G75" s="348"/>
    </row>
    <row r="76" spans="2:14">
      <c r="B76" s="233" t="s">
        <v>16</v>
      </c>
      <c r="C76" s="231">
        <v>2419972</v>
      </c>
      <c r="D76" s="232">
        <v>89.19</v>
      </c>
      <c r="E76" s="233">
        <f>$C8/D76</f>
        <v>1.1212019284673169</v>
      </c>
      <c r="F76" s="231">
        <f>INT(C76*E76)</f>
        <v>2713277</v>
      </c>
      <c r="G76" s="348"/>
    </row>
    <row r="77" spans="2:14">
      <c r="B77" s="233" t="s">
        <v>17</v>
      </c>
      <c r="C77" s="231">
        <v>2419972</v>
      </c>
      <c r="D77" s="232">
        <v>90.33</v>
      </c>
      <c r="E77" s="233">
        <f>$C8/D77</f>
        <v>1.1070519207350824</v>
      </c>
      <c r="F77" s="231">
        <f t="shared" ref="F77:F88" si="7">INT(C77*E77)</f>
        <v>2679034</v>
      </c>
      <c r="G77" s="348"/>
    </row>
    <row r="78" spans="2:14">
      <c r="B78" s="233" t="s">
        <v>19</v>
      </c>
      <c r="C78" s="231">
        <v>2419972</v>
      </c>
      <c r="D78" s="232">
        <v>91.18</v>
      </c>
      <c r="E78" s="233">
        <f>$C8/D78</f>
        <v>1.0967317394165386</v>
      </c>
      <c r="F78" s="231">
        <f t="shared" si="7"/>
        <v>2654060</v>
      </c>
      <c r="G78" s="348"/>
    </row>
    <row r="79" spans="2:14">
      <c r="B79" s="233" t="s">
        <v>21</v>
      </c>
      <c r="C79" s="231">
        <v>2419972</v>
      </c>
      <c r="D79" s="232">
        <v>91.63</v>
      </c>
      <c r="E79" s="233">
        <f>$C8/D79</f>
        <v>1.0913456291607553</v>
      </c>
      <c r="F79" s="231">
        <f t="shared" si="7"/>
        <v>2641025</v>
      </c>
      <c r="G79" s="348"/>
    </row>
    <row r="80" spans="2:14">
      <c r="B80" s="233" t="s">
        <v>23</v>
      </c>
      <c r="C80" s="231">
        <v>2419972</v>
      </c>
      <c r="D80" s="232">
        <v>92.1</v>
      </c>
      <c r="E80" s="233">
        <f>$C8/D80</f>
        <v>1.0857763300760044</v>
      </c>
      <c r="F80" s="231">
        <f t="shared" si="7"/>
        <v>2627548</v>
      </c>
      <c r="G80" s="348"/>
    </row>
    <row r="81" spans="2:14">
      <c r="B81" s="233" t="s">
        <v>25</v>
      </c>
      <c r="C81" s="231">
        <v>2419972</v>
      </c>
      <c r="D81" s="232">
        <v>92.54</v>
      </c>
      <c r="E81" s="233">
        <f>$C8/D81</f>
        <v>1.0806137886319429</v>
      </c>
      <c r="F81" s="231">
        <f t="shared" si="7"/>
        <v>2615055</v>
      </c>
      <c r="G81" s="348"/>
    </row>
    <row r="82" spans="2:14">
      <c r="B82" s="233" t="s">
        <v>27</v>
      </c>
      <c r="C82" s="231">
        <v>2419972</v>
      </c>
      <c r="D82" s="232">
        <v>93.02</v>
      </c>
      <c r="E82" s="233">
        <f>$C8/D82</f>
        <v>1.0750376263169212</v>
      </c>
      <c r="F82" s="231">
        <f t="shared" si="7"/>
        <v>2601560</v>
      </c>
      <c r="G82" s="348"/>
    </row>
    <row r="83" spans="2:14">
      <c r="B83" s="233" t="s">
        <v>1267</v>
      </c>
      <c r="C83" s="231">
        <v>705825</v>
      </c>
      <c r="D83" s="232">
        <v>93.02</v>
      </c>
      <c r="E83" s="233">
        <f>$C8/D83</f>
        <v>1.0750376263169212</v>
      </c>
      <c r="F83" s="231">
        <f t="shared" si="7"/>
        <v>758788</v>
      </c>
      <c r="G83" s="348"/>
    </row>
    <row r="84" spans="2:14" ht="22.5">
      <c r="B84" s="508" t="s">
        <v>1268</v>
      </c>
      <c r="C84" s="231">
        <v>494078</v>
      </c>
      <c r="D84" s="232">
        <v>93.02</v>
      </c>
      <c r="E84" s="233">
        <f>$C8/D84</f>
        <v>1.0750376263169212</v>
      </c>
      <c r="F84" s="231">
        <f t="shared" si="7"/>
        <v>531152</v>
      </c>
      <c r="G84" s="348"/>
    </row>
    <row r="85" spans="2:14">
      <c r="B85" s="233" t="s">
        <v>471</v>
      </c>
      <c r="C85" s="231">
        <v>979986</v>
      </c>
      <c r="D85" s="232">
        <v>93.11</v>
      </c>
      <c r="E85" s="233">
        <f>$C8/D85</f>
        <v>1.073998496402105</v>
      </c>
      <c r="F85" s="231">
        <f t="shared" si="7"/>
        <v>1052503</v>
      </c>
      <c r="G85" s="234"/>
    </row>
    <row r="86" spans="2:14" ht="22.5">
      <c r="B86" s="508" t="s">
        <v>24</v>
      </c>
      <c r="C86" s="231">
        <v>94110</v>
      </c>
      <c r="D86" s="232">
        <v>93.11</v>
      </c>
      <c r="E86" s="233">
        <f>$C8/D86</f>
        <v>1.073998496402105</v>
      </c>
      <c r="F86" s="231">
        <f t="shared" si="7"/>
        <v>101073</v>
      </c>
      <c r="G86" s="234"/>
    </row>
    <row r="87" spans="2:14">
      <c r="B87" s="233" t="s">
        <v>104</v>
      </c>
      <c r="C87" s="231">
        <v>1028985</v>
      </c>
      <c r="D87" s="232">
        <v>93.11</v>
      </c>
      <c r="E87" s="233">
        <f>$C8/D87</f>
        <v>1.073998496402105</v>
      </c>
      <c r="F87" s="231">
        <f t="shared" si="7"/>
        <v>1105128</v>
      </c>
      <c r="G87" s="234"/>
    </row>
    <row r="88" spans="2:14">
      <c r="B88" s="233" t="s">
        <v>865</v>
      </c>
      <c r="C88" s="231">
        <v>1517618</v>
      </c>
      <c r="D88" s="232">
        <v>93.11</v>
      </c>
      <c r="E88" s="233">
        <f>$C8/D88</f>
        <v>1.073998496402105</v>
      </c>
      <c r="F88" s="231">
        <f t="shared" si="7"/>
        <v>1629919</v>
      </c>
      <c r="G88" s="234"/>
    </row>
    <row r="89" spans="2:14">
      <c r="B89" s="233" t="s">
        <v>96</v>
      </c>
      <c r="C89" s="231"/>
      <c r="D89" s="232"/>
      <c r="E89" s="233"/>
      <c r="F89" s="231">
        <f>SUM(F76:F88)</f>
        <v>23710122</v>
      </c>
      <c r="G89" s="234"/>
    </row>
    <row r="90" spans="2:14">
      <c r="B90" s="233" t="s">
        <v>98</v>
      </c>
      <c r="C90" s="231"/>
      <c r="D90" s="232"/>
      <c r="E90" s="233"/>
      <c r="F90" s="231">
        <f>SUM(C102+D102+E102)</f>
        <v>1355200</v>
      </c>
      <c r="G90" s="234"/>
    </row>
    <row r="91" spans="2:14">
      <c r="B91" s="233" t="s">
        <v>99</v>
      </c>
      <c r="C91" s="231"/>
      <c r="D91" s="232"/>
      <c r="E91" s="233"/>
      <c r="F91" s="231">
        <f>(F89-F90)</f>
        <v>22354922</v>
      </c>
      <c r="G91" s="234"/>
      <c r="H91" s="235"/>
      <c r="I91" s="235"/>
      <c r="J91" s="235"/>
      <c r="K91" s="235"/>
      <c r="L91" s="235"/>
      <c r="M91" s="235"/>
      <c r="N91" s="235"/>
    </row>
    <row r="92" spans="2:14">
      <c r="B92" s="234"/>
      <c r="C92" s="235"/>
      <c r="D92" s="376"/>
      <c r="E92" s="234"/>
      <c r="F92" s="235"/>
      <c r="G92" s="234"/>
      <c r="H92" s="235"/>
      <c r="I92" s="235"/>
      <c r="J92" s="235"/>
      <c r="K92" s="235"/>
      <c r="L92" s="235"/>
      <c r="M92" s="235"/>
      <c r="N92" s="235"/>
    </row>
    <row r="93" spans="2:14">
      <c r="B93" s="2717" t="s">
        <v>1269</v>
      </c>
      <c r="C93" s="2717"/>
      <c r="D93" s="2717"/>
      <c r="E93" s="2717"/>
      <c r="F93" s="2717"/>
      <c r="G93" s="2717"/>
      <c r="H93" s="2717"/>
      <c r="I93" s="2717"/>
      <c r="J93" s="235"/>
      <c r="K93" s="235"/>
      <c r="L93" s="235"/>
      <c r="M93" s="235"/>
      <c r="N93" s="235"/>
    </row>
    <row r="94" spans="2:14" ht="22.5">
      <c r="B94" s="1529" t="s">
        <v>185</v>
      </c>
      <c r="C94" s="1179" t="s">
        <v>1006</v>
      </c>
      <c r="D94" s="1179" t="s">
        <v>1007</v>
      </c>
      <c r="E94" s="351" t="s">
        <v>974</v>
      </c>
      <c r="F94" s="1179" t="s">
        <v>186</v>
      </c>
      <c r="G94" s="1179" t="s">
        <v>187</v>
      </c>
      <c r="H94" s="1179" t="s">
        <v>1009</v>
      </c>
      <c r="I94" s="1179" t="s">
        <v>1010</v>
      </c>
      <c r="J94" s="235"/>
      <c r="K94" s="235"/>
      <c r="L94" s="235"/>
      <c r="M94" s="235"/>
      <c r="N94" s="235"/>
    </row>
    <row r="95" spans="2:14">
      <c r="B95" s="233" t="s">
        <v>16</v>
      </c>
      <c r="C95" s="231">
        <v>96800</v>
      </c>
      <c r="D95" s="353">
        <v>96800</v>
      </c>
      <c r="E95" s="353">
        <v>0</v>
      </c>
      <c r="F95" s="353">
        <v>205700</v>
      </c>
      <c r="G95" s="353">
        <v>387000</v>
      </c>
      <c r="H95" s="353">
        <f t="shared" ref="H95:H101" si="8">SUM(C95+F95)</f>
        <v>302500</v>
      </c>
      <c r="I95" s="353">
        <f t="shared" ref="I95:I101" si="9">SUM(D95+G95+E95)</f>
        <v>483800</v>
      </c>
      <c r="J95" s="235"/>
      <c r="K95" s="235"/>
      <c r="L95" s="235"/>
      <c r="M95" s="235"/>
      <c r="N95" s="235"/>
    </row>
    <row r="96" spans="2:14">
      <c r="B96" s="233" t="s">
        <v>17</v>
      </c>
      <c r="C96" s="231">
        <v>96800</v>
      </c>
      <c r="D96" s="353">
        <v>96800</v>
      </c>
      <c r="E96" s="353">
        <v>0</v>
      </c>
      <c r="F96" s="353">
        <v>205700</v>
      </c>
      <c r="G96" s="353">
        <v>387000</v>
      </c>
      <c r="H96" s="353">
        <f t="shared" si="8"/>
        <v>302500</v>
      </c>
      <c r="I96" s="353">
        <f t="shared" si="9"/>
        <v>483800</v>
      </c>
      <c r="J96" s="235"/>
      <c r="K96" s="235"/>
      <c r="L96" s="235"/>
      <c r="M96" s="235"/>
      <c r="N96" s="235"/>
    </row>
    <row r="97" spans="2:17">
      <c r="B97" s="233" t="s">
        <v>19</v>
      </c>
      <c r="C97" s="231">
        <v>96800</v>
      </c>
      <c r="D97" s="353">
        <v>96800</v>
      </c>
      <c r="E97" s="353">
        <v>0</v>
      </c>
      <c r="F97" s="353">
        <v>205700</v>
      </c>
      <c r="G97" s="353">
        <v>387000</v>
      </c>
      <c r="H97" s="353">
        <f t="shared" si="8"/>
        <v>302500</v>
      </c>
      <c r="I97" s="353">
        <f t="shared" si="9"/>
        <v>483800</v>
      </c>
      <c r="J97" s="235"/>
      <c r="K97" s="235"/>
      <c r="L97" s="235"/>
      <c r="M97" s="235"/>
      <c r="N97" s="235"/>
    </row>
    <row r="98" spans="2:17">
      <c r="B98" s="233" t="s">
        <v>21</v>
      </c>
      <c r="C98" s="231">
        <v>96800</v>
      </c>
      <c r="D98" s="353">
        <v>96800</v>
      </c>
      <c r="E98" s="353">
        <v>0</v>
      </c>
      <c r="F98" s="353">
        <v>205700</v>
      </c>
      <c r="G98" s="353">
        <v>387000</v>
      </c>
      <c r="H98" s="353">
        <f t="shared" si="8"/>
        <v>302500</v>
      </c>
      <c r="I98" s="353">
        <f t="shared" si="9"/>
        <v>483800</v>
      </c>
      <c r="J98" s="235"/>
      <c r="K98" s="235"/>
      <c r="L98" s="235"/>
      <c r="M98" s="235"/>
      <c r="N98" s="235"/>
    </row>
    <row r="99" spans="2:17">
      <c r="B99" s="233" t="s">
        <v>23</v>
      </c>
      <c r="C99" s="231">
        <v>96800</v>
      </c>
      <c r="D99" s="353">
        <v>96800</v>
      </c>
      <c r="E99" s="353">
        <v>0</v>
      </c>
      <c r="F99" s="353">
        <v>205700</v>
      </c>
      <c r="G99" s="353">
        <v>387000</v>
      </c>
      <c r="H99" s="353">
        <f t="shared" si="8"/>
        <v>302500</v>
      </c>
      <c r="I99" s="353">
        <f t="shared" si="9"/>
        <v>483800</v>
      </c>
      <c r="J99" s="235"/>
      <c r="K99" s="235"/>
      <c r="L99" s="235"/>
      <c r="M99" s="235"/>
      <c r="N99" s="235"/>
    </row>
    <row r="100" spans="2:17">
      <c r="B100" s="233" t="s">
        <v>25</v>
      </c>
      <c r="C100" s="231">
        <v>96800</v>
      </c>
      <c r="D100" s="353">
        <v>96800</v>
      </c>
      <c r="E100" s="353">
        <v>0</v>
      </c>
      <c r="F100" s="353">
        <v>205700</v>
      </c>
      <c r="G100" s="353">
        <v>387000</v>
      </c>
      <c r="H100" s="353">
        <f t="shared" si="8"/>
        <v>302500</v>
      </c>
      <c r="I100" s="353">
        <f t="shared" si="9"/>
        <v>483800</v>
      </c>
      <c r="J100" s="235"/>
      <c r="K100" s="235"/>
      <c r="L100" s="235"/>
      <c r="M100" s="235"/>
      <c r="N100" s="235"/>
    </row>
    <row r="101" spans="2:17">
      <c r="B101" s="233" t="s">
        <v>27</v>
      </c>
      <c r="C101" s="231">
        <v>96800</v>
      </c>
      <c r="D101" s="353">
        <v>96800</v>
      </c>
      <c r="E101" s="353">
        <v>0</v>
      </c>
      <c r="F101" s="353">
        <v>205700</v>
      </c>
      <c r="G101" s="353">
        <v>387000</v>
      </c>
      <c r="H101" s="353">
        <f t="shared" si="8"/>
        <v>302500</v>
      </c>
      <c r="I101" s="353">
        <f t="shared" si="9"/>
        <v>483800</v>
      </c>
      <c r="J101" s="235"/>
      <c r="K101" s="235"/>
      <c r="L101" s="235"/>
      <c r="M101" s="235"/>
      <c r="N101" s="235"/>
    </row>
    <row r="102" spans="2:17">
      <c r="B102" s="233" t="s">
        <v>1266</v>
      </c>
      <c r="C102" s="231">
        <f t="shared" ref="C102:I102" si="10">SUM(C95:C101)</f>
        <v>677600</v>
      </c>
      <c r="D102" s="231">
        <f t="shared" si="10"/>
        <v>677600</v>
      </c>
      <c r="E102" s="231">
        <f t="shared" si="10"/>
        <v>0</v>
      </c>
      <c r="F102" s="231">
        <f t="shared" si="10"/>
        <v>1439900</v>
      </c>
      <c r="G102" s="231">
        <f t="shared" si="10"/>
        <v>2709000</v>
      </c>
      <c r="H102" s="231">
        <f t="shared" si="10"/>
        <v>2117500</v>
      </c>
      <c r="I102" s="231">
        <f t="shared" si="10"/>
        <v>3386600</v>
      </c>
      <c r="J102" s="235"/>
      <c r="K102" s="235"/>
      <c r="L102" s="235"/>
      <c r="M102" s="235"/>
      <c r="N102" s="235"/>
    </row>
    <row r="103" spans="2:17">
      <c r="B103" s="234"/>
      <c r="C103" s="235"/>
      <c r="D103" s="376"/>
      <c r="E103" s="234"/>
      <c r="F103" s="235"/>
      <c r="G103" s="234"/>
      <c r="H103" s="235"/>
      <c r="I103" s="235"/>
      <c r="J103" s="235"/>
      <c r="K103" s="229" t="s">
        <v>639</v>
      </c>
      <c r="L103" s="229" t="s">
        <v>639</v>
      </c>
      <c r="M103" s="229"/>
      <c r="N103" s="229" t="s">
        <v>993</v>
      </c>
      <c r="O103" s="229" t="s">
        <v>994</v>
      </c>
      <c r="P103" s="229" t="s">
        <v>642</v>
      </c>
      <c r="Q103" s="229" t="s">
        <v>643</v>
      </c>
    </row>
    <row r="104" spans="2:17">
      <c r="B104" s="1530"/>
      <c r="C104" s="219" t="s">
        <v>208</v>
      </c>
      <c r="D104" s="219"/>
      <c r="E104" s="219"/>
      <c r="F104" s="219"/>
      <c r="G104" s="234"/>
      <c r="K104" s="231"/>
      <c r="L104" s="231"/>
      <c r="M104" s="231"/>
      <c r="N104" s="231"/>
      <c r="O104" s="231"/>
      <c r="P104" s="231"/>
      <c r="Q104" s="231"/>
    </row>
    <row r="105" spans="2:17">
      <c r="B105" s="219" t="s">
        <v>209</v>
      </c>
      <c r="C105" s="219"/>
      <c r="D105" s="226" t="s">
        <v>76</v>
      </c>
      <c r="E105" s="226" t="s">
        <v>77</v>
      </c>
      <c r="F105" s="226" t="s">
        <v>57</v>
      </c>
      <c r="G105" s="234"/>
      <c r="K105" s="231">
        <f t="shared" ref="K105:Q105" si="11">SUM(C31+C73+C102)</f>
        <v>2138900</v>
      </c>
      <c r="L105" s="231">
        <f t="shared" si="11"/>
        <v>2138900</v>
      </c>
      <c r="M105" s="231">
        <f t="shared" si="11"/>
        <v>0</v>
      </c>
      <c r="N105" s="231">
        <f t="shared" si="11"/>
        <v>4546000</v>
      </c>
      <c r="O105" s="231">
        <f t="shared" si="11"/>
        <v>8144100</v>
      </c>
      <c r="P105" s="231">
        <f t="shared" si="11"/>
        <v>6684900</v>
      </c>
      <c r="Q105" s="231">
        <f t="shared" si="11"/>
        <v>10283000</v>
      </c>
    </row>
    <row r="106" spans="2:17">
      <c r="B106" s="219" t="s">
        <v>210</v>
      </c>
      <c r="C106" s="219"/>
      <c r="D106" s="1531">
        <f>+C8</f>
        <v>100</v>
      </c>
      <c r="E106" s="226"/>
      <c r="F106" s="226"/>
      <c r="G106" s="234"/>
      <c r="K106" s="235">
        <f>+K105+L105</f>
        <v>4277800</v>
      </c>
      <c r="L106" s="235"/>
      <c r="M106" s="235"/>
      <c r="N106" s="235"/>
      <c r="O106" s="235"/>
      <c r="P106" s="235"/>
      <c r="Q106" s="235"/>
    </row>
    <row r="107" spans="2:17">
      <c r="B107" s="226">
        <v>2014</v>
      </c>
      <c r="C107" s="356">
        <v>920178</v>
      </c>
      <c r="D107" s="1531">
        <v>82.47</v>
      </c>
      <c r="E107" s="354">
        <f>D106/D107</f>
        <v>1.2125621438098704</v>
      </c>
      <c r="F107" s="356">
        <f>INT(C107*E107)</f>
        <v>1115773</v>
      </c>
    </row>
    <row r="108" spans="2:17">
      <c r="B108" s="226">
        <v>2015</v>
      </c>
      <c r="C108" s="356">
        <v>2603677</v>
      </c>
      <c r="D108" s="1531">
        <v>88.05</v>
      </c>
      <c r="E108" s="354">
        <f>D106/D108</f>
        <v>1.1357183418512209</v>
      </c>
      <c r="F108" s="356">
        <f>INT(C108*E108)</f>
        <v>2957043</v>
      </c>
      <c r="G108" s="234"/>
      <c r="H108" s="235"/>
      <c r="I108" s="235"/>
      <c r="J108" s="235"/>
      <c r="K108" s="235"/>
      <c r="L108" s="235"/>
      <c r="M108" s="235"/>
      <c r="N108" s="235"/>
    </row>
    <row r="109" spans="2:17" s="348" customFormat="1">
      <c r="B109" s="226">
        <v>2016</v>
      </c>
      <c r="C109" s="356">
        <v>1591391</v>
      </c>
      <c r="D109" s="1531">
        <v>93.11</v>
      </c>
      <c r="E109" s="354">
        <f>D106/D109</f>
        <v>1.073998496402105</v>
      </c>
      <c r="F109" s="356">
        <f>INT(C109*E109)</f>
        <v>1709151</v>
      </c>
      <c r="G109" s="234"/>
    </row>
    <row r="110" spans="2:17" s="348" customFormat="1">
      <c r="B110" s="226"/>
      <c r="C110" s="356"/>
      <c r="D110" s="1532" t="s">
        <v>211</v>
      </c>
      <c r="E110" s="354"/>
      <c r="F110" s="356">
        <f>SUM(F107:F109)</f>
        <v>5781967</v>
      </c>
      <c r="G110" s="234"/>
    </row>
    <row r="111" spans="2:17" s="348" customFormat="1">
      <c r="G111" s="217"/>
    </row>
    <row r="112" spans="2:17" s="348" customFormat="1">
      <c r="B112" s="1530"/>
      <c r="C112" s="355" t="s">
        <v>212</v>
      </c>
      <c r="D112" s="219"/>
      <c r="E112" s="219"/>
      <c r="F112" s="355"/>
      <c r="G112" s="217"/>
    </row>
    <row r="113" spans="2:11" s="348" customFormat="1">
      <c r="B113" s="219" t="s">
        <v>209</v>
      </c>
      <c r="C113" s="355"/>
      <c r="D113" s="226" t="s">
        <v>76</v>
      </c>
      <c r="E113" s="226" t="s">
        <v>77</v>
      </c>
      <c r="F113" s="351" t="s">
        <v>57</v>
      </c>
      <c r="G113" s="217"/>
    </row>
    <row r="114" spans="2:11" s="348" customFormat="1">
      <c r="B114" s="219" t="s">
        <v>210</v>
      </c>
      <c r="C114" s="355"/>
      <c r="D114" s="1531">
        <f>+C8</f>
        <v>100</v>
      </c>
      <c r="E114" s="226"/>
      <c r="F114" s="351"/>
      <c r="G114" s="217"/>
    </row>
    <row r="115" spans="2:11" s="348" customFormat="1">
      <c r="B115" s="226">
        <v>2014</v>
      </c>
      <c r="C115" s="356">
        <v>46009</v>
      </c>
      <c r="D115" s="1531">
        <v>82.47</v>
      </c>
      <c r="E115" s="354">
        <f>D114/D115</f>
        <v>1.2125621438098704</v>
      </c>
      <c r="F115" s="356">
        <f>INT(C115*E115)</f>
        <v>55788</v>
      </c>
      <c r="G115" s="217"/>
    </row>
    <row r="116" spans="2:11" s="348" customFormat="1">
      <c r="B116" s="226">
        <v>2015</v>
      </c>
      <c r="C116" s="356">
        <v>312441</v>
      </c>
      <c r="D116" s="1531">
        <v>88.05</v>
      </c>
      <c r="E116" s="354">
        <f>D114/D116</f>
        <v>1.1357183418512209</v>
      </c>
      <c r="F116" s="356">
        <f>INT(C116*E116)</f>
        <v>354844</v>
      </c>
      <c r="G116" s="217"/>
    </row>
    <row r="117" spans="2:11" s="348" customFormat="1">
      <c r="B117" s="226">
        <v>2016</v>
      </c>
      <c r="C117" s="356">
        <v>354156</v>
      </c>
      <c r="D117" s="1531">
        <v>93.11</v>
      </c>
      <c r="E117" s="354">
        <f>D114/D117</f>
        <v>1.073998496402105</v>
      </c>
      <c r="F117" s="356">
        <f>INT(C117*E117)</f>
        <v>380363</v>
      </c>
      <c r="G117" s="217"/>
    </row>
    <row r="118" spans="2:11" s="348" customFormat="1">
      <c r="B118" s="219"/>
      <c r="C118" s="219"/>
      <c r="D118" s="354" t="s">
        <v>213</v>
      </c>
      <c r="E118" s="219"/>
      <c r="F118" s="356">
        <f>SUM(F115:F117)</f>
        <v>790995</v>
      </c>
      <c r="G118" s="217"/>
    </row>
    <row r="119" spans="2:11" s="348" customFormat="1">
      <c r="B119" s="236"/>
      <c r="C119" s="236"/>
      <c r="D119" s="236"/>
      <c r="E119" s="236"/>
      <c r="F119" s="1533"/>
      <c r="G119" s="217"/>
    </row>
    <row r="120" spans="2:11" s="348" customFormat="1">
      <c r="B120" s="354" t="s">
        <v>192</v>
      </c>
      <c r="C120" s="355"/>
      <c r="D120" s="219"/>
      <c r="E120" s="219"/>
      <c r="F120" s="356">
        <f>SUM(F20+F51+F89)</f>
        <v>77580140</v>
      </c>
      <c r="G120" s="217"/>
    </row>
    <row r="121" spans="2:11" s="348" customFormat="1">
      <c r="B121" s="354" t="s">
        <v>193</v>
      </c>
      <c r="C121" s="355"/>
      <c r="D121" s="219"/>
      <c r="E121" s="219"/>
      <c r="F121" s="356">
        <f>SUM(F21+F52+F90)</f>
        <v>4277800</v>
      </c>
      <c r="G121" s="217"/>
    </row>
    <row r="122" spans="2:11" s="348" customFormat="1">
      <c r="B122" s="354" t="s">
        <v>194</v>
      </c>
      <c r="C122" s="355"/>
      <c r="D122" s="219"/>
      <c r="E122" s="219"/>
      <c r="F122" s="356">
        <f>(F120-F121)</f>
        <v>73302340</v>
      </c>
      <c r="G122" s="217"/>
      <c r="H122" s="217"/>
      <c r="J122" s="217"/>
      <c r="K122" s="217"/>
    </row>
    <row r="123" spans="2:11" s="348" customFormat="1">
      <c r="B123" s="403" t="s">
        <v>1270</v>
      </c>
      <c r="C123" s="226"/>
      <c r="D123" s="219"/>
      <c r="E123" s="219"/>
      <c r="F123" s="356">
        <f>F110</f>
        <v>5781967</v>
      </c>
      <c r="G123" s="217"/>
    </row>
    <row r="124" spans="2:11" s="348" customFormat="1">
      <c r="B124" s="2775" t="s">
        <v>1271</v>
      </c>
      <c r="C124" s="2775"/>
      <c r="D124" s="219"/>
      <c r="E124" s="219"/>
      <c r="F124" s="356">
        <f>F118</f>
        <v>790995</v>
      </c>
      <c r="G124" s="217"/>
    </row>
    <row r="125" spans="2:11" s="348" customFormat="1">
      <c r="B125" s="354" t="s">
        <v>1272</v>
      </c>
      <c r="C125" s="219"/>
      <c r="D125" s="219"/>
      <c r="E125" s="219"/>
      <c r="F125" s="356">
        <f>F122+F123+F124</f>
        <v>79875302</v>
      </c>
      <c r="G125" s="217"/>
    </row>
    <row r="126" spans="2:11" s="348" customFormat="1">
      <c r="B126" s="354" t="s">
        <v>1273</v>
      </c>
      <c r="C126" s="354"/>
      <c r="D126" s="354"/>
      <c r="E126" s="354"/>
      <c r="F126" s="356"/>
      <c r="G126" s="217"/>
    </row>
    <row r="127" spans="2:11" s="348" customFormat="1">
      <c r="E127" s="217"/>
      <c r="G127" s="217"/>
    </row>
    <row r="128" spans="2:11" s="348" customFormat="1">
      <c r="B128" s="1534" t="s">
        <v>1041</v>
      </c>
      <c r="C128" s="438">
        <f>+F125</f>
        <v>79875302</v>
      </c>
      <c r="E128" s="217"/>
      <c r="G128" s="217"/>
    </row>
    <row r="129" spans="1:8" s="348" customFormat="1" ht="13.5">
      <c r="B129" s="2604" t="s">
        <v>957</v>
      </c>
      <c r="C129" s="2681"/>
      <c r="D129" s="2681"/>
      <c r="E129" s="2681"/>
      <c r="F129" s="2681"/>
      <c r="G129" s="2681"/>
      <c r="H129" s="2605"/>
    </row>
    <row r="130" spans="1:8" s="348" customFormat="1" ht="13.5">
      <c r="B130" s="761" t="s">
        <v>206</v>
      </c>
      <c r="C130" s="761" t="s">
        <v>10</v>
      </c>
      <c r="D130" s="2570" t="s">
        <v>1090</v>
      </c>
      <c r="E130" s="2571"/>
      <c r="F130" s="1113" t="s">
        <v>88</v>
      </c>
      <c r="G130" s="761" t="s">
        <v>279</v>
      </c>
      <c r="H130" s="1113" t="s">
        <v>253</v>
      </c>
    </row>
    <row r="131" spans="1:8" s="348" customFormat="1" ht="13.5">
      <c r="A131" s="348">
        <v>1</v>
      </c>
      <c r="B131" s="800">
        <v>44184</v>
      </c>
      <c r="C131" s="800">
        <v>44196</v>
      </c>
      <c r="D131" s="909">
        <v>0</v>
      </c>
      <c r="E131" s="1120">
        <v>1.9300000000000001E-2</v>
      </c>
      <c r="F131" s="909">
        <f>((1+E131)^(1/365)-1)</f>
        <v>5.2374295299806306E-5</v>
      </c>
      <c r="G131" s="1157">
        <f>_xlfn.DAYS(C131,B131)+1</f>
        <v>13</v>
      </c>
      <c r="H131" s="1616">
        <f>+$C$128*F131*G131</f>
        <v>54384.364503419718</v>
      </c>
    </row>
    <row r="132" spans="1:8" s="348" customFormat="1" ht="13.5">
      <c r="A132" s="348">
        <v>2</v>
      </c>
      <c r="B132" s="800">
        <v>44197</v>
      </c>
      <c r="C132" s="800">
        <v>44227</v>
      </c>
      <c r="D132" s="909">
        <v>0</v>
      </c>
      <c r="E132" s="1120">
        <v>1.9099999999999999E-2</v>
      </c>
      <c r="F132" s="909">
        <f t="shared" ref="F132:F145" si="12">((1+E132)^(1/365)-1)</f>
        <v>5.1836644438196799E-5</v>
      </c>
      <c r="G132" s="1157">
        <f>_xlfn.DAYS(C132,B132)+1</f>
        <v>31</v>
      </c>
      <c r="H132" s="1616">
        <f t="shared" ref="H132:H145" si="13">+$C$128*F132*G132</f>
        <v>128354.49650419528</v>
      </c>
    </row>
    <row r="133" spans="1:8" s="348" customFormat="1" ht="13.5">
      <c r="A133" s="348">
        <v>3</v>
      </c>
      <c r="B133" s="800">
        <v>44228</v>
      </c>
      <c r="C133" s="800">
        <v>44255</v>
      </c>
      <c r="D133" s="909">
        <v>0</v>
      </c>
      <c r="E133" s="1120">
        <v>1.8100000000000002E-2</v>
      </c>
      <c r="F133" s="909">
        <f t="shared" si="12"/>
        <v>4.9146810763511795E-5</v>
      </c>
      <c r="G133" s="1157">
        <f>_xlfn.DAYS(C133,B133)+1</f>
        <v>28</v>
      </c>
      <c r="H133" s="1616">
        <f t="shared" si="13"/>
        <v>109917.25785802594</v>
      </c>
    </row>
    <row r="134" spans="1:8" s="348" customFormat="1" ht="13.5">
      <c r="A134" s="348">
        <v>4</v>
      </c>
      <c r="B134" s="800">
        <v>44256</v>
      </c>
      <c r="C134" s="800">
        <v>44274</v>
      </c>
      <c r="D134" s="909">
        <v>0</v>
      </c>
      <c r="E134" s="1120">
        <v>1.77E-2</v>
      </c>
      <c r="F134" s="909">
        <f t="shared" si="12"/>
        <v>4.8070139484934771E-5</v>
      </c>
      <c r="G134" s="1157">
        <f>_xlfn.DAYS(C134,B134)+1</f>
        <v>19</v>
      </c>
      <c r="H134" s="1616">
        <f t="shared" si="13"/>
        <v>72952.721262284496</v>
      </c>
    </row>
    <row r="135" spans="1:8" s="348" customFormat="1" ht="13.5">
      <c r="B135" s="800">
        <v>44275</v>
      </c>
      <c r="C135" s="800">
        <v>44286</v>
      </c>
      <c r="D135" s="909">
        <v>0</v>
      </c>
      <c r="E135" s="1120">
        <v>1.77E-2</v>
      </c>
      <c r="F135" s="909">
        <f t="shared" si="12"/>
        <v>4.8070139484934771E-5</v>
      </c>
      <c r="G135" s="1157">
        <v>0</v>
      </c>
      <c r="H135" s="1616">
        <f>+$C$128*F135*G135</f>
        <v>0</v>
      </c>
    </row>
    <row r="136" spans="1:8" s="348" customFormat="1" ht="13.5">
      <c r="A136" s="348">
        <v>5</v>
      </c>
      <c r="B136" s="800">
        <v>44287</v>
      </c>
      <c r="C136" s="800">
        <v>44316</v>
      </c>
      <c r="D136" s="909">
        <v>0</v>
      </c>
      <c r="E136" s="1120">
        <v>1.7600000000000001E-2</v>
      </c>
      <c r="F136" s="909">
        <f t="shared" si="12"/>
        <v>4.7800905724759701E-5</v>
      </c>
      <c r="G136" s="1157">
        <v>0</v>
      </c>
      <c r="H136" s="1616">
        <f t="shared" si="13"/>
        <v>0</v>
      </c>
    </row>
    <row r="137" spans="1:8" s="348" customFormat="1" ht="13.5">
      <c r="A137" s="348">
        <v>6</v>
      </c>
      <c r="B137" s="800">
        <v>44317</v>
      </c>
      <c r="C137" s="800">
        <v>44347</v>
      </c>
      <c r="D137" s="909">
        <v>0</v>
      </c>
      <c r="E137" s="1120">
        <v>1.8200000000000001E-2</v>
      </c>
      <c r="F137" s="909">
        <f t="shared" si="12"/>
        <v>4.9415912668715478E-5</v>
      </c>
      <c r="G137" s="1157">
        <v>0</v>
      </c>
      <c r="H137" s="1616">
        <f t="shared" si="13"/>
        <v>0</v>
      </c>
    </row>
    <row r="138" spans="1:8" s="348" customFormat="1" ht="13.5">
      <c r="A138" s="348">
        <v>7</v>
      </c>
      <c r="B138" s="800">
        <v>44348</v>
      </c>
      <c r="C138" s="800">
        <v>44377</v>
      </c>
      <c r="D138" s="909">
        <v>0</v>
      </c>
      <c r="E138" s="1120">
        <v>1.9099999999999999E-2</v>
      </c>
      <c r="F138" s="909">
        <f t="shared" si="12"/>
        <v>5.1836644438196799E-5</v>
      </c>
      <c r="G138" s="1157">
        <v>0</v>
      </c>
      <c r="H138" s="1616">
        <f t="shared" si="13"/>
        <v>0</v>
      </c>
    </row>
    <row r="139" spans="1:8" s="348" customFormat="1" ht="13.5">
      <c r="A139" s="348">
        <v>8</v>
      </c>
      <c r="B139" s="800">
        <v>44378</v>
      </c>
      <c r="C139" s="800">
        <v>44408</v>
      </c>
      <c r="D139" s="909">
        <v>0</v>
      </c>
      <c r="E139" s="1120">
        <v>1.9E-2</v>
      </c>
      <c r="F139" s="909">
        <f t="shared" si="12"/>
        <v>5.1567779546513037E-5</v>
      </c>
      <c r="G139" s="1157">
        <v>0</v>
      </c>
      <c r="H139" s="1616">
        <f t="shared" si="13"/>
        <v>0</v>
      </c>
    </row>
    <row r="140" spans="1:8" s="348" customFormat="1" ht="13.5">
      <c r="A140" s="348">
        <v>9</v>
      </c>
      <c r="B140" s="800">
        <v>44409</v>
      </c>
      <c r="C140" s="800">
        <v>44439</v>
      </c>
      <c r="D140" s="909">
        <v>0</v>
      </c>
      <c r="E140" s="1120">
        <v>1.9900000000000001E-2</v>
      </c>
      <c r="F140" s="909">
        <f t="shared" si="12"/>
        <v>5.3986616880719041E-5</v>
      </c>
      <c r="G140" s="1157">
        <v>0</v>
      </c>
      <c r="H140" s="1616">
        <f t="shared" si="13"/>
        <v>0</v>
      </c>
    </row>
    <row r="141" spans="1:8" s="348" customFormat="1" ht="13.5">
      <c r="A141" s="348">
        <v>10</v>
      </c>
      <c r="B141" s="800">
        <v>44440</v>
      </c>
      <c r="C141" s="800">
        <v>44469</v>
      </c>
      <c r="D141" s="909">
        <v>0</v>
      </c>
      <c r="E141" s="1120">
        <v>2.0500000000000001E-2</v>
      </c>
      <c r="F141" s="909">
        <f t="shared" si="12"/>
        <v>5.5597992820066722E-5</v>
      </c>
      <c r="G141" s="1157">
        <v>0</v>
      </c>
      <c r="H141" s="1616">
        <f t="shared" si="13"/>
        <v>0</v>
      </c>
    </row>
    <row r="142" spans="1:8" s="348" customFormat="1" ht="13.5">
      <c r="A142" s="1535">
        <v>11</v>
      </c>
      <c r="B142" s="800">
        <v>44470</v>
      </c>
      <c r="C142" s="800">
        <v>44488</v>
      </c>
      <c r="D142" s="909">
        <v>0</v>
      </c>
      <c r="E142" s="1120">
        <v>2.2200000000000001E-2</v>
      </c>
      <c r="F142" s="909">
        <f t="shared" si="12"/>
        <v>6.0158432328316636E-5</v>
      </c>
      <c r="G142" s="1157">
        <v>0</v>
      </c>
      <c r="H142" s="1616">
        <f t="shared" si="13"/>
        <v>0</v>
      </c>
    </row>
    <row r="143" spans="1:8" s="348" customFormat="1" ht="13.5">
      <c r="A143" s="348">
        <v>12</v>
      </c>
      <c r="B143" s="800">
        <v>44489</v>
      </c>
      <c r="C143" s="800">
        <v>44500</v>
      </c>
      <c r="D143" s="1120">
        <v>0.17080000000000001</v>
      </c>
      <c r="E143" s="1120">
        <f>+D143*1.5</f>
        <v>0.25619999999999998</v>
      </c>
      <c r="F143" s="909">
        <f t="shared" si="12"/>
        <v>6.2510294214179751E-4</v>
      </c>
      <c r="G143" s="1157">
        <v>0</v>
      </c>
      <c r="H143" s="1616">
        <f t="shared" si="13"/>
        <v>0</v>
      </c>
    </row>
    <row r="144" spans="1:8" s="348" customFormat="1" ht="13.5">
      <c r="A144" s="348">
        <v>13</v>
      </c>
      <c r="B144" s="800">
        <v>44501</v>
      </c>
      <c r="C144" s="800">
        <v>44530</v>
      </c>
      <c r="D144" s="1120">
        <v>0.17269999999999999</v>
      </c>
      <c r="E144" s="1120">
        <f>+D144*1.5</f>
        <v>0.25905</v>
      </c>
      <c r="F144" s="909">
        <f t="shared" si="12"/>
        <v>6.3131554742335005E-4</v>
      </c>
      <c r="G144" s="1157">
        <v>0</v>
      </c>
      <c r="H144" s="1616">
        <f t="shared" si="13"/>
        <v>0</v>
      </c>
    </row>
    <row r="145" spans="1:8" s="348" customFormat="1" ht="13.5">
      <c r="A145" s="348">
        <v>14</v>
      </c>
      <c r="B145" s="800">
        <v>44531</v>
      </c>
      <c r="C145" s="800">
        <v>44558</v>
      </c>
      <c r="D145" s="1120">
        <v>0.17460000000000001</v>
      </c>
      <c r="E145" s="1120">
        <f>+D145*1.5</f>
        <v>0.26190000000000002</v>
      </c>
      <c r="F145" s="909">
        <f t="shared" si="12"/>
        <v>6.3751414410861962E-4</v>
      </c>
      <c r="G145" s="1157">
        <v>0</v>
      </c>
      <c r="H145" s="1616">
        <f t="shared" si="13"/>
        <v>0</v>
      </c>
    </row>
    <row r="146" spans="1:8" s="348" customFormat="1" ht="13.5">
      <c r="B146" s="217"/>
      <c r="C146" s="217"/>
      <c r="E146" s="217"/>
      <c r="F146" s="2771" t="s">
        <v>93</v>
      </c>
      <c r="G146" s="2772"/>
      <c r="H146" s="1616">
        <f>SUM(H131:H145)</f>
        <v>365608.84012792545</v>
      </c>
    </row>
    <row r="147" spans="1:8">
      <c r="B147" s="2773" t="s">
        <v>1274</v>
      </c>
      <c r="C147" s="2774"/>
    </row>
    <row r="148" spans="1:8" ht="33.75">
      <c r="B148" s="508" t="s">
        <v>1275</v>
      </c>
      <c r="C148" s="363">
        <v>79875302</v>
      </c>
      <c r="D148" s="224"/>
    </row>
    <row r="149" spans="1:8" ht="22.5">
      <c r="B149" s="508" t="s">
        <v>1276</v>
      </c>
      <c r="C149" s="363">
        <v>365608.84012792545</v>
      </c>
      <c r="D149" s="224"/>
    </row>
    <row r="150" spans="1:8" ht="22.5">
      <c r="B150" s="508" t="s">
        <v>1277</v>
      </c>
      <c r="C150" s="363">
        <v>773772.1</v>
      </c>
      <c r="D150" s="1537"/>
    </row>
    <row r="151" spans="1:8">
      <c r="B151" s="233" t="s">
        <v>1278</v>
      </c>
      <c r="C151" s="363">
        <f>SUM(C148:C150)</f>
        <v>81014682.940127924</v>
      </c>
      <c r="D151" s="224"/>
    </row>
    <row r="153" spans="1:8">
      <c r="B153" s="233" t="s">
        <v>1279</v>
      </c>
      <c r="C153" s="363">
        <v>81014628.540000007</v>
      </c>
    </row>
    <row r="154" spans="1:8">
      <c r="B154" s="233" t="s">
        <v>1280</v>
      </c>
      <c r="C154" s="1537">
        <f>+C151-C153</f>
        <v>54.400127917528152</v>
      </c>
    </row>
    <row r="158" spans="1:8" ht="13.5">
      <c r="B158" s="234" t="s">
        <v>1281</v>
      </c>
      <c r="C158" s="1264">
        <v>41842</v>
      </c>
    </row>
    <row r="159" spans="1:8" ht="13.5">
      <c r="B159" s="234" t="s">
        <v>1282</v>
      </c>
      <c r="C159" s="1264">
        <v>44431</v>
      </c>
    </row>
    <row r="163" spans="2:3">
      <c r="B163" s="465">
        <v>36308</v>
      </c>
    </row>
    <row r="164" spans="2:3">
      <c r="B164" s="465">
        <v>5000000</v>
      </c>
    </row>
    <row r="165" spans="2:3">
      <c r="B165" s="307">
        <f>+B164/B163</f>
        <v>137.71069736697146</v>
      </c>
    </row>
    <row r="166" spans="2:3">
      <c r="B166" s="1536">
        <f>+B165-95</f>
        <v>42.710697366971459</v>
      </c>
    </row>
    <row r="167" spans="2:3">
      <c r="B167" s="217">
        <f>+B166*19%</f>
        <v>8.1150324997245775</v>
      </c>
      <c r="C167" s="348">
        <f>+B167*B163</f>
        <v>294640.59999999998</v>
      </c>
    </row>
  </sheetData>
  <mergeCells count="9">
    <mergeCell ref="D130:E130"/>
    <mergeCell ref="F146:G146"/>
    <mergeCell ref="B147:C147"/>
    <mergeCell ref="B1:N2"/>
    <mergeCell ref="B24:I24"/>
    <mergeCell ref="B59:I59"/>
    <mergeCell ref="B93:I93"/>
    <mergeCell ref="B124:C124"/>
    <mergeCell ref="B129:H129"/>
  </mergeCells>
  <pageMargins left="0.7" right="0.7" top="0.75" bottom="0.75" header="0.3" footer="0.3"/>
  <pageSetup scale="91" orientation="portrait" r:id="rId1"/>
  <colBreaks count="1" manualBreakCount="1">
    <brk id="9"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23456-CC43-44ED-8442-7397E01BA5AB}">
  <sheetPr codeName="Hoja70"/>
  <dimension ref="A4:K78"/>
  <sheetViews>
    <sheetView topLeftCell="A55" zoomScaleNormal="100" workbookViewId="0">
      <selection activeCell="D66" sqref="D66"/>
    </sheetView>
  </sheetViews>
  <sheetFormatPr defaultColWidth="9.140625" defaultRowHeight="12.75"/>
  <cols>
    <col min="1" max="1" width="3.85546875" style="686" customWidth="1"/>
    <col min="2" max="2" width="15.28515625" style="686" customWidth="1"/>
    <col min="3" max="3" width="24.7109375" style="686" customWidth="1"/>
    <col min="4" max="4" width="19" style="686" customWidth="1"/>
    <col min="5" max="5" width="11.42578125" style="686" customWidth="1"/>
    <col min="6" max="6" width="12.7109375" style="686" bestFit="1" customWidth="1"/>
    <col min="7" max="7" width="11.42578125" style="686" customWidth="1"/>
    <col min="8" max="8" width="18.85546875" style="686" customWidth="1"/>
    <col min="9" max="9" width="19.28515625" style="686" customWidth="1"/>
    <col min="10" max="10" width="19.28515625" style="686" bestFit="1" customWidth="1"/>
    <col min="11" max="258" width="11.42578125" style="686" customWidth="1"/>
    <col min="259" max="16384" width="9.140625" style="686"/>
  </cols>
  <sheetData>
    <row r="4" spans="3:9" ht="16.5">
      <c r="C4" s="2776" t="s">
        <v>1157</v>
      </c>
      <c r="D4" s="2776"/>
      <c r="E4" s="2776"/>
      <c r="F4" s="2776"/>
      <c r="G4" s="2776"/>
      <c r="H4" s="2776"/>
      <c r="I4" s="2776"/>
    </row>
    <row r="5" spans="3:9">
      <c r="C5" s="1628" t="s">
        <v>1283</v>
      </c>
      <c r="D5" s="1628" t="s">
        <v>1284</v>
      </c>
      <c r="E5" s="1628"/>
      <c r="F5" s="702"/>
      <c r="G5" s="702"/>
      <c r="H5" s="702"/>
      <c r="I5" s="702"/>
    </row>
    <row r="6" spans="3:9">
      <c r="C6" s="1628" t="s">
        <v>11</v>
      </c>
      <c r="D6" s="1628" t="s">
        <v>1285</v>
      </c>
      <c r="E6" s="1628"/>
      <c r="F6" s="702"/>
      <c r="G6" s="702"/>
      <c r="H6" s="702"/>
      <c r="I6" s="702"/>
    </row>
    <row r="7" spans="3:9">
      <c r="C7" s="1628" t="s">
        <v>219</v>
      </c>
      <c r="D7" s="1628" t="s">
        <v>1286</v>
      </c>
      <c r="E7" s="1628"/>
      <c r="F7" s="702"/>
      <c r="G7" s="702"/>
      <c r="H7" s="702"/>
      <c r="I7" s="702"/>
    </row>
    <row r="8" spans="3:9">
      <c r="C8" s="702"/>
      <c r="D8" s="702"/>
      <c r="E8" s="702"/>
      <c r="F8" s="702"/>
      <c r="G8" s="702"/>
      <c r="H8" s="702"/>
      <c r="I8" s="702"/>
    </row>
    <row r="9" spans="3:9" ht="30" customHeight="1">
      <c r="C9" s="2105" t="s">
        <v>1163</v>
      </c>
      <c r="D9" s="2106">
        <v>4273424417</v>
      </c>
      <c r="E9" s="702"/>
      <c r="F9" s="702"/>
      <c r="G9" s="702"/>
      <c r="H9" s="702"/>
      <c r="I9" s="702"/>
    </row>
    <row r="10" spans="3:9" ht="25.5">
      <c r="C10" s="2105" t="s">
        <v>1287</v>
      </c>
      <c r="D10" s="2106">
        <v>771026687</v>
      </c>
      <c r="E10" s="702"/>
      <c r="F10" s="702"/>
      <c r="G10" s="702"/>
      <c r="H10" s="702"/>
      <c r="I10" s="702"/>
    </row>
    <row r="11" spans="3:9" ht="25.5">
      <c r="C11" s="2105" t="s">
        <v>1288</v>
      </c>
      <c r="D11" s="2106">
        <v>46564287</v>
      </c>
      <c r="E11" s="702"/>
      <c r="F11" s="702"/>
      <c r="G11" s="702"/>
      <c r="H11" s="702"/>
      <c r="I11" s="702"/>
    </row>
    <row r="12" spans="3:9">
      <c r="C12" s="702" t="s">
        <v>97</v>
      </c>
      <c r="D12" s="1722">
        <f>SUM(D9:D11)</f>
        <v>5091015391</v>
      </c>
      <c r="E12" s="702"/>
      <c r="F12" s="702"/>
      <c r="G12" s="702"/>
      <c r="H12" s="702"/>
      <c r="I12" s="702"/>
    </row>
    <row r="14" spans="3:9">
      <c r="C14" s="702" t="s">
        <v>4</v>
      </c>
      <c r="D14" s="1629">
        <v>43405</v>
      </c>
    </row>
    <row r="15" spans="3:9">
      <c r="D15" s="2128"/>
    </row>
    <row r="16" spans="3:9" ht="16.5">
      <c r="C16" s="2776" t="s">
        <v>1289</v>
      </c>
      <c r="D16" s="2776"/>
      <c r="E16" s="2776"/>
      <c r="F16" s="2776"/>
      <c r="G16" s="2776"/>
      <c r="H16" s="2776"/>
      <c r="I16" s="2776"/>
    </row>
    <row r="17" spans="1:11" ht="27">
      <c r="B17" s="1915" t="s">
        <v>206</v>
      </c>
      <c r="C17" s="1915" t="s">
        <v>10</v>
      </c>
      <c r="D17" s="1698" t="s">
        <v>198</v>
      </c>
      <c r="E17" s="2712" t="s">
        <v>822</v>
      </c>
      <c r="F17" s="2713"/>
      <c r="G17" s="924" t="s">
        <v>88</v>
      </c>
      <c r="H17" s="1642" t="s">
        <v>47</v>
      </c>
      <c r="I17" s="1642" t="s">
        <v>48</v>
      </c>
      <c r="J17" s="698"/>
    </row>
    <row r="18" spans="1:11" ht="13.5">
      <c r="A18" s="686">
        <v>1</v>
      </c>
      <c r="B18" s="1629">
        <v>43451</v>
      </c>
      <c r="C18" s="1629">
        <v>43465</v>
      </c>
      <c r="D18" s="1722">
        <f>+$D$12</f>
        <v>5091015391</v>
      </c>
      <c r="E18" s="2032">
        <v>0.19400000000000001</v>
      </c>
      <c r="F18" s="2032"/>
      <c r="G18" s="2043">
        <f>(1+E18)^(1/365)-1</f>
        <v>4.8589613250715757E-4</v>
      </c>
      <c r="H18" s="2044">
        <f>+_xlfn.DAYS(C18,B18)+1</f>
        <v>15</v>
      </c>
      <c r="I18" s="1356">
        <f>ROUND(D18*G18*H18,2)</f>
        <v>37105570.340000004</v>
      </c>
      <c r="J18" s="715"/>
      <c r="K18" s="2107"/>
    </row>
    <row r="19" spans="1:11" ht="13.5">
      <c r="A19" s="686">
        <v>2</v>
      </c>
      <c r="B19" s="1629">
        <v>43466</v>
      </c>
      <c r="C19" s="1629">
        <v>43496</v>
      </c>
      <c r="D19" s="1722">
        <f t="shared" ref="D19:D62" si="0">+$D$12</f>
        <v>5091015391</v>
      </c>
      <c r="E19" s="2032">
        <v>0.19159999999999999</v>
      </c>
      <c r="F19" s="2032"/>
      <c r="G19" s="2043">
        <f t="shared" ref="G19:G27" si="1">(1+E19)^(1/365)-1</f>
        <v>4.8038094011393362E-4</v>
      </c>
      <c r="H19" s="2044">
        <f>+_xlfn.DAYS(C19,B19)+1</f>
        <v>31</v>
      </c>
      <c r="I19" s="1356">
        <f t="shared" ref="I19:I53" si="2">ROUND(D19*G19*H19,2)</f>
        <v>75814429.549999997</v>
      </c>
      <c r="J19" s="715"/>
      <c r="K19" s="2107"/>
    </row>
    <row r="20" spans="1:11" ht="13.5">
      <c r="A20" s="686">
        <v>3</v>
      </c>
      <c r="B20" s="1629">
        <v>43497</v>
      </c>
      <c r="C20" s="1629">
        <v>43524</v>
      </c>
      <c r="D20" s="1722">
        <f t="shared" si="0"/>
        <v>5091015391</v>
      </c>
      <c r="E20" s="2032">
        <v>0.19700000000000001</v>
      </c>
      <c r="F20" s="2032"/>
      <c r="G20" s="2043">
        <f t="shared" si="1"/>
        <v>4.9277459702556925E-4</v>
      </c>
      <c r="H20" s="2044">
        <f>+_xlfn.DAYS(C20,B20)+1</f>
        <v>28</v>
      </c>
      <c r="I20" s="1356">
        <f t="shared" si="2"/>
        <v>70244245.620000005</v>
      </c>
      <c r="J20" s="715"/>
      <c r="K20" s="2107"/>
    </row>
    <row r="21" spans="1:11" ht="13.5">
      <c r="A21" s="686">
        <v>4</v>
      </c>
      <c r="B21" s="1629">
        <v>43525</v>
      </c>
      <c r="C21" s="1629">
        <v>43555</v>
      </c>
      <c r="D21" s="1722">
        <f t="shared" si="0"/>
        <v>5091015391</v>
      </c>
      <c r="E21" s="2032">
        <v>0.19370000000000001</v>
      </c>
      <c r="F21" s="2032"/>
      <c r="G21" s="2043">
        <f t="shared" si="1"/>
        <v>4.8520733835699659E-4</v>
      </c>
      <c r="H21" s="2044">
        <f t="shared" ref="H21:H55" si="3">+_xlfn.DAYS(C21,B21)+1</f>
        <v>31</v>
      </c>
      <c r="I21" s="1356">
        <f t="shared" si="2"/>
        <v>76576138.849999994</v>
      </c>
      <c r="J21" s="715"/>
      <c r="K21" s="2107"/>
    </row>
    <row r="22" spans="1:11" ht="13.5">
      <c r="A22" s="686">
        <v>5</v>
      </c>
      <c r="B22" s="1629">
        <v>43556</v>
      </c>
      <c r="C22" s="1629">
        <v>43585</v>
      </c>
      <c r="D22" s="1722">
        <f t="shared" si="0"/>
        <v>5091015391</v>
      </c>
      <c r="E22" s="2032">
        <v>0.19320000000000001</v>
      </c>
      <c r="F22" s="2032"/>
      <c r="G22" s="2043">
        <f t="shared" si="1"/>
        <v>4.8405896438663554E-4</v>
      </c>
      <c r="H22" s="2044">
        <f t="shared" si="3"/>
        <v>30</v>
      </c>
      <c r="I22" s="1356">
        <f t="shared" si="2"/>
        <v>73930549.140000001</v>
      </c>
      <c r="J22" s="715"/>
      <c r="K22" s="2107"/>
    </row>
    <row r="23" spans="1:11" ht="13.5">
      <c r="A23" s="686">
        <v>6</v>
      </c>
      <c r="B23" s="1629">
        <v>43586</v>
      </c>
      <c r="C23" s="1629">
        <v>43616</v>
      </c>
      <c r="D23" s="1722">
        <f t="shared" si="0"/>
        <v>5091015391</v>
      </c>
      <c r="E23" s="2032">
        <v>0.19339999999999999</v>
      </c>
      <c r="F23" s="2032"/>
      <c r="G23" s="2043">
        <f t="shared" si="1"/>
        <v>4.8451837155205624E-4</v>
      </c>
      <c r="H23" s="2044">
        <f t="shared" si="3"/>
        <v>31</v>
      </c>
      <c r="I23" s="1356">
        <f t="shared" si="2"/>
        <v>76467405.090000004</v>
      </c>
      <c r="J23" s="715"/>
      <c r="K23" s="2107"/>
    </row>
    <row r="24" spans="1:11" ht="13.5">
      <c r="A24" s="686">
        <v>7</v>
      </c>
      <c r="B24" s="1629">
        <v>43617</v>
      </c>
      <c r="C24" s="1629">
        <v>43646</v>
      </c>
      <c r="D24" s="1722">
        <f t="shared" si="0"/>
        <v>5091015391</v>
      </c>
      <c r="E24" s="2032">
        <v>0.193</v>
      </c>
      <c r="F24" s="2032"/>
      <c r="G24" s="2043">
        <f t="shared" si="1"/>
        <v>4.8359948042175915E-4</v>
      </c>
      <c r="H24" s="2044">
        <f t="shared" si="3"/>
        <v>30</v>
      </c>
      <c r="I24" s="1356">
        <f t="shared" si="2"/>
        <v>73860371.939999998</v>
      </c>
      <c r="J24" s="715"/>
      <c r="K24" s="2107"/>
    </row>
    <row r="25" spans="1:11" ht="13.5">
      <c r="A25" s="686">
        <v>8</v>
      </c>
      <c r="B25" s="1629">
        <v>43647</v>
      </c>
      <c r="C25" s="1629">
        <v>43677</v>
      </c>
      <c r="D25" s="1722">
        <f t="shared" si="0"/>
        <v>5091015391</v>
      </c>
      <c r="E25" s="2032">
        <v>0.1928</v>
      </c>
      <c r="F25" s="2032"/>
      <c r="G25" s="2043">
        <f t="shared" si="1"/>
        <v>4.8313991963122582E-4</v>
      </c>
      <c r="H25" s="2044">
        <f t="shared" si="3"/>
        <v>31</v>
      </c>
      <c r="I25" s="1356">
        <f t="shared" si="2"/>
        <v>76249855.769999996</v>
      </c>
      <c r="J25" s="715"/>
      <c r="K25" s="2107"/>
    </row>
    <row r="26" spans="1:11" ht="13.5">
      <c r="A26" s="686">
        <v>9</v>
      </c>
      <c r="B26" s="1629">
        <v>43678</v>
      </c>
      <c r="C26" s="1629">
        <v>43708</v>
      </c>
      <c r="D26" s="1722">
        <f t="shared" si="0"/>
        <v>5091015391</v>
      </c>
      <c r="E26" s="2032">
        <v>0.19320000000000001</v>
      </c>
      <c r="F26" s="2032"/>
      <c r="G26" s="2043">
        <f t="shared" si="1"/>
        <v>4.8405896438663554E-4</v>
      </c>
      <c r="H26" s="2044">
        <f t="shared" si="3"/>
        <v>31</v>
      </c>
      <c r="I26" s="1356">
        <f t="shared" si="2"/>
        <v>76394900.769999996</v>
      </c>
      <c r="J26" s="715"/>
      <c r="K26" s="2107"/>
    </row>
    <row r="27" spans="1:11" ht="13.5">
      <c r="A27" s="686">
        <v>11</v>
      </c>
      <c r="B27" s="1629">
        <v>43709</v>
      </c>
      <c r="C27" s="1629">
        <v>43738</v>
      </c>
      <c r="D27" s="1722">
        <f t="shared" si="0"/>
        <v>5091015391</v>
      </c>
      <c r="E27" s="2032">
        <v>0.19320000000000001</v>
      </c>
      <c r="F27" s="2032"/>
      <c r="G27" s="2043">
        <f t="shared" si="1"/>
        <v>4.8405896438663554E-4</v>
      </c>
      <c r="H27" s="2044">
        <f t="shared" si="3"/>
        <v>30</v>
      </c>
      <c r="I27" s="1356">
        <f t="shared" si="2"/>
        <v>73930549.140000001</v>
      </c>
      <c r="J27" s="715"/>
      <c r="K27" s="2107"/>
    </row>
    <row r="28" spans="1:11" ht="13.5">
      <c r="A28" s="686">
        <v>12</v>
      </c>
      <c r="B28" s="1629">
        <v>43739</v>
      </c>
      <c r="C28" s="1629">
        <v>43769</v>
      </c>
      <c r="D28" s="1722">
        <f t="shared" si="0"/>
        <v>5091015391</v>
      </c>
      <c r="E28" s="2032">
        <v>0.191</v>
      </c>
      <c r="F28" s="2032">
        <f t="shared" ref="F28:F56" si="4">+E28*1.5</f>
        <v>0.28649999999999998</v>
      </c>
      <c r="G28" s="2043">
        <f>(1+F28)^(1/365)-1</f>
        <v>6.9044469314105683E-4</v>
      </c>
      <c r="H28" s="2044">
        <f t="shared" si="3"/>
        <v>31</v>
      </c>
      <c r="I28" s="1356">
        <f>ROUND(D28*G28*H28,2)</f>
        <v>108967001.34</v>
      </c>
      <c r="J28" s="715"/>
      <c r="K28" s="2107"/>
    </row>
    <row r="29" spans="1:11" ht="13.5">
      <c r="A29" s="686">
        <v>13</v>
      </c>
      <c r="B29" s="1629">
        <v>43770</v>
      </c>
      <c r="C29" s="1629">
        <v>43799</v>
      </c>
      <c r="D29" s="1722">
        <f t="shared" si="0"/>
        <v>5091015391</v>
      </c>
      <c r="E29" s="2032">
        <v>0.1903</v>
      </c>
      <c r="F29" s="2032">
        <f t="shared" si="4"/>
        <v>0.28544999999999998</v>
      </c>
      <c r="G29" s="2043">
        <f t="shared" ref="G29:G56" si="5">(1+F29)^(1/365)-1</f>
        <v>6.8820616169262827E-4</v>
      </c>
      <c r="H29" s="2044">
        <f t="shared" si="3"/>
        <v>30</v>
      </c>
      <c r="I29" s="1356">
        <f>ROUND(D29*G29*H29,2)</f>
        <v>105110044.84</v>
      </c>
      <c r="J29" s="715"/>
      <c r="K29" s="2107"/>
    </row>
    <row r="30" spans="1:11" ht="13.5">
      <c r="A30" s="686">
        <v>14</v>
      </c>
      <c r="B30" s="1629">
        <v>43800</v>
      </c>
      <c r="C30" s="1629">
        <v>43830</v>
      </c>
      <c r="D30" s="1722">
        <f t="shared" si="0"/>
        <v>5091015391</v>
      </c>
      <c r="E30" s="2032">
        <v>0.18909999999999999</v>
      </c>
      <c r="F30" s="2032">
        <f t="shared" si="4"/>
        <v>0.28364999999999996</v>
      </c>
      <c r="G30" s="2043">
        <f t="shared" si="5"/>
        <v>6.8436443340047504E-4</v>
      </c>
      <c r="H30" s="2044">
        <f t="shared" si="3"/>
        <v>31</v>
      </c>
      <c r="I30" s="1356">
        <f t="shared" si="2"/>
        <v>108007405.77</v>
      </c>
      <c r="J30" s="715"/>
      <c r="K30" s="2107"/>
    </row>
    <row r="31" spans="1:11" ht="13.5">
      <c r="A31" s="686">
        <v>15</v>
      </c>
      <c r="B31" s="1629">
        <v>43831</v>
      </c>
      <c r="C31" s="1629">
        <v>43861</v>
      </c>
      <c r="D31" s="1722">
        <f t="shared" si="0"/>
        <v>5091015391</v>
      </c>
      <c r="E31" s="2032">
        <v>0.18770000000000001</v>
      </c>
      <c r="F31" s="2032">
        <f t="shared" si="4"/>
        <v>0.28155000000000002</v>
      </c>
      <c r="G31" s="2043">
        <f t="shared" si="5"/>
        <v>6.7987562124560696E-4</v>
      </c>
      <c r="H31" s="2044">
        <f t="shared" si="3"/>
        <v>31</v>
      </c>
      <c r="I31" s="1356">
        <f t="shared" si="2"/>
        <v>107298974.8</v>
      </c>
      <c r="J31" s="715"/>
      <c r="K31" s="2107"/>
    </row>
    <row r="32" spans="1:11" ht="13.5">
      <c r="A32" s="686">
        <v>16</v>
      </c>
      <c r="B32" s="1629">
        <v>43862</v>
      </c>
      <c r="C32" s="1629">
        <v>43890</v>
      </c>
      <c r="D32" s="1722">
        <f t="shared" si="0"/>
        <v>5091015391</v>
      </c>
      <c r="E32" s="2032">
        <v>0.19059999999999999</v>
      </c>
      <c r="F32" s="2032">
        <f t="shared" si="4"/>
        <v>0.28589999999999999</v>
      </c>
      <c r="G32" s="2043">
        <f t="shared" si="5"/>
        <v>6.8916575551658532E-4</v>
      </c>
      <c r="H32" s="2044">
        <f t="shared" si="3"/>
        <v>29</v>
      </c>
      <c r="I32" s="1356">
        <f t="shared" si="2"/>
        <v>101748050.58</v>
      </c>
      <c r="J32" s="715"/>
      <c r="K32" s="2107"/>
    </row>
    <row r="33" spans="1:11" ht="13.5">
      <c r="A33" s="686">
        <v>17</v>
      </c>
      <c r="B33" s="1629">
        <v>43891</v>
      </c>
      <c r="C33" s="1629">
        <v>43921</v>
      </c>
      <c r="D33" s="1722">
        <f t="shared" si="0"/>
        <v>5091015391</v>
      </c>
      <c r="E33" s="2032">
        <v>0.1895</v>
      </c>
      <c r="F33" s="2032">
        <f t="shared" si="4"/>
        <v>0.28425</v>
      </c>
      <c r="G33" s="2043">
        <f t="shared" si="5"/>
        <v>6.8564560609574166E-4</v>
      </c>
      <c r="H33" s="2044">
        <f t="shared" si="3"/>
        <v>31</v>
      </c>
      <c r="I33" s="1356">
        <f t="shared" si="2"/>
        <v>108209602.34</v>
      </c>
      <c r="J33" s="715"/>
      <c r="K33" s="2107"/>
    </row>
    <row r="34" spans="1:11" ht="13.5">
      <c r="A34" s="686">
        <v>18</v>
      </c>
      <c r="B34" s="1629">
        <v>43922</v>
      </c>
      <c r="C34" s="1629">
        <v>43951</v>
      </c>
      <c r="D34" s="1722">
        <f t="shared" si="0"/>
        <v>5091015391</v>
      </c>
      <c r="E34" s="2032">
        <v>0.18690000000000001</v>
      </c>
      <c r="F34" s="2032">
        <f t="shared" si="4"/>
        <v>0.28034999999999999</v>
      </c>
      <c r="G34" s="2043">
        <f t="shared" si="5"/>
        <v>6.7730729113191224E-4</v>
      </c>
      <c r="H34" s="2044">
        <f t="shared" si="3"/>
        <v>30</v>
      </c>
      <c r="I34" s="1356">
        <f t="shared" si="2"/>
        <v>103445455.31</v>
      </c>
      <c r="J34" s="715"/>
      <c r="K34" s="2107"/>
    </row>
    <row r="35" spans="1:11" ht="13.5">
      <c r="A35" s="686">
        <v>19</v>
      </c>
      <c r="B35" s="1629">
        <v>43952</v>
      </c>
      <c r="C35" s="1629">
        <v>43982</v>
      </c>
      <c r="D35" s="1722">
        <f t="shared" si="0"/>
        <v>5091015391</v>
      </c>
      <c r="E35" s="2032">
        <v>0.18190000000000001</v>
      </c>
      <c r="F35" s="2032">
        <f t="shared" si="4"/>
        <v>0.27285000000000004</v>
      </c>
      <c r="G35" s="2043">
        <f t="shared" si="5"/>
        <v>6.6120063584418354E-4</v>
      </c>
      <c r="H35" s="2044">
        <f t="shared" si="3"/>
        <v>31</v>
      </c>
      <c r="I35" s="1356">
        <f t="shared" si="2"/>
        <v>104351661.02</v>
      </c>
      <c r="J35" s="715"/>
      <c r="K35" s="2107"/>
    </row>
    <row r="36" spans="1:11" ht="13.5">
      <c r="A36" s="686">
        <v>20</v>
      </c>
      <c r="B36" s="1629">
        <v>43983</v>
      </c>
      <c r="C36" s="1629">
        <v>44012</v>
      </c>
      <c r="D36" s="1722">
        <f t="shared" si="0"/>
        <v>5091015391</v>
      </c>
      <c r="E36" s="2032">
        <v>0.1812</v>
      </c>
      <c r="F36" s="2032">
        <f t="shared" si="4"/>
        <v>0.27179999999999999</v>
      </c>
      <c r="G36" s="2043">
        <f t="shared" si="5"/>
        <v>6.5893815469997286E-4</v>
      </c>
      <c r="H36" s="2044">
        <f t="shared" si="3"/>
        <v>30</v>
      </c>
      <c r="I36" s="1356">
        <f>ROUND(D36*G36*H36,2)</f>
        <v>100639928.62</v>
      </c>
      <c r="J36" s="715"/>
      <c r="K36" s="2107"/>
    </row>
    <row r="37" spans="1:11" ht="13.5">
      <c r="A37" s="686">
        <v>21</v>
      </c>
      <c r="B37" s="1629">
        <v>44013</v>
      </c>
      <c r="C37" s="1629">
        <v>44043</v>
      </c>
      <c r="D37" s="1722">
        <f t="shared" si="0"/>
        <v>5091015391</v>
      </c>
      <c r="E37" s="2032">
        <v>0.1812</v>
      </c>
      <c r="F37" s="2032">
        <f t="shared" si="4"/>
        <v>0.27179999999999999</v>
      </c>
      <c r="G37" s="2043">
        <f t="shared" si="5"/>
        <v>6.5893815469997286E-4</v>
      </c>
      <c r="H37" s="2044">
        <f t="shared" si="3"/>
        <v>31</v>
      </c>
      <c r="I37" s="1356">
        <f t="shared" si="2"/>
        <v>103994592.91</v>
      </c>
      <c r="J37" s="715"/>
      <c r="K37" s="2107"/>
    </row>
    <row r="38" spans="1:11" ht="13.5">
      <c r="A38" s="686">
        <v>22</v>
      </c>
      <c r="B38" s="1629">
        <v>44044</v>
      </c>
      <c r="C38" s="1629">
        <v>44074</v>
      </c>
      <c r="D38" s="1722">
        <f t="shared" si="0"/>
        <v>5091015391</v>
      </c>
      <c r="E38" s="2032">
        <v>0.18290000000000001</v>
      </c>
      <c r="F38" s="2032">
        <f t="shared" si="4"/>
        <v>0.27434999999999998</v>
      </c>
      <c r="G38" s="2043">
        <f t="shared" si="5"/>
        <v>6.6442952514544906E-4</v>
      </c>
      <c r="H38" s="2044">
        <f t="shared" si="3"/>
        <v>31</v>
      </c>
      <c r="I38" s="1356">
        <f t="shared" si="2"/>
        <v>104861249.09999999</v>
      </c>
      <c r="J38" s="715"/>
      <c r="K38" s="2107"/>
    </row>
    <row r="39" spans="1:11" ht="13.5">
      <c r="A39" s="686">
        <v>23</v>
      </c>
      <c r="B39" s="1629">
        <v>44075</v>
      </c>
      <c r="C39" s="1629">
        <v>44104</v>
      </c>
      <c r="D39" s="1722">
        <f t="shared" si="0"/>
        <v>5091015391</v>
      </c>
      <c r="E39" s="2032">
        <v>0.1835</v>
      </c>
      <c r="F39" s="2032">
        <f t="shared" si="4"/>
        <v>0.27524999999999999</v>
      </c>
      <c r="G39" s="2043">
        <f t="shared" si="5"/>
        <v>6.6636503991857055E-4</v>
      </c>
      <c r="H39" s="2044">
        <f t="shared" si="3"/>
        <v>30</v>
      </c>
      <c r="I39" s="1356">
        <f t="shared" si="2"/>
        <v>101774240.23</v>
      </c>
      <c r="J39" s="715"/>
      <c r="K39" s="2107"/>
    </row>
    <row r="40" spans="1:11" ht="13.5">
      <c r="A40" s="686">
        <v>24</v>
      </c>
      <c r="B40" s="1629">
        <v>44105</v>
      </c>
      <c r="C40" s="1629">
        <v>44135</v>
      </c>
      <c r="D40" s="1722">
        <f t="shared" si="0"/>
        <v>5091015391</v>
      </c>
      <c r="E40" s="2045">
        <v>0.18090000000000001</v>
      </c>
      <c r="F40" s="2032">
        <f t="shared" si="4"/>
        <v>0.27134999999999998</v>
      </c>
      <c r="G40" s="2043">
        <f t="shared" si="5"/>
        <v>6.5796794962613703E-4</v>
      </c>
      <c r="H40" s="2044">
        <f t="shared" si="3"/>
        <v>31</v>
      </c>
      <c r="I40" s="1356">
        <f t="shared" si="2"/>
        <v>103841473.70999999</v>
      </c>
      <c r="J40" s="715"/>
      <c r="K40" s="2107"/>
    </row>
    <row r="41" spans="1:11" ht="13.5">
      <c r="A41" s="686">
        <v>25</v>
      </c>
      <c r="B41" s="1629">
        <v>44136</v>
      </c>
      <c r="C41" s="1629">
        <v>44165</v>
      </c>
      <c r="D41" s="1722">
        <f t="shared" si="0"/>
        <v>5091015391</v>
      </c>
      <c r="E41" s="2045">
        <v>0.1784</v>
      </c>
      <c r="F41" s="2032">
        <f t="shared" si="4"/>
        <v>0.2676</v>
      </c>
      <c r="G41" s="2043">
        <f t="shared" si="5"/>
        <v>6.4986956374091243E-4</v>
      </c>
      <c r="H41" s="2044">
        <f t="shared" si="3"/>
        <v>30</v>
      </c>
      <c r="I41" s="1356">
        <f>ROUND(D41*G41*H41,2)</f>
        <v>99254878.530000001</v>
      </c>
      <c r="J41" s="715"/>
      <c r="K41" s="2107"/>
    </row>
    <row r="42" spans="1:11" ht="13.5">
      <c r="A42" s="686">
        <v>26</v>
      </c>
      <c r="B42" s="1629">
        <v>44166</v>
      </c>
      <c r="C42" s="1629">
        <v>44196</v>
      </c>
      <c r="D42" s="1722">
        <f t="shared" si="0"/>
        <v>5091015391</v>
      </c>
      <c r="E42" s="2032">
        <v>0.17460000000000001</v>
      </c>
      <c r="F42" s="2032">
        <f t="shared" si="4"/>
        <v>0.26190000000000002</v>
      </c>
      <c r="G42" s="2043">
        <f t="shared" si="5"/>
        <v>6.3751414410861962E-4</v>
      </c>
      <c r="H42" s="2044">
        <f t="shared" si="3"/>
        <v>31</v>
      </c>
      <c r="I42" s="1356">
        <f t="shared" si="2"/>
        <v>100613423.91</v>
      </c>
      <c r="J42" s="715"/>
      <c r="K42" s="2107"/>
    </row>
    <row r="43" spans="1:11" ht="13.5">
      <c r="A43" s="686">
        <v>27</v>
      </c>
      <c r="B43" s="1629">
        <v>44197</v>
      </c>
      <c r="C43" s="1629">
        <v>44227</v>
      </c>
      <c r="D43" s="1722">
        <f t="shared" si="0"/>
        <v>5091015391</v>
      </c>
      <c r="E43" s="2032">
        <v>0.17319999999999999</v>
      </c>
      <c r="F43" s="2032">
        <f t="shared" si="4"/>
        <v>0.25979999999999998</v>
      </c>
      <c r="G43" s="2043">
        <f t="shared" si="5"/>
        <v>6.3294811266723094E-4</v>
      </c>
      <c r="H43" s="2044">
        <f t="shared" si="3"/>
        <v>31</v>
      </c>
      <c r="I43" s="1356">
        <f t="shared" si="2"/>
        <v>99892806.079999998</v>
      </c>
      <c r="J43" s="715"/>
      <c r="K43" s="2107"/>
    </row>
    <row r="44" spans="1:11" ht="13.5">
      <c r="A44" s="686">
        <v>28</v>
      </c>
      <c r="B44" s="1629">
        <v>44228</v>
      </c>
      <c r="C44" s="1629">
        <v>44255</v>
      </c>
      <c r="D44" s="1722">
        <f t="shared" si="0"/>
        <v>5091015391</v>
      </c>
      <c r="E44" s="2032">
        <v>0.1754</v>
      </c>
      <c r="F44" s="2032">
        <f t="shared" si="4"/>
        <v>0.2631</v>
      </c>
      <c r="G44" s="2043">
        <f t="shared" si="5"/>
        <v>6.4011990387169426E-4</v>
      </c>
      <c r="H44" s="2044">
        <f t="shared" si="3"/>
        <v>28</v>
      </c>
      <c r="I44" s="1356">
        <f t="shared" si="2"/>
        <v>91248087.920000002</v>
      </c>
      <c r="J44" s="715"/>
      <c r="K44" s="2107"/>
    </row>
    <row r="45" spans="1:11" ht="13.5">
      <c r="A45" s="686">
        <v>29</v>
      </c>
      <c r="B45" s="1629">
        <v>44256</v>
      </c>
      <c r="C45" s="1629">
        <v>44286</v>
      </c>
      <c r="D45" s="1722">
        <f t="shared" si="0"/>
        <v>5091015391</v>
      </c>
      <c r="E45" s="2032">
        <v>0.1741</v>
      </c>
      <c r="F45" s="2032">
        <f t="shared" si="4"/>
        <v>0.26114999999999999</v>
      </c>
      <c r="G45" s="2043">
        <f t="shared" si="5"/>
        <v>6.3588428907812578E-4</v>
      </c>
      <c r="H45" s="2044">
        <f t="shared" si="3"/>
        <v>31</v>
      </c>
      <c r="I45" s="1356">
        <f t="shared" si="2"/>
        <v>100356197.78</v>
      </c>
      <c r="J45" s="715"/>
      <c r="K45" s="2107"/>
    </row>
    <row r="46" spans="1:11" ht="13.5">
      <c r="A46" s="686">
        <v>30</v>
      </c>
      <c r="B46" s="1629">
        <v>44287</v>
      </c>
      <c r="C46" s="1629">
        <v>44316</v>
      </c>
      <c r="D46" s="1722">
        <f t="shared" si="0"/>
        <v>5091015391</v>
      </c>
      <c r="E46" s="2032">
        <v>0.1731</v>
      </c>
      <c r="F46" s="2032">
        <f t="shared" si="4"/>
        <v>0.25964999999999999</v>
      </c>
      <c r="G46" s="2043">
        <f t="shared" si="5"/>
        <v>6.326216771728177E-4</v>
      </c>
      <c r="H46" s="2044">
        <f t="shared" si="3"/>
        <v>30</v>
      </c>
      <c r="I46" s="1356">
        <f t="shared" si="2"/>
        <v>96620600.859999999</v>
      </c>
      <c r="J46" s="715"/>
      <c r="K46" s="2107"/>
    </row>
    <row r="47" spans="1:11" ht="13.5">
      <c r="A47" s="686">
        <v>31</v>
      </c>
      <c r="B47" s="1629">
        <v>44317</v>
      </c>
      <c r="C47" s="1629">
        <v>44347</v>
      </c>
      <c r="D47" s="1722">
        <f t="shared" si="0"/>
        <v>5091015391</v>
      </c>
      <c r="E47" s="2032">
        <v>0.17219999999999999</v>
      </c>
      <c r="F47" s="2032">
        <f t="shared" si="4"/>
        <v>0.25829999999999997</v>
      </c>
      <c r="G47" s="2043">
        <f t="shared" si="5"/>
        <v>6.2968201205726437E-4</v>
      </c>
      <c r="H47" s="2044">
        <f t="shared" si="3"/>
        <v>31</v>
      </c>
      <c r="I47" s="1356">
        <f t="shared" si="2"/>
        <v>99377345.260000005</v>
      </c>
      <c r="J47" s="715"/>
      <c r="K47" s="2107"/>
    </row>
    <row r="48" spans="1:11" ht="13.5">
      <c r="A48" s="686">
        <v>32</v>
      </c>
      <c r="B48" s="1629">
        <v>44348</v>
      </c>
      <c r="C48" s="1629">
        <v>44377</v>
      </c>
      <c r="D48" s="1722">
        <f t="shared" si="0"/>
        <v>5091015391</v>
      </c>
      <c r="E48" s="2032">
        <v>0.1721</v>
      </c>
      <c r="F48" s="2032">
        <f t="shared" si="4"/>
        <v>0.25814999999999999</v>
      </c>
      <c r="G48" s="2043">
        <f t="shared" si="5"/>
        <v>6.2935518846773952E-4</v>
      </c>
      <c r="H48" s="2044">
        <f t="shared" si="3"/>
        <v>30</v>
      </c>
      <c r="I48" s="1356">
        <f t="shared" si="2"/>
        <v>96121708.530000001</v>
      </c>
      <c r="J48" s="715"/>
      <c r="K48" s="2107"/>
    </row>
    <row r="49" spans="1:11" ht="13.5">
      <c r="A49" s="686">
        <v>33</v>
      </c>
      <c r="B49" s="1629">
        <v>44378</v>
      </c>
      <c r="C49" s="1629">
        <v>44408</v>
      </c>
      <c r="D49" s="1722">
        <f t="shared" si="0"/>
        <v>5091015391</v>
      </c>
      <c r="E49" s="2032">
        <v>0.17180000000000001</v>
      </c>
      <c r="F49" s="2032">
        <f t="shared" si="4"/>
        <v>0.25770000000000004</v>
      </c>
      <c r="G49" s="2043">
        <f t="shared" si="5"/>
        <v>6.2837448450037137E-4</v>
      </c>
      <c r="H49" s="2044">
        <f t="shared" si="3"/>
        <v>31</v>
      </c>
      <c r="I49" s="1356">
        <f>ROUND(D49*G49*H49,2)</f>
        <v>99170989.329999998</v>
      </c>
      <c r="J49" s="715"/>
      <c r="K49" s="2107"/>
    </row>
    <row r="50" spans="1:11" ht="13.5">
      <c r="A50" s="686">
        <v>34</v>
      </c>
      <c r="B50" s="1629">
        <v>44409</v>
      </c>
      <c r="C50" s="1629">
        <v>44439</v>
      </c>
      <c r="D50" s="1722">
        <f t="shared" si="0"/>
        <v>5091015391</v>
      </c>
      <c r="E50" s="2032">
        <v>0.1724</v>
      </c>
      <c r="F50" s="2032">
        <f t="shared" si="4"/>
        <v>0.2586</v>
      </c>
      <c r="G50" s="2043">
        <f t="shared" si="5"/>
        <v>6.3033554269220637E-4</v>
      </c>
      <c r="H50" s="2044">
        <f t="shared" si="3"/>
        <v>31</v>
      </c>
      <c r="I50" s="1356">
        <f t="shared" si="2"/>
        <v>99480486.430000007</v>
      </c>
      <c r="J50" s="715"/>
      <c r="K50" s="2107"/>
    </row>
    <row r="51" spans="1:11" ht="13.5">
      <c r="A51" s="686">
        <v>35</v>
      </c>
      <c r="B51" s="1629">
        <v>44440</v>
      </c>
      <c r="C51" s="1629">
        <v>44469</v>
      </c>
      <c r="D51" s="1722">
        <f t="shared" si="0"/>
        <v>5091015391</v>
      </c>
      <c r="E51" s="2032">
        <v>0.1719</v>
      </c>
      <c r="F51" s="2032">
        <f t="shared" si="4"/>
        <v>0.25785000000000002</v>
      </c>
      <c r="G51" s="2043">
        <f t="shared" si="5"/>
        <v>6.2870142469861889E-4</v>
      </c>
      <c r="H51" s="2044">
        <f t="shared" si="3"/>
        <v>30</v>
      </c>
      <c r="I51" s="1356">
        <f t="shared" si="2"/>
        <v>96021858.879999995</v>
      </c>
      <c r="J51" s="715"/>
      <c r="K51" s="2107"/>
    </row>
    <row r="52" spans="1:11" ht="13.5">
      <c r="A52" s="686">
        <v>36</v>
      </c>
      <c r="B52" s="1629">
        <v>44470</v>
      </c>
      <c r="C52" s="1629">
        <v>44500</v>
      </c>
      <c r="D52" s="1722">
        <f t="shared" si="0"/>
        <v>5091015391</v>
      </c>
      <c r="E52" s="2032">
        <v>0.17080000000000001</v>
      </c>
      <c r="F52" s="2032">
        <f t="shared" si="4"/>
        <v>0.25619999999999998</v>
      </c>
      <c r="G52" s="2043">
        <f t="shared" si="5"/>
        <v>6.2510294214179751E-4</v>
      </c>
      <c r="H52" s="2044">
        <f t="shared" si="3"/>
        <v>31</v>
      </c>
      <c r="I52" s="1356">
        <f t="shared" si="2"/>
        <v>98654669.680000007</v>
      </c>
      <c r="J52" s="715"/>
      <c r="K52" s="2107"/>
    </row>
    <row r="53" spans="1:11" ht="13.5">
      <c r="A53" s="686">
        <v>37</v>
      </c>
      <c r="B53" s="1629">
        <v>44501</v>
      </c>
      <c r="C53" s="1629">
        <v>44530</v>
      </c>
      <c r="D53" s="1722">
        <f t="shared" si="0"/>
        <v>5091015391</v>
      </c>
      <c r="E53" s="2032">
        <v>0.17269999999999999</v>
      </c>
      <c r="F53" s="2032">
        <f t="shared" si="4"/>
        <v>0.25905</v>
      </c>
      <c r="G53" s="2043">
        <f t="shared" si="5"/>
        <v>6.3131554742335005E-4</v>
      </c>
      <c r="H53" s="2044">
        <f t="shared" si="3"/>
        <v>30</v>
      </c>
      <c r="I53" s="1356">
        <f t="shared" si="2"/>
        <v>96421115.060000002</v>
      </c>
      <c r="J53" s="715"/>
      <c r="K53" s="2107"/>
    </row>
    <row r="54" spans="1:11" ht="13.5">
      <c r="A54" s="686">
        <v>38</v>
      </c>
      <c r="B54" s="1629">
        <v>44531</v>
      </c>
      <c r="C54" s="1629">
        <v>44561</v>
      </c>
      <c r="D54" s="1722">
        <f t="shared" si="0"/>
        <v>5091015391</v>
      </c>
      <c r="E54" s="2032">
        <v>0.17460000000000001</v>
      </c>
      <c r="F54" s="2032">
        <f t="shared" si="4"/>
        <v>0.26190000000000002</v>
      </c>
      <c r="G54" s="2043">
        <f t="shared" si="5"/>
        <v>6.3751414410861962E-4</v>
      </c>
      <c r="H54" s="2044">
        <f t="shared" si="3"/>
        <v>31</v>
      </c>
      <c r="I54" s="1356">
        <f t="shared" ref="I54:I62" si="6">ROUND(D54*G54*H54,2)</f>
        <v>100613423.91</v>
      </c>
      <c r="J54" s="715"/>
      <c r="K54" s="2107"/>
    </row>
    <row r="55" spans="1:11" ht="13.5">
      <c r="A55" s="686">
        <v>39</v>
      </c>
      <c r="B55" s="1629">
        <v>44562</v>
      </c>
      <c r="C55" s="1629">
        <v>44592</v>
      </c>
      <c r="D55" s="1722">
        <f t="shared" si="0"/>
        <v>5091015391</v>
      </c>
      <c r="E55" s="2032">
        <v>0.17660000000000001</v>
      </c>
      <c r="F55" s="2032">
        <f t="shared" si="4"/>
        <v>0.26490000000000002</v>
      </c>
      <c r="G55" s="2043">
        <f t="shared" si="5"/>
        <v>6.4402391816376081E-4</v>
      </c>
      <c r="H55" s="2044">
        <f t="shared" si="3"/>
        <v>31</v>
      </c>
      <c r="I55" s="1356">
        <f t="shared" si="6"/>
        <v>101640806.06999999</v>
      </c>
      <c r="J55" s="715"/>
      <c r="K55" s="2107"/>
    </row>
    <row r="56" spans="1:11" ht="13.5">
      <c r="A56" s="686">
        <v>40</v>
      </c>
      <c r="B56" s="1629">
        <v>44593</v>
      </c>
      <c r="C56" s="1629">
        <v>44620</v>
      </c>
      <c r="D56" s="1722">
        <f t="shared" si="0"/>
        <v>5091015391</v>
      </c>
      <c r="E56" s="2032">
        <v>0.183</v>
      </c>
      <c r="F56" s="2032">
        <f t="shared" si="4"/>
        <v>0.27449999999999997</v>
      </c>
      <c r="G56" s="2043">
        <f t="shared" si="5"/>
        <v>6.6475220558892545E-4</v>
      </c>
      <c r="H56" s="2044">
        <f t="shared" ref="H56:H62" si="7">+_xlfn.DAYS(C56,B56)+1</f>
        <v>28</v>
      </c>
      <c r="I56" s="1356">
        <f t="shared" si="6"/>
        <v>94759383.879999995</v>
      </c>
      <c r="J56" s="715"/>
      <c r="K56" s="2107"/>
    </row>
    <row r="57" spans="1:11" ht="13.5">
      <c r="A57" s="686">
        <v>41</v>
      </c>
      <c r="B57" s="1629">
        <v>44621</v>
      </c>
      <c r="C57" s="1629">
        <v>44651</v>
      </c>
      <c r="D57" s="1722">
        <f t="shared" si="0"/>
        <v>5091015391</v>
      </c>
      <c r="E57" s="2032">
        <v>0.1847</v>
      </c>
      <c r="F57" s="2032">
        <f t="shared" ref="F57:F62" si="8">+E57*1.5</f>
        <v>0.27705000000000002</v>
      </c>
      <c r="G57" s="2043">
        <f t="shared" ref="G57:G62" si="9">(1+F57)^(1/365)-1</f>
        <v>6.7023198611315671E-4</v>
      </c>
      <c r="H57" s="2044">
        <f t="shared" si="7"/>
        <v>31</v>
      </c>
      <c r="I57" s="1356">
        <f t="shared" si="6"/>
        <v>105777002.06</v>
      </c>
      <c r="J57" s="715"/>
      <c r="K57" s="2107"/>
    </row>
    <row r="58" spans="1:11" ht="13.5">
      <c r="A58" s="686">
        <v>42</v>
      </c>
      <c r="B58" s="1629">
        <v>44652</v>
      </c>
      <c r="C58" s="1629">
        <v>44681</v>
      </c>
      <c r="D58" s="1722">
        <f t="shared" si="0"/>
        <v>5091015391</v>
      </c>
      <c r="E58" s="2032">
        <v>0.1905</v>
      </c>
      <c r="F58" s="2032">
        <f t="shared" si="8"/>
        <v>0.28575</v>
      </c>
      <c r="G58" s="2043">
        <f t="shared" si="9"/>
        <v>6.8884592812357148E-4</v>
      </c>
      <c r="H58" s="2044">
        <f t="shared" si="7"/>
        <v>30</v>
      </c>
      <c r="I58" s="1356">
        <f t="shared" si="6"/>
        <v>105207756.66</v>
      </c>
      <c r="J58" s="715"/>
      <c r="K58" s="2107"/>
    </row>
    <row r="59" spans="1:11" ht="13.5">
      <c r="A59" s="686">
        <v>43</v>
      </c>
      <c r="B59" s="1629">
        <v>44682</v>
      </c>
      <c r="C59" s="1629">
        <v>44712</v>
      </c>
      <c r="D59" s="1722">
        <f t="shared" si="0"/>
        <v>5091015391</v>
      </c>
      <c r="E59" s="2032">
        <v>0.1971</v>
      </c>
      <c r="F59" s="2032">
        <f t="shared" si="8"/>
        <v>0.29564999999999997</v>
      </c>
      <c r="G59" s="2043">
        <f t="shared" si="9"/>
        <v>7.0987512909947981E-4</v>
      </c>
      <c r="H59" s="2044">
        <f t="shared" si="7"/>
        <v>31</v>
      </c>
      <c r="I59" s="1356">
        <f t="shared" si="6"/>
        <v>112033541.45</v>
      </c>
      <c r="J59" s="715"/>
      <c r="K59" s="2107"/>
    </row>
    <row r="60" spans="1:11" ht="13.5">
      <c r="A60" s="686">
        <v>44</v>
      </c>
      <c r="B60" s="1629">
        <v>44713</v>
      </c>
      <c r="C60" s="1629">
        <v>44742</v>
      </c>
      <c r="D60" s="1722">
        <f t="shared" si="0"/>
        <v>5091015391</v>
      </c>
      <c r="E60" s="2032">
        <v>0.20399999999999999</v>
      </c>
      <c r="F60" s="2032">
        <f t="shared" si="8"/>
        <v>0.30599999999999999</v>
      </c>
      <c r="G60" s="2043">
        <f t="shared" si="9"/>
        <v>7.3168955664093538E-4</v>
      </c>
      <c r="H60" s="2044">
        <f t="shared" si="7"/>
        <v>30</v>
      </c>
      <c r="I60" s="1356">
        <f t="shared" si="6"/>
        <v>111751283.83</v>
      </c>
      <c r="J60" s="715"/>
      <c r="K60" s="2107"/>
    </row>
    <row r="61" spans="1:11" ht="13.5">
      <c r="A61" s="686">
        <v>45</v>
      </c>
      <c r="B61" s="1629">
        <v>44743</v>
      </c>
      <c r="C61" s="1629">
        <v>44773</v>
      </c>
      <c r="D61" s="1722">
        <f t="shared" si="0"/>
        <v>5091015391</v>
      </c>
      <c r="E61" s="2032">
        <v>0.21279999999999999</v>
      </c>
      <c r="F61" s="2032">
        <f t="shared" si="8"/>
        <v>0.31919999999999998</v>
      </c>
      <c r="G61" s="2043">
        <f t="shared" si="9"/>
        <v>7.5926204501630679E-4</v>
      </c>
      <c r="H61" s="2044">
        <f t="shared" si="7"/>
        <v>31</v>
      </c>
      <c r="I61" s="1356">
        <f t="shared" si="6"/>
        <v>119827857.47</v>
      </c>
      <c r="J61" s="715"/>
      <c r="K61" s="2107"/>
    </row>
    <row r="62" spans="1:11" ht="13.5">
      <c r="A62" s="686">
        <v>46</v>
      </c>
      <c r="B62" s="1629">
        <v>44774</v>
      </c>
      <c r="C62" s="1629">
        <v>44804</v>
      </c>
      <c r="D62" s="1722">
        <f t="shared" si="0"/>
        <v>5091015391</v>
      </c>
      <c r="E62" s="2032">
        <v>0.22209999999999999</v>
      </c>
      <c r="F62" s="2032">
        <f t="shared" si="8"/>
        <v>0.33315</v>
      </c>
      <c r="G62" s="2043">
        <f t="shared" si="9"/>
        <v>7.8810371394433254E-4</v>
      </c>
      <c r="H62" s="2044">
        <f t="shared" si="7"/>
        <v>31</v>
      </c>
      <c r="I62" s="1356">
        <f t="shared" si="6"/>
        <v>124379692.26000001</v>
      </c>
      <c r="J62" s="715"/>
      <c r="K62" s="2107"/>
    </row>
    <row r="63" spans="1:11" ht="13.5">
      <c r="B63" s="2402"/>
      <c r="C63" s="2402"/>
      <c r="D63" s="2224"/>
      <c r="E63" s="2403"/>
      <c r="F63" s="2403"/>
      <c r="G63" s="2404"/>
      <c r="H63" s="2405"/>
      <c r="I63" s="1356"/>
      <c r="J63" s="715"/>
      <c r="K63" s="2107"/>
    </row>
    <row r="64" spans="1:11" ht="14.25" thickBot="1">
      <c r="G64" s="2046"/>
      <c r="H64" s="2047" t="s">
        <v>97</v>
      </c>
      <c r="I64" s="1356">
        <f>ROUND(SUM(I18:I62),2)</f>
        <v>4322048612.6199999</v>
      </c>
      <c r="K64" s="2107"/>
    </row>
    <row r="65" spans="3:11" ht="15" thickTop="1" thickBot="1">
      <c r="H65" s="2047" t="s">
        <v>791</v>
      </c>
      <c r="I65" s="1356">
        <f>+D12+I64</f>
        <v>9413064003.6199989</v>
      </c>
      <c r="K65" s="2107"/>
    </row>
    <row r="66" spans="3:11" ht="13.5" thickTop="1"/>
    <row r="67" spans="3:11">
      <c r="C67" s="2751" t="s">
        <v>346</v>
      </c>
      <c r="D67" s="2751"/>
    </row>
    <row r="68" spans="3:11" ht="13.5">
      <c r="C68" s="1667" t="s">
        <v>959</v>
      </c>
      <c r="D68" s="1616">
        <f>+D12</f>
        <v>5091015391</v>
      </c>
    </row>
    <row r="69" spans="3:11" ht="13.5">
      <c r="C69" s="1667" t="s">
        <v>951</v>
      </c>
      <c r="D69" s="1616">
        <f>+I64</f>
        <v>4322048612.6199999</v>
      </c>
    </row>
    <row r="70" spans="3:11" ht="26.25">
      <c r="C70" s="1667" t="s">
        <v>1290</v>
      </c>
      <c r="D70" s="1616">
        <v>491241407</v>
      </c>
    </row>
    <row r="71" spans="3:11" ht="13.5">
      <c r="C71" s="1667" t="s">
        <v>952</v>
      </c>
      <c r="D71" s="1616">
        <v>464109223</v>
      </c>
    </row>
    <row r="72" spans="3:11">
      <c r="C72" s="1628" t="s">
        <v>1177</v>
      </c>
      <c r="D72" s="2037">
        <f>ROUND(SUM(D68:D71),2)</f>
        <v>10368414633.620001</v>
      </c>
    </row>
    <row r="78" spans="3:11">
      <c r="D78" s="2107"/>
    </row>
  </sheetData>
  <mergeCells count="4">
    <mergeCell ref="C4:I4"/>
    <mergeCell ref="C67:D67"/>
    <mergeCell ref="C16:I16"/>
    <mergeCell ref="E17:F17"/>
  </mergeCell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9016A-1497-4151-AFA9-674E8A6E5F51}">
  <sheetPr codeName="Hoja84"/>
  <dimension ref="A4:J118"/>
  <sheetViews>
    <sheetView topLeftCell="A96" workbookViewId="0">
      <selection activeCell="I106" sqref="I106"/>
    </sheetView>
  </sheetViews>
  <sheetFormatPr defaultColWidth="11.42578125" defaultRowHeight="12.75"/>
  <cols>
    <col min="1" max="1" width="3.85546875" style="686" customWidth="1"/>
    <col min="2" max="2" width="15.28515625" style="686" customWidth="1"/>
    <col min="3" max="3" width="22.28515625" style="686" customWidth="1"/>
    <col min="4" max="4" width="19" style="686" customWidth="1"/>
    <col min="5" max="5" width="14.85546875" style="686" customWidth="1"/>
    <col min="6" max="6" width="13.85546875" style="686" customWidth="1"/>
    <col min="7" max="7" width="11.42578125" style="686"/>
    <col min="8" max="8" width="11.140625" style="686" customWidth="1"/>
    <col min="9" max="10" width="19.28515625" style="686" customWidth="1"/>
    <col min="11" max="16384" width="11.42578125" style="686"/>
  </cols>
  <sheetData>
    <row r="4" spans="2:9" ht="16.5">
      <c r="C4" s="2317" t="s">
        <v>1157</v>
      </c>
      <c r="D4" s="2316"/>
      <c r="E4" s="2316"/>
      <c r="F4" s="2315"/>
      <c r="G4" s="709"/>
      <c r="H4" s="709"/>
      <c r="I4" s="709"/>
    </row>
    <row r="5" spans="2:9">
      <c r="C5" s="1628" t="s">
        <v>1283</v>
      </c>
      <c r="D5" s="1628" t="s">
        <v>1284</v>
      </c>
      <c r="E5" s="1628"/>
      <c r="F5" s="702"/>
      <c r="G5" s="702"/>
      <c r="H5" s="702"/>
      <c r="I5" s="702"/>
    </row>
    <row r="6" spans="2:9">
      <c r="C6" s="1628" t="s">
        <v>11</v>
      </c>
      <c r="D6" s="1628" t="s">
        <v>1285</v>
      </c>
      <c r="E6" s="1628"/>
      <c r="F6" s="702"/>
      <c r="G6" s="702"/>
      <c r="H6" s="702"/>
      <c r="I6" s="702"/>
    </row>
    <row r="7" spans="2:9">
      <c r="C7" s="1628" t="s">
        <v>219</v>
      </c>
      <c r="D7" s="1628" t="s">
        <v>1286</v>
      </c>
      <c r="E7" s="1628"/>
      <c r="F7" s="702"/>
      <c r="G7" s="702"/>
      <c r="H7" s="702"/>
      <c r="I7" s="702"/>
    </row>
    <row r="8" spans="2:9">
      <c r="C8" s="702"/>
      <c r="D8" s="702"/>
      <c r="E8" s="702"/>
      <c r="F8" s="702"/>
      <c r="G8" s="702"/>
      <c r="H8" s="702"/>
      <c r="I8" s="702"/>
    </row>
    <row r="9" spans="2:9" ht="30" customHeight="1">
      <c r="C9" s="2105" t="s">
        <v>1163</v>
      </c>
      <c r="D9" s="2314">
        <v>4273424417.7199998</v>
      </c>
      <c r="E9" s="702"/>
      <c r="F9" s="702"/>
      <c r="G9" s="702"/>
      <c r="H9" s="702"/>
      <c r="I9" s="702"/>
    </row>
    <row r="10" spans="2:9" ht="25.5">
      <c r="C10" s="2105" t="s">
        <v>1287</v>
      </c>
      <c r="D10" s="2314">
        <v>771026687.16999996</v>
      </c>
      <c r="E10" s="702"/>
      <c r="F10" s="702"/>
      <c r="G10" s="702"/>
      <c r="H10" s="702"/>
      <c r="I10" s="702"/>
    </row>
    <row r="11" spans="2:9" ht="25.5">
      <c r="C11" s="2105" t="s">
        <v>1288</v>
      </c>
      <c r="D11" s="2314">
        <v>46564287.509999998</v>
      </c>
      <c r="E11" s="702"/>
      <c r="F11" s="702"/>
      <c r="G11" s="702"/>
      <c r="H11" s="702"/>
      <c r="I11" s="702"/>
    </row>
    <row r="12" spans="2:9">
      <c r="C12" s="702" t="s">
        <v>97</v>
      </c>
      <c r="D12" s="747">
        <f>SUM(D9:D11)</f>
        <v>5091015392.3999996</v>
      </c>
      <c r="E12" s="702"/>
      <c r="F12" s="702"/>
      <c r="G12" s="702"/>
      <c r="H12" s="702"/>
      <c r="I12" s="702"/>
    </row>
    <row r="14" spans="2:9">
      <c r="C14" s="702" t="s">
        <v>4</v>
      </c>
      <c r="D14" s="1629">
        <v>43405</v>
      </c>
    </row>
    <row r="15" spans="2:9">
      <c r="C15" s="686" t="s">
        <v>1291</v>
      </c>
      <c r="D15" s="2313"/>
    </row>
    <row r="16" spans="2:9" ht="13.5">
      <c r="B16" s="1983" t="s">
        <v>1289</v>
      </c>
      <c r="C16" s="1983"/>
      <c r="D16" s="1983"/>
      <c r="E16" s="1983"/>
      <c r="F16" s="1983"/>
      <c r="G16" s="1983"/>
      <c r="H16" s="1983"/>
      <c r="I16" s="1983"/>
    </row>
    <row r="17" spans="1:10" ht="25.5">
      <c r="B17" s="1915" t="s">
        <v>206</v>
      </c>
      <c r="C17" s="1915" t="s">
        <v>10</v>
      </c>
      <c r="D17" s="924" t="s">
        <v>198</v>
      </c>
      <c r="E17" s="2312" t="s">
        <v>822</v>
      </c>
      <c r="F17" s="2311"/>
      <c r="G17" s="924" t="s">
        <v>88</v>
      </c>
      <c r="H17" s="970" t="s">
        <v>47</v>
      </c>
      <c r="I17" s="970" t="s">
        <v>48</v>
      </c>
      <c r="J17" s="698"/>
    </row>
    <row r="18" spans="1:10" ht="13.5">
      <c r="A18" s="686">
        <v>1</v>
      </c>
      <c r="B18" s="1073">
        <v>43406</v>
      </c>
      <c r="C18" s="1073">
        <v>43434</v>
      </c>
      <c r="D18" s="1617">
        <f t="shared" ref="D18:D49" si="0">+$D$12</f>
        <v>5091015392.3999996</v>
      </c>
      <c r="E18" s="1660">
        <v>0</v>
      </c>
      <c r="F18" s="1660">
        <v>4.4200000000000003E-2</v>
      </c>
      <c r="G18" s="1917">
        <f t="shared" ref="G18:G49" si="1">(1+F18)^(1/365)-1</f>
        <v>1.185030263928244E-4</v>
      </c>
      <c r="H18" s="2310">
        <f t="shared" ref="H18:H49" si="2">(C18-B18)+1</f>
        <v>29</v>
      </c>
      <c r="I18" s="1356">
        <f t="shared" ref="I18:I49" si="3">ROUND(D18*G18*H18,2)</f>
        <v>17495721.210000001</v>
      </c>
      <c r="J18" s="698"/>
    </row>
    <row r="19" spans="1:10" ht="13.5">
      <c r="A19" s="686">
        <v>2</v>
      </c>
      <c r="B19" s="1073">
        <v>43435</v>
      </c>
      <c r="C19" s="1073">
        <v>43465</v>
      </c>
      <c r="D19" s="1617">
        <f t="shared" si="0"/>
        <v>5091015392.3999996</v>
      </c>
      <c r="E19" s="1660">
        <v>0</v>
      </c>
      <c r="F19" s="1660">
        <v>4.5400000000000003E-2</v>
      </c>
      <c r="G19" s="1917">
        <f t="shared" si="1"/>
        <v>1.2165010369624696E-4</v>
      </c>
      <c r="H19" s="2310">
        <f t="shared" si="2"/>
        <v>31</v>
      </c>
      <c r="I19" s="1356">
        <f t="shared" si="3"/>
        <v>19198999.059999999</v>
      </c>
      <c r="J19" s="718"/>
    </row>
    <row r="20" spans="1:10" ht="13.5">
      <c r="A20" s="686">
        <v>3</v>
      </c>
      <c r="B20" s="1073">
        <v>43466</v>
      </c>
      <c r="C20" s="1073">
        <v>43496</v>
      </c>
      <c r="D20" s="1617">
        <f t="shared" si="0"/>
        <v>5091015392.3999996</v>
      </c>
      <c r="E20" s="1660">
        <v>0</v>
      </c>
      <c r="F20" s="1660">
        <v>4.5600000000000002E-2</v>
      </c>
      <c r="G20" s="1917">
        <f t="shared" si="1"/>
        <v>1.2217426630578565E-4</v>
      </c>
      <c r="H20" s="2310">
        <f t="shared" si="2"/>
        <v>31</v>
      </c>
      <c r="I20" s="1356">
        <f t="shared" si="3"/>
        <v>19281723.18</v>
      </c>
    </row>
    <row r="21" spans="1:10" ht="13.5">
      <c r="A21" s="686">
        <v>4</v>
      </c>
      <c r="B21" s="1073">
        <v>43497</v>
      </c>
      <c r="C21" s="1073">
        <v>43524</v>
      </c>
      <c r="D21" s="1617">
        <f t="shared" si="0"/>
        <v>5091015392.3999996</v>
      </c>
      <c r="E21" s="1660">
        <v>0</v>
      </c>
      <c r="F21" s="1660">
        <v>4.5699999999999998E-2</v>
      </c>
      <c r="G21" s="1917">
        <f t="shared" si="1"/>
        <v>1.2243631011710221E-4</v>
      </c>
      <c r="H21" s="2310">
        <f t="shared" si="2"/>
        <v>28</v>
      </c>
      <c r="I21" s="1356">
        <f t="shared" si="3"/>
        <v>17453103.899999999</v>
      </c>
    </row>
    <row r="22" spans="1:10" ht="13.5">
      <c r="A22" s="686">
        <v>5</v>
      </c>
      <c r="B22" s="1073">
        <v>43525</v>
      </c>
      <c r="C22" s="1073">
        <v>43555</v>
      </c>
      <c r="D22" s="1617">
        <f t="shared" si="0"/>
        <v>5091015392.3999996</v>
      </c>
      <c r="E22" s="1660">
        <v>0</v>
      </c>
      <c r="F22" s="1660">
        <v>4.5499999999999999E-2</v>
      </c>
      <c r="G22" s="1917">
        <f t="shared" si="1"/>
        <v>1.2191219750046223E-4</v>
      </c>
      <c r="H22" s="2310">
        <f t="shared" si="2"/>
        <v>31</v>
      </c>
      <c r="I22" s="1356">
        <f t="shared" si="3"/>
        <v>19240363.09</v>
      </c>
    </row>
    <row r="23" spans="1:10" ht="13.5">
      <c r="A23" s="686">
        <v>6</v>
      </c>
      <c r="B23" s="1073">
        <v>43556</v>
      </c>
      <c r="C23" s="1073">
        <v>43585</v>
      </c>
      <c r="D23" s="1617">
        <f t="shared" si="0"/>
        <v>5091015392.3999996</v>
      </c>
      <c r="E23" s="1660">
        <v>0</v>
      </c>
      <c r="F23" s="1660">
        <v>4.5400000000000003E-2</v>
      </c>
      <c r="G23" s="1917">
        <f t="shared" si="1"/>
        <v>1.2165010369624696E-4</v>
      </c>
      <c r="H23" s="2310">
        <f t="shared" si="2"/>
        <v>30</v>
      </c>
      <c r="I23" s="1356">
        <f t="shared" si="3"/>
        <v>18579676.510000002</v>
      </c>
    </row>
    <row r="24" spans="1:10" ht="13.5">
      <c r="A24" s="686">
        <v>7</v>
      </c>
      <c r="B24" s="1073">
        <v>43586</v>
      </c>
      <c r="C24" s="1073">
        <v>43616</v>
      </c>
      <c r="D24" s="1617">
        <f t="shared" si="0"/>
        <v>5091015392.3999996</v>
      </c>
      <c r="E24" s="1660">
        <v>0</v>
      </c>
      <c r="F24" s="1660">
        <v>4.4999999999999998E-2</v>
      </c>
      <c r="G24" s="1917">
        <f t="shared" si="1"/>
        <v>1.2060147839498825E-4</v>
      </c>
      <c r="H24" s="2310">
        <f t="shared" si="2"/>
        <v>31</v>
      </c>
      <c r="I24" s="1356">
        <f t="shared" si="3"/>
        <v>19033503.469999999</v>
      </c>
    </row>
    <row r="25" spans="1:10" ht="13.5">
      <c r="A25" s="686">
        <v>8</v>
      </c>
      <c r="B25" s="1073">
        <v>43617</v>
      </c>
      <c r="C25" s="1073">
        <v>43646</v>
      </c>
      <c r="D25" s="1617">
        <f t="shared" si="0"/>
        <v>5091015392.3999996</v>
      </c>
      <c r="E25" s="1660">
        <v>0</v>
      </c>
      <c r="F25" s="1660">
        <v>4.5199999999999997E-2</v>
      </c>
      <c r="G25" s="1917">
        <f t="shared" si="1"/>
        <v>1.2112584107204505E-4</v>
      </c>
      <c r="H25" s="2310">
        <f t="shared" si="2"/>
        <v>30</v>
      </c>
      <c r="I25" s="1356">
        <f t="shared" si="3"/>
        <v>18499605.640000001</v>
      </c>
    </row>
    <row r="26" spans="1:10" ht="13.5">
      <c r="A26" s="686">
        <v>9</v>
      </c>
      <c r="B26" s="1073">
        <v>43647</v>
      </c>
      <c r="C26" s="1073">
        <v>43677</v>
      </c>
      <c r="D26" s="1617">
        <f t="shared" si="0"/>
        <v>5091015392.3999996</v>
      </c>
      <c r="E26" s="1660">
        <v>0</v>
      </c>
      <c r="F26" s="1660">
        <v>4.4699999999999997E-2</v>
      </c>
      <c r="G26" s="1917">
        <f t="shared" si="1"/>
        <v>1.198147466965338E-4</v>
      </c>
      <c r="H26" s="2310">
        <f t="shared" si="2"/>
        <v>31</v>
      </c>
      <c r="I26" s="1356">
        <f t="shared" si="3"/>
        <v>18909340.309999999</v>
      </c>
    </row>
    <row r="27" spans="1:10" ht="13.5">
      <c r="A27" s="686">
        <v>10</v>
      </c>
      <c r="B27" s="1073">
        <v>43678</v>
      </c>
      <c r="C27" s="1073">
        <v>43708</v>
      </c>
      <c r="D27" s="1617">
        <f t="shared" si="0"/>
        <v>5091015392.3999996</v>
      </c>
      <c r="E27" s="1660">
        <v>0</v>
      </c>
      <c r="F27" s="1660">
        <v>4.4299999999999999E-2</v>
      </c>
      <c r="G27" s="1917">
        <f t="shared" si="1"/>
        <v>1.187654205565547E-4</v>
      </c>
      <c r="H27" s="2310">
        <f t="shared" si="2"/>
        <v>31</v>
      </c>
      <c r="I27" s="1356">
        <f t="shared" si="3"/>
        <v>18743734.109999999</v>
      </c>
    </row>
    <row r="28" spans="1:10" ht="13.5">
      <c r="A28" s="686">
        <v>11</v>
      </c>
      <c r="B28" s="1073">
        <v>43709</v>
      </c>
      <c r="C28" s="1073">
        <v>43710</v>
      </c>
      <c r="D28" s="1617">
        <f t="shared" si="0"/>
        <v>5091015392.3999996</v>
      </c>
      <c r="E28" s="1660">
        <v>0</v>
      </c>
      <c r="F28" s="1660">
        <v>4.48E-2</v>
      </c>
      <c r="G28" s="1917">
        <f t="shared" si="1"/>
        <v>1.2007701562666284E-4</v>
      </c>
      <c r="H28" s="2310">
        <f t="shared" si="2"/>
        <v>2</v>
      </c>
      <c r="I28" s="1356">
        <f t="shared" si="3"/>
        <v>1222627.8700000001</v>
      </c>
    </row>
    <row r="29" spans="1:10" ht="13.5">
      <c r="A29" s="686">
        <v>12</v>
      </c>
      <c r="B29" s="1073">
        <v>43711</v>
      </c>
      <c r="C29" s="1073">
        <v>43738</v>
      </c>
      <c r="D29" s="1617">
        <f t="shared" si="0"/>
        <v>5091015392.3999996</v>
      </c>
      <c r="E29" s="1660">
        <v>0.19320000000000001</v>
      </c>
      <c r="F29" s="1660">
        <f t="shared" ref="F29:F68" si="4">+E29*1.5</f>
        <v>0.2898</v>
      </c>
      <c r="G29" s="1917">
        <f t="shared" si="1"/>
        <v>6.9746823462724095E-4</v>
      </c>
      <c r="H29" s="2310">
        <f t="shared" si="2"/>
        <v>28</v>
      </c>
      <c r="I29" s="1356">
        <f t="shared" si="3"/>
        <v>99423002.510000005</v>
      </c>
    </row>
    <row r="30" spans="1:10" ht="13.5">
      <c r="A30" s="686">
        <v>13</v>
      </c>
      <c r="B30" s="1073">
        <v>43739</v>
      </c>
      <c r="C30" s="1073">
        <v>43769</v>
      </c>
      <c r="D30" s="1617">
        <f t="shared" si="0"/>
        <v>5091015392.3999996</v>
      </c>
      <c r="E30" s="1660">
        <v>0.191</v>
      </c>
      <c r="F30" s="1660">
        <f t="shared" si="4"/>
        <v>0.28649999999999998</v>
      </c>
      <c r="G30" s="1917">
        <f t="shared" si="1"/>
        <v>6.9044469314105683E-4</v>
      </c>
      <c r="H30" s="2310">
        <f t="shared" si="2"/>
        <v>31</v>
      </c>
      <c r="I30" s="1356">
        <f t="shared" si="3"/>
        <v>108967001.37</v>
      </c>
    </row>
    <row r="31" spans="1:10" ht="13.5">
      <c r="A31" s="686">
        <v>14</v>
      </c>
      <c r="B31" s="1073">
        <v>43770</v>
      </c>
      <c r="C31" s="1073">
        <v>43799</v>
      </c>
      <c r="D31" s="1617">
        <f t="shared" si="0"/>
        <v>5091015392.3999996</v>
      </c>
      <c r="E31" s="1660">
        <v>0.1903</v>
      </c>
      <c r="F31" s="1660">
        <f t="shared" si="4"/>
        <v>0.28544999999999998</v>
      </c>
      <c r="G31" s="1917">
        <f t="shared" si="1"/>
        <v>6.8820616169262827E-4</v>
      </c>
      <c r="H31" s="2310">
        <f t="shared" si="2"/>
        <v>30</v>
      </c>
      <c r="I31" s="1356">
        <f t="shared" si="3"/>
        <v>105110044.87</v>
      </c>
    </row>
    <row r="32" spans="1:10" ht="13.5">
      <c r="A32" s="686">
        <v>15</v>
      </c>
      <c r="B32" s="1073">
        <v>43800</v>
      </c>
      <c r="C32" s="1073">
        <v>43830</v>
      </c>
      <c r="D32" s="1617">
        <f t="shared" si="0"/>
        <v>5091015392.3999996</v>
      </c>
      <c r="E32" s="1660">
        <v>0.18909999999999999</v>
      </c>
      <c r="F32" s="1660">
        <f t="shared" si="4"/>
        <v>0.28364999999999996</v>
      </c>
      <c r="G32" s="1917">
        <f t="shared" si="1"/>
        <v>6.8436443340047504E-4</v>
      </c>
      <c r="H32" s="2310">
        <f t="shared" si="2"/>
        <v>31</v>
      </c>
      <c r="I32" s="1356">
        <f t="shared" si="3"/>
        <v>108007405.8</v>
      </c>
    </row>
    <row r="33" spans="1:9" ht="13.5">
      <c r="A33" s="686">
        <v>16</v>
      </c>
      <c r="B33" s="1073">
        <v>43831</v>
      </c>
      <c r="C33" s="1073">
        <v>43861</v>
      </c>
      <c r="D33" s="1617">
        <f t="shared" si="0"/>
        <v>5091015392.3999996</v>
      </c>
      <c r="E33" s="1660">
        <v>0.18770000000000001</v>
      </c>
      <c r="F33" s="1660">
        <f t="shared" si="4"/>
        <v>0.28155000000000002</v>
      </c>
      <c r="G33" s="1917">
        <f t="shared" si="1"/>
        <v>6.7987562124560696E-4</v>
      </c>
      <c r="H33" s="2310">
        <f t="shared" si="2"/>
        <v>31</v>
      </c>
      <c r="I33" s="1356">
        <f t="shared" si="3"/>
        <v>107298974.83</v>
      </c>
    </row>
    <row r="34" spans="1:9" ht="13.5">
      <c r="A34" s="686">
        <v>17</v>
      </c>
      <c r="B34" s="1073">
        <v>43862</v>
      </c>
      <c r="C34" s="1073">
        <v>43890</v>
      </c>
      <c r="D34" s="1617">
        <f t="shared" si="0"/>
        <v>5091015392.3999996</v>
      </c>
      <c r="E34" s="1660">
        <v>0.19059999999999999</v>
      </c>
      <c r="F34" s="1660">
        <f t="shared" si="4"/>
        <v>0.28589999999999999</v>
      </c>
      <c r="G34" s="1917">
        <f t="shared" si="1"/>
        <v>6.8916575551658532E-4</v>
      </c>
      <c r="H34" s="2310">
        <f t="shared" si="2"/>
        <v>29</v>
      </c>
      <c r="I34" s="1356">
        <f t="shared" si="3"/>
        <v>101748050.61</v>
      </c>
    </row>
    <row r="35" spans="1:9" ht="13.5">
      <c r="A35" s="686">
        <v>18</v>
      </c>
      <c r="B35" s="1073">
        <v>43891</v>
      </c>
      <c r="C35" s="1073">
        <v>43921</v>
      </c>
      <c r="D35" s="1617">
        <f t="shared" si="0"/>
        <v>5091015392.3999996</v>
      </c>
      <c r="E35" s="1660">
        <v>0.1895</v>
      </c>
      <c r="F35" s="1660">
        <f t="shared" si="4"/>
        <v>0.28425</v>
      </c>
      <c r="G35" s="1917">
        <f t="shared" si="1"/>
        <v>6.8564560609574166E-4</v>
      </c>
      <c r="H35" s="2310">
        <f t="shared" si="2"/>
        <v>31</v>
      </c>
      <c r="I35" s="1356">
        <f t="shared" si="3"/>
        <v>108209602.37</v>
      </c>
    </row>
    <row r="36" spans="1:9" ht="13.5">
      <c r="A36" s="686">
        <v>19</v>
      </c>
      <c r="B36" s="1073">
        <v>43922</v>
      </c>
      <c r="C36" s="1073">
        <v>43951</v>
      </c>
      <c r="D36" s="1617">
        <f t="shared" si="0"/>
        <v>5091015392.3999996</v>
      </c>
      <c r="E36" s="1660">
        <v>0.18690000000000001</v>
      </c>
      <c r="F36" s="1660">
        <f t="shared" si="4"/>
        <v>0.28034999999999999</v>
      </c>
      <c r="G36" s="1917">
        <f t="shared" si="1"/>
        <v>6.7730729113191224E-4</v>
      </c>
      <c r="H36" s="2310">
        <f t="shared" si="2"/>
        <v>30</v>
      </c>
      <c r="I36" s="1356">
        <f t="shared" si="3"/>
        <v>103445455.34</v>
      </c>
    </row>
    <row r="37" spans="1:9" ht="13.5">
      <c r="A37" s="686">
        <v>20</v>
      </c>
      <c r="B37" s="1073">
        <v>43952</v>
      </c>
      <c r="C37" s="1073">
        <v>43982</v>
      </c>
      <c r="D37" s="1617">
        <f t="shared" si="0"/>
        <v>5091015392.3999996</v>
      </c>
      <c r="E37" s="1660">
        <v>0.18190000000000001</v>
      </c>
      <c r="F37" s="1660">
        <f t="shared" si="4"/>
        <v>0.27285000000000004</v>
      </c>
      <c r="G37" s="1917">
        <f t="shared" si="1"/>
        <v>6.6120063584418354E-4</v>
      </c>
      <c r="H37" s="2310">
        <f t="shared" si="2"/>
        <v>31</v>
      </c>
      <c r="I37" s="1356">
        <f t="shared" si="3"/>
        <v>104351661.05</v>
      </c>
    </row>
    <row r="38" spans="1:9" ht="13.5">
      <c r="A38" s="686">
        <v>21</v>
      </c>
      <c r="B38" s="1073">
        <v>43983</v>
      </c>
      <c r="C38" s="1073">
        <v>44012</v>
      </c>
      <c r="D38" s="1617">
        <f t="shared" si="0"/>
        <v>5091015392.3999996</v>
      </c>
      <c r="E38" s="1660">
        <v>0.1812</v>
      </c>
      <c r="F38" s="1660">
        <f t="shared" si="4"/>
        <v>0.27179999999999999</v>
      </c>
      <c r="G38" s="1917">
        <f t="shared" si="1"/>
        <v>6.5893815469997286E-4</v>
      </c>
      <c r="H38" s="2310">
        <f t="shared" si="2"/>
        <v>30</v>
      </c>
      <c r="I38" s="1356">
        <f t="shared" si="3"/>
        <v>100639928.65000001</v>
      </c>
    </row>
    <row r="39" spans="1:9" ht="13.5">
      <c r="A39" s="686">
        <v>22</v>
      </c>
      <c r="B39" s="1073">
        <v>44013</v>
      </c>
      <c r="C39" s="1073">
        <v>44043</v>
      </c>
      <c r="D39" s="1617">
        <f t="shared" si="0"/>
        <v>5091015392.3999996</v>
      </c>
      <c r="E39" s="1660">
        <v>0.1812</v>
      </c>
      <c r="F39" s="1660">
        <f t="shared" si="4"/>
        <v>0.27179999999999999</v>
      </c>
      <c r="G39" s="1917">
        <f t="shared" si="1"/>
        <v>6.5893815469997286E-4</v>
      </c>
      <c r="H39" s="2310">
        <f t="shared" si="2"/>
        <v>31</v>
      </c>
      <c r="I39" s="1356">
        <f t="shared" si="3"/>
        <v>103994592.93000001</v>
      </c>
    </row>
    <row r="40" spans="1:9" ht="13.5">
      <c r="A40" s="686">
        <v>23</v>
      </c>
      <c r="B40" s="1073">
        <v>44044</v>
      </c>
      <c r="C40" s="1073">
        <v>44074</v>
      </c>
      <c r="D40" s="1617">
        <f t="shared" si="0"/>
        <v>5091015392.3999996</v>
      </c>
      <c r="E40" s="1660">
        <v>0.18290000000000001</v>
      </c>
      <c r="F40" s="1660">
        <f t="shared" si="4"/>
        <v>0.27434999999999998</v>
      </c>
      <c r="G40" s="1917">
        <f t="shared" si="1"/>
        <v>6.6442952514544906E-4</v>
      </c>
      <c r="H40" s="2310">
        <f t="shared" si="2"/>
        <v>31</v>
      </c>
      <c r="I40" s="1356">
        <f t="shared" si="3"/>
        <v>104861249.13</v>
      </c>
    </row>
    <row r="41" spans="1:9" ht="13.5">
      <c r="A41" s="686">
        <v>24</v>
      </c>
      <c r="B41" s="1073">
        <v>44075</v>
      </c>
      <c r="C41" s="1073">
        <v>44104</v>
      </c>
      <c r="D41" s="1617">
        <f t="shared" si="0"/>
        <v>5091015392.3999996</v>
      </c>
      <c r="E41" s="1660">
        <v>0.1835</v>
      </c>
      <c r="F41" s="1660">
        <f t="shared" si="4"/>
        <v>0.27524999999999999</v>
      </c>
      <c r="G41" s="1917">
        <f t="shared" si="1"/>
        <v>6.6636503991857055E-4</v>
      </c>
      <c r="H41" s="2310">
        <f t="shared" si="2"/>
        <v>30</v>
      </c>
      <c r="I41" s="1356">
        <f t="shared" si="3"/>
        <v>101774240.26000001</v>
      </c>
    </row>
    <row r="42" spans="1:9" ht="13.5">
      <c r="A42" s="686">
        <v>25</v>
      </c>
      <c r="B42" s="1073">
        <v>44105</v>
      </c>
      <c r="C42" s="1073">
        <v>44135</v>
      </c>
      <c r="D42" s="1617">
        <f t="shared" si="0"/>
        <v>5091015392.3999996</v>
      </c>
      <c r="E42" s="1115">
        <v>0.18090000000000001</v>
      </c>
      <c r="F42" s="1660">
        <f t="shared" si="4"/>
        <v>0.27134999999999998</v>
      </c>
      <c r="G42" s="1917">
        <f t="shared" si="1"/>
        <v>6.5796794962613703E-4</v>
      </c>
      <c r="H42" s="2310">
        <f t="shared" si="2"/>
        <v>31</v>
      </c>
      <c r="I42" s="1356">
        <f t="shared" si="3"/>
        <v>103841473.73999999</v>
      </c>
    </row>
    <row r="43" spans="1:9" ht="13.5">
      <c r="A43" s="686">
        <v>26</v>
      </c>
      <c r="B43" s="1073">
        <v>44136</v>
      </c>
      <c r="C43" s="1073">
        <v>44165</v>
      </c>
      <c r="D43" s="1617">
        <f t="shared" si="0"/>
        <v>5091015392.3999996</v>
      </c>
      <c r="E43" s="1115">
        <v>0.1784</v>
      </c>
      <c r="F43" s="1660">
        <f t="shared" si="4"/>
        <v>0.2676</v>
      </c>
      <c r="G43" s="1917">
        <f t="shared" si="1"/>
        <v>6.4986956374091243E-4</v>
      </c>
      <c r="H43" s="2310">
        <f t="shared" si="2"/>
        <v>30</v>
      </c>
      <c r="I43" s="1356">
        <f t="shared" si="3"/>
        <v>99254878.560000002</v>
      </c>
    </row>
    <row r="44" spans="1:9" ht="13.5">
      <c r="A44" s="686">
        <v>27</v>
      </c>
      <c r="B44" s="1073">
        <v>44166</v>
      </c>
      <c r="C44" s="1073">
        <v>44196</v>
      </c>
      <c r="D44" s="1617">
        <f t="shared" si="0"/>
        <v>5091015392.3999996</v>
      </c>
      <c r="E44" s="1660">
        <v>0.17460000000000001</v>
      </c>
      <c r="F44" s="1660">
        <f t="shared" si="4"/>
        <v>0.26190000000000002</v>
      </c>
      <c r="G44" s="1917">
        <f t="shared" si="1"/>
        <v>6.3751414410861962E-4</v>
      </c>
      <c r="H44" s="2310">
        <f t="shared" si="2"/>
        <v>31</v>
      </c>
      <c r="I44" s="1356">
        <f t="shared" si="3"/>
        <v>100613423.94</v>
      </c>
    </row>
    <row r="45" spans="1:9" ht="13.5">
      <c r="A45" s="686">
        <v>28</v>
      </c>
      <c r="B45" s="1073">
        <v>44197</v>
      </c>
      <c r="C45" s="1073">
        <v>44227</v>
      </c>
      <c r="D45" s="1617">
        <f t="shared" si="0"/>
        <v>5091015392.3999996</v>
      </c>
      <c r="E45" s="1660">
        <v>0.17319999999999999</v>
      </c>
      <c r="F45" s="1660">
        <f t="shared" si="4"/>
        <v>0.25979999999999998</v>
      </c>
      <c r="G45" s="1917">
        <f t="shared" si="1"/>
        <v>6.3294811266723094E-4</v>
      </c>
      <c r="H45" s="2310">
        <f t="shared" si="2"/>
        <v>31</v>
      </c>
      <c r="I45" s="1356">
        <f t="shared" si="3"/>
        <v>99892806.109999999</v>
      </c>
    </row>
    <row r="46" spans="1:9" ht="13.5">
      <c r="A46" s="686">
        <v>29</v>
      </c>
      <c r="B46" s="1073">
        <v>44228</v>
      </c>
      <c r="C46" s="1073">
        <v>44255</v>
      </c>
      <c r="D46" s="1617">
        <f t="shared" si="0"/>
        <v>5091015392.3999996</v>
      </c>
      <c r="E46" s="1660">
        <v>0.1754</v>
      </c>
      <c r="F46" s="1660">
        <f t="shared" si="4"/>
        <v>0.2631</v>
      </c>
      <c r="G46" s="1917">
        <f t="shared" si="1"/>
        <v>6.4011990387169426E-4</v>
      </c>
      <c r="H46" s="2310">
        <f t="shared" si="2"/>
        <v>28</v>
      </c>
      <c r="I46" s="1356">
        <f t="shared" si="3"/>
        <v>91248087.939999998</v>
      </c>
    </row>
    <row r="47" spans="1:9" ht="13.5">
      <c r="A47" s="686">
        <v>30</v>
      </c>
      <c r="B47" s="1073">
        <v>44256</v>
      </c>
      <c r="C47" s="1073">
        <v>44286</v>
      </c>
      <c r="D47" s="1617">
        <f t="shared" si="0"/>
        <v>5091015392.3999996</v>
      </c>
      <c r="E47" s="1660">
        <v>0.1741</v>
      </c>
      <c r="F47" s="1660">
        <f t="shared" si="4"/>
        <v>0.26114999999999999</v>
      </c>
      <c r="G47" s="1917">
        <f t="shared" si="1"/>
        <v>6.3588428907812578E-4</v>
      </c>
      <c r="H47" s="2310">
        <f t="shared" si="2"/>
        <v>31</v>
      </c>
      <c r="I47" s="1356">
        <f t="shared" si="3"/>
        <v>100356197.81</v>
      </c>
    </row>
    <row r="48" spans="1:9" ht="13.5">
      <c r="A48" s="686">
        <v>31</v>
      </c>
      <c r="B48" s="1073">
        <v>44287</v>
      </c>
      <c r="C48" s="1073">
        <v>44316</v>
      </c>
      <c r="D48" s="1617">
        <f t="shared" si="0"/>
        <v>5091015392.3999996</v>
      </c>
      <c r="E48" s="1660">
        <v>0.1731</v>
      </c>
      <c r="F48" s="1660">
        <f t="shared" si="4"/>
        <v>0.25964999999999999</v>
      </c>
      <c r="G48" s="1917">
        <f t="shared" si="1"/>
        <v>6.326216771728177E-4</v>
      </c>
      <c r="H48" s="2310">
        <f t="shared" si="2"/>
        <v>30</v>
      </c>
      <c r="I48" s="1356">
        <f t="shared" si="3"/>
        <v>96620600.879999995</v>
      </c>
    </row>
    <row r="49" spans="1:9" ht="13.5">
      <c r="A49" s="686">
        <v>32</v>
      </c>
      <c r="B49" s="1073">
        <v>44317</v>
      </c>
      <c r="C49" s="1073">
        <v>44347</v>
      </c>
      <c r="D49" s="1617">
        <f t="shared" si="0"/>
        <v>5091015392.3999996</v>
      </c>
      <c r="E49" s="1660">
        <v>0.17219999999999999</v>
      </c>
      <c r="F49" s="1660">
        <f t="shared" si="4"/>
        <v>0.25829999999999997</v>
      </c>
      <c r="G49" s="1917">
        <f t="shared" si="1"/>
        <v>6.2968201205726437E-4</v>
      </c>
      <c r="H49" s="2310">
        <f t="shared" si="2"/>
        <v>31</v>
      </c>
      <c r="I49" s="1356">
        <f t="shared" si="3"/>
        <v>99377345.290000007</v>
      </c>
    </row>
    <row r="50" spans="1:9" ht="13.5">
      <c r="A50" s="686">
        <v>33</v>
      </c>
      <c r="B50" s="1073">
        <v>44348</v>
      </c>
      <c r="C50" s="1073">
        <v>44377</v>
      </c>
      <c r="D50" s="1617">
        <f t="shared" ref="D50:D68" si="5">+$D$12</f>
        <v>5091015392.3999996</v>
      </c>
      <c r="E50" s="1660">
        <v>0.1721</v>
      </c>
      <c r="F50" s="1660">
        <f t="shared" si="4"/>
        <v>0.25814999999999999</v>
      </c>
      <c r="G50" s="1917">
        <f t="shared" ref="G50:G68" si="6">(1+F50)^(1/365)-1</f>
        <v>6.2935518846773952E-4</v>
      </c>
      <c r="H50" s="2310">
        <f t="shared" ref="H50:H68" si="7">(C50-B50)+1</f>
        <v>30</v>
      </c>
      <c r="I50" s="1356">
        <f t="shared" ref="I50:I68" si="8">ROUND(D50*G50*H50,2)</f>
        <v>96121708.549999997</v>
      </c>
    </row>
    <row r="51" spans="1:9" ht="13.5">
      <c r="A51" s="686">
        <v>34</v>
      </c>
      <c r="B51" s="1073">
        <v>44378</v>
      </c>
      <c r="C51" s="1073">
        <v>44408</v>
      </c>
      <c r="D51" s="1617">
        <f t="shared" si="5"/>
        <v>5091015392.3999996</v>
      </c>
      <c r="E51" s="1660">
        <v>0.17180000000000001</v>
      </c>
      <c r="F51" s="1660">
        <f t="shared" si="4"/>
        <v>0.25770000000000004</v>
      </c>
      <c r="G51" s="1917">
        <f t="shared" si="6"/>
        <v>6.2837448450037137E-4</v>
      </c>
      <c r="H51" s="2310">
        <f t="shared" si="7"/>
        <v>31</v>
      </c>
      <c r="I51" s="1356">
        <f t="shared" si="8"/>
        <v>99170989.359999999</v>
      </c>
    </row>
    <row r="52" spans="1:9" ht="13.5">
      <c r="A52" s="686">
        <v>35</v>
      </c>
      <c r="B52" s="1073">
        <v>44409</v>
      </c>
      <c r="C52" s="1073">
        <v>44439</v>
      </c>
      <c r="D52" s="1617">
        <f t="shared" si="5"/>
        <v>5091015392.3999996</v>
      </c>
      <c r="E52" s="1660">
        <v>0.1724</v>
      </c>
      <c r="F52" s="1660">
        <f t="shared" si="4"/>
        <v>0.2586</v>
      </c>
      <c r="G52" s="1917">
        <f t="shared" si="6"/>
        <v>6.3033554269220637E-4</v>
      </c>
      <c r="H52" s="2310">
        <f t="shared" si="7"/>
        <v>31</v>
      </c>
      <c r="I52" s="1356">
        <f t="shared" si="8"/>
        <v>99480486.459999993</v>
      </c>
    </row>
    <row r="53" spans="1:9" ht="13.5">
      <c r="A53" s="686">
        <v>36</v>
      </c>
      <c r="B53" s="1073">
        <v>44440</v>
      </c>
      <c r="C53" s="1073">
        <v>44469</v>
      </c>
      <c r="D53" s="1617">
        <f t="shared" si="5"/>
        <v>5091015392.3999996</v>
      </c>
      <c r="E53" s="1660">
        <v>0.1719</v>
      </c>
      <c r="F53" s="1660">
        <f t="shared" si="4"/>
        <v>0.25785000000000002</v>
      </c>
      <c r="G53" s="1917">
        <f t="shared" si="6"/>
        <v>6.2870142469861889E-4</v>
      </c>
      <c r="H53" s="2310">
        <f t="shared" si="7"/>
        <v>30</v>
      </c>
      <c r="I53" s="1356">
        <f t="shared" si="8"/>
        <v>96021858.909999996</v>
      </c>
    </row>
    <row r="54" spans="1:9" ht="13.5">
      <c r="A54" s="686">
        <v>37</v>
      </c>
      <c r="B54" s="1073">
        <v>44470</v>
      </c>
      <c r="C54" s="1073">
        <v>44500</v>
      </c>
      <c r="D54" s="1617">
        <f t="shared" si="5"/>
        <v>5091015392.3999996</v>
      </c>
      <c r="E54" s="1660">
        <v>0.17080000000000001</v>
      </c>
      <c r="F54" s="1660">
        <f t="shared" si="4"/>
        <v>0.25619999999999998</v>
      </c>
      <c r="G54" s="1917">
        <f t="shared" si="6"/>
        <v>6.2510294214179751E-4</v>
      </c>
      <c r="H54" s="2310">
        <f t="shared" si="7"/>
        <v>31</v>
      </c>
      <c r="I54" s="1356">
        <f t="shared" si="8"/>
        <v>98654669.709999993</v>
      </c>
    </row>
    <row r="55" spans="1:9" ht="13.5">
      <c r="A55" s="686">
        <v>38</v>
      </c>
      <c r="B55" s="1073">
        <v>44501</v>
      </c>
      <c r="C55" s="1073">
        <v>44530</v>
      </c>
      <c r="D55" s="1617">
        <f t="shared" si="5"/>
        <v>5091015392.3999996</v>
      </c>
      <c r="E55" s="1660">
        <v>0.17269999999999999</v>
      </c>
      <c r="F55" s="1660">
        <f t="shared" si="4"/>
        <v>0.25905</v>
      </c>
      <c r="G55" s="1917">
        <f t="shared" si="6"/>
        <v>6.3131554742335005E-4</v>
      </c>
      <c r="H55" s="2310">
        <f t="shared" si="7"/>
        <v>30</v>
      </c>
      <c r="I55" s="1356">
        <f t="shared" si="8"/>
        <v>96421115.079999998</v>
      </c>
    </row>
    <row r="56" spans="1:9" ht="13.5">
      <c r="A56" s="686">
        <v>39</v>
      </c>
      <c r="B56" s="1073">
        <v>44531</v>
      </c>
      <c r="C56" s="1073">
        <v>44561</v>
      </c>
      <c r="D56" s="1617">
        <f t="shared" si="5"/>
        <v>5091015392.3999996</v>
      </c>
      <c r="E56" s="1660">
        <v>0.17460000000000001</v>
      </c>
      <c r="F56" s="1660">
        <f t="shared" si="4"/>
        <v>0.26190000000000002</v>
      </c>
      <c r="G56" s="1917">
        <f t="shared" si="6"/>
        <v>6.3751414410861962E-4</v>
      </c>
      <c r="H56" s="2310">
        <f t="shared" si="7"/>
        <v>31</v>
      </c>
      <c r="I56" s="1356">
        <f t="shared" si="8"/>
        <v>100613423.94</v>
      </c>
    </row>
    <row r="57" spans="1:9" ht="13.5">
      <c r="A57" s="686">
        <v>40</v>
      </c>
      <c r="B57" s="1073">
        <v>44562</v>
      </c>
      <c r="C57" s="1073">
        <v>44592</v>
      </c>
      <c r="D57" s="1617">
        <f t="shared" si="5"/>
        <v>5091015392.3999996</v>
      </c>
      <c r="E57" s="1660">
        <v>0.17660000000000001</v>
      </c>
      <c r="F57" s="1660">
        <f t="shared" si="4"/>
        <v>0.26490000000000002</v>
      </c>
      <c r="G57" s="1917">
        <f t="shared" si="6"/>
        <v>6.4402391816376081E-4</v>
      </c>
      <c r="H57" s="2310">
        <f t="shared" si="7"/>
        <v>31</v>
      </c>
      <c r="I57" s="1356">
        <f t="shared" si="8"/>
        <v>101640806.09</v>
      </c>
    </row>
    <row r="58" spans="1:9" ht="13.5">
      <c r="A58" s="686">
        <v>41</v>
      </c>
      <c r="B58" s="1073">
        <v>44593</v>
      </c>
      <c r="C58" s="1073">
        <v>44620</v>
      </c>
      <c r="D58" s="1617">
        <f t="shared" si="5"/>
        <v>5091015392.3999996</v>
      </c>
      <c r="E58" s="1660">
        <v>0.183</v>
      </c>
      <c r="F58" s="1660">
        <f t="shared" si="4"/>
        <v>0.27449999999999997</v>
      </c>
      <c r="G58" s="1917">
        <f t="shared" si="6"/>
        <v>6.6475220558892545E-4</v>
      </c>
      <c r="H58" s="2310">
        <f t="shared" si="7"/>
        <v>28</v>
      </c>
      <c r="I58" s="1356">
        <f t="shared" si="8"/>
        <v>94759383.900000006</v>
      </c>
    </row>
    <row r="59" spans="1:9" ht="13.5">
      <c r="A59" s="686">
        <v>42</v>
      </c>
      <c r="B59" s="1073">
        <v>44621</v>
      </c>
      <c r="C59" s="1073">
        <v>44651</v>
      </c>
      <c r="D59" s="1617">
        <f t="shared" si="5"/>
        <v>5091015392.3999996</v>
      </c>
      <c r="E59" s="1660">
        <v>0.1847</v>
      </c>
      <c r="F59" s="1660">
        <f t="shared" si="4"/>
        <v>0.27705000000000002</v>
      </c>
      <c r="G59" s="1917">
        <f t="shared" si="6"/>
        <v>6.7023198611315671E-4</v>
      </c>
      <c r="H59" s="2310">
        <f t="shared" si="7"/>
        <v>31</v>
      </c>
      <c r="I59" s="1356">
        <f t="shared" si="8"/>
        <v>105777002.09</v>
      </c>
    </row>
    <row r="60" spans="1:9" ht="13.5">
      <c r="A60" s="686">
        <v>43</v>
      </c>
      <c r="B60" s="1073">
        <v>44652</v>
      </c>
      <c r="C60" s="1073">
        <v>44681</v>
      </c>
      <c r="D60" s="1617">
        <f t="shared" si="5"/>
        <v>5091015392.3999996</v>
      </c>
      <c r="E60" s="1660">
        <v>0.1905</v>
      </c>
      <c r="F60" s="1660">
        <f t="shared" si="4"/>
        <v>0.28575</v>
      </c>
      <c r="G60" s="1917">
        <f t="shared" si="6"/>
        <v>6.8884592812357148E-4</v>
      </c>
      <c r="H60" s="2310">
        <f t="shared" si="7"/>
        <v>30</v>
      </c>
      <c r="I60" s="1356">
        <f t="shared" si="8"/>
        <v>105207756.69</v>
      </c>
    </row>
    <row r="61" spans="1:9" ht="13.5">
      <c r="A61" s="686">
        <v>44</v>
      </c>
      <c r="B61" s="1073">
        <v>44682</v>
      </c>
      <c r="C61" s="1073">
        <v>44712</v>
      </c>
      <c r="D61" s="1617">
        <f t="shared" si="5"/>
        <v>5091015392.3999996</v>
      </c>
      <c r="E61" s="1660">
        <v>0.1971</v>
      </c>
      <c r="F61" s="1660">
        <f t="shared" si="4"/>
        <v>0.29564999999999997</v>
      </c>
      <c r="G61" s="1917">
        <f t="shared" si="6"/>
        <v>7.0987512909947981E-4</v>
      </c>
      <c r="H61" s="2310">
        <f t="shared" si="7"/>
        <v>31</v>
      </c>
      <c r="I61" s="1356">
        <f t="shared" si="8"/>
        <v>112033541.48</v>
      </c>
    </row>
    <row r="62" spans="1:9" ht="13.5">
      <c r="A62" s="686">
        <v>45</v>
      </c>
      <c r="B62" s="1073">
        <v>44713</v>
      </c>
      <c r="C62" s="1073">
        <v>44742</v>
      </c>
      <c r="D62" s="1617">
        <f t="shared" si="5"/>
        <v>5091015392.3999996</v>
      </c>
      <c r="E62" s="1660">
        <v>0.20399999999999999</v>
      </c>
      <c r="F62" s="1660">
        <f t="shared" si="4"/>
        <v>0.30599999999999999</v>
      </c>
      <c r="G62" s="1917">
        <f t="shared" si="6"/>
        <v>7.3168955664093538E-4</v>
      </c>
      <c r="H62" s="2310">
        <f t="shared" si="7"/>
        <v>30</v>
      </c>
      <c r="I62" s="1356">
        <f t="shared" si="8"/>
        <v>111751283.86</v>
      </c>
    </row>
    <row r="63" spans="1:9" ht="13.5">
      <c r="A63" s="686">
        <v>46</v>
      </c>
      <c r="B63" s="1073">
        <v>44743</v>
      </c>
      <c r="C63" s="1073">
        <v>44773</v>
      </c>
      <c r="D63" s="1617">
        <f t="shared" si="5"/>
        <v>5091015392.3999996</v>
      </c>
      <c r="E63" s="1660">
        <v>0.21279999999999999</v>
      </c>
      <c r="F63" s="1660">
        <f t="shared" si="4"/>
        <v>0.31919999999999998</v>
      </c>
      <c r="G63" s="1917">
        <f t="shared" si="6"/>
        <v>7.5926204501630679E-4</v>
      </c>
      <c r="H63" s="2310">
        <f t="shared" si="7"/>
        <v>31</v>
      </c>
      <c r="I63" s="1356">
        <f t="shared" si="8"/>
        <v>119827857.5</v>
      </c>
    </row>
    <row r="64" spans="1:9" ht="13.5">
      <c r="A64" s="686">
        <v>47</v>
      </c>
      <c r="B64" s="1073">
        <v>44774</v>
      </c>
      <c r="C64" s="1073">
        <v>44804</v>
      </c>
      <c r="D64" s="1617">
        <f t="shared" si="5"/>
        <v>5091015392.3999996</v>
      </c>
      <c r="E64" s="1660">
        <v>0.22209999999999999</v>
      </c>
      <c r="F64" s="1660">
        <f t="shared" si="4"/>
        <v>0.33315</v>
      </c>
      <c r="G64" s="1917">
        <f t="shared" si="6"/>
        <v>7.8810371394433254E-4</v>
      </c>
      <c r="H64" s="2310">
        <f t="shared" si="7"/>
        <v>31</v>
      </c>
      <c r="I64" s="1356">
        <f t="shared" si="8"/>
        <v>124379692.29000001</v>
      </c>
    </row>
    <row r="65" spans="1:9" ht="13.5">
      <c r="A65" s="686">
        <v>48</v>
      </c>
      <c r="B65" s="1073">
        <v>44805</v>
      </c>
      <c r="C65" s="1073">
        <v>44834</v>
      </c>
      <c r="D65" s="1617">
        <f t="shared" si="5"/>
        <v>5091015392.3999996</v>
      </c>
      <c r="E65" s="1660">
        <v>0.23499999999999999</v>
      </c>
      <c r="F65" s="1660">
        <f t="shared" si="4"/>
        <v>0.35249999999999998</v>
      </c>
      <c r="G65" s="1917">
        <f t="shared" si="6"/>
        <v>8.2761552252574866E-4</v>
      </c>
      <c r="H65" s="2310">
        <f t="shared" si="7"/>
        <v>30</v>
      </c>
      <c r="I65" s="1356">
        <f t="shared" si="8"/>
        <v>126402100.93000001</v>
      </c>
    </row>
    <row r="66" spans="1:9" ht="13.5">
      <c r="A66" s="686">
        <v>49</v>
      </c>
      <c r="B66" s="1073">
        <v>44835</v>
      </c>
      <c r="C66" s="1073">
        <v>44865</v>
      </c>
      <c r="D66" s="1617">
        <f t="shared" si="5"/>
        <v>5091015392.3999996</v>
      </c>
      <c r="E66" s="1660">
        <v>0.24610000000000001</v>
      </c>
      <c r="F66" s="1660">
        <f t="shared" si="4"/>
        <v>0.36915000000000003</v>
      </c>
      <c r="G66" s="1917">
        <f t="shared" si="6"/>
        <v>8.611654102768096E-4</v>
      </c>
      <c r="H66" s="2310">
        <f t="shared" si="7"/>
        <v>31</v>
      </c>
      <c r="I66" s="1356">
        <f t="shared" si="8"/>
        <v>135910397.13</v>
      </c>
    </row>
    <row r="67" spans="1:9" ht="13.5">
      <c r="A67" s="686">
        <v>50</v>
      </c>
      <c r="B67" s="1073">
        <v>44866</v>
      </c>
      <c r="C67" s="1073">
        <v>44895</v>
      </c>
      <c r="D67" s="1617">
        <f t="shared" si="5"/>
        <v>5091015392.3999996</v>
      </c>
      <c r="E67" s="1660">
        <v>0.25779999999999997</v>
      </c>
      <c r="F67" s="1660">
        <f t="shared" si="4"/>
        <v>0.38669999999999993</v>
      </c>
      <c r="G67" s="1917">
        <f t="shared" si="6"/>
        <v>8.9609117817124329E-4</v>
      </c>
      <c r="H67" s="2310">
        <f t="shared" si="7"/>
        <v>30</v>
      </c>
      <c r="I67" s="1356">
        <f t="shared" si="8"/>
        <v>136860419.43000001</v>
      </c>
    </row>
    <row r="68" spans="1:9" ht="13.5">
      <c r="A68" s="686">
        <v>52</v>
      </c>
      <c r="B68" s="2309">
        <v>44896</v>
      </c>
      <c r="C68" s="2309">
        <v>44910</v>
      </c>
      <c r="D68" s="2308">
        <f t="shared" si="5"/>
        <v>5091015392.3999996</v>
      </c>
      <c r="E68" s="2307">
        <v>0.27639999999999998</v>
      </c>
      <c r="F68" s="2307">
        <f t="shared" si="4"/>
        <v>0.41459999999999997</v>
      </c>
      <c r="G68" s="2306">
        <f t="shared" si="6"/>
        <v>9.5071686592063109E-4</v>
      </c>
      <c r="H68" s="2305">
        <f t="shared" si="7"/>
        <v>15</v>
      </c>
      <c r="I68" s="2304">
        <f t="shared" si="8"/>
        <v>72601712.969999999</v>
      </c>
    </row>
    <row r="69" spans="1:9" ht="13.5">
      <c r="B69" s="2406"/>
      <c r="C69" s="2406"/>
      <c r="D69" s="2407"/>
      <c r="E69" s="2408"/>
      <c r="F69" s="2408"/>
      <c r="G69" s="2409"/>
      <c r="H69" s="2410"/>
      <c r="I69" s="2304"/>
    </row>
    <row r="70" spans="1:9" ht="14.25" thickBot="1">
      <c r="B70" s="814"/>
      <c r="C70" s="814"/>
      <c r="D70" s="814"/>
      <c r="E70" s="814"/>
      <c r="F70" s="814"/>
      <c r="G70" s="2303"/>
      <c r="H70" s="2302" t="s">
        <v>97</v>
      </c>
      <c r="I70" s="1356">
        <f>SUM(I18:I68)</f>
        <v>4370330628.710001</v>
      </c>
    </row>
    <row r="71" spans="1:9" ht="13.5" thickTop="1"/>
    <row r="73" spans="1:9">
      <c r="C73" s="2281" t="s">
        <v>346</v>
      </c>
      <c r="D73" s="2281"/>
    </row>
    <row r="74" spans="1:9" ht="13.5">
      <c r="C74" s="1667" t="s">
        <v>959</v>
      </c>
      <c r="D74" s="1616">
        <f>+D12</f>
        <v>5091015392.3999996</v>
      </c>
    </row>
    <row r="75" spans="1:9" ht="13.5">
      <c r="C75" s="1667" t="s">
        <v>951</v>
      </c>
      <c r="D75" s="1616">
        <f>+I70</f>
        <v>4370330628.710001</v>
      </c>
    </row>
    <row r="76" spans="1:9" ht="26.25">
      <c r="C76" s="1667" t="s">
        <v>1290</v>
      </c>
      <c r="D76" s="1616">
        <v>491241407</v>
      </c>
    </row>
    <row r="77" spans="1:9" ht="13.5">
      <c r="C77" s="1667" t="s">
        <v>952</v>
      </c>
      <c r="D77" s="1616">
        <v>464109223.44</v>
      </c>
    </row>
    <row r="78" spans="1:9">
      <c r="C78" s="1628" t="s">
        <v>1177</v>
      </c>
      <c r="D78" s="2037">
        <f>ROUND(SUM(D74:D77),2)</f>
        <v>10416696651.549999</v>
      </c>
    </row>
    <row r="79" spans="1:9">
      <c r="B79" s="217"/>
      <c r="C79" s="2301" t="s">
        <v>62</v>
      </c>
    </row>
    <row r="80" spans="1:9" ht="13.5">
      <c r="B80" s="217"/>
      <c r="C80" s="1980"/>
    </row>
    <row r="81" spans="2:10" ht="13.5">
      <c r="B81" s="217"/>
      <c r="C81" s="1980"/>
    </row>
    <row r="82" spans="2:10">
      <c r="B82" s="217"/>
      <c r="C82" s="2301" t="s">
        <v>63</v>
      </c>
    </row>
    <row r="83" spans="2:10">
      <c r="B83" s="217"/>
      <c r="C83" s="2301" t="s">
        <v>64</v>
      </c>
    </row>
    <row r="84" spans="2:10">
      <c r="B84" s="217"/>
      <c r="C84" s="2301" t="s">
        <v>65</v>
      </c>
      <c r="D84" s="2107"/>
    </row>
    <row r="86" spans="2:10" ht="51.75" customHeight="1">
      <c r="C86" s="2777" t="s">
        <v>1292</v>
      </c>
      <c r="D86" s="2778"/>
      <c r="E86" s="2778"/>
      <c r="F86" s="2778"/>
      <c r="G86" s="2779"/>
    </row>
    <row r="87" spans="2:10" ht="25.5">
      <c r="C87" s="901" t="s">
        <v>1293</v>
      </c>
      <c r="D87" s="901" t="s">
        <v>1294</v>
      </c>
      <c r="E87" s="2354">
        <v>7690811023</v>
      </c>
      <c r="F87" s="2353"/>
      <c r="G87" s="2356" t="s">
        <v>1295</v>
      </c>
      <c r="J87" s="713"/>
    </row>
    <row r="88" spans="2:10">
      <c r="C88" s="901" t="s">
        <v>951</v>
      </c>
      <c r="D88" s="901" t="s">
        <v>1296</v>
      </c>
      <c r="E88" s="2354">
        <f>+D75</f>
        <v>4370330628.710001</v>
      </c>
      <c r="F88" s="702"/>
      <c r="G88" s="901"/>
    </row>
    <row r="89" spans="2:10" ht="27" customHeight="1">
      <c r="C89" s="901" t="s">
        <v>1297</v>
      </c>
      <c r="D89" s="901" t="s">
        <v>1298</v>
      </c>
      <c r="E89" s="2354">
        <f>+D76</f>
        <v>491241407</v>
      </c>
      <c r="F89" s="702"/>
      <c r="G89" s="901"/>
    </row>
    <row r="90" spans="2:10">
      <c r="C90" s="901" t="s">
        <v>952</v>
      </c>
      <c r="D90" s="901" t="s">
        <v>1299</v>
      </c>
      <c r="E90" s="2354">
        <f>+D77</f>
        <v>464109223.44</v>
      </c>
      <c r="F90" s="702"/>
      <c r="G90" s="901"/>
    </row>
    <row r="91" spans="2:10" ht="25.5">
      <c r="C91" s="901" t="s">
        <v>1300</v>
      </c>
      <c r="D91" s="901" t="s">
        <v>1301</v>
      </c>
      <c r="E91" s="2354">
        <f>+E87-E88-E89-E90</f>
        <v>2365129763.849999</v>
      </c>
      <c r="F91" s="702"/>
      <c r="G91" s="901"/>
    </row>
    <row r="92" spans="2:10">
      <c r="C92" s="901" t="s">
        <v>1302</v>
      </c>
      <c r="D92" s="901"/>
      <c r="E92" s="2354">
        <f>+D74</f>
        <v>5091015392.3999996</v>
      </c>
      <c r="F92" s="702"/>
      <c r="G92" s="901"/>
    </row>
    <row r="93" spans="2:10">
      <c r="C93" s="2219" t="s">
        <v>1303</v>
      </c>
      <c r="D93" s="1634"/>
      <c r="E93" s="2354">
        <f>+E92-E91</f>
        <v>2725885628.5500007</v>
      </c>
      <c r="F93" s="702"/>
      <c r="G93" s="901"/>
    </row>
    <row r="95" spans="2:10">
      <c r="C95" s="2355" t="s">
        <v>1304</v>
      </c>
    </row>
    <row r="97" spans="2:9" ht="13.5">
      <c r="B97" s="1983" t="s">
        <v>1289</v>
      </c>
      <c r="C97" s="1983"/>
      <c r="D97" s="1983"/>
      <c r="E97" s="1983"/>
      <c r="F97" s="1983"/>
      <c r="G97" s="1983"/>
      <c r="H97" s="1983"/>
      <c r="I97" s="1983"/>
    </row>
    <row r="98" spans="2:9" ht="25.5">
      <c r="B98" s="1915" t="s">
        <v>206</v>
      </c>
      <c r="C98" s="1915" t="s">
        <v>10</v>
      </c>
      <c r="D98" s="924" t="s">
        <v>198</v>
      </c>
      <c r="E98" s="2312" t="s">
        <v>822</v>
      </c>
      <c r="F98" s="2311"/>
      <c r="G98" s="924" t="s">
        <v>88</v>
      </c>
      <c r="H98" s="970" t="s">
        <v>47</v>
      </c>
      <c r="I98" s="970" t="s">
        <v>48</v>
      </c>
    </row>
    <row r="99" spans="2:9" ht="13.5">
      <c r="B99" s="1073">
        <v>44911</v>
      </c>
      <c r="C99" s="1073">
        <v>44926</v>
      </c>
      <c r="D99" s="1617">
        <f t="shared" ref="D99:D104" si="9">+$E$93</f>
        <v>2725885628.5500007</v>
      </c>
      <c r="E99" s="1660">
        <v>0.27639999999999998</v>
      </c>
      <c r="F99" s="1660">
        <f t="shared" ref="F99:F104" si="10">+E99*1.5</f>
        <v>0.41459999999999997</v>
      </c>
      <c r="G99" s="1917">
        <f t="shared" ref="G99:G100" si="11">(1+F99)^(1/365)-1</f>
        <v>9.5071686592063109E-4</v>
      </c>
      <c r="H99" s="2310">
        <f t="shared" ref="H99:H100" si="12">(C99-B99)+1</f>
        <v>16</v>
      </c>
      <c r="I99" s="1356">
        <f t="shared" ref="I99:I104" si="13">ROUND(D99*G99*H99,2)</f>
        <v>41464727.07</v>
      </c>
    </row>
    <row r="100" spans="2:9" ht="13.5">
      <c r="B100" s="1073">
        <v>44927</v>
      </c>
      <c r="C100" s="1073">
        <v>44957</v>
      </c>
      <c r="D100" s="1617">
        <f t="shared" si="9"/>
        <v>2725885628.5500007</v>
      </c>
      <c r="E100" s="1660">
        <v>0.28839999999999999</v>
      </c>
      <c r="F100" s="1660">
        <f t="shared" si="10"/>
        <v>0.43259999999999998</v>
      </c>
      <c r="G100" s="1917">
        <f t="shared" si="11"/>
        <v>9.8539196132163553E-4</v>
      </c>
      <c r="H100" s="2310">
        <f t="shared" si="12"/>
        <v>31</v>
      </c>
      <c r="I100" s="1356">
        <f t="shared" si="13"/>
        <v>83268039.359999999</v>
      </c>
    </row>
    <row r="101" spans="2:9" ht="13.5">
      <c r="B101" s="1073">
        <v>44958</v>
      </c>
      <c r="C101" s="1073">
        <v>44985</v>
      </c>
      <c r="D101" s="1617">
        <f t="shared" si="9"/>
        <v>2725885628.5500007</v>
      </c>
      <c r="E101" s="1660">
        <v>0.30180000000000001</v>
      </c>
      <c r="F101" s="1660">
        <f t="shared" si="10"/>
        <v>0.45269999999999999</v>
      </c>
      <c r="G101" s="1917">
        <f t="shared" ref="G101:G102" si="14">(1+F101)^(1/365)-1</f>
        <v>1.0236026853662761E-3</v>
      </c>
      <c r="H101" s="2310">
        <f t="shared" ref="H101:H102" si="15">(C101-B101)+1</f>
        <v>28</v>
      </c>
      <c r="I101" s="1356">
        <f t="shared" si="13"/>
        <v>78126267.780000001</v>
      </c>
    </row>
    <row r="102" spans="2:9" ht="13.5">
      <c r="B102" s="1073">
        <v>44986</v>
      </c>
      <c r="C102" s="1073">
        <v>45016</v>
      </c>
      <c r="D102" s="1617">
        <f t="shared" si="9"/>
        <v>2725885628.5500007</v>
      </c>
      <c r="E102" s="1660">
        <v>0.30840000000000001</v>
      </c>
      <c r="F102" s="1660">
        <f t="shared" si="10"/>
        <v>0.46260000000000001</v>
      </c>
      <c r="G102" s="1917">
        <f t="shared" si="14"/>
        <v>1.0422295217955568E-3</v>
      </c>
      <c r="H102" s="2310">
        <f t="shared" si="15"/>
        <v>31</v>
      </c>
      <c r="I102" s="1356">
        <f t="shared" si="13"/>
        <v>88070952.730000004</v>
      </c>
    </row>
    <row r="103" spans="2:9" ht="13.5">
      <c r="B103" s="1073">
        <v>45017</v>
      </c>
      <c r="C103" s="1073">
        <v>45046</v>
      </c>
      <c r="D103" s="1617">
        <f t="shared" si="9"/>
        <v>2725885628.5500007</v>
      </c>
      <c r="E103" s="1660">
        <v>0.31390000000000001</v>
      </c>
      <c r="F103" s="1660">
        <f t="shared" si="10"/>
        <v>0.47084999999999999</v>
      </c>
      <c r="G103" s="1917">
        <f t="shared" ref="G103:G104" si="16">(1+F103)^(1/365)-1</f>
        <v>1.0576560884423269E-3</v>
      </c>
      <c r="H103" s="2310">
        <f t="shared" ref="H103:H104" si="17">(C103-B103)+1</f>
        <v>30</v>
      </c>
      <c r="I103" s="1356">
        <f t="shared" si="13"/>
        <v>86491485.939999998</v>
      </c>
    </row>
    <row r="104" spans="2:9" ht="13.5">
      <c r="B104" s="1073">
        <v>45047</v>
      </c>
      <c r="C104" s="1073">
        <v>45077</v>
      </c>
      <c r="D104" s="1617">
        <f t="shared" si="9"/>
        <v>2725885628.5500007</v>
      </c>
      <c r="E104" s="1660">
        <v>0.30270000000000002</v>
      </c>
      <c r="F104" s="1660">
        <f t="shared" si="10"/>
        <v>0.45405000000000006</v>
      </c>
      <c r="G104" s="1917">
        <f t="shared" si="16"/>
        <v>1.0261501497454972E-3</v>
      </c>
      <c r="H104" s="2310">
        <f t="shared" si="17"/>
        <v>31</v>
      </c>
      <c r="I104" s="1356">
        <f t="shared" si="13"/>
        <v>86712206.319999993</v>
      </c>
    </row>
    <row r="105" spans="2:9">
      <c r="G105" s="2663" t="s">
        <v>117</v>
      </c>
      <c r="H105" s="2663"/>
      <c r="I105" s="2037">
        <f>SUM(I99:I104)</f>
        <v>464133679.19999999</v>
      </c>
    </row>
    <row r="107" spans="2:9">
      <c r="B107" s="2281" t="s">
        <v>346</v>
      </c>
      <c r="C107" s="2281"/>
    </row>
    <row r="108" spans="2:9" ht="13.5">
      <c r="B108" s="1667" t="s">
        <v>959</v>
      </c>
      <c r="C108" s="1616">
        <f>+D99</f>
        <v>2725885628.5500007</v>
      </c>
    </row>
    <row r="109" spans="2:9" ht="13.5">
      <c r="B109" s="1667" t="s">
        <v>951</v>
      </c>
      <c r="C109" s="1616">
        <f>+I105</f>
        <v>464133679.19999999</v>
      </c>
    </row>
    <row r="110" spans="2:9" ht="51.75">
      <c r="B110" s="1667" t="s">
        <v>1290</v>
      </c>
      <c r="C110" s="1616">
        <v>0</v>
      </c>
    </row>
    <row r="111" spans="2:9" ht="26.25">
      <c r="B111" s="1667" t="s">
        <v>952</v>
      </c>
      <c r="C111" s="1616">
        <v>0</v>
      </c>
    </row>
    <row r="112" spans="2:9">
      <c r="B112" s="1628" t="s">
        <v>1177</v>
      </c>
      <c r="C112" s="2037">
        <f>ROUND(SUM(C108:C111),2)</f>
        <v>3190019307.75</v>
      </c>
    </row>
    <row r="113" spans="2:3">
      <c r="B113" s="2301" t="s">
        <v>62</v>
      </c>
    </row>
    <row r="114" spans="2:3" ht="13.5">
      <c r="B114" s="1980"/>
    </row>
    <row r="115" spans="2:3" ht="13.5">
      <c r="B115" s="1980"/>
    </row>
    <row r="116" spans="2:3">
      <c r="B116" s="2301" t="s">
        <v>63</v>
      </c>
    </row>
    <row r="117" spans="2:3">
      <c r="B117" s="2301" t="s">
        <v>64</v>
      </c>
    </row>
    <row r="118" spans="2:3">
      <c r="B118" s="2301" t="s">
        <v>65</v>
      </c>
      <c r="C118" s="2107"/>
    </row>
  </sheetData>
  <mergeCells count="2">
    <mergeCell ref="C86:G86"/>
    <mergeCell ref="G105:H105"/>
  </mergeCells>
  <pageMargins left="0.7" right="0.7" top="0.75" bottom="0.75" header="0.3" footer="0.3"/>
  <pageSetup paperSize="9"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45"/>
  <dimension ref="A4:I86"/>
  <sheetViews>
    <sheetView topLeftCell="A25" workbookViewId="0">
      <selection activeCell="G90" sqref="G90"/>
    </sheetView>
  </sheetViews>
  <sheetFormatPr defaultColWidth="9.140625" defaultRowHeight="12.75"/>
  <cols>
    <col min="1" max="1" width="3.140625" customWidth="1"/>
    <col min="2" max="2" width="19.7109375" customWidth="1"/>
    <col min="3" max="3" width="28.85546875" customWidth="1"/>
    <col min="4" max="4" width="16.140625" bestFit="1" customWidth="1"/>
    <col min="5" max="5" width="13.5703125" customWidth="1"/>
    <col min="6" max="6" width="18.140625" customWidth="1"/>
    <col min="7" max="7" width="17.28515625" bestFit="1" customWidth="1"/>
    <col min="8" max="8" width="11.42578125" customWidth="1"/>
    <col min="9" max="9" width="15.42578125" bestFit="1" customWidth="1"/>
    <col min="10" max="10" width="12.42578125" bestFit="1" customWidth="1"/>
    <col min="11" max="11" width="13" bestFit="1" customWidth="1"/>
    <col min="12" max="12" width="13.85546875" bestFit="1" customWidth="1"/>
    <col min="13" max="13" width="12.85546875" bestFit="1" customWidth="1"/>
    <col min="14" max="14" width="11.42578125" customWidth="1"/>
    <col min="15" max="15" width="12.85546875" bestFit="1" customWidth="1"/>
    <col min="16" max="258" width="11.42578125" customWidth="1"/>
  </cols>
  <sheetData>
    <row r="4" spans="1:9">
      <c r="B4" s="3" t="s">
        <v>1283</v>
      </c>
      <c r="C4" s="3" t="s">
        <v>1305</v>
      </c>
    </row>
    <row r="5" spans="1:9">
      <c r="B5" s="3" t="s">
        <v>220</v>
      </c>
      <c r="C5" s="2" t="str">
        <f>+'RESUMEN LIQUIDACION SANEAMIENTO'!G47</f>
        <v>13-001-23-31-000-2011-0063-01</v>
      </c>
      <c r="E5" s="11"/>
      <c r="F5" s="12"/>
      <c r="G5" s="5"/>
      <c r="I5" s="10"/>
    </row>
    <row r="6" spans="1:9">
      <c r="B6" s="188" t="s">
        <v>1306</v>
      </c>
      <c r="C6" s="100">
        <v>42501</v>
      </c>
    </row>
    <row r="7" spans="1:9" ht="15">
      <c r="B7" s="73" t="s">
        <v>1307</v>
      </c>
      <c r="C7" s="433" t="s">
        <v>1308</v>
      </c>
    </row>
    <row r="8" spans="1:9" ht="15">
      <c r="B8" s="20" t="s">
        <v>1309</v>
      </c>
      <c r="D8" s="103">
        <v>58695898</v>
      </c>
    </row>
    <row r="9" spans="1:9" ht="60">
      <c r="B9" s="434" t="s">
        <v>2</v>
      </c>
      <c r="C9" s="430" t="s">
        <v>1310</v>
      </c>
      <c r="F9" s="431">
        <v>58695898</v>
      </c>
    </row>
    <row r="10" spans="1:9" ht="60">
      <c r="C10" s="430" t="s">
        <v>1311</v>
      </c>
      <c r="F10" s="430" t="s">
        <v>1312</v>
      </c>
    </row>
    <row r="11" spans="1:9">
      <c r="B11" s="188" t="s">
        <v>1313</v>
      </c>
    </row>
    <row r="12" spans="1:9">
      <c r="B12" s="188" t="s">
        <v>1314</v>
      </c>
      <c r="C12" s="103">
        <f>+F9/2</f>
        <v>29347949</v>
      </c>
    </row>
    <row r="13" spans="1:9">
      <c r="B13" s="188" t="s">
        <v>1315</v>
      </c>
    </row>
    <row r="15" spans="1:9">
      <c r="A15" s="2"/>
      <c r="B15" s="2578" t="s">
        <v>160</v>
      </c>
      <c r="C15" s="2578"/>
      <c r="D15" s="2578"/>
      <c r="E15" s="2578"/>
      <c r="F15" s="2578"/>
      <c r="G15" s="2578"/>
      <c r="H15" s="2578"/>
    </row>
    <row r="16" spans="1:9" ht="24">
      <c r="A16" s="2"/>
      <c r="B16" s="397" t="s">
        <v>206</v>
      </c>
      <c r="C16" s="397" t="s">
        <v>10</v>
      </c>
      <c r="D16" s="57" t="s">
        <v>148</v>
      </c>
      <c r="E16" s="49" t="s">
        <v>149</v>
      </c>
      <c r="F16" s="57" t="s">
        <v>43</v>
      </c>
      <c r="G16" s="94" t="s">
        <v>129</v>
      </c>
      <c r="H16" s="402" t="s">
        <v>47</v>
      </c>
      <c r="I16" s="94" t="s">
        <v>48</v>
      </c>
    </row>
    <row r="17" spans="1:9">
      <c r="A17" s="2">
        <v>1</v>
      </c>
      <c r="B17" s="100">
        <v>42502</v>
      </c>
      <c r="C17" s="100">
        <v>42521</v>
      </c>
      <c r="D17" s="18">
        <v>0.2054</v>
      </c>
      <c r="E17" s="395">
        <f>+D17*1.5</f>
        <v>0.30809999999999998</v>
      </c>
      <c r="F17" s="43">
        <f>((1+E17)^(1/365)-1)</f>
        <v>7.3609462782320279E-4</v>
      </c>
      <c r="G17" s="427">
        <f>+$C$12</f>
        <v>29347949</v>
      </c>
      <c r="H17" s="26">
        <f>_xlfn.DAYS(C17,B17)+1</f>
        <v>20</v>
      </c>
      <c r="I17" s="69">
        <f>+F17*G17*H17</f>
        <v>432057.35193058674</v>
      </c>
    </row>
    <row r="18" spans="1:9">
      <c r="A18" s="2">
        <v>2</v>
      </c>
      <c r="B18" s="100">
        <v>42522</v>
      </c>
      <c r="C18" s="100">
        <v>42551</v>
      </c>
      <c r="D18" s="18">
        <v>0.2054</v>
      </c>
      <c r="E18" s="395">
        <f t="shared" ref="E18:E79" si="0">+D18*1.5</f>
        <v>0.30809999999999998</v>
      </c>
      <c r="F18" s="43">
        <f t="shared" ref="F18:F79" si="1">((1+E18)^(1/365)-1)</f>
        <v>7.3609462782320279E-4</v>
      </c>
      <c r="G18" s="427">
        <f t="shared" ref="G18:G84" si="2">+$C$12</f>
        <v>29347949</v>
      </c>
      <c r="H18" s="26">
        <f t="shared" ref="H18:H78" si="3">_xlfn.DAYS(C18,B18)+1</f>
        <v>30</v>
      </c>
      <c r="I18" s="69">
        <f t="shared" ref="I18:I78" si="4">+F18*G18*H18</f>
        <v>648086.02789588016</v>
      </c>
    </row>
    <row r="19" spans="1:9">
      <c r="A19" s="2">
        <v>3</v>
      </c>
      <c r="B19" s="100">
        <v>42552</v>
      </c>
      <c r="C19" s="100">
        <v>42582</v>
      </c>
      <c r="D19" s="18">
        <v>0.21340000000000001</v>
      </c>
      <c r="E19" s="395">
        <f t="shared" si="0"/>
        <v>0.3201</v>
      </c>
      <c r="F19" s="43">
        <f t="shared" si="1"/>
        <v>7.6113195596128058E-4</v>
      </c>
      <c r="G19" s="427">
        <f t="shared" si="2"/>
        <v>29347949</v>
      </c>
      <c r="H19" s="26">
        <f t="shared" si="3"/>
        <v>31</v>
      </c>
      <c r="I19" s="69">
        <f t="shared" si="4"/>
        <v>692467.51660047914</v>
      </c>
    </row>
    <row r="20" spans="1:9">
      <c r="A20" s="2">
        <v>4</v>
      </c>
      <c r="B20" s="100">
        <v>42583</v>
      </c>
      <c r="C20" s="100">
        <v>42613</v>
      </c>
      <c r="D20" s="18">
        <v>0.21340000000000001</v>
      </c>
      <c r="E20" s="395">
        <f t="shared" si="0"/>
        <v>0.3201</v>
      </c>
      <c r="F20" s="43">
        <f t="shared" si="1"/>
        <v>7.6113195596128058E-4</v>
      </c>
      <c r="G20" s="427">
        <f t="shared" si="2"/>
        <v>29347949</v>
      </c>
      <c r="H20" s="26">
        <f t="shared" si="3"/>
        <v>31</v>
      </c>
      <c r="I20" s="69">
        <f t="shared" si="4"/>
        <v>692467.51660047914</v>
      </c>
    </row>
    <row r="21" spans="1:9">
      <c r="A21" s="2">
        <v>5</v>
      </c>
      <c r="B21" s="100">
        <v>42614</v>
      </c>
      <c r="C21" s="100">
        <v>42643</v>
      </c>
      <c r="D21" s="18">
        <v>0.21340000000000001</v>
      </c>
      <c r="E21" s="395">
        <f t="shared" si="0"/>
        <v>0.3201</v>
      </c>
      <c r="F21" s="43">
        <f t="shared" si="1"/>
        <v>7.6113195596128058E-4</v>
      </c>
      <c r="G21" s="427">
        <f t="shared" si="2"/>
        <v>29347949</v>
      </c>
      <c r="H21" s="26">
        <f t="shared" si="3"/>
        <v>30</v>
      </c>
      <c r="I21" s="69">
        <f t="shared" si="4"/>
        <v>670129.85477465729</v>
      </c>
    </row>
    <row r="22" spans="1:9">
      <c r="A22" s="2">
        <v>6</v>
      </c>
      <c r="B22" s="100">
        <v>42644</v>
      </c>
      <c r="C22" s="100">
        <v>42674</v>
      </c>
      <c r="D22" s="18">
        <v>0.21990000000000001</v>
      </c>
      <c r="E22" s="395">
        <f t="shared" si="0"/>
        <v>0.32985000000000003</v>
      </c>
      <c r="F22" s="43">
        <f t="shared" si="1"/>
        <v>7.8130822380240161E-4</v>
      </c>
      <c r="G22" s="427">
        <f t="shared" si="2"/>
        <v>29347949</v>
      </c>
      <c r="H22" s="26">
        <f t="shared" si="3"/>
        <v>31</v>
      </c>
      <c r="I22" s="69">
        <f t="shared" si="4"/>
        <v>710823.61106843746</v>
      </c>
    </row>
    <row r="23" spans="1:9">
      <c r="A23" s="2">
        <v>7</v>
      </c>
      <c r="B23" s="100">
        <v>42675</v>
      </c>
      <c r="C23" s="100">
        <v>42704</v>
      </c>
      <c r="D23" s="18">
        <v>0.21990000000000001</v>
      </c>
      <c r="E23" s="395">
        <f t="shared" si="0"/>
        <v>0.32985000000000003</v>
      </c>
      <c r="F23" s="43">
        <f t="shared" si="1"/>
        <v>7.8130822380240161E-4</v>
      </c>
      <c r="G23" s="427">
        <f t="shared" si="2"/>
        <v>29347949</v>
      </c>
      <c r="H23" s="26">
        <f t="shared" si="3"/>
        <v>30</v>
      </c>
      <c r="I23" s="69">
        <f t="shared" si="4"/>
        <v>687893.81716300407</v>
      </c>
    </row>
    <row r="24" spans="1:9">
      <c r="A24" s="2">
        <v>8</v>
      </c>
      <c r="B24" s="100">
        <v>42705</v>
      </c>
      <c r="C24" s="100">
        <v>42735</v>
      </c>
      <c r="D24" s="18">
        <v>0.21990000000000001</v>
      </c>
      <c r="E24" s="395">
        <f t="shared" si="0"/>
        <v>0.32985000000000003</v>
      </c>
      <c r="F24" s="43">
        <f t="shared" si="1"/>
        <v>7.8130822380240161E-4</v>
      </c>
      <c r="G24" s="427">
        <f t="shared" si="2"/>
        <v>29347949</v>
      </c>
      <c r="H24" s="26">
        <f t="shared" si="3"/>
        <v>31</v>
      </c>
      <c r="I24" s="69">
        <f t="shared" si="4"/>
        <v>710823.61106843746</v>
      </c>
    </row>
    <row r="25" spans="1:9">
      <c r="A25" s="2">
        <v>9</v>
      </c>
      <c r="B25" s="100">
        <v>42736</v>
      </c>
      <c r="C25" s="100">
        <v>42766</v>
      </c>
      <c r="D25" s="18">
        <v>0.22339999999999999</v>
      </c>
      <c r="E25" s="395">
        <f t="shared" si="0"/>
        <v>0.33509999999999995</v>
      </c>
      <c r="F25" s="43">
        <f t="shared" si="1"/>
        <v>7.9211135028089963E-4</v>
      </c>
      <c r="G25" s="427">
        <f t="shared" si="2"/>
        <v>29347949</v>
      </c>
      <c r="H25" s="26">
        <f t="shared" si="3"/>
        <v>31</v>
      </c>
      <c r="I25" s="69">
        <f t="shared" si="4"/>
        <v>720652.14882131433</v>
      </c>
    </row>
    <row r="26" spans="1:9">
      <c r="A26" s="2">
        <v>10</v>
      </c>
      <c r="B26" s="100">
        <v>42767</v>
      </c>
      <c r="C26" s="100">
        <v>42794</v>
      </c>
      <c r="D26" s="18">
        <v>0.22339999999999999</v>
      </c>
      <c r="E26" s="395">
        <f t="shared" si="0"/>
        <v>0.33509999999999995</v>
      </c>
      <c r="F26" s="43">
        <f t="shared" si="1"/>
        <v>7.9211135028089963E-4</v>
      </c>
      <c r="G26" s="427">
        <f t="shared" si="2"/>
        <v>29347949</v>
      </c>
      <c r="H26" s="26">
        <f t="shared" si="3"/>
        <v>28</v>
      </c>
      <c r="I26" s="69">
        <f t="shared" si="4"/>
        <v>650911.61829021946</v>
      </c>
    </row>
    <row r="27" spans="1:9">
      <c r="A27" s="2">
        <v>11</v>
      </c>
      <c r="B27" s="100">
        <v>42795</v>
      </c>
      <c r="C27" s="100">
        <v>42825</v>
      </c>
      <c r="D27" s="18">
        <v>0.22339999999999999</v>
      </c>
      <c r="E27" s="395">
        <f t="shared" si="0"/>
        <v>0.33509999999999995</v>
      </c>
      <c r="F27" s="43">
        <f t="shared" si="1"/>
        <v>7.9211135028089963E-4</v>
      </c>
      <c r="G27" s="427">
        <f t="shared" si="2"/>
        <v>29347949</v>
      </c>
      <c r="H27" s="26">
        <f t="shared" si="3"/>
        <v>31</v>
      </c>
      <c r="I27" s="69">
        <f t="shared" si="4"/>
        <v>720652.14882131433</v>
      </c>
    </row>
    <row r="28" spans="1:9">
      <c r="A28" s="2">
        <v>12</v>
      </c>
      <c r="B28" s="100">
        <v>42826</v>
      </c>
      <c r="C28" s="100">
        <v>42855</v>
      </c>
      <c r="D28" s="18">
        <v>0.2233</v>
      </c>
      <c r="E28" s="395">
        <f t="shared" si="0"/>
        <v>0.33494999999999997</v>
      </c>
      <c r="F28" s="43">
        <f t="shared" si="1"/>
        <v>7.9180327787309324E-4</v>
      </c>
      <c r="G28" s="427">
        <f t="shared" si="2"/>
        <v>29347949</v>
      </c>
      <c r="H28" s="26">
        <f t="shared" si="3"/>
        <v>30</v>
      </c>
      <c r="I28" s="69">
        <f t="shared" si="4"/>
        <v>697134.06651157106</v>
      </c>
    </row>
    <row r="29" spans="1:9">
      <c r="A29" s="2">
        <v>13</v>
      </c>
      <c r="B29" s="100">
        <v>42856</v>
      </c>
      <c r="C29" s="100">
        <v>42886</v>
      </c>
      <c r="D29" s="18">
        <v>0.2233</v>
      </c>
      <c r="E29" s="395">
        <f t="shared" si="0"/>
        <v>0.33494999999999997</v>
      </c>
      <c r="F29" s="43">
        <f t="shared" si="1"/>
        <v>7.9180327787309324E-4</v>
      </c>
      <c r="G29" s="427">
        <f t="shared" si="2"/>
        <v>29347949</v>
      </c>
      <c r="H29" s="26">
        <f t="shared" si="3"/>
        <v>31</v>
      </c>
      <c r="I29" s="69">
        <f t="shared" si="4"/>
        <v>720371.86872862349</v>
      </c>
    </row>
    <row r="30" spans="1:9">
      <c r="A30" s="2">
        <v>14</v>
      </c>
      <c r="B30" s="100">
        <v>42887</v>
      </c>
      <c r="C30" s="100">
        <v>42916</v>
      </c>
      <c r="D30" s="18">
        <v>0.2233</v>
      </c>
      <c r="E30" s="395">
        <f t="shared" si="0"/>
        <v>0.33494999999999997</v>
      </c>
      <c r="F30" s="43">
        <f t="shared" si="1"/>
        <v>7.9180327787309324E-4</v>
      </c>
      <c r="G30" s="427">
        <f t="shared" si="2"/>
        <v>29347949</v>
      </c>
      <c r="H30" s="26">
        <f t="shared" si="3"/>
        <v>30</v>
      </c>
      <c r="I30" s="69">
        <f t="shared" si="4"/>
        <v>697134.06651157106</v>
      </c>
    </row>
    <row r="31" spans="1:9">
      <c r="A31" s="2">
        <v>15</v>
      </c>
      <c r="B31" s="100">
        <v>42917</v>
      </c>
      <c r="C31" s="100">
        <v>42947</v>
      </c>
      <c r="D31" s="18">
        <v>0.2198</v>
      </c>
      <c r="E31" s="395">
        <f t="shared" si="0"/>
        <v>0.32969999999999999</v>
      </c>
      <c r="F31" s="43">
        <f t="shared" si="1"/>
        <v>7.8099893845218205E-4</v>
      </c>
      <c r="G31" s="427">
        <f t="shared" si="2"/>
        <v>29347949</v>
      </c>
      <c r="H31" s="26">
        <f t="shared" si="3"/>
        <v>31</v>
      </c>
      <c r="I31" s="69">
        <f t="shared" si="4"/>
        <v>710542.22745721205</v>
      </c>
    </row>
    <row r="32" spans="1:9">
      <c r="A32" s="2">
        <v>16</v>
      </c>
      <c r="B32" s="100">
        <v>42948</v>
      </c>
      <c r="C32" s="100">
        <v>42978</v>
      </c>
      <c r="D32" s="18">
        <v>0.2198</v>
      </c>
      <c r="E32" s="395">
        <f t="shared" si="0"/>
        <v>0.32969999999999999</v>
      </c>
      <c r="F32" s="43">
        <f t="shared" si="1"/>
        <v>7.8099893845218205E-4</v>
      </c>
      <c r="G32" s="427">
        <f t="shared" si="2"/>
        <v>29347949</v>
      </c>
      <c r="H32" s="26">
        <f t="shared" si="3"/>
        <v>31</v>
      </c>
      <c r="I32" s="69">
        <f t="shared" si="4"/>
        <v>710542.22745721205</v>
      </c>
    </row>
    <row r="33" spans="1:9">
      <c r="A33" s="2">
        <v>17</v>
      </c>
      <c r="B33" s="100">
        <v>42979</v>
      </c>
      <c r="C33" s="100">
        <v>43008</v>
      </c>
      <c r="D33" s="18">
        <v>0.21479999999999999</v>
      </c>
      <c r="E33" s="395">
        <f t="shared" si="0"/>
        <v>0.32219999999999999</v>
      </c>
      <c r="F33" s="43">
        <f t="shared" si="1"/>
        <v>7.6549014202820231E-4</v>
      </c>
      <c r="G33" s="427">
        <f t="shared" si="2"/>
        <v>29347949</v>
      </c>
      <c r="H33" s="26">
        <f t="shared" si="3"/>
        <v>30</v>
      </c>
      <c r="I33" s="69">
        <f t="shared" si="4"/>
        <v>673966.96944739309</v>
      </c>
    </row>
    <row r="34" spans="1:9">
      <c r="A34" s="2">
        <v>18</v>
      </c>
      <c r="B34" s="100">
        <v>43009</v>
      </c>
      <c r="C34" s="100">
        <v>43039</v>
      </c>
      <c r="D34" s="18">
        <v>0.21149999999999999</v>
      </c>
      <c r="E34" s="395">
        <f t="shared" si="0"/>
        <v>0.31724999999999998</v>
      </c>
      <c r="F34" s="43">
        <f t="shared" si="1"/>
        <v>7.5520620308799913E-4</v>
      </c>
      <c r="G34" s="427">
        <f t="shared" si="2"/>
        <v>29347949</v>
      </c>
      <c r="H34" s="26">
        <f t="shared" si="3"/>
        <v>31</v>
      </c>
      <c r="I34" s="69">
        <f t="shared" si="4"/>
        <v>687076.34711401747</v>
      </c>
    </row>
    <row r="35" spans="1:9">
      <c r="A35" s="2">
        <v>19</v>
      </c>
      <c r="B35" s="100">
        <v>43040</v>
      </c>
      <c r="C35" s="100">
        <v>43069</v>
      </c>
      <c r="D35" s="18">
        <v>0.20960000000000001</v>
      </c>
      <c r="E35" s="395">
        <f t="shared" si="0"/>
        <v>0.31440000000000001</v>
      </c>
      <c r="F35" s="43">
        <f t="shared" si="1"/>
        <v>7.4926765057248268E-4</v>
      </c>
      <c r="G35" s="427">
        <f t="shared" si="2"/>
        <v>29347949</v>
      </c>
      <c r="H35" s="26">
        <f t="shared" si="3"/>
        <v>30</v>
      </c>
      <c r="I35" s="69">
        <f t="shared" si="4"/>
        <v>659684.06389053131</v>
      </c>
    </row>
    <row r="36" spans="1:9">
      <c r="A36" s="2">
        <v>20</v>
      </c>
      <c r="B36" s="100">
        <v>43070</v>
      </c>
      <c r="C36" s="100">
        <v>43100</v>
      </c>
      <c r="D36" s="18">
        <v>0.2077</v>
      </c>
      <c r="E36" s="395">
        <f t="shared" si="0"/>
        <v>0.31154999999999999</v>
      </c>
      <c r="F36" s="43">
        <f t="shared" si="1"/>
        <v>7.4331624292400811E-4</v>
      </c>
      <c r="G36" s="427">
        <f t="shared" si="2"/>
        <v>29347949</v>
      </c>
      <c r="H36" s="26">
        <f t="shared" si="3"/>
        <v>31</v>
      </c>
      <c r="I36" s="69">
        <f t="shared" si="4"/>
        <v>676259.02283436735</v>
      </c>
    </row>
    <row r="37" spans="1:9">
      <c r="A37" s="2">
        <v>21</v>
      </c>
      <c r="B37" s="100">
        <v>43101</v>
      </c>
      <c r="C37" s="100">
        <v>43131</v>
      </c>
      <c r="D37" s="18">
        <v>0.2069</v>
      </c>
      <c r="E37" s="395">
        <f t="shared" si="0"/>
        <v>0.31035000000000001</v>
      </c>
      <c r="F37" s="43">
        <f t="shared" si="1"/>
        <v>7.4080652774299871E-4</v>
      </c>
      <c r="G37" s="427">
        <f t="shared" si="2"/>
        <v>29347949</v>
      </c>
      <c r="H37" s="26">
        <f t="shared" si="3"/>
        <v>31</v>
      </c>
      <c r="I37" s="69">
        <f t="shared" si="4"/>
        <v>673975.71804712689</v>
      </c>
    </row>
    <row r="38" spans="1:9">
      <c r="A38" s="2">
        <v>22</v>
      </c>
      <c r="B38" s="100">
        <v>43132</v>
      </c>
      <c r="C38" s="100">
        <v>43159</v>
      </c>
      <c r="D38" s="18">
        <v>0.21010000000000001</v>
      </c>
      <c r="E38" s="395">
        <f t="shared" si="0"/>
        <v>0.31515000000000004</v>
      </c>
      <c r="F38" s="43">
        <f t="shared" si="1"/>
        <v>7.5083167162115494E-4</v>
      </c>
      <c r="G38" s="427">
        <f t="shared" si="2"/>
        <v>29347949</v>
      </c>
      <c r="H38" s="26">
        <f t="shared" si="3"/>
        <v>28</v>
      </c>
      <c r="I38" s="69">
        <f t="shared" si="4"/>
        <v>616990.34897702723</v>
      </c>
    </row>
    <row r="39" spans="1:9">
      <c r="A39" s="2">
        <v>23</v>
      </c>
      <c r="B39" s="100">
        <v>43160</v>
      </c>
      <c r="C39" s="100">
        <v>43190</v>
      </c>
      <c r="D39" s="18">
        <v>0.20680000000000001</v>
      </c>
      <c r="E39" s="395">
        <f t="shared" si="0"/>
        <v>0.31020000000000003</v>
      </c>
      <c r="F39" s="43">
        <f t="shared" si="1"/>
        <v>7.4049265219700011E-4</v>
      </c>
      <c r="G39" s="427">
        <f t="shared" si="2"/>
        <v>29347949</v>
      </c>
      <c r="H39" s="26">
        <f t="shared" si="3"/>
        <v>31</v>
      </c>
      <c r="I39" s="69">
        <f t="shared" si="4"/>
        <v>673690.15833812125</v>
      </c>
    </row>
    <row r="40" spans="1:9">
      <c r="A40" s="2">
        <v>24</v>
      </c>
      <c r="B40" s="100">
        <v>43191</v>
      </c>
      <c r="C40" s="100">
        <v>43220</v>
      </c>
      <c r="D40" s="18">
        <v>0.20480000000000001</v>
      </c>
      <c r="E40" s="395">
        <f t="shared" si="0"/>
        <v>0.30720000000000003</v>
      </c>
      <c r="F40" s="43">
        <f t="shared" si="1"/>
        <v>7.34207604366377E-4</v>
      </c>
      <c r="G40" s="427">
        <f t="shared" si="2"/>
        <v>29347949</v>
      </c>
      <c r="H40" s="26">
        <f t="shared" si="3"/>
        <v>30</v>
      </c>
      <c r="I40" s="69">
        <f t="shared" si="4"/>
        <v>646424.61985069828</v>
      </c>
    </row>
    <row r="41" spans="1:9">
      <c r="A41" s="2">
        <v>25</v>
      </c>
      <c r="B41" s="100">
        <v>43221</v>
      </c>
      <c r="C41" s="100">
        <v>43251</v>
      </c>
      <c r="D41" s="18">
        <v>0.2044</v>
      </c>
      <c r="E41" s="395">
        <f t="shared" si="0"/>
        <v>0.30659999999999998</v>
      </c>
      <c r="F41" s="43">
        <f t="shared" si="1"/>
        <v>7.3294886878794152E-4</v>
      </c>
      <c r="G41" s="427">
        <f t="shared" si="2"/>
        <v>29347949</v>
      </c>
      <c r="H41" s="26">
        <f t="shared" si="3"/>
        <v>31</v>
      </c>
      <c r="I41" s="69">
        <f t="shared" si="4"/>
        <v>666826.92664468219</v>
      </c>
    </row>
    <row r="42" spans="1:9">
      <c r="A42" s="2">
        <v>26</v>
      </c>
      <c r="B42" s="100">
        <v>43252</v>
      </c>
      <c r="C42" s="100">
        <v>43281</v>
      </c>
      <c r="D42" s="18">
        <v>0.20280000000000001</v>
      </c>
      <c r="E42" s="395">
        <f t="shared" si="0"/>
        <v>0.30420000000000003</v>
      </c>
      <c r="F42" s="43">
        <f t="shared" si="1"/>
        <v>7.2790815549184096E-4</v>
      </c>
      <c r="G42" s="427">
        <f t="shared" si="2"/>
        <v>29347949</v>
      </c>
      <c r="H42" s="26">
        <f t="shared" si="3"/>
        <v>30</v>
      </c>
      <c r="I42" s="69">
        <f t="shared" si="4"/>
        <v>640878.34272175853</v>
      </c>
    </row>
    <row r="43" spans="1:9">
      <c r="A43" s="2">
        <v>27</v>
      </c>
      <c r="B43" s="100">
        <v>43282</v>
      </c>
      <c r="C43" s="100">
        <v>43312</v>
      </c>
      <c r="D43" s="18">
        <v>0.20030000000000001</v>
      </c>
      <c r="E43" s="395">
        <f t="shared" si="0"/>
        <v>0.30044999999999999</v>
      </c>
      <c r="F43" s="43">
        <f t="shared" si="1"/>
        <v>7.2001349197825526E-4</v>
      </c>
      <c r="G43" s="427">
        <f t="shared" si="2"/>
        <v>29347949</v>
      </c>
      <c r="H43" s="26">
        <f t="shared" si="3"/>
        <v>31</v>
      </c>
      <c r="I43" s="69">
        <f t="shared" si="4"/>
        <v>655058.49649858207</v>
      </c>
    </row>
    <row r="44" spans="1:9">
      <c r="A44" s="2">
        <v>28</v>
      </c>
      <c r="B44" s="100">
        <v>43313</v>
      </c>
      <c r="C44" s="100">
        <v>43343</v>
      </c>
      <c r="D44" s="18">
        <v>0.19939999999999999</v>
      </c>
      <c r="E44" s="395">
        <f t="shared" si="0"/>
        <v>0.29909999999999998</v>
      </c>
      <c r="F44" s="43">
        <f t="shared" si="1"/>
        <v>7.1716585429704161E-4</v>
      </c>
      <c r="G44" s="427">
        <f t="shared" si="2"/>
        <v>29347949</v>
      </c>
      <c r="H44" s="26">
        <f t="shared" si="3"/>
        <v>31</v>
      </c>
      <c r="I44" s="69">
        <f t="shared" si="4"/>
        <v>652467.75440998119</v>
      </c>
    </row>
    <row r="45" spans="1:9">
      <c r="A45" s="2">
        <v>29</v>
      </c>
      <c r="B45" s="100">
        <v>43344</v>
      </c>
      <c r="C45" s="100">
        <v>43373</v>
      </c>
      <c r="D45" s="18">
        <v>0.1981</v>
      </c>
      <c r="E45" s="395">
        <f t="shared" si="0"/>
        <v>0.29715000000000003</v>
      </c>
      <c r="F45" s="43">
        <f t="shared" si="1"/>
        <v>7.1304738558919389E-4</v>
      </c>
      <c r="G45" s="427">
        <f t="shared" si="2"/>
        <v>29347949</v>
      </c>
      <c r="H45" s="26">
        <f t="shared" si="3"/>
        <v>30</v>
      </c>
      <c r="I45" s="69">
        <f t="shared" si="4"/>
        <v>627794.34920564992</v>
      </c>
    </row>
    <row r="46" spans="1:9">
      <c r="A46" s="2">
        <v>30</v>
      </c>
      <c r="B46" s="100">
        <v>43374</v>
      </c>
      <c r="C46" s="100">
        <v>43404</v>
      </c>
      <c r="D46" s="18">
        <v>0.1963</v>
      </c>
      <c r="E46" s="395">
        <f t="shared" si="0"/>
        <v>0.29444999999999999</v>
      </c>
      <c r="F46" s="43">
        <f t="shared" si="1"/>
        <v>7.073346857742191E-4</v>
      </c>
      <c r="G46" s="427">
        <f t="shared" si="2"/>
        <v>29347949</v>
      </c>
      <c r="H46" s="26">
        <f t="shared" si="3"/>
        <v>31</v>
      </c>
      <c r="I46" s="69">
        <f t="shared" si="4"/>
        <v>643523.49080501706</v>
      </c>
    </row>
    <row r="47" spans="1:9">
      <c r="A47" s="2">
        <v>31</v>
      </c>
      <c r="B47" s="100">
        <v>43405</v>
      </c>
      <c r="C47" s="100">
        <v>43434</v>
      </c>
      <c r="D47" s="18">
        <v>0.19489999999999999</v>
      </c>
      <c r="E47" s="395">
        <f t="shared" si="0"/>
        <v>0.29235</v>
      </c>
      <c r="F47" s="43">
        <f t="shared" si="1"/>
        <v>7.0288325333756063E-4</v>
      </c>
      <c r="G47" s="427">
        <f t="shared" si="2"/>
        <v>29347949</v>
      </c>
      <c r="H47" s="26">
        <f t="shared" si="3"/>
        <v>30</v>
      </c>
      <c r="I47" s="69">
        <f t="shared" si="4"/>
        <v>618845.45615714428</v>
      </c>
    </row>
    <row r="48" spans="1:9">
      <c r="A48" s="2">
        <v>32</v>
      </c>
      <c r="B48" s="100">
        <v>43435</v>
      </c>
      <c r="C48" s="100">
        <v>43465</v>
      </c>
      <c r="D48" s="18">
        <v>0.19400000000000001</v>
      </c>
      <c r="E48" s="395">
        <f t="shared" si="0"/>
        <v>0.29100000000000004</v>
      </c>
      <c r="F48" s="43">
        <f t="shared" si="1"/>
        <v>7.0001780740103214E-4</v>
      </c>
      <c r="G48" s="427">
        <f t="shared" si="2"/>
        <v>29347949</v>
      </c>
      <c r="H48" s="26">
        <f t="shared" si="3"/>
        <v>31</v>
      </c>
      <c r="I48" s="69">
        <f t="shared" si="4"/>
        <v>636866.6942316168</v>
      </c>
    </row>
    <row r="49" spans="1:9">
      <c r="A49" s="2">
        <v>33</v>
      </c>
      <c r="B49" s="100">
        <v>43466</v>
      </c>
      <c r="C49" s="100">
        <v>43496</v>
      </c>
      <c r="D49" s="18">
        <v>0.19159999999999999</v>
      </c>
      <c r="E49" s="395">
        <f t="shared" si="0"/>
        <v>0.28739999999999999</v>
      </c>
      <c r="F49" s="43">
        <f t="shared" si="1"/>
        <v>6.9236198468725085E-4</v>
      </c>
      <c r="G49" s="427">
        <f t="shared" si="2"/>
        <v>29347949</v>
      </c>
      <c r="H49" s="26">
        <f t="shared" si="3"/>
        <v>31</v>
      </c>
      <c r="I49" s="69">
        <f t="shared" si="4"/>
        <v>629901.53070034669</v>
      </c>
    </row>
    <row r="50" spans="1:9">
      <c r="A50" s="2">
        <v>34</v>
      </c>
      <c r="B50" s="100">
        <v>43497</v>
      </c>
      <c r="C50" s="100">
        <v>43524</v>
      </c>
      <c r="D50" s="18">
        <v>0.19700000000000001</v>
      </c>
      <c r="E50" s="395">
        <f t="shared" si="0"/>
        <v>0.29549999999999998</v>
      </c>
      <c r="F50" s="43">
        <f t="shared" si="1"/>
        <v>7.0955770203506852E-4</v>
      </c>
      <c r="G50" s="427">
        <f t="shared" si="2"/>
        <v>29347949</v>
      </c>
      <c r="H50" s="26">
        <f t="shared" si="3"/>
        <v>28</v>
      </c>
      <c r="I50" s="69">
        <f t="shared" si="4"/>
        <v>583073.77105270687</v>
      </c>
    </row>
    <row r="51" spans="1:9">
      <c r="A51" s="2">
        <v>35</v>
      </c>
      <c r="B51" s="100">
        <v>43525</v>
      </c>
      <c r="C51" s="100">
        <v>43555</v>
      </c>
      <c r="D51" s="18">
        <v>0.19370000000000001</v>
      </c>
      <c r="E51" s="395">
        <f t="shared" si="0"/>
        <v>0.29055000000000003</v>
      </c>
      <c r="F51" s="43">
        <f t="shared" si="1"/>
        <v>6.9906199467517638E-4</v>
      </c>
      <c r="G51" s="427">
        <f t="shared" si="2"/>
        <v>29347949</v>
      </c>
      <c r="H51" s="26">
        <f t="shared" si="3"/>
        <v>31</v>
      </c>
      <c r="I51" s="69">
        <f t="shared" si="4"/>
        <v>635997.10879452573</v>
      </c>
    </row>
    <row r="52" spans="1:9">
      <c r="A52" s="2">
        <v>36</v>
      </c>
      <c r="B52" s="100">
        <v>43556</v>
      </c>
      <c r="C52" s="100">
        <v>43585</v>
      </c>
      <c r="D52" s="18">
        <v>0.19320000000000001</v>
      </c>
      <c r="E52" s="395">
        <f t="shared" si="0"/>
        <v>0.2898</v>
      </c>
      <c r="F52" s="43">
        <f t="shared" si="1"/>
        <v>6.9746823462724095E-4</v>
      </c>
      <c r="G52" s="427">
        <f t="shared" si="2"/>
        <v>29347949</v>
      </c>
      <c r="H52" s="26">
        <f t="shared" si="3"/>
        <v>30</v>
      </c>
      <c r="I52" s="69">
        <f t="shared" si="4"/>
        <v>614077.86536880897</v>
      </c>
    </row>
    <row r="53" spans="1:9">
      <c r="A53" s="2">
        <v>37</v>
      </c>
      <c r="B53" s="100">
        <v>43586</v>
      </c>
      <c r="C53" s="100">
        <v>43616</v>
      </c>
      <c r="D53" s="18">
        <v>0.19339999999999999</v>
      </c>
      <c r="E53" s="395">
        <f t="shared" si="0"/>
        <v>0.29009999999999997</v>
      </c>
      <c r="F53" s="43">
        <f t="shared" si="1"/>
        <v>6.9810584952367805E-4</v>
      </c>
      <c r="G53" s="427">
        <f t="shared" si="2"/>
        <v>29347949</v>
      </c>
      <c r="H53" s="26">
        <f t="shared" si="3"/>
        <v>31</v>
      </c>
      <c r="I53" s="69">
        <f t="shared" si="4"/>
        <v>635127.22092109988</v>
      </c>
    </row>
    <row r="54" spans="1:9">
      <c r="A54" s="2">
        <v>38</v>
      </c>
      <c r="B54" s="100">
        <v>43617</v>
      </c>
      <c r="C54" s="100">
        <v>43646</v>
      </c>
      <c r="D54" s="18">
        <v>0.193</v>
      </c>
      <c r="E54" s="395">
        <f t="shared" si="0"/>
        <v>0.28949999999999998</v>
      </c>
      <c r="F54" s="43">
        <f t="shared" si="1"/>
        <v>6.9683047181468005E-4</v>
      </c>
      <c r="G54" s="427">
        <f t="shared" si="2"/>
        <v>29347949</v>
      </c>
      <c r="H54" s="26">
        <f t="shared" si="3"/>
        <v>30</v>
      </c>
      <c r="I54" s="69">
        <f t="shared" si="4"/>
        <v>613516.35445389501</v>
      </c>
    </row>
    <row r="55" spans="1:9">
      <c r="A55" s="2">
        <v>39</v>
      </c>
      <c r="B55" s="100">
        <v>43647</v>
      </c>
      <c r="C55" s="100">
        <v>43677</v>
      </c>
      <c r="D55" s="18">
        <v>0.1928</v>
      </c>
      <c r="E55" s="395">
        <f t="shared" si="0"/>
        <v>0.28920000000000001</v>
      </c>
      <c r="F55" s="43">
        <f t="shared" si="1"/>
        <v>6.9619256101671745E-4</v>
      </c>
      <c r="G55" s="427">
        <f t="shared" si="2"/>
        <v>29347949</v>
      </c>
      <c r="H55" s="26">
        <f t="shared" si="3"/>
        <v>31</v>
      </c>
      <c r="I55" s="69">
        <f t="shared" si="4"/>
        <v>633386.53702183836</v>
      </c>
    </row>
    <row r="56" spans="1:9">
      <c r="A56" s="2">
        <v>40</v>
      </c>
      <c r="B56" s="100">
        <v>43678</v>
      </c>
      <c r="C56" s="100">
        <v>43708</v>
      </c>
      <c r="D56" s="18">
        <v>0.19320000000000001</v>
      </c>
      <c r="E56" s="395">
        <f t="shared" si="0"/>
        <v>0.2898</v>
      </c>
      <c r="F56" s="43">
        <f t="shared" si="1"/>
        <v>6.9746823462724095E-4</v>
      </c>
      <c r="G56" s="427">
        <f t="shared" si="2"/>
        <v>29347949</v>
      </c>
      <c r="H56" s="26">
        <f t="shared" si="3"/>
        <v>31</v>
      </c>
      <c r="I56" s="69">
        <f t="shared" si="4"/>
        <v>634547.12754776934</v>
      </c>
    </row>
    <row r="57" spans="1:9">
      <c r="A57" s="2">
        <v>41</v>
      </c>
      <c r="B57" s="100">
        <v>43709</v>
      </c>
      <c r="C57" s="100">
        <v>43738</v>
      </c>
      <c r="D57" s="18">
        <v>0.19320000000000001</v>
      </c>
      <c r="E57" s="395">
        <f t="shared" si="0"/>
        <v>0.2898</v>
      </c>
      <c r="F57" s="43">
        <f t="shared" si="1"/>
        <v>6.9746823462724095E-4</v>
      </c>
      <c r="G57" s="427">
        <f t="shared" si="2"/>
        <v>29347949</v>
      </c>
      <c r="H57" s="26">
        <f t="shared" si="3"/>
        <v>30</v>
      </c>
      <c r="I57" s="69">
        <f t="shared" si="4"/>
        <v>614077.86536880897</v>
      </c>
    </row>
    <row r="58" spans="1:9">
      <c r="A58" s="2">
        <v>42</v>
      </c>
      <c r="B58" s="100">
        <v>43739</v>
      </c>
      <c r="C58" s="100">
        <v>43769</v>
      </c>
      <c r="D58" s="18">
        <v>0.191</v>
      </c>
      <c r="E58" s="395">
        <f t="shared" si="0"/>
        <v>0.28649999999999998</v>
      </c>
      <c r="F58" s="43">
        <f t="shared" si="1"/>
        <v>6.9044469314105683E-4</v>
      </c>
      <c r="G58" s="427">
        <f t="shared" si="2"/>
        <v>29347949</v>
      </c>
      <c r="H58" s="26">
        <f t="shared" si="3"/>
        <v>31</v>
      </c>
      <c r="I58" s="69">
        <f t="shared" si="4"/>
        <v>628157.20489035605</v>
      </c>
    </row>
    <row r="59" spans="1:9">
      <c r="A59" s="2">
        <v>43</v>
      </c>
      <c r="B59" s="100">
        <v>43770</v>
      </c>
      <c r="C59" s="100">
        <v>43799</v>
      </c>
      <c r="D59" s="18">
        <v>0.1903</v>
      </c>
      <c r="E59" s="395">
        <f t="shared" si="0"/>
        <v>0.28544999999999998</v>
      </c>
      <c r="F59" s="43">
        <f t="shared" si="1"/>
        <v>6.8820616169262827E-4</v>
      </c>
      <c r="G59" s="427">
        <f t="shared" si="2"/>
        <v>29347949</v>
      </c>
      <c r="H59" s="26">
        <f t="shared" si="3"/>
        <v>30</v>
      </c>
      <c r="I59" s="69">
        <f t="shared" si="4"/>
        <v>605923.18004523031</v>
      </c>
    </row>
    <row r="60" spans="1:9">
      <c r="A60" s="2">
        <v>44</v>
      </c>
      <c r="B60" s="100">
        <v>43800</v>
      </c>
      <c r="C60" s="100">
        <v>43830</v>
      </c>
      <c r="D60" s="18">
        <v>0.18909999999999999</v>
      </c>
      <c r="E60" s="395">
        <f t="shared" si="0"/>
        <v>0.28364999999999996</v>
      </c>
      <c r="F60" s="43">
        <f t="shared" si="1"/>
        <v>6.8436443340047504E-4</v>
      </c>
      <c r="G60" s="427">
        <f t="shared" si="2"/>
        <v>29347949</v>
      </c>
      <c r="H60" s="26">
        <f t="shared" si="3"/>
        <v>31</v>
      </c>
      <c r="I60" s="69">
        <f t="shared" si="4"/>
        <v>622625.46715438215</v>
      </c>
    </row>
    <row r="61" spans="1:9">
      <c r="A61" s="2">
        <v>45</v>
      </c>
      <c r="B61" s="100">
        <v>43831</v>
      </c>
      <c r="C61" s="100">
        <v>43861</v>
      </c>
      <c r="D61" s="18">
        <v>0.18770000000000001</v>
      </c>
      <c r="E61" s="395">
        <f t="shared" si="0"/>
        <v>0.28155000000000002</v>
      </c>
      <c r="F61" s="43">
        <f t="shared" si="1"/>
        <v>6.7987562124560696E-4</v>
      </c>
      <c r="G61" s="427">
        <f t="shared" si="2"/>
        <v>29347949</v>
      </c>
      <c r="H61" s="26">
        <f t="shared" si="3"/>
        <v>31</v>
      </c>
      <c r="I61" s="69">
        <f t="shared" si="4"/>
        <v>618541.60681844107</v>
      </c>
    </row>
    <row r="62" spans="1:9">
      <c r="A62" s="2">
        <v>46</v>
      </c>
      <c r="B62" s="100">
        <v>43862</v>
      </c>
      <c r="C62" s="100">
        <v>43890</v>
      </c>
      <c r="D62" s="18">
        <v>0.19059999999999999</v>
      </c>
      <c r="E62" s="395">
        <f t="shared" si="0"/>
        <v>0.28589999999999999</v>
      </c>
      <c r="F62" s="43">
        <f t="shared" si="1"/>
        <v>6.8916575551658532E-4</v>
      </c>
      <c r="G62" s="427">
        <f t="shared" si="2"/>
        <v>29347949</v>
      </c>
      <c r="H62" s="26">
        <f t="shared" si="3"/>
        <v>29</v>
      </c>
      <c r="I62" s="69">
        <f t="shared" si="4"/>
        <v>586542.44191796915</v>
      </c>
    </row>
    <row r="63" spans="1:9">
      <c r="A63" s="2">
        <v>47</v>
      </c>
      <c r="B63" s="100">
        <v>43891</v>
      </c>
      <c r="C63" s="100">
        <v>43921</v>
      </c>
      <c r="D63" s="18">
        <v>0.1895</v>
      </c>
      <c r="E63" s="395">
        <f t="shared" si="0"/>
        <v>0.28425</v>
      </c>
      <c r="F63" s="43">
        <f t="shared" si="1"/>
        <v>6.8564560609574166E-4</v>
      </c>
      <c r="G63" s="427">
        <f t="shared" si="2"/>
        <v>29347949</v>
      </c>
      <c r="H63" s="26">
        <f t="shared" si="3"/>
        <v>31</v>
      </c>
      <c r="I63" s="69">
        <f t="shared" si="4"/>
        <v>623791.06067292939</v>
      </c>
    </row>
    <row r="64" spans="1:9">
      <c r="A64" s="2">
        <v>48</v>
      </c>
      <c r="B64" s="100">
        <v>43922</v>
      </c>
      <c r="C64" s="100">
        <v>43951</v>
      </c>
      <c r="D64" s="18">
        <v>0.18690000000000001</v>
      </c>
      <c r="E64" s="395">
        <f t="shared" si="0"/>
        <v>0.28034999999999999</v>
      </c>
      <c r="F64" s="43">
        <f t="shared" si="1"/>
        <v>6.7730729113191224E-4</v>
      </c>
      <c r="G64" s="427">
        <f t="shared" si="2"/>
        <v>29347949</v>
      </c>
      <c r="H64" s="26">
        <f t="shared" si="3"/>
        <v>30</v>
      </c>
      <c r="I64" s="69">
        <f t="shared" si="4"/>
        <v>596327.39512402541</v>
      </c>
    </row>
    <row r="65" spans="1:9">
      <c r="A65" s="2">
        <v>49</v>
      </c>
      <c r="B65" s="100">
        <v>43952</v>
      </c>
      <c r="C65" s="100">
        <v>43982</v>
      </c>
      <c r="D65" s="18">
        <v>0.18190000000000001</v>
      </c>
      <c r="E65" s="395">
        <f t="shared" si="0"/>
        <v>0.27285000000000004</v>
      </c>
      <c r="F65" s="43">
        <f t="shared" si="1"/>
        <v>6.6120063584418354E-4</v>
      </c>
      <c r="G65" s="427">
        <f t="shared" si="2"/>
        <v>29347949</v>
      </c>
      <c r="H65" s="26">
        <f t="shared" si="3"/>
        <v>31</v>
      </c>
      <c r="I65" s="69">
        <f t="shared" si="4"/>
        <v>601551.35872520274</v>
      </c>
    </row>
    <row r="66" spans="1:9">
      <c r="A66" s="2">
        <v>50</v>
      </c>
      <c r="B66" s="100">
        <v>43983</v>
      </c>
      <c r="C66" s="100">
        <v>44012</v>
      </c>
      <c r="D66" s="18">
        <v>0.1812</v>
      </c>
      <c r="E66" s="395">
        <f t="shared" si="0"/>
        <v>0.27179999999999999</v>
      </c>
      <c r="F66" s="43">
        <f t="shared" si="1"/>
        <v>6.5893815469997286E-4</v>
      </c>
      <c r="G66" s="427">
        <f t="shared" si="2"/>
        <v>29347949</v>
      </c>
      <c r="H66" s="26">
        <f t="shared" si="3"/>
        <v>30</v>
      </c>
      <c r="I66" s="69">
        <f t="shared" si="4"/>
        <v>580154.5007486674</v>
      </c>
    </row>
    <row r="67" spans="1:9">
      <c r="A67" s="2">
        <v>51</v>
      </c>
      <c r="B67" s="100">
        <v>44013</v>
      </c>
      <c r="C67" s="100">
        <v>44043</v>
      </c>
      <c r="D67" s="435">
        <v>0.1812</v>
      </c>
      <c r="E67" s="395">
        <f t="shared" si="0"/>
        <v>0.27179999999999999</v>
      </c>
      <c r="F67" s="43">
        <f t="shared" si="1"/>
        <v>6.5893815469997286E-4</v>
      </c>
      <c r="G67" s="427">
        <f t="shared" si="2"/>
        <v>29347949</v>
      </c>
      <c r="H67" s="26">
        <f t="shared" si="3"/>
        <v>31</v>
      </c>
      <c r="I67" s="69">
        <f t="shared" si="4"/>
        <v>599492.9841069564</v>
      </c>
    </row>
    <row r="68" spans="1:9">
      <c r="A68" s="2">
        <v>52</v>
      </c>
      <c r="B68" s="100">
        <v>44044</v>
      </c>
      <c r="C68" s="100">
        <v>44074</v>
      </c>
      <c r="D68" s="18">
        <v>0.18290000000000001</v>
      </c>
      <c r="E68" s="395">
        <f t="shared" si="0"/>
        <v>0.27434999999999998</v>
      </c>
      <c r="F68" s="43">
        <f t="shared" si="1"/>
        <v>6.6442952514544906E-4</v>
      </c>
      <c r="G68" s="427">
        <f t="shared" si="2"/>
        <v>29347949</v>
      </c>
      <c r="H68" s="26">
        <f t="shared" si="3"/>
        <v>31</v>
      </c>
      <c r="I68" s="69">
        <f t="shared" si="4"/>
        <v>604488.95835994859</v>
      </c>
    </row>
    <row r="69" spans="1:9">
      <c r="A69" s="2">
        <v>53</v>
      </c>
      <c r="B69" s="100">
        <v>44075</v>
      </c>
      <c r="C69" s="100">
        <v>44104</v>
      </c>
      <c r="D69" s="18">
        <v>0.1835</v>
      </c>
      <c r="E69" s="395">
        <f t="shared" si="0"/>
        <v>0.27524999999999999</v>
      </c>
      <c r="F69" s="43">
        <f t="shared" si="1"/>
        <v>6.6636503991857055E-4</v>
      </c>
      <c r="G69" s="427">
        <f t="shared" si="2"/>
        <v>29347949</v>
      </c>
      <c r="H69" s="26">
        <f t="shared" si="3"/>
        <v>30</v>
      </c>
      <c r="I69" s="69">
        <f t="shared" si="4"/>
        <v>586693.41620739526</v>
      </c>
    </row>
    <row r="70" spans="1:9">
      <c r="A70" s="2">
        <v>54</v>
      </c>
      <c r="B70" s="100">
        <v>44105</v>
      </c>
      <c r="C70" s="100">
        <v>44135</v>
      </c>
      <c r="D70" s="18">
        <v>0.18090000000000001</v>
      </c>
      <c r="E70" s="395">
        <f t="shared" si="0"/>
        <v>0.27134999999999998</v>
      </c>
      <c r="F70" s="43">
        <f t="shared" si="1"/>
        <v>6.5796794962613703E-4</v>
      </c>
      <c r="G70" s="427">
        <f t="shared" si="2"/>
        <v>29347949</v>
      </c>
      <c r="H70" s="26">
        <f t="shared" si="3"/>
        <v>31</v>
      </c>
      <c r="I70" s="69">
        <f t="shared" si="4"/>
        <v>598610.30470713566</v>
      </c>
    </row>
    <row r="71" spans="1:9">
      <c r="A71" s="2">
        <v>55</v>
      </c>
      <c r="B71" s="100">
        <v>44136</v>
      </c>
      <c r="C71" s="100">
        <v>44165</v>
      </c>
      <c r="D71" s="18">
        <v>0.1784</v>
      </c>
      <c r="E71" s="395">
        <f t="shared" si="0"/>
        <v>0.2676</v>
      </c>
      <c r="F71" s="43">
        <f t="shared" si="1"/>
        <v>6.4986956374091243E-4</v>
      </c>
      <c r="G71" s="427">
        <f t="shared" si="2"/>
        <v>29347949</v>
      </c>
      <c r="H71" s="26">
        <f t="shared" si="3"/>
        <v>30</v>
      </c>
      <c r="I71" s="69">
        <f t="shared" si="4"/>
        <v>572170.16439961642</v>
      </c>
    </row>
    <row r="72" spans="1:9">
      <c r="A72" s="2">
        <v>56</v>
      </c>
      <c r="B72" s="100">
        <v>44166</v>
      </c>
      <c r="C72" s="100">
        <v>44196</v>
      </c>
      <c r="D72" s="18">
        <v>0.17460000000000001</v>
      </c>
      <c r="E72" s="395">
        <f t="shared" si="0"/>
        <v>0.26190000000000002</v>
      </c>
      <c r="F72" s="43">
        <f t="shared" si="1"/>
        <v>6.3751414410861962E-4</v>
      </c>
      <c r="G72" s="427">
        <f t="shared" si="2"/>
        <v>29347949</v>
      </c>
      <c r="H72" s="26">
        <f t="shared" si="3"/>
        <v>31</v>
      </c>
      <c r="I72" s="69">
        <f t="shared" si="4"/>
        <v>580001.71023043105</v>
      </c>
    </row>
    <row r="73" spans="1:9">
      <c r="A73" s="2">
        <v>57</v>
      </c>
      <c r="B73" s="100">
        <v>44197</v>
      </c>
      <c r="C73" s="100">
        <v>44227</v>
      </c>
      <c r="D73" s="18">
        <v>0.17319999999999999</v>
      </c>
      <c r="E73" s="395">
        <f t="shared" si="0"/>
        <v>0.25979999999999998</v>
      </c>
      <c r="F73" s="43">
        <f t="shared" si="1"/>
        <v>6.3294811266723094E-4</v>
      </c>
      <c r="G73" s="427">
        <f t="shared" si="2"/>
        <v>29347949</v>
      </c>
      <c r="H73" s="26">
        <f t="shared" si="3"/>
        <v>31</v>
      </c>
      <c r="I73" s="69">
        <f t="shared" si="4"/>
        <v>575847.59683632851</v>
      </c>
    </row>
    <row r="74" spans="1:9">
      <c r="A74" s="2">
        <v>58</v>
      </c>
      <c r="B74" s="100">
        <v>44228</v>
      </c>
      <c r="C74" s="100">
        <v>44255</v>
      </c>
      <c r="D74" s="18">
        <v>0.1754</v>
      </c>
      <c r="E74" s="395">
        <f t="shared" si="0"/>
        <v>0.2631</v>
      </c>
      <c r="F74" s="43">
        <f t="shared" si="1"/>
        <v>6.4011990387169426E-4</v>
      </c>
      <c r="G74" s="427">
        <f t="shared" si="2"/>
        <v>29347949</v>
      </c>
      <c r="H74" s="26">
        <f t="shared" si="3"/>
        <v>28</v>
      </c>
      <c r="I74" s="69">
        <f t="shared" si="4"/>
        <v>526013.77619591891</v>
      </c>
    </row>
    <row r="75" spans="1:9">
      <c r="A75" s="2">
        <v>59</v>
      </c>
      <c r="B75" s="100">
        <v>44256</v>
      </c>
      <c r="C75" s="100">
        <v>44286</v>
      </c>
      <c r="D75" s="18">
        <v>0.1741</v>
      </c>
      <c r="E75" s="395">
        <f t="shared" si="0"/>
        <v>0.26114999999999999</v>
      </c>
      <c r="F75" s="43">
        <f t="shared" si="1"/>
        <v>6.3588428907812578E-4</v>
      </c>
      <c r="G75" s="427">
        <f t="shared" si="2"/>
        <v>29347949</v>
      </c>
      <c r="H75" s="26">
        <f t="shared" si="3"/>
        <v>31</v>
      </c>
      <c r="I75" s="69">
        <f t="shared" si="4"/>
        <v>578518.8902587489</v>
      </c>
    </row>
    <row r="76" spans="1:9">
      <c r="A76" s="2">
        <v>60</v>
      </c>
      <c r="B76" s="100">
        <v>44287</v>
      </c>
      <c r="C76" s="100">
        <v>44316</v>
      </c>
      <c r="D76" s="18">
        <v>0.1731</v>
      </c>
      <c r="E76" s="395">
        <f t="shared" si="0"/>
        <v>0.25964999999999999</v>
      </c>
      <c r="F76" s="43">
        <f t="shared" si="1"/>
        <v>6.326216771728177E-4</v>
      </c>
      <c r="G76" s="427">
        <f t="shared" si="2"/>
        <v>29347949</v>
      </c>
      <c r="H76" s="26">
        <f t="shared" si="3"/>
        <v>30</v>
      </c>
      <c r="I76" s="69">
        <f t="shared" si="4"/>
        <v>556984.46153886954</v>
      </c>
    </row>
    <row r="77" spans="1:9">
      <c r="A77" s="2">
        <v>61</v>
      </c>
      <c r="B77" s="100">
        <v>44317</v>
      </c>
      <c r="C77" s="100">
        <v>44347</v>
      </c>
      <c r="D77" s="18">
        <v>0.17219999999999999</v>
      </c>
      <c r="E77" s="395">
        <f t="shared" si="0"/>
        <v>0.25829999999999997</v>
      </c>
      <c r="F77" s="43">
        <f t="shared" si="1"/>
        <v>6.2968201205726437E-4</v>
      </c>
      <c r="G77" s="427">
        <f t="shared" si="2"/>
        <v>29347949</v>
      </c>
      <c r="H77" s="26">
        <f t="shared" si="3"/>
        <v>31</v>
      </c>
      <c r="I77" s="69">
        <f t="shared" si="4"/>
        <v>572876.14285829337</v>
      </c>
    </row>
    <row r="78" spans="1:9">
      <c r="A78" s="2">
        <v>62</v>
      </c>
      <c r="B78" s="100">
        <v>44348</v>
      </c>
      <c r="C78" s="100">
        <v>44377</v>
      </c>
      <c r="D78" s="18">
        <v>0.1721</v>
      </c>
      <c r="E78" s="395">
        <f t="shared" si="0"/>
        <v>0.25814999999999999</v>
      </c>
      <c r="F78" s="43">
        <f t="shared" si="1"/>
        <v>6.2935518846773952E-4</v>
      </c>
      <c r="G78" s="427">
        <f t="shared" si="2"/>
        <v>29347949</v>
      </c>
      <c r="H78" s="26">
        <f t="shared" si="3"/>
        <v>30</v>
      </c>
      <c r="I78" s="69">
        <f t="shared" si="4"/>
        <v>554108.51922109816</v>
      </c>
    </row>
    <row r="79" spans="1:9">
      <c r="A79" s="2">
        <v>63</v>
      </c>
      <c r="B79" s="100">
        <v>44378</v>
      </c>
      <c r="C79" s="100">
        <v>44408</v>
      </c>
      <c r="D79" s="18">
        <v>0.17180000000000001</v>
      </c>
      <c r="E79" s="452">
        <f t="shared" si="0"/>
        <v>0.25770000000000004</v>
      </c>
      <c r="F79" s="43">
        <f t="shared" si="1"/>
        <v>6.2837448450037137E-4</v>
      </c>
      <c r="G79" s="427">
        <f t="shared" si="2"/>
        <v>29347949</v>
      </c>
      <c r="H79" s="26">
        <f t="shared" ref="H79:H84" si="5">_xlfn.DAYS(C79,B79)+1</f>
        <v>31</v>
      </c>
      <c r="I79" s="69">
        <f t="shared" ref="I79:I84" si="6">+F79*G79*H79</f>
        <v>571686.57204456395</v>
      </c>
    </row>
    <row r="80" spans="1:9">
      <c r="A80" s="2">
        <v>64</v>
      </c>
      <c r="B80" s="100">
        <v>44409</v>
      </c>
      <c r="C80" s="100">
        <v>44439</v>
      </c>
      <c r="D80" s="18">
        <v>0.1724</v>
      </c>
      <c r="E80" s="395">
        <f>+D80*1.5</f>
        <v>0.2586</v>
      </c>
      <c r="F80" s="43">
        <f>((1+E80)^(1/365)-1)</f>
        <v>6.3033554269220637E-4</v>
      </c>
      <c r="G80" s="427">
        <f t="shared" si="2"/>
        <v>29347949</v>
      </c>
      <c r="H80" s="26">
        <f t="shared" si="5"/>
        <v>31</v>
      </c>
      <c r="I80" s="69">
        <f t="shared" si="6"/>
        <v>573470.71615436405</v>
      </c>
    </row>
    <row r="81" spans="1:9">
      <c r="A81" s="2">
        <v>65</v>
      </c>
      <c r="B81" s="100">
        <v>44440</v>
      </c>
      <c r="C81" s="100">
        <v>44469</v>
      </c>
      <c r="D81" s="18">
        <v>0.1719</v>
      </c>
      <c r="E81" s="452">
        <f>+D81*1.5</f>
        <v>0.25785000000000002</v>
      </c>
      <c r="F81" s="43">
        <f>((1+E81)^(1/365)-1)</f>
        <v>6.2870142469861889E-4</v>
      </c>
      <c r="G81" s="427">
        <f t="shared" si="2"/>
        <v>29347949</v>
      </c>
      <c r="H81" s="26">
        <f t="shared" si="5"/>
        <v>30</v>
      </c>
      <c r="I81" s="69">
        <f t="shared" si="6"/>
        <v>553532.92044847226</v>
      </c>
    </row>
    <row r="82" spans="1:9">
      <c r="A82" s="2">
        <v>66</v>
      </c>
      <c r="B82" s="100">
        <v>44470</v>
      </c>
      <c r="C82" s="100">
        <v>44500</v>
      </c>
      <c r="D82" s="18">
        <v>0.17080000000000001</v>
      </c>
      <c r="E82" s="395">
        <f>+D82*1.5</f>
        <v>0.25619999999999998</v>
      </c>
      <c r="F82" s="43">
        <f>((1+E82)^(1/365)-1)</f>
        <v>6.2510294214179751E-4</v>
      </c>
      <c r="G82" s="427">
        <f t="shared" si="2"/>
        <v>29347949</v>
      </c>
      <c r="H82" s="26">
        <f t="shared" si="5"/>
        <v>31</v>
      </c>
      <c r="I82" s="69">
        <f t="shared" si="6"/>
        <v>568710.16723755014</v>
      </c>
    </row>
    <row r="83" spans="1:9">
      <c r="A83" s="2">
        <v>67</v>
      </c>
      <c r="B83" s="100">
        <v>44501</v>
      </c>
      <c r="C83" s="100">
        <v>44530</v>
      </c>
      <c r="D83" s="18">
        <v>0.17269999999999999</v>
      </c>
      <c r="E83" s="395">
        <f>+D83*1.5</f>
        <v>0.25905</v>
      </c>
      <c r="F83" s="43">
        <f>((1+E83)^(1/365)-1)</f>
        <v>6.3131554742335005E-4</v>
      </c>
      <c r="G83" s="427">
        <f t="shared" si="2"/>
        <v>29347949</v>
      </c>
      <c r="H83" s="26">
        <f t="shared" si="5"/>
        <v>30</v>
      </c>
      <c r="I83" s="69">
        <f t="shared" si="6"/>
        <v>555834.49466062686</v>
      </c>
    </row>
    <row r="84" spans="1:9">
      <c r="A84" s="2">
        <v>68</v>
      </c>
      <c r="B84" s="100">
        <v>44531</v>
      </c>
      <c r="C84" s="100">
        <v>44561</v>
      </c>
      <c r="D84" s="18">
        <v>0.17460000000000001</v>
      </c>
      <c r="E84" s="395">
        <f>+D84*1.5</f>
        <v>0.26190000000000002</v>
      </c>
      <c r="F84" s="43">
        <f>((1+E84)^(1/365)-1)</f>
        <v>6.3751414410861962E-4</v>
      </c>
      <c r="G84" s="427">
        <f t="shared" si="2"/>
        <v>29347949</v>
      </c>
      <c r="H84" s="26">
        <f t="shared" si="5"/>
        <v>31</v>
      </c>
      <c r="I84" s="69">
        <f t="shared" si="6"/>
        <v>580001.71023043105</v>
      </c>
    </row>
    <row r="85" spans="1:9">
      <c r="G85" s="3" t="s">
        <v>913</v>
      </c>
      <c r="H85" s="2"/>
      <c r="I85" s="427">
        <f>SUM(I17:I84)</f>
        <v>42689381.541898489</v>
      </c>
    </row>
    <row r="86" spans="1:9">
      <c r="G86" s="3" t="s">
        <v>1316</v>
      </c>
      <c r="H86" s="2"/>
      <c r="I86" s="108">
        <f>+C12+I85</f>
        <v>72037330.541898489</v>
      </c>
    </row>
  </sheetData>
  <mergeCells count="1">
    <mergeCell ref="B15:H1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2B201-5411-4DC5-8A3E-79B81C8C6F55}">
  <sheetPr codeName="Hoja21"/>
  <dimension ref="A1:S188"/>
  <sheetViews>
    <sheetView topLeftCell="A141" zoomScaleNormal="100" workbookViewId="0">
      <selection activeCell="C23" sqref="C23"/>
    </sheetView>
  </sheetViews>
  <sheetFormatPr defaultColWidth="11.42578125" defaultRowHeight="12.75"/>
  <cols>
    <col min="1" max="1" width="3.7109375" style="217" customWidth="1"/>
    <col min="2" max="2" width="22.42578125" style="217" customWidth="1"/>
    <col min="3" max="3" width="13.5703125" style="217" customWidth="1"/>
    <col min="4" max="4" width="11.42578125" style="217"/>
    <col min="5" max="5" width="12.28515625" style="217" customWidth="1"/>
    <col min="6" max="6" width="11.85546875" style="217" customWidth="1"/>
    <col min="7" max="7" width="9.42578125" style="217" customWidth="1"/>
    <col min="8" max="8" width="3.28515625" style="217" customWidth="1"/>
    <col min="9" max="9" width="15.5703125" style="217" customWidth="1"/>
    <col min="10" max="10" width="9.42578125" style="217" customWidth="1"/>
    <col min="11" max="11" width="14" style="217" customWidth="1"/>
    <col min="12" max="13" width="11.42578125" style="217"/>
    <col min="14" max="14" width="16" style="217" customWidth="1"/>
    <col min="15" max="15" width="13.7109375" style="217" customWidth="1"/>
    <col min="16" max="17" width="11.42578125" style="217"/>
    <col min="18" max="18" width="8.85546875" style="217" customWidth="1"/>
    <col min="19" max="19" width="11.42578125" style="217"/>
    <col min="20" max="20" width="13.42578125" style="217" customWidth="1"/>
    <col min="21" max="16384" width="11.42578125" style="217"/>
  </cols>
  <sheetData>
    <row r="1" spans="2:17">
      <c r="F1" s="348"/>
      <c r="K1" s="348"/>
      <c r="L1" s="348"/>
      <c r="M1" s="348"/>
      <c r="N1" s="348"/>
      <c r="O1" s="348"/>
      <c r="P1" s="348"/>
    </row>
    <row r="2" spans="2:17">
      <c r="B2" s="1248" t="s">
        <v>175</v>
      </c>
      <c r="C2" s="347" t="s">
        <v>176</v>
      </c>
      <c r="F2" s="348"/>
      <c r="K2" s="348"/>
      <c r="L2" s="348"/>
      <c r="M2" s="348"/>
      <c r="N2" s="348"/>
      <c r="O2" s="348"/>
      <c r="P2" s="348"/>
    </row>
    <row r="3" spans="2:17">
      <c r="B3" s="219" t="s">
        <v>177</v>
      </c>
      <c r="C3" s="216">
        <v>73572424</v>
      </c>
      <c r="F3" s="348"/>
      <c r="K3" s="348"/>
      <c r="L3" s="348"/>
      <c r="M3" s="348"/>
      <c r="N3" s="348"/>
      <c r="O3" s="348"/>
      <c r="P3" s="348"/>
    </row>
    <row r="4" spans="2:17">
      <c r="B4" s="1248" t="s">
        <v>178</v>
      </c>
      <c r="C4" s="531">
        <v>40697</v>
      </c>
      <c r="F4" s="348"/>
      <c r="K4" s="348"/>
      <c r="L4" s="348"/>
      <c r="M4" s="348"/>
      <c r="N4" s="348"/>
      <c r="O4" s="348"/>
      <c r="P4" s="348"/>
    </row>
    <row r="5" spans="2:17">
      <c r="B5" s="1248" t="s">
        <v>179</v>
      </c>
      <c r="C5" s="531">
        <v>41073</v>
      </c>
      <c r="F5" s="348"/>
      <c r="K5" s="348"/>
      <c r="L5" s="348"/>
      <c r="M5" s="348"/>
      <c r="N5" s="348"/>
      <c r="O5" s="348"/>
      <c r="P5" s="348"/>
    </row>
    <row r="6" spans="2:17">
      <c r="B6" s="1248" t="s">
        <v>180</v>
      </c>
      <c r="C6" s="531">
        <v>42514</v>
      </c>
      <c r="F6" s="348"/>
      <c r="K6" s="348"/>
      <c r="L6" s="348"/>
      <c r="M6" s="348"/>
      <c r="N6" s="348"/>
      <c r="O6" s="348"/>
      <c r="P6" s="348"/>
    </row>
    <row r="7" spans="2:17">
      <c r="B7" s="1248" t="s">
        <v>181</v>
      </c>
      <c r="C7" s="531">
        <v>42635</v>
      </c>
      <c r="F7" s="348"/>
      <c r="K7" s="348"/>
      <c r="L7" s="348"/>
      <c r="M7" s="348"/>
      <c r="N7" s="348"/>
      <c r="O7" s="348"/>
      <c r="P7" s="348"/>
    </row>
    <row r="8" spans="2:17">
      <c r="B8" s="403" t="s">
        <v>182</v>
      </c>
      <c r="C8" s="229"/>
      <c r="D8" s="350" t="s">
        <v>76</v>
      </c>
      <c r="E8" s="349"/>
      <c r="F8" s="225"/>
      <c r="G8" s="349"/>
      <c r="H8" s="349"/>
      <c r="I8" s="349"/>
      <c r="J8" s="349"/>
      <c r="K8" s="348"/>
      <c r="L8" s="235"/>
      <c r="M8" s="235"/>
      <c r="N8" s="235"/>
      <c r="O8" s="235"/>
      <c r="P8" s="235"/>
    </row>
    <row r="9" spans="2:17" ht="13.5" customHeight="1">
      <c r="B9" s="2561" t="s">
        <v>183</v>
      </c>
      <c r="C9" s="2562"/>
      <c r="D9" s="227">
        <v>92.1</v>
      </c>
      <c r="F9" s="348"/>
      <c r="K9" s="2563" t="s">
        <v>184</v>
      </c>
      <c r="L9" s="2563"/>
      <c r="M9" s="2563"/>
      <c r="N9" s="2563"/>
      <c r="O9" s="2563"/>
      <c r="P9" s="2563"/>
      <c r="Q9" s="2563"/>
    </row>
    <row r="10" spans="2:17" ht="13.5">
      <c r="B10" s="228" t="s">
        <v>11</v>
      </c>
      <c r="C10" s="351" t="s">
        <v>113</v>
      </c>
      <c r="D10" s="228" t="s">
        <v>76</v>
      </c>
      <c r="E10" s="228" t="s">
        <v>77</v>
      </c>
      <c r="F10" s="229" t="s">
        <v>57</v>
      </c>
      <c r="G10" s="349"/>
      <c r="H10" s="349"/>
      <c r="I10" s="349"/>
      <c r="J10" s="349"/>
      <c r="K10" s="734" t="s">
        <v>185</v>
      </c>
      <c r="L10" s="734" t="s">
        <v>78</v>
      </c>
      <c r="M10" s="734" t="s">
        <v>79</v>
      </c>
      <c r="N10" s="734" t="s">
        <v>186</v>
      </c>
      <c r="O10" s="734" t="s">
        <v>187</v>
      </c>
      <c r="P10" s="734" t="s">
        <v>82</v>
      </c>
      <c r="Q10" s="734" t="s">
        <v>83</v>
      </c>
    </row>
    <row r="11" spans="2:17" ht="13.5">
      <c r="B11" s="216"/>
      <c r="C11" s="352">
        <v>2374785</v>
      </c>
      <c r="D11" s="216"/>
      <c r="E11" s="216"/>
      <c r="F11" s="230"/>
      <c r="K11" s="216"/>
      <c r="L11" s="734"/>
      <c r="M11" s="734"/>
      <c r="N11" s="734"/>
      <c r="O11" s="734"/>
      <c r="P11" s="734"/>
      <c r="Q11" s="734"/>
    </row>
    <row r="12" spans="2:17" ht="13.5">
      <c r="B12" s="233" t="s">
        <v>25</v>
      </c>
      <c r="C12" s="353">
        <f>+(2374785/30)*27</f>
        <v>2137306.5</v>
      </c>
      <c r="D12" s="232">
        <v>75.31</v>
      </c>
      <c r="E12" s="233">
        <f>$D$9/D12</f>
        <v>1.2229451600053112</v>
      </c>
      <c r="F12" s="231">
        <f>INT(C12*E12)</f>
        <v>2613808</v>
      </c>
      <c r="K12" s="1261">
        <v>41426</v>
      </c>
      <c r="L12" s="734">
        <f t="shared" ref="L12:L18" si="0">+C12*0.04</f>
        <v>85492.26</v>
      </c>
      <c r="M12" s="734">
        <f t="shared" ref="M12:M18" si="1">+C12*0.04</f>
        <v>85492.26</v>
      </c>
      <c r="N12" s="734">
        <f t="shared" ref="N12:N18" si="2">+C12*0.085</f>
        <v>181671.05250000002</v>
      </c>
      <c r="O12" s="734">
        <f t="shared" ref="O12:O18" si="3">+C12*0.12</f>
        <v>256476.78</v>
      </c>
      <c r="P12" s="736">
        <f>SUM(L12+N12)</f>
        <v>267163.3125</v>
      </c>
      <c r="Q12" s="736">
        <f>SUM(M12+O12)</f>
        <v>341969.04</v>
      </c>
    </row>
    <row r="13" spans="2:17" ht="13.5">
      <c r="B13" s="233" t="s">
        <v>27</v>
      </c>
      <c r="C13" s="353">
        <f t="shared" ref="C13:C18" si="4">+$C$11</f>
        <v>2374785</v>
      </c>
      <c r="D13" s="232">
        <v>75.42</v>
      </c>
      <c r="E13" s="233">
        <f t="shared" ref="E13:E22" si="5">$D$9/D13</f>
        <v>1.2211614956245027</v>
      </c>
      <c r="F13" s="231">
        <f t="shared" ref="F13:F24" si="6">INT(C13*E13)</f>
        <v>2899996</v>
      </c>
      <c r="K13" s="1261">
        <v>41456</v>
      </c>
      <c r="L13" s="734">
        <f t="shared" si="0"/>
        <v>94991.400000000009</v>
      </c>
      <c r="M13" s="734">
        <f t="shared" si="1"/>
        <v>94991.400000000009</v>
      </c>
      <c r="N13" s="734">
        <f t="shared" si="2"/>
        <v>201856.72500000001</v>
      </c>
      <c r="O13" s="734">
        <f t="shared" si="3"/>
        <v>284974.2</v>
      </c>
      <c r="P13" s="736">
        <f>SUM(L13+N13)</f>
        <v>296848.125</v>
      </c>
      <c r="Q13" s="736">
        <f t="shared" ref="P13:Q18" si="7">SUM(M13+O13)</f>
        <v>379965.60000000003</v>
      </c>
    </row>
    <row r="14" spans="2:17" ht="13.5">
      <c r="B14" s="233" t="s">
        <v>29</v>
      </c>
      <c r="C14" s="353">
        <f t="shared" si="4"/>
        <v>2374785</v>
      </c>
      <c r="D14" s="232">
        <v>75.39</v>
      </c>
      <c r="E14" s="233">
        <f t="shared" si="5"/>
        <v>1.2216474333465976</v>
      </c>
      <c r="F14" s="231">
        <f t="shared" si="6"/>
        <v>2901150</v>
      </c>
      <c r="G14" s="234"/>
      <c r="H14" s="234"/>
      <c r="I14" s="234"/>
      <c r="J14" s="234"/>
      <c r="K14" s="1261">
        <v>41487</v>
      </c>
      <c r="L14" s="734">
        <f t="shared" si="0"/>
        <v>94991.400000000009</v>
      </c>
      <c r="M14" s="734">
        <f t="shared" si="1"/>
        <v>94991.400000000009</v>
      </c>
      <c r="N14" s="734">
        <f t="shared" si="2"/>
        <v>201856.72500000001</v>
      </c>
      <c r="O14" s="734">
        <f t="shared" si="3"/>
        <v>284974.2</v>
      </c>
      <c r="P14" s="736">
        <f t="shared" si="7"/>
        <v>296848.125</v>
      </c>
      <c r="Q14" s="736">
        <f t="shared" si="7"/>
        <v>379965.60000000003</v>
      </c>
    </row>
    <row r="15" spans="2:17" ht="13.5">
      <c r="B15" s="233" t="s">
        <v>31</v>
      </c>
      <c r="C15" s="353">
        <f t="shared" si="4"/>
        <v>2374785</v>
      </c>
      <c r="D15" s="232">
        <v>75.62</v>
      </c>
      <c r="E15" s="233">
        <f t="shared" si="5"/>
        <v>1.2179317640835756</v>
      </c>
      <c r="F15" s="231">
        <f t="shared" si="6"/>
        <v>2892326</v>
      </c>
      <c r="G15" s="234"/>
      <c r="H15" s="234"/>
      <c r="I15" s="234"/>
      <c r="J15" s="234"/>
      <c r="K15" s="1261">
        <v>41518</v>
      </c>
      <c r="L15" s="734">
        <f t="shared" si="0"/>
        <v>94991.400000000009</v>
      </c>
      <c r="M15" s="734">
        <f t="shared" si="1"/>
        <v>94991.400000000009</v>
      </c>
      <c r="N15" s="734">
        <f t="shared" si="2"/>
        <v>201856.72500000001</v>
      </c>
      <c r="O15" s="734">
        <f t="shared" si="3"/>
        <v>284974.2</v>
      </c>
      <c r="P15" s="736">
        <f t="shared" si="7"/>
        <v>296848.125</v>
      </c>
      <c r="Q15" s="736">
        <f t="shared" si="7"/>
        <v>379965.60000000003</v>
      </c>
    </row>
    <row r="16" spans="2:17" ht="13.5">
      <c r="B16" s="233" t="s">
        <v>33</v>
      </c>
      <c r="C16" s="353">
        <f t="shared" si="4"/>
        <v>2374785</v>
      </c>
      <c r="D16" s="232">
        <v>75.77</v>
      </c>
      <c r="E16" s="233">
        <f t="shared" si="5"/>
        <v>1.2155206546126436</v>
      </c>
      <c r="F16" s="231">
        <f t="shared" si="6"/>
        <v>2886600</v>
      </c>
      <c r="G16" s="234"/>
      <c r="H16" s="234"/>
      <c r="I16" s="234"/>
      <c r="J16" s="234"/>
      <c r="K16" s="1261">
        <v>41548</v>
      </c>
      <c r="L16" s="734">
        <f t="shared" si="0"/>
        <v>94991.400000000009</v>
      </c>
      <c r="M16" s="734">
        <f t="shared" si="1"/>
        <v>94991.400000000009</v>
      </c>
      <c r="N16" s="734">
        <f t="shared" si="2"/>
        <v>201856.72500000001</v>
      </c>
      <c r="O16" s="734">
        <f t="shared" si="3"/>
        <v>284974.2</v>
      </c>
      <c r="P16" s="736">
        <f t="shared" si="7"/>
        <v>296848.125</v>
      </c>
      <c r="Q16" s="736">
        <f t="shared" si="7"/>
        <v>379965.60000000003</v>
      </c>
    </row>
    <row r="17" spans="2:17" ht="13.5">
      <c r="B17" s="233" t="s">
        <v>34</v>
      </c>
      <c r="C17" s="353">
        <f t="shared" si="4"/>
        <v>2374785</v>
      </c>
      <c r="D17" s="232">
        <v>75.87</v>
      </c>
      <c r="E17" s="233">
        <f t="shared" si="5"/>
        <v>1.2139185448793988</v>
      </c>
      <c r="F17" s="231">
        <f t="shared" si="6"/>
        <v>2882795</v>
      </c>
      <c r="G17" s="234"/>
      <c r="H17" s="234"/>
      <c r="I17" s="234"/>
      <c r="J17" s="234"/>
      <c r="K17" s="1261">
        <v>41579</v>
      </c>
      <c r="L17" s="734">
        <f t="shared" si="0"/>
        <v>94991.400000000009</v>
      </c>
      <c r="M17" s="734">
        <f t="shared" si="1"/>
        <v>94991.400000000009</v>
      </c>
      <c r="N17" s="734">
        <f t="shared" si="2"/>
        <v>201856.72500000001</v>
      </c>
      <c r="O17" s="734">
        <f t="shared" si="3"/>
        <v>284974.2</v>
      </c>
      <c r="P17" s="736">
        <f t="shared" si="7"/>
        <v>296848.125</v>
      </c>
      <c r="Q17" s="736">
        <f t="shared" si="7"/>
        <v>379965.60000000003</v>
      </c>
    </row>
    <row r="18" spans="2:17" ht="13.5">
      <c r="B18" s="233" t="s">
        <v>35</v>
      </c>
      <c r="C18" s="353">
        <f t="shared" si="4"/>
        <v>2374785</v>
      </c>
      <c r="D18" s="232">
        <v>76.19</v>
      </c>
      <c r="E18" s="233">
        <f t="shared" si="5"/>
        <v>1.2088200551253445</v>
      </c>
      <c r="F18" s="231">
        <f t="shared" si="6"/>
        <v>2870687</v>
      </c>
      <c r="G18" s="234"/>
      <c r="H18" s="234"/>
      <c r="I18" s="234"/>
      <c r="J18" s="234"/>
      <c r="K18" s="1261">
        <v>41609</v>
      </c>
      <c r="L18" s="734">
        <f t="shared" si="0"/>
        <v>94991.400000000009</v>
      </c>
      <c r="M18" s="734">
        <f t="shared" si="1"/>
        <v>94991.400000000009</v>
      </c>
      <c r="N18" s="734">
        <f t="shared" si="2"/>
        <v>201856.72500000001</v>
      </c>
      <c r="O18" s="734">
        <f t="shared" si="3"/>
        <v>284974.2</v>
      </c>
      <c r="P18" s="736">
        <f>SUM(L18+N18)</f>
        <v>296848.125</v>
      </c>
      <c r="Q18" s="736">
        <f t="shared" si="7"/>
        <v>379965.60000000003</v>
      </c>
    </row>
    <row r="19" spans="2:17" ht="13.5">
      <c r="B19" s="233" t="s">
        <v>101</v>
      </c>
      <c r="C19" s="231">
        <v>799207</v>
      </c>
      <c r="D19" s="232">
        <f>+D13</f>
        <v>75.42</v>
      </c>
      <c r="E19" s="233">
        <f t="shared" si="5"/>
        <v>1.2211614956245027</v>
      </c>
      <c r="F19" s="231">
        <f t="shared" si="6"/>
        <v>975960</v>
      </c>
      <c r="G19" s="234"/>
      <c r="H19" s="234"/>
      <c r="I19" s="234"/>
      <c r="J19" s="234"/>
      <c r="K19" s="216"/>
      <c r="L19" s="1036"/>
      <c r="M19" s="736"/>
      <c r="N19" s="736"/>
      <c r="O19" s="736"/>
      <c r="P19" s="736"/>
      <c r="Q19" s="736"/>
    </row>
    <row r="20" spans="2:17" ht="13.5">
      <c r="B20" s="233" t="s">
        <v>102</v>
      </c>
      <c r="C20" s="231">
        <v>1223985</v>
      </c>
      <c r="D20" s="232">
        <f>+D18</f>
        <v>76.19</v>
      </c>
      <c r="E20" s="233">
        <f t="shared" si="5"/>
        <v>1.2088200551253445</v>
      </c>
      <c r="F20" s="231">
        <f t="shared" si="6"/>
        <v>1479577</v>
      </c>
      <c r="G20" s="234"/>
      <c r="H20" s="234"/>
      <c r="I20" s="234"/>
      <c r="J20" s="234"/>
      <c r="K20" s="216"/>
      <c r="L20" s="1036"/>
      <c r="M20" s="736"/>
      <c r="N20" s="736"/>
      <c r="O20" s="736"/>
      <c r="P20" s="736"/>
      <c r="Q20" s="736"/>
    </row>
    <row r="21" spans="2:17" ht="13.5">
      <c r="B21" s="233" t="s">
        <v>103</v>
      </c>
      <c r="C21" s="231">
        <v>37212</v>
      </c>
      <c r="D21" s="232">
        <f>+D13</f>
        <v>75.42</v>
      </c>
      <c r="E21" s="233">
        <f t="shared" si="5"/>
        <v>1.2211614956245027</v>
      </c>
      <c r="F21" s="231">
        <f t="shared" si="6"/>
        <v>45441</v>
      </c>
      <c r="G21" s="234"/>
      <c r="H21" s="234"/>
      <c r="I21" s="234"/>
      <c r="J21" s="234"/>
      <c r="K21" s="216"/>
      <c r="L21" s="1036"/>
      <c r="M21" s="736"/>
      <c r="N21" s="736"/>
      <c r="O21" s="736"/>
      <c r="P21" s="736"/>
      <c r="Q21" s="736"/>
    </row>
    <row r="22" spans="2:17" ht="13.5">
      <c r="B22" s="233" t="s">
        <v>188</v>
      </c>
      <c r="C22" s="231">
        <v>152230</v>
      </c>
      <c r="D22" s="232">
        <f>+D13</f>
        <v>75.42</v>
      </c>
      <c r="E22" s="233">
        <f t="shared" si="5"/>
        <v>1.2211614956245027</v>
      </c>
      <c r="F22" s="231">
        <f t="shared" si="6"/>
        <v>185897</v>
      </c>
      <c r="G22" s="234"/>
      <c r="H22" s="234"/>
      <c r="I22" s="234"/>
      <c r="J22" s="234"/>
      <c r="K22" s="216"/>
      <c r="L22" s="1036"/>
      <c r="M22" s="736"/>
      <c r="N22" s="736"/>
      <c r="O22" s="736"/>
      <c r="P22" s="736"/>
      <c r="Q22" s="736"/>
    </row>
    <row r="23" spans="2:17" ht="13.5">
      <c r="B23" s="233" t="s">
        <v>104</v>
      </c>
      <c r="C23" s="231">
        <v>1121646</v>
      </c>
      <c r="D23" s="232">
        <f>+D18</f>
        <v>76.19</v>
      </c>
      <c r="E23" s="233">
        <f>$D$9/D23</f>
        <v>1.2088200551253445</v>
      </c>
      <c r="F23" s="231">
        <f t="shared" si="6"/>
        <v>1355868</v>
      </c>
      <c r="G23" s="234"/>
      <c r="H23" s="234"/>
      <c r="I23" s="234"/>
      <c r="J23" s="234"/>
      <c r="K23" s="216"/>
      <c r="L23" s="1036"/>
      <c r="M23" s="736"/>
      <c r="N23" s="736"/>
      <c r="O23" s="736"/>
      <c r="P23" s="736"/>
      <c r="Q23" s="736"/>
    </row>
    <row r="24" spans="2:17" ht="13.5">
      <c r="B24" s="233" t="s">
        <v>95</v>
      </c>
      <c r="C24" s="231">
        <v>1274984</v>
      </c>
      <c r="D24" s="232">
        <f>+D18</f>
        <v>76.19</v>
      </c>
      <c r="E24" s="233">
        <f>$D$9/D24</f>
        <v>1.2088200551253445</v>
      </c>
      <c r="F24" s="231">
        <f t="shared" si="6"/>
        <v>1541226</v>
      </c>
      <c r="G24" s="234"/>
      <c r="H24" s="234"/>
      <c r="I24" s="234"/>
      <c r="J24" s="234"/>
      <c r="K24" s="216"/>
      <c r="L24" s="1036"/>
      <c r="M24" s="736"/>
      <c r="N24" s="736"/>
      <c r="O24" s="736"/>
      <c r="P24" s="736"/>
      <c r="Q24" s="736"/>
    </row>
    <row r="25" spans="2:17" ht="13.5">
      <c r="B25" s="233" t="s">
        <v>189</v>
      </c>
      <c r="C25" s="231"/>
      <c r="E25" s="233"/>
      <c r="F25" s="231"/>
      <c r="G25" s="234"/>
      <c r="H25" s="234"/>
      <c r="I25" s="234"/>
      <c r="J25" s="234"/>
      <c r="K25" s="216"/>
      <c r="L25" s="1036"/>
      <c r="M25" s="736"/>
      <c r="N25" s="736"/>
      <c r="O25" s="736"/>
      <c r="P25" s="736"/>
      <c r="Q25" s="736"/>
    </row>
    <row r="26" spans="2:17" ht="13.5">
      <c r="B26" s="233" t="s">
        <v>96</v>
      </c>
      <c r="C26" s="231"/>
      <c r="D26" s="232"/>
      <c r="E26" s="233"/>
      <c r="F26" s="231">
        <f>SUM(F12:F24)</f>
        <v>25531331</v>
      </c>
      <c r="G26" s="234"/>
      <c r="H26" s="234"/>
      <c r="I26" s="234"/>
      <c r="J26" s="234"/>
      <c r="K26" s="734" t="s">
        <v>190</v>
      </c>
      <c r="L26" s="1036">
        <f t="shared" ref="L26:Q26" si="8">SUM(L12:L25)</f>
        <v>655440.66</v>
      </c>
      <c r="M26" s="1036">
        <f t="shared" si="8"/>
        <v>655440.66</v>
      </c>
      <c r="N26" s="1036">
        <f t="shared" si="8"/>
        <v>1392811.4025000001</v>
      </c>
      <c r="O26" s="1036">
        <f t="shared" si="8"/>
        <v>1966321.9799999997</v>
      </c>
      <c r="P26" s="1036">
        <f t="shared" si="8"/>
        <v>2048252.0625</v>
      </c>
      <c r="Q26" s="1036">
        <f t="shared" si="8"/>
        <v>2621762.64</v>
      </c>
    </row>
    <row r="27" spans="2:17">
      <c r="B27" s="233" t="s">
        <v>98</v>
      </c>
      <c r="C27" s="231"/>
      <c r="D27" s="232"/>
      <c r="E27" s="233"/>
      <c r="F27" s="231">
        <f>SUM(L26+M26)</f>
        <v>1310881.32</v>
      </c>
      <c r="G27" s="234"/>
      <c r="H27" s="234"/>
      <c r="I27" s="234"/>
      <c r="J27" s="234"/>
    </row>
    <row r="28" spans="2:17">
      <c r="B28" s="233" t="s">
        <v>99</v>
      </c>
      <c r="C28" s="231"/>
      <c r="D28" s="232"/>
      <c r="E28" s="233"/>
      <c r="F28" s="231">
        <f>(F26-F27)</f>
        <v>24220449.68</v>
      </c>
      <c r="G28" s="234"/>
      <c r="H28" s="234"/>
      <c r="I28" s="234"/>
      <c r="J28" s="234"/>
      <c r="K28" s="235"/>
      <c r="L28" s="235"/>
      <c r="M28" s="235"/>
      <c r="N28" s="235"/>
      <c r="O28" s="235"/>
      <c r="P28" s="235"/>
    </row>
    <row r="30" spans="2:17">
      <c r="B30" s="2564" t="str">
        <f>+B9</f>
        <v>Ipc Fecha Ejecutoria 24 mayo 2016</v>
      </c>
      <c r="C30" s="2565"/>
      <c r="D30" s="227">
        <v>92.1</v>
      </c>
      <c r="F30" s="348"/>
      <c r="K30" s="2566" t="s">
        <v>184</v>
      </c>
      <c r="L30" s="2567"/>
      <c r="M30" s="2567"/>
      <c r="N30" s="2567"/>
      <c r="O30" s="2567"/>
      <c r="P30" s="2567"/>
      <c r="Q30" s="2568"/>
    </row>
    <row r="31" spans="2:17" ht="13.5">
      <c r="B31" s="228" t="s">
        <v>11</v>
      </c>
      <c r="C31" s="351" t="s">
        <v>114</v>
      </c>
      <c r="D31" s="228" t="s">
        <v>76</v>
      </c>
      <c r="E31" s="228" t="s">
        <v>77</v>
      </c>
      <c r="F31" s="229" t="s">
        <v>57</v>
      </c>
      <c r="G31" s="349"/>
      <c r="H31" s="349"/>
      <c r="I31" s="349"/>
      <c r="J31" s="349"/>
      <c r="K31" s="734" t="s">
        <v>185</v>
      </c>
      <c r="L31" s="229" t="s">
        <v>78</v>
      </c>
      <c r="M31" s="229" t="s">
        <v>79</v>
      </c>
      <c r="N31" s="229" t="s">
        <v>186</v>
      </c>
      <c r="O31" s="229" t="s">
        <v>187</v>
      </c>
      <c r="P31" s="229" t="s">
        <v>82</v>
      </c>
      <c r="Q31" s="229" t="s">
        <v>83</v>
      </c>
    </row>
    <row r="32" spans="2:17">
      <c r="B32" s="216"/>
      <c r="C32" s="353">
        <v>2493524</v>
      </c>
      <c r="D32" s="216"/>
      <c r="E32" s="216"/>
      <c r="F32" s="230"/>
      <c r="K32" s="216"/>
      <c r="L32" s="229"/>
      <c r="M32" s="229"/>
      <c r="N32" s="229"/>
      <c r="O32" s="229"/>
      <c r="P32" s="229"/>
      <c r="Q32" s="229"/>
    </row>
    <row r="33" spans="2:17">
      <c r="B33" s="233" t="s">
        <v>191</v>
      </c>
      <c r="C33" s="353">
        <v>2493524</v>
      </c>
      <c r="D33" s="232">
        <v>76.75</v>
      </c>
      <c r="E33" s="233">
        <f t="shared" ref="E33:E38" si="9">$D$30/D33</f>
        <v>1.2</v>
      </c>
      <c r="F33" s="231">
        <f t="shared" ref="F33:F38" si="10">INT(C33*E33)</f>
        <v>2992228</v>
      </c>
      <c r="K33" s="1261">
        <v>40909</v>
      </c>
      <c r="L33" s="229">
        <f t="shared" ref="L33:L38" si="11">+C33*0.04</f>
        <v>99740.96</v>
      </c>
      <c r="M33" s="229">
        <f t="shared" ref="M33:M38" si="12">+C33*0.04</f>
        <v>99740.96</v>
      </c>
      <c r="N33" s="229">
        <f t="shared" ref="N33:N38" si="13">+C33*0.085</f>
        <v>211949.54</v>
      </c>
      <c r="O33" s="229">
        <f t="shared" ref="O33:O38" si="14">+C33*0.12</f>
        <v>299222.88</v>
      </c>
      <c r="P33" s="353">
        <f>SUM(L33+N33)</f>
        <v>311690.5</v>
      </c>
      <c r="Q33" s="353">
        <f>SUM(M33+O33)</f>
        <v>398963.84</v>
      </c>
    </row>
    <row r="34" spans="2:17">
      <c r="B34" s="233" t="s">
        <v>17</v>
      </c>
      <c r="C34" s="353">
        <v>2493524</v>
      </c>
      <c r="D34" s="232">
        <v>77.22</v>
      </c>
      <c r="E34" s="233">
        <f t="shared" si="9"/>
        <v>1.1926961926961925</v>
      </c>
      <c r="F34" s="231">
        <f t="shared" si="10"/>
        <v>2974016</v>
      </c>
      <c r="K34" s="1261">
        <v>40940</v>
      </c>
      <c r="L34" s="229">
        <f t="shared" si="11"/>
        <v>99740.96</v>
      </c>
      <c r="M34" s="229">
        <f t="shared" si="12"/>
        <v>99740.96</v>
      </c>
      <c r="N34" s="229">
        <f t="shared" si="13"/>
        <v>211949.54</v>
      </c>
      <c r="O34" s="229">
        <f t="shared" si="14"/>
        <v>299222.88</v>
      </c>
      <c r="P34" s="353">
        <f t="shared" ref="P34:Q38" si="15">SUM(L34+N34)</f>
        <v>311690.5</v>
      </c>
      <c r="Q34" s="353">
        <f t="shared" si="15"/>
        <v>398963.84</v>
      </c>
    </row>
    <row r="35" spans="2:17">
      <c r="B35" s="233" t="s">
        <v>19</v>
      </c>
      <c r="C35" s="353">
        <v>2493524</v>
      </c>
      <c r="D35" s="232">
        <v>77.31</v>
      </c>
      <c r="E35" s="233">
        <f t="shared" si="9"/>
        <v>1.1913077221575474</v>
      </c>
      <c r="F35" s="231">
        <f t="shared" si="10"/>
        <v>2970554</v>
      </c>
      <c r="K35" s="1261">
        <v>40969</v>
      </c>
      <c r="L35" s="229">
        <f t="shared" si="11"/>
        <v>99740.96</v>
      </c>
      <c r="M35" s="229">
        <f t="shared" si="12"/>
        <v>99740.96</v>
      </c>
      <c r="N35" s="229">
        <f t="shared" si="13"/>
        <v>211949.54</v>
      </c>
      <c r="O35" s="229">
        <f t="shared" si="14"/>
        <v>299222.88</v>
      </c>
      <c r="P35" s="353">
        <f t="shared" si="15"/>
        <v>311690.5</v>
      </c>
      <c r="Q35" s="353">
        <f t="shared" si="15"/>
        <v>398963.84</v>
      </c>
    </row>
    <row r="36" spans="2:17">
      <c r="B36" s="233" t="s">
        <v>21</v>
      </c>
      <c r="C36" s="353">
        <v>2493524</v>
      </c>
      <c r="D36" s="232">
        <v>77.42</v>
      </c>
      <c r="E36" s="233">
        <f t="shared" si="9"/>
        <v>1.1896150865409454</v>
      </c>
      <c r="F36" s="231">
        <f t="shared" si="10"/>
        <v>2966333</v>
      </c>
      <c r="K36" s="1261">
        <v>41000</v>
      </c>
      <c r="L36" s="229">
        <f t="shared" si="11"/>
        <v>99740.96</v>
      </c>
      <c r="M36" s="229">
        <f t="shared" si="12"/>
        <v>99740.96</v>
      </c>
      <c r="N36" s="229">
        <f t="shared" si="13"/>
        <v>211949.54</v>
      </c>
      <c r="O36" s="229">
        <f t="shared" si="14"/>
        <v>299222.88</v>
      </c>
      <c r="P36" s="353">
        <f t="shared" si="15"/>
        <v>311690.5</v>
      </c>
      <c r="Q36" s="353">
        <f t="shared" si="15"/>
        <v>398963.84</v>
      </c>
    </row>
    <row r="37" spans="2:17">
      <c r="B37" s="233" t="s">
        <v>23</v>
      </c>
      <c r="C37" s="353">
        <v>2493524</v>
      </c>
      <c r="D37" s="232">
        <v>77.66</v>
      </c>
      <c r="E37" s="233">
        <f t="shared" si="9"/>
        <v>1.1859387071851661</v>
      </c>
      <c r="F37" s="231">
        <f t="shared" si="10"/>
        <v>2957166</v>
      </c>
      <c r="K37" s="1261">
        <v>41030</v>
      </c>
      <c r="L37" s="229">
        <f t="shared" si="11"/>
        <v>99740.96</v>
      </c>
      <c r="M37" s="229">
        <f t="shared" si="12"/>
        <v>99740.96</v>
      </c>
      <c r="N37" s="229">
        <f t="shared" si="13"/>
        <v>211949.54</v>
      </c>
      <c r="O37" s="229">
        <f t="shared" si="14"/>
        <v>299222.88</v>
      </c>
      <c r="P37" s="353">
        <f t="shared" si="15"/>
        <v>311690.5</v>
      </c>
      <c r="Q37" s="353">
        <f t="shared" si="15"/>
        <v>398963.84</v>
      </c>
    </row>
    <row r="38" spans="2:17">
      <c r="B38" s="233" t="s">
        <v>25</v>
      </c>
      <c r="C38" s="353">
        <f>+(C32/30)*13</f>
        <v>1080527.0666666667</v>
      </c>
      <c r="D38" s="232">
        <v>77.72</v>
      </c>
      <c r="E38" s="233">
        <f t="shared" si="9"/>
        <v>1.18502316006176</v>
      </c>
      <c r="F38" s="231">
        <f t="shared" si="10"/>
        <v>1280449</v>
      </c>
      <c r="K38" s="1261">
        <v>41061</v>
      </c>
      <c r="L38" s="229">
        <f t="shared" si="11"/>
        <v>43221.082666666669</v>
      </c>
      <c r="M38" s="229">
        <f t="shared" si="12"/>
        <v>43221.082666666669</v>
      </c>
      <c r="N38" s="229">
        <f t="shared" si="13"/>
        <v>91844.800666666677</v>
      </c>
      <c r="O38" s="229">
        <f t="shared" si="14"/>
        <v>129663.24799999999</v>
      </c>
      <c r="P38" s="353">
        <f t="shared" si="15"/>
        <v>135065.88333333336</v>
      </c>
      <c r="Q38" s="353">
        <f t="shared" si="15"/>
        <v>172884.33066666668</v>
      </c>
    </row>
    <row r="39" spans="2:17">
      <c r="B39" s="233" t="s">
        <v>101</v>
      </c>
      <c r="C39" s="231"/>
      <c r="D39" s="232"/>
      <c r="E39" s="233"/>
      <c r="F39" s="231"/>
      <c r="G39" s="234"/>
      <c r="H39" s="234"/>
      <c r="I39" s="234"/>
      <c r="J39" s="234"/>
      <c r="K39" s="1261"/>
      <c r="L39" s="231"/>
      <c r="M39" s="353"/>
      <c r="N39" s="353"/>
      <c r="O39" s="353"/>
      <c r="P39" s="353"/>
      <c r="Q39" s="353"/>
    </row>
    <row r="40" spans="2:17">
      <c r="B40" s="233" t="s">
        <v>102</v>
      </c>
      <c r="C40" s="231"/>
      <c r="D40" s="232"/>
      <c r="E40" s="233"/>
      <c r="F40" s="231"/>
      <c r="G40" s="234"/>
      <c r="H40" s="234"/>
      <c r="I40" s="234"/>
      <c r="J40" s="234"/>
      <c r="K40" s="1261"/>
      <c r="L40" s="231"/>
      <c r="M40" s="353"/>
      <c r="N40" s="353"/>
      <c r="O40" s="353"/>
      <c r="P40" s="353"/>
      <c r="Q40" s="353"/>
    </row>
    <row r="41" spans="2:17">
      <c r="B41" s="233" t="s">
        <v>103</v>
      </c>
      <c r="C41" s="231"/>
      <c r="D41" s="232"/>
      <c r="E41" s="233"/>
      <c r="F41" s="231"/>
      <c r="G41" s="234"/>
      <c r="H41" s="234"/>
      <c r="I41" s="234"/>
      <c r="J41" s="234"/>
      <c r="K41" s="1261"/>
      <c r="L41" s="231"/>
      <c r="M41" s="353"/>
      <c r="N41" s="353"/>
      <c r="O41" s="353"/>
      <c r="P41" s="353"/>
      <c r="Q41" s="353"/>
    </row>
    <row r="42" spans="2:17">
      <c r="B42" s="233" t="s">
        <v>188</v>
      </c>
      <c r="C42" s="231"/>
      <c r="D42" s="232"/>
      <c r="E42" s="233"/>
      <c r="F42" s="231"/>
      <c r="G42" s="234"/>
      <c r="H42" s="234"/>
      <c r="I42" s="234"/>
      <c r="J42" s="234"/>
      <c r="K42" s="1261"/>
      <c r="L42" s="231"/>
      <c r="M42" s="353"/>
      <c r="N42" s="353"/>
      <c r="O42" s="353"/>
      <c r="P42" s="353"/>
      <c r="Q42" s="353"/>
    </row>
    <row r="43" spans="2:17">
      <c r="B43" s="233" t="s">
        <v>104</v>
      </c>
      <c r="C43" s="231"/>
      <c r="D43" s="232"/>
      <c r="E43" s="233"/>
      <c r="F43" s="231"/>
      <c r="G43" s="234"/>
      <c r="H43" s="234"/>
      <c r="I43" s="234"/>
      <c r="J43" s="234"/>
      <c r="K43" s="1261"/>
      <c r="L43" s="231"/>
      <c r="M43" s="353"/>
      <c r="N43" s="353"/>
      <c r="O43" s="353"/>
      <c r="P43" s="353"/>
      <c r="Q43" s="353"/>
    </row>
    <row r="44" spans="2:17">
      <c r="B44" s="233" t="s">
        <v>95</v>
      </c>
      <c r="C44" s="231"/>
      <c r="D44" s="232"/>
      <c r="E44" s="233"/>
      <c r="F44" s="231"/>
      <c r="G44" s="234"/>
      <c r="H44" s="234"/>
      <c r="I44" s="234"/>
      <c r="J44" s="234"/>
      <c r="K44" s="1261"/>
      <c r="L44" s="231"/>
      <c r="M44" s="353"/>
      <c r="N44" s="353"/>
      <c r="O44" s="353"/>
      <c r="P44" s="353"/>
      <c r="Q44" s="353"/>
    </row>
    <row r="45" spans="2:17">
      <c r="B45" s="233" t="s">
        <v>189</v>
      </c>
      <c r="C45" s="231"/>
      <c r="E45" s="233"/>
      <c r="F45" s="231"/>
      <c r="G45" s="234"/>
      <c r="H45" s="234"/>
      <c r="I45" s="234"/>
      <c r="J45" s="234"/>
      <c r="K45" s="216"/>
      <c r="L45" s="231"/>
      <c r="M45" s="353"/>
      <c r="N45" s="353"/>
      <c r="O45" s="353"/>
      <c r="P45" s="353"/>
      <c r="Q45" s="353"/>
    </row>
    <row r="46" spans="2:17" ht="13.5">
      <c r="B46" s="233" t="s">
        <v>96</v>
      </c>
      <c r="C46" s="231"/>
      <c r="D46" s="232"/>
      <c r="E46" s="233"/>
      <c r="F46" s="231">
        <f>SUM(F33:F45)</f>
        <v>16140746</v>
      </c>
      <c r="G46" s="234"/>
      <c r="H46" s="234"/>
      <c r="I46" s="234"/>
      <c r="J46" s="234"/>
      <c r="K46" s="734" t="s">
        <v>190</v>
      </c>
      <c r="L46" s="231">
        <f>SUM(L33:L45)</f>
        <v>541925.88266666676</v>
      </c>
      <c r="M46" s="231">
        <f>SUM(M33:M45)</f>
        <v>541925.88266666676</v>
      </c>
      <c r="N46" s="231">
        <f>SUM(N33:N45)</f>
        <v>1151592.5006666665</v>
      </c>
      <c r="O46" s="231">
        <f>SUM(O33:O45)</f>
        <v>1625777.6479999998</v>
      </c>
      <c r="P46" s="231">
        <f>SUM(P38:P45)</f>
        <v>135065.88333333336</v>
      </c>
      <c r="Q46" s="231">
        <f>SUM(Q38:Q45)</f>
        <v>172884.33066666668</v>
      </c>
    </row>
    <row r="47" spans="2:17">
      <c r="B47" s="233" t="s">
        <v>98</v>
      </c>
      <c r="C47" s="231"/>
      <c r="D47" s="232"/>
      <c r="E47" s="233"/>
      <c r="F47" s="231">
        <f>SUM(L46+M46)</f>
        <v>1083851.7653333335</v>
      </c>
      <c r="G47" s="234"/>
      <c r="H47" s="234"/>
      <c r="I47" s="234"/>
      <c r="J47" s="234"/>
    </row>
    <row r="48" spans="2:17">
      <c r="B48" s="233" t="s">
        <v>99</v>
      </c>
      <c r="C48" s="231"/>
      <c r="D48" s="232"/>
      <c r="E48" s="233"/>
      <c r="F48" s="231">
        <f>(F46-F47)</f>
        <v>15056894.234666666</v>
      </c>
      <c r="G48" s="234"/>
      <c r="H48" s="234"/>
      <c r="I48" s="234"/>
      <c r="J48" s="234"/>
      <c r="K48" s="235"/>
      <c r="L48" s="235"/>
      <c r="M48" s="235"/>
      <c r="N48" s="235"/>
      <c r="O48" s="235"/>
      <c r="P48" s="235"/>
    </row>
    <row r="49" spans="1:19">
      <c r="F49" s="348"/>
    </row>
    <row r="51" spans="1:19">
      <c r="B51" s="354" t="s">
        <v>192</v>
      </c>
      <c r="C51" s="356"/>
      <c r="D51" s="354"/>
      <c r="E51" s="354"/>
      <c r="F51" s="356">
        <f>+F26+F46</f>
        <v>41672077</v>
      </c>
    </row>
    <row r="52" spans="1:19">
      <c r="B52" s="354" t="s">
        <v>193</v>
      </c>
      <c r="C52" s="356"/>
      <c r="D52" s="354"/>
      <c r="E52" s="354"/>
      <c r="F52" s="356">
        <f>+F27+F47</f>
        <v>2394733.0853333334</v>
      </c>
    </row>
    <row r="53" spans="1:19">
      <c r="B53" s="354" t="s">
        <v>194</v>
      </c>
      <c r="C53" s="356"/>
      <c r="D53" s="354"/>
      <c r="E53" s="354"/>
      <c r="F53" s="1791">
        <f>+F51-F52+Q135+Q145</f>
        <v>42304361.084849142</v>
      </c>
    </row>
    <row r="54" spans="1:19">
      <c r="B54" s="354" t="s">
        <v>195</v>
      </c>
      <c r="C54" s="354"/>
      <c r="D54" s="354"/>
      <c r="E54" s="354"/>
      <c r="F54" s="1791"/>
      <c r="P54" s="348"/>
    </row>
    <row r="55" spans="1:19" ht="15">
      <c r="B55" s="354" t="s">
        <v>196</v>
      </c>
      <c r="C55" s="354"/>
      <c r="D55" s="354"/>
      <c r="E55" s="354"/>
      <c r="F55" s="356">
        <f>+F53+F54</f>
        <v>42304361.084849142</v>
      </c>
      <c r="N55" s="1262"/>
      <c r="O55" s="1262"/>
      <c r="P55" s="348"/>
    </row>
    <row r="56" spans="1:19" ht="30.75" thickBot="1">
      <c r="B56" s="1262"/>
      <c r="C56" s="1262" t="s">
        <v>197</v>
      </c>
      <c r="D56" s="1262"/>
      <c r="M56" s="1445" t="s">
        <v>198</v>
      </c>
      <c r="N56" s="1263">
        <f>+F55</f>
        <v>42304361.084849142</v>
      </c>
    </row>
    <row r="57" spans="1:19" ht="52.5" customHeight="1" thickBot="1">
      <c r="B57" s="630" t="s">
        <v>199</v>
      </c>
      <c r="C57" s="357" t="s">
        <v>200</v>
      </c>
      <c r="D57" s="357" t="s">
        <v>201</v>
      </c>
      <c r="E57" s="357" t="s">
        <v>202</v>
      </c>
      <c r="F57" s="358" t="s">
        <v>203</v>
      </c>
      <c r="G57" s="359" t="s">
        <v>204</v>
      </c>
      <c r="H57" s="359"/>
      <c r="I57" s="359" t="s">
        <v>205</v>
      </c>
      <c r="J57" s="359"/>
      <c r="M57" s="1138" t="s">
        <v>206</v>
      </c>
      <c r="N57" s="1139" t="s">
        <v>10</v>
      </c>
      <c r="O57" s="1128" t="s">
        <v>201</v>
      </c>
      <c r="P57" s="1128" t="s">
        <v>202</v>
      </c>
      <c r="Q57" s="1140" t="s">
        <v>86</v>
      </c>
      <c r="R57" s="1139" t="s">
        <v>204</v>
      </c>
      <c r="S57" s="1139" t="s">
        <v>205</v>
      </c>
    </row>
    <row r="58" spans="1:19" ht="13.5">
      <c r="A58" s="216">
        <v>1</v>
      </c>
      <c r="B58" s="237">
        <v>42514</v>
      </c>
      <c r="C58" s="243">
        <v>42521</v>
      </c>
      <c r="D58" s="360">
        <v>0.2054</v>
      </c>
      <c r="E58" s="239">
        <f>+F53</f>
        <v>42304361.084849142</v>
      </c>
      <c r="F58" s="240">
        <f>_xlfn.DAYS(C58,B58)+1</f>
        <v>8</v>
      </c>
      <c r="G58" s="241">
        <f>((1+D58)^(1/365))-1</f>
        <v>5.1194322306513662E-4</v>
      </c>
      <c r="H58" s="241"/>
      <c r="I58" s="242">
        <f t="shared" ref="I58:I121" si="16">E58*(((1+G58)^F58)-1)</f>
        <v>173570.21227367164</v>
      </c>
      <c r="J58" s="241"/>
      <c r="M58" s="800">
        <v>42515</v>
      </c>
      <c r="N58" s="1073">
        <v>42521</v>
      </c>
      <c r="O58" s="1129">
        <v>0.2054</v>
      </c>
      <c r="P58" s="1130">
        <f t="shared" ref="P58:P121" si="17">+$N$56</f>
        <v>42304361.084849142</v>
      </c>
      <c r="Q58" s="1131">
        <f>_xlfn.DAYS(N58,M58)+1</f>
        <v>7</v>
      </c>
      <c r="R58" s="909">
        <f>((1+O58)^(1/365))-1</f>
        <v>5.1194322306513662E-4</v>
      </c>
      <c r="S58" s="812">
        <f>+P58*Q58*R58</f>
        <v>151602.01674442308</v>
      </c>
    </row>
    <row r="59" spans="1:19" ht="13.5">
      <c r="A59" s="216">
        <v>2</v>
      </c>
      <c r="B59" s="237">
        <v>42522</v>
      </c>
      <c r="C59" s="237">
        <v>42551</v>
      </c>
      <c r="D59" s="360">
        <v>0.2054</v>
      </c>
      <c r="E59" s="239">
        <f t="shared" ref="E59:E122" si="18">+E58+I58</f>
        <v>42477931.297122814</v>
      </c>
      <c r="F59" s="240">
        <f t="shared" ref="F59:F122" si="19">_xlfn.DAYS(C59,B59)+1</f>
        <v>30</v>
      </c>
      <c r="G59" s="241">
        <f>((1+D59)^(1/365))-1</f>
        <v>5.1194322306513662E-4</v>
      </c>
      <c r="H59" s="241"/>
      <c r="I59" s="242">
        <f t="shared" si="16"/>
        <v>657254.68784959929</v>
      </c>
      <c r="J59" s="241"/>
      <c r="M59" s="800">
        <v>42522</v>
      </c>
      <c r="N59" s="800">
        <v>42551</v>
      </c>
      <c r="O59" s="1129">
        <v>0.2054</v>
      </c>
      <c r="P59" s="1130">
        <f t="shared" si="17"/>
        <v>42304361.084849142</v>
      </c>
      <c r="Q59" s="1131">
        <f t="shared" ref="Q59:Q122" si="20">_xlfn.DAYS(N59,M59)+1</f>
        <v>30</v>
      </c>
      <c r="R59" s="909">
        <f>((1+O59)^(1/365))-1</f>
        <v>5.1194322306513662E-4</v>
      </c>
      <c r="S59" s="812">
        <f t="shared" ref="S59:S121" si="21">+P59*Q59*R59</f>
        <v>649722.92890467029</v>
      </c>
    </row>
    <row r="60" spans="1:19" ht="13.5">
      <c r="A60" s="216">
        <v>3</v>
      </c>
      <c r="B60" s="237">
        <v>42552</v>
      </c>
      <c r="C60" s="237">
        <v>42582</v>
      </c>
      <c r="D60" s="360">
        <v>0.21340000000000001</v>
      </c>
      <c r="E60" s="239">
        <f t="shared" si="18"/>
        <v>43135185.98497241</v>
      </c>
      <c r="F60" s="240">
        <f t="shared" si="19"/>
        <v>31</v>
      </c>
      <c r="G60" s="241">
        <f t="shared" ref="G60:G122" si="22">((1+D60)^(1/365))-1</f>
        <v>5.3007560901296991E-4</v>
      </c>
      <c r="H60" s="241"/>
      <c r="I60" s="242">
        <f t="shared" si="16"/>
        <v>714477.0563361767</v>
      </c>
      <c r="J60" s="241"/>
      <c r="M60" s="800">
        <v>42552</v>
      </c>
      <c r="N60" s="800">
        <v>42582</v>
      </c>
      <c r="O60" s="1129">
        <v>0.21340000000000001</v>
      </c>
      <c r="P60" s="1130">
        <f t="shared" si="17"/>
        <v>42304361.084849142</v>
      </c>
      <c r="Q60" s="1131">
        <f t="shared" si="20"/>
        <v>31</v>
      </c>
      <c r="R60" s="909">
        <f t="shared" ref="R60:R123" si="23">((1+O60)^(1/365))-1</f>
        <v>5.3007560901296991E-4</v>
      </c>
      <c r="S60" s="812">
        <f t="shared" si="21"/>
        <v>695159.80894463579</v>
      </c>
    </row>
    <row r="61" spans="1:19" ht="13.5">
      <c r="A61" s="216">
        <v>4</v>
      </c>
      <c r="B61" s="237">
        <v>42583</v>
      </c>
      <c r="C61" s="237">
        <v>42613</v>
      </c>
      <c r="D61" s="360">
        <v>0.21340000000000001</v>
      </c>
      <c r="E61" s="239">
        <f t="shared" si="18"/>
        <v>43849663.041308589</v>
      </c>
      <c r="F61" s="240">
        <f t="shared" si="19"/>
        <v>31</v>
      </c>
      <c r="G61" s="241">
        <f t="shared" si="22"/>
        <v>5.3007560901296991E-4</v>
      </c>
      <c r="H61" s="241"/>
      <c r="I61" s="242">
        <f t="shared" si="16"/>
        <v>726311.41968420194</v>
      </c>
      <c r="J61" s="241"/>
      <c r="M61" s="800">
        <v>42583</v>
      </c>
      <c r="N61" s="800">
        <v>42613</v>
      </c>
      <c r="O61" s="1129">
        <v>0.21340000000000001</v>
      </c>
      <c r="P61" s="1130">
        <f t="shared" si="17"/>
        <v>42304361.084849142</v>
      </c>
      <c r="Q61" s="1131">
        <f t="shared" si="20"/>
        <v>31</v>
      </c>
      <c r="R61" s="909">
        <f t="shared" si="23"/>
        <v>5.3007560901296991E-4</v>
      </c>
      <c r="S61" s="812">
        <f t="shared" si="21"/>
        <v>695159.80894463579</v>
      </c>
    </row>
    <row r="62" spans="1:19" ht="13.5">
      <c r="A62" s="216">
        <v>5</v>
      </c>
      <c r="B62" s="237">
        <v>42614</v>
      </c>
      <c r="C62" s="237">
        <v>42643</v>
      </c>
      <c r="D62" s="360">
        <v>0.21340000000000001</v>
      </c>
      <c r="E62" s="239">
        <f t="shared" si="18"/>
        <v>44575974.460992791</v>
      </c>
      <c r="F62" s="240">
        <f t="shared" si="19"/>
        <v>30</v>
      </c>
      <c r="G62" s="241">
        <f t="shared" si="22"/>
        <v>5.3007560901296991E-4</v>
      </c>
      <c r="H62" s="241"/>
      <c r="I62" s="242">
        <f t="shared" si="16"/>
        <v>714334.51542761235</v>
      </c>
      <c r="J62" s="241"/>
      <c r="M62" s="800">
        <v>42614</v>
      </c>
      <c r="N62" s="800">
        <v>42643</v>
      </c>
      <c r="O62" s="1129">
        <v>0.21340000000000001</v>
      </c>
      <c r="P62" s="1130">
        <f t="shared" si="17"/>
        <v>42304361.084849142</v>
      </c>
      <c r="Q62" s="1131">
        <f t="shared" si="20"/>
        <v>30</v>
      </c>
      <c r="R62" s="909">
        <f t="shared" si="23"/>
        <v>5.3007560901296991E-4</v>
      </c>
      <c r="S62" s="812">
        <f t="shared" si="21"/>
        <v>672735.29897867981</v>
      </c>
    </row>
    <row r="63" spans="1:19" ht="13.5">
      <c r="A63" s="216">
        <v>6</v>
      </c>
      <c r="B63" s="237">
        <v>42644</v>
      </c>
      <c r="C63" s="237">
        <v>42674</v>
      </c>
      <c r="D63" s="360">
        <v>0.21990000000000001</v>
      </c>
      <c r="E63" s="239">
        <f t="shared" si="18"/>
        <v>45290308.976420403</v>
      </c>
      <c r="F63" s="240">
        <f t="shared" si="19"/>
        <v>31</v>
      </c>
      <c r="G63" s="241">
        <f t="shared" si="22"/>
        <v>5.4472060277621637E-4</v>
      </c>
      <c r="H63" s="241"/>
      <c r="I63" s="242">
        <f t="shared" si="16"/>
        <v>771069.45958320121</v>
      </c>
      <c r="J63" s="241"/>
      <c r="M63" s="800">
        <v>42644</v>
      </c>
      <c r="N63" s="800">
        <v>42674</v>
      </c>
      <c r="O63" s="1129">
        <v>0.21990000000000001</v>
      </c>
      <c r="P63" s="1130">
        <f t="shared" si="17"/>
        <v>42304361.084849142</v>
      </c>
      <c r="Q63" s="1131">
        <f t="shared" si="20"/>
        <v>31</v>
      </c>
      <c r="R63" s="909">
        <f t="shared" si="23"/>
        <v>5.4472060277621637E-4</v>
      </c>
      <c r="S63" s="812">
        <f t="shared" si="21"/>
        <v>714365.76917625382</v>
      </c>
    </row>
    <row r="64" spans="1:19" ht="13.5">
      <c r="A64" s="216">
        <v>7</v>
      </c>
      <c r="B64" s="237">
        <v>42675</v>
      </c>
      <c r="C64" s="237">
        <v>42704</v>
      </c>
      <c r="D64" s="360">
        <v>0.21990000000000001</v>
      </c>
      <c r="E64" s="239">
        <f t="shared" si="18"/>
        <v>46061378.436003603</v>
      </c>
      <c r="F64" s="240">
        <f t="shared" si="19"/>
        <v>30</v>
      </c>
      <c r="G64" s="241">
        <f t="shared" si="22"/>
        <v>5.4472060277621637E-4</v>
      </c>
      <c r="H64" s="241"/>
      <c r="I64" s="242">
        <f t="shared" si="16"/>
        <v>758693.09273367433</v>
      </c>
      <c r="J64" s="241"/>
      <c r="M64" s="800">
        <v>42675</v>
      </c>
      <c r="N64" s="800">
        <v>42704</v>
      </c>
      <c r="O64" s="1129">
        <v>0.21990000000000001</v>
      </c>
      <c r="P64" s="1130">
        <f t="shared" si="17"/>
        <v>42304361.084849142</v>
      </c>
      <c r="Q64" s="1131">
        <f t="shared" si="20"/>
        <v>30</v>
      </c>
      <c r="R64" s="909">
        <f t="shared" si="23"/>
        <v>5.4472060277621637E-4</v>
      </c>
      <c r="S64" s="812">
        <f t="shared" si="21"/>
        <v>691321.71210605209</v>
      </c>
    </row>
    <row r="65" spans="1:19" ht="13.5">
      <c r="A65" s="216">
        <v>8</v>
      </c>
      <c r="B65" s="237">
        <v>42705</v>
      </c>
      <c r="C65" s="237">
        <v>42735</v>
      </c>
      <c r="D65" s="360">
        <v>0.21990000000000001</v>
      </c>
      <c r="E65" s="239">
        <f t="shared" si="18"/>
        <v>46820071.528737277</v>
      </c>
      <c r="F65" s="240">
        <f t="shared" si="19"/>
        <v>31</v>
      </c>
      <c r="G65" s="241">
        <f t="shared" si="22"/>
        <v>5.4472060277621637E-4</v>
      </c>
      <c r="H65" s="241"/>
      <c r="I65" s="242">
        <f t="shared" si="16"/>
        <v>797113.73287618544</v>
      </c>
      <c r="J65" s="241"/>
      <c r="M65" s="800">
        <v>42705</v>
      </c>
      <c r="N65" s="800">
        <v>42735</v>
      </c>
      <c r="O65" s="1129">
        <v>0.21990000000000001</v>
      </c>
      <c r="P65" s="1130">
        <f t="shared" si="17"/>
        <v>42304361.084849142</v>
      </c>
      <c r="Q65" s="1131">
        <f t="shared" si="20"/>
        <v>31</v>
      </c>
      <c r="R65" s="909">
        <f t="shared" si="23"/>
        <v>5.4472060277621637E-4</v>
      </c>
      <c r="S65" s="812">
        <f t="shared" si="21"/>
        <v>714365.76917625382</v>
      </c>
    </row>
    <row r="66" spans="1:19" ht="13.5">
      <c r="A66" s="216">
        <v>9</v>
      </c>
      <c r="B66" s="237">
        <v>42736</v>
      </c>
      <c r="C66" s="237">
        <v>42766</v>
      </c>
      <c r="D66" s="360">
        <v>0.22339999999999999</v>
      </c>
      <c r="E66" s="239">
        <f t="shared" si="18"/>
        <v>47617185.261613466</v>
      </c>
      <c r="F66" s="240">
        <f t="shared" si="19"/>
        <v>31</v>
      </c>
      <c r="G66" s="241">
        <f t="shared" si="22"/>
        <v>5.5257416857701358E-4</v>
      </c>
      <c r="H66" s="241"/>
      <c r="I66" s="242">
        <f t="shared" si="16"/>
        <v>822469.87245119351</v>
      </c>
      <c r="J66" s="241"/>
      <c r="M66" s="800">
        <v>42736</v>
      </c>
      <c r="N66" s="800">
        <v>42766</v>
      </c>
      <c r="O66" s="1129">
        <v>0.22339999999999999</v>
      </c>
      <c r="P66" s="1130">
        <f t="shared" si="17"/>
        <v>42304361.084849142</v>
      </c>
      <c r="Q66" s="1131">
        <f t="shared" si="20"/>
        <v>31</v>
      </c>
      <c r="R66" s="909">
        <f t="shared" si="23"/>
        <v>5.5257416857701358E-4</v>
      </c>
      <c r="S66" s="812">
        <f t="shared" si="21"/>
        <v>724665.21176291083</v>
      </c>
    </row>
    <row r="67" spans="1:19" ht="13.5">
      <c r="A67" s="216">
        <v>10</v>
      </c>
      <c r="B67" s="237">
        <v>42767</v>
      </c>
      <c r="C67" s="237">
        <v>42794</v>
      </c>
      <c r="D67" s="360">
        <v>0.22339999999999999</v>
      </c>
      <c r="E67" s="239">
        <f t="shared" si="18"/>
        <v>48439655.134064659</v>
      </c>
      <c r="F67" s="240">
        <f t="shared" si="19"/>
        <v>28</v>
      </c>
      <c r="G67" s="241">
        <f t="shared" si="22"/>
        <v>5.5257416857701358E-4</v>
      </c>
      <c r="H67" s="241"/>
      <c r="I67" s="242">
        <f t="shared" si="16"/>
        <v>755079.72801774496</v>
      </c>
      <c r="J67" s="241"/>
      <c r="M67" s="800">
        <v>42767</v>
      </c>
      <c r="N67" s="800">
        <v>42794</v>
      </c>
      <c r="O67" s="1129">
        <v>0.22339999999999999</v>
      </c>
      <c r="P67" s="1130">
        <f t="shared" si="17"/>
        <v>42304361.084849142</v>
      </c>
      <c r="Q67" s="1131">
        <f t="shared" si="20"/>
        <v>28</v>
      </c>
      <c r="R67" s="909">
        <f t="shared" si="23"/>
        <v>5.5257416857701358E-4</v>
      </c>
      <c r="S67" s="812">
        <f t="shared" si="21"/>
        <v>654536.32030198397</v>
      </c>
    </row>
    <row r="68" spans="1:19" ht="13.5">
      <c r="A68" s="216">
        <v>11</v>
      </c>
      <c r="B68" s="237">
        <v>42795</v>
      </c>
      <c r="C68" s="237">
        <v>42825</v>
      </c>
      <c r="D68" s="360">
        <v>0.22339999999999999</v>
      </c>
      <c r="E68" s="239">
        <f t="shared" si="18"/>
        <v>49194734.862082407</v>
      </c>
      <c r="F68" s="240">
        <f t="shared" si="19"/>
        <v>31</v>
      </c>
      <c r="G68" s="241">
        <f t="shared" si="22"/>
        <v>5.5257416857701358E-4</v>
      </c>
      <c r="H68" s="241"/>
      <c r="I68" s="242">
        <f t="shared" si="16"/>
        <v>849718.16551082314</v>
      </c>
      <c r="J68" s="241"/>
      <c r="M68" s="800">
        <v>42795</v>
      </c>
      <c r="N68" s="800">
        <v>42825</v>
      </c>
      <c r="O68" s="1129">
        <v>0.22339999999999999</v>
      </c>
      <c r="P68" s="1130">
        <f t="shared" si="17"/>
        <v>42304361.084849142</v>
      </c>
      <c r="Q68" s="1131">
        <f t="shared" si="20"/>
        <v>31</v>
      </c>
      <c r="R68" s="909">
        <f t="shared" si="23"/>
        <v>5.5257416857701358E-4</v>
      </c>
      <c r="S68" s="812">
        <f t="shared" si="21"/>
        <v>724665.21176291083</v>
      </c>
    </row>
    <row r="69" spans="1:19" ht="13.5">
      <c r="A69" s="216">
        <v>12</v>
      </c>
      <c r="B69" s="237">
        <v>42826</v>
      </c>
      <c r="C69" s="237">
        <v>42855</v>
      </c>
      <c r="D69" s="360">
        <v>0.2233</v>
      </c>
      <c r="E69" s="239">
        <f t="shared" si="18"/>
        <v>50044453.027593233</v>
      </c>
      <c r="F69" s="240">
        <f t="shared" si="19"/>
        <v>30</v>
      </c>
      <c r="G69" s="241">
        <f t="shared" si="22"/>
        <v>5.5235009209653185E-4</v>
      </c>
      <c r="H69" s="241"/>
      <c r="I69" s="242">
        <f t="shared" si="16"/>
        <v>835937.73515177972</v>
      </c>
      <c r="J69" s="241"/>
      <c r="M69" s="800">
        <v>42826</v>
      </c>
      <c r="N69" s="800">
        <v>42855</v>
      </c>
      <c r="O69" s="1129">
        <v>0.2233</v>
      </c>
      <c r="P69" s="1130">
        <f t="shared" si="17"/>
        <v>42304361.084849142</v>
      </c>
      <c r="Q69" s="1131">
        <f t="shared" si="20"/>
        <v>30</v>
      </c>
      <c r="R69" s="909">
        <f t="shared" si="23"/>
        <v>5.5235009209653185E-4</v>
      </c>
      <c r="S69" s="812">
        <f t="shared" si="21"/>
        <v>701004.53223904083</v>
      </c>
    </row>
    <row r="70" spans="1:19" ht="13.5">
      <c r="A70" s="216">
        <v>13</v>
      </c>
      <c r="B70" s="237">
        <v>42856</v>
      </c>
      <c r="C70" s="237">
        <v>42886</v>
      </c>
      <c r="D70" s="360">
        <v>0.2233</v>
      </c>
      <c r="E70" s="239">
        <f t="shared" si="18"/>
        <v>50880390.762745015</v>
      </c>
      <c r="F70" s="240">
        <f t="shared" si="19"/>
        <v>31</v>
      </c>
      <c r="G70" s="241">
        <f t="shared" si="22"/>
        <v>5.5235009209653185E-4</v>
      </c>
      <c r="H70" s="241"/>
      <c r="I70" s="242">
        <f t="shared" si="16"/>
        <v>878474.39027072373</v>
      </c>
      <c r="J70" s="241"/>
      <c r="M70" s="800">
        <v>42856</v>
      </c>
      <c r="N70" s="800">
        <v>42886</v>
      </c>
      <c r="O70" s="1129">
        <v>0.2233</v>
      </c>
      <c r="P70" s="1130">
        <f t="shared" si="17"/>
        <v>42304361.084849142</v>
      </c>
      <c r="Q70" s="1131">
        <f t="shared" si="20"/>
        <v>31</v>
      </c>
      <c r="R70" s="909">
        <f t="shared" si="23"/>
        <v>5.5235009209653185E-4</v>
      </c>
      <c r="S70" s="812">
        <f t="shared" si="21"/>
        <v>724371.3499803422</v>
      </c>
    </row>
    <row r="71" spans="1:19" ht="13.5">
      <c r="A71" s="216">
        <v>14</v>
      </c>
      <c r="B71" s="237">
        <v>42887</v>
      </c>
      <c r="C71" s="237">
        <v>42916</v>
      </c>
      <c r="D71" s="360">
        <v>0.2233</v>
      </c>
      <c r="E71" s="239">
        <f t="shared" si="18"/>
        <v>51758865.15301574</v>
      </c>
      <c r="F71" s="240">
        <f t="shared" si="19"/>
        <v>30</v>
      </c>
      <c r="G71" s="241">
        <f t="shared" si="22"/>
        <v>5.5235009209653185E-4</v>
      </c>
      <c r="H71" s="241"/>
      <c r="I71" s="242">
        <f t="shared" si="16"/>
        <v>864575.1105758301</v>
      </c>
      <c r="J71" s="241"/>
      <c r="M71" s="800">
        <v>42887</v>
      </c>
      <c r="N71" s="800">
        <v>42916</v>
      </c>
      <c r="O71" s="1129">
        <v>0.2233</v>
      </c>
      <c r="P71" s="1130">
        <f t="shared" si="17"/>
        <v>42304361.084849142</v>
      </c>
      <c r="Q71" s="1131">
        <f t="shared" si="20"/>
        <v>30</v>
      </c>
      <c r="R71" s="909">
        <f t="shared" si="23"/>
        <v>5.5235009209653185E-4</v>
      </c>
      <c r="S71" s="812">
        <f t="shared" si="21"/>
        <v>701004.53223904083</v>
      </c>
    </row>
    <row r="72" spans="1:19" ht="13.5">
      <c r="A72" s="216">
        <v>15</v>
      </c>
      <c r="B72" s="237">
        <v>42917</v>
      </c>
      <c r="C72" s="237">
        <v>42947</v>
      </c>
      <c r="D72" s="360">
        <v>0.2198</v>
      </c>
      <c r="E72" s="239">
        <f t="shared" si="18"/>
        <v>52623440.263591573</v>
      </c>
      <c r="F72" s="240">
        <f t="shared" si="19"/>
        <v>31</v>
      </c>
      <c r="G72" s="241">
        <f t="shared" si="22"/>
        <v>5.4449588513816316E-4</v>
      </c>
      <c r="H72" s="241"/>
      <c r="I72" s="242">
        <f t="shared" si="16"/>
        <v>895543.71054640471</v>
      </c>
      <c r="J72" s="241"/>
      <c r="M72" s="800">
        <v>42917</v>
      </c>
      <c r="N72" s="800">
        <v>42947</v>
      </c>
      <c r="O72" s="1129">
        <v>0.2198</v>
      </c>
      <c r="P72" s="1130">
        <f t="shared" si="17"/>
        <v>42304361.084849142</v>
      </c>
      <c r="Q72" s="1131">
        <f t="shared" si="20"/>
        <v>31</v>
      </c>
      <c r="R72" s="909">
        <f t="shared" si="23"/>
        <v>5.4449588513816316E-4</v>
      </c>
      <c r="S72" s="812">
        <f t="shared" si="21"/>
        <v>714071.0665570813</v>
      </c>
    </row>
    <row r="73" spans="1:19" ht="13.5">
      <c r="A73" s="216">
        <v>16</v>
      </c>
      <c r="B73" s="237">
        <v>42948</v>
      </c>
      <c r="C73" s="237">
        <v>42978</v>
      </c>
      <c r="D73" s="360">
        <v>0.2198</v>
      </c>
      <c r="E73" s="239">
        <f t="shared" si="18"/>
        <v>53518983.974137977</v>
      </c>
      <c r="F73" s="240">
        <f t="shared" si="19"/>
        <v>31</v>
      </c>
      <c r="G73" s="241">
        <f t="shared" si="22"/>
        <v>5.4449588513816316E-4</v>
      </c>
      <c r="H73" s="241"/>
      <c r="I73" s="242">
        <f t="shared" si="16"/>
        <v>910784.03944702388</v>
      </c>
      <c r="J73" s="241"/>
      <c r="M73" s="800">
        <v>42948</v>
      </c>
      <c r="N73" s="800">
        <v>42978</v>
      </c>
      <c r="O73" s="1129">
        <v>0.2198</v>
      </c>
      <c r="P73" s="1130">
        <f t="shared" si="17"/>
        <v>42304361.084849142</v>
      </c>
      <c r="Q73" s="1131">
        <f t="shared" si="20"/>
        <v>31</v>
      </c>
      <c r="R73" s="909">
        <f t="shared" si="23"/>
        <v>5.4449588513816316E-4</v>
      </c>
      <c r="S73" s="812">
        <f t="shared" si="21"/>
        <v>714071.0665570813</v>
      </c>
    </row>
    <row r="74" spans="1:19" ht="13.5">
      <c r="A74" s="216">
        <v>17</v>
      </c>
      <c r="B74" s="237">
        <v>42979</v>
      </c>
      <c r="C74" s="237">
        <v>43008</v>
      </c>
      <c r="D74" s="360">
        <v>0.21479999999999999</v>
      </c>
      <c r="E74" s="239">
        <f t="shared" si="18"/>
        <v>54429768.013585001</v>
      </c>
      <c r="F74" s="240">
        <f t="shared" si="19"/>
        <v>30</v>
      </c>
      <c r="G74" s="241">
        <f t="shared" si="22"/>
        <v>5.3323651511005821E-4</v>
      </c>
      <c r="H74" s="241"/>
      <c r="I74" s="242">
        <f t="shared" si="16"/>
        <v>877484.15298317466</v>
      </c>
      <c r="J74" s="241"/>
      <c r="M74" s="800">
        <v>42979</v>
      </c>
      <c r="N74" s="800">
        <v>43008</v>
      </c>
      <c r="O74" s="1129">
        <v>0.21479999999999999</v>
      </c>
      <c r="P74" s="1130">
        <f t="shared" si="17"/>
        <v>42304361.084849142</v>
      </c>
      <c r="Q74" s="1131">
        <f t="shared" si="20"/>
        <v>30</v>
      </c>
      <c r="R74" s="909">
        <f t="shared" si="23"/>
        <v>5.3323651511005821E-4</v>
      </c>
      <c r="S74" s="812">
        <f t="shared" si="21"/>
        <v>676746.90236527554</v>
      </c>
    </row>
    <row r="75" spans="1:19" ht="13.5">
      <c r="A75" s="216">
        <v>18</v>
      </c>
      <c r="B75" s="237">
        <v>43009</v>
      </c>
      <c r="C75" s="237">
        <v>43039</v>
      </c>
      <c r="D75" s="360">
        <v>0.21149999999999999</v>
      </c>
      <c r="E75" s="239">
        <f t="shared" si="18"/>
        <v>55307252.166568175</v>
      </c>
      <c r="F75" s="240">
        <f t="shared" si="19"/>
        <v>31</v>
      </c>
      <c r="G75" s="241">
        <f t="shared" si="22"/>
        <v>5.2577998557690186E-4</v>
      </c>
      <c r="H75" s="241"/>
      <c r="I75" s="242">
        <f t="shared" si="16"/>
        <v>908608.66840147809</v>
      </c>
      <c r="J75" s="241"/>
      <c r="M75" s="800">
        <v>43009</v>
      </c>
      <c r="N75" s="800">
        <v>43039</v>
      </c>
      <c r="O75" s="1129">
        <v>0.21149999999999999</v>
      </c>
      <c r="P75" s="1130">
        <f t="shared" si="17"/>
        <v>42304361.084849142</v>
      </c>
      <c r="Q75" s="1131">
        <f t="shared" si="20"/>
        <v>31</v>
      </c>
      <c r="R75" s="909">
        <f t="shared" si="23"/>
        <v>5.2577998557690186E-4</v>
      </c>
      <c r="S75" s="812">
        <f t="shared" si="21"/>
        <v>689526.37719199294</v>
      </c>
    </row>
    <row r="76" spans="1:19" ht="13.5">
      <c r="A76" s="216">
        <v>19</v>
      </c>
      <c r="B76" s="237">
        <v>43040</v>
      </c>
      <c r="C76" s="237">
        <v>43069</v>
      </c>
      <c r="D76" s="360">
        <f>20.96%*1.5</f>
        <v>0.31440000000000001</v>
      </c>
      <c r="E76" s="239">
        <f t="shared" si="18"/>
        <v>56215860.834969655</v>
      </c>
      <c r="F76" s="240">
        <f t="shared" si="19"/>
        <v>30</v>
      </c>
      <c r="G76" s="241">
        <f t="shared" si="22"/>
        <v>7.4926765057248268E-4</v>
      </c>
      <c r="H76" s="241"/>
      <c r="I76" s="242">
        <f t="shared" si="16"/>
        <v>1277446.7404380376</v>
      </c>
      <c r="J76" s="241"/>
      <c r="M76" s="800">
        <v>43040</v>
      </c>
      <c r="N76" s="800">
        <v>43069</v>
      </c>
      <c r="O76" s="1129">
        <f>20.96%*1.5</f>
        <v>0.31440000000000001</v>
      </c>
      <c r="P76" s="1130">
        <f t="shared" si="17"/>
        <v>42304361.084849142</v>
      </c>
      <c r="Q76" s="1131">
        <f t="shared" si="20"/>
        <v>30</v>
      </c>
      <c r="R76" s="909">
        <f t="shared" si="23"/>
        <v>7.4926765057248268E-4</v>
      </c>
      <c r="S76" s="812">
        <f t="shared" si="21"/>
        <v>950918.67717044649</v>
      </c>
    </row>
    <row r="77" spans="1:19" ht="13.5">
      <c r="A77" s="216">
        <v>20</v>
      </c>
      <c r="B77" s="237">
        <v>43070</v>
      </c>
      <c r="C77" s="237">
        <v>43100</v>
      </c>
      <c r="D77" s="360">
        <v>0.31154999999999999</v>
      </c>
      <c r="E77" s="239">
        <f t="shared" si="18"/>
        <v>57493307.575407691</v>
      </c>
      <c r="F77" s="240">
        <f t="shared" si="19"/>
        <v>31</v>
      </c>
      <c r="G77" s="241">
        <f t="shared" si="22"/>
        <v>7.4331624292400811E-4</v>
      </c>
      <c r="H77" s="241"/>
      <c r="I77" s="242">
        <f t="shared" si="16"/>
        <v>1339684.9408475964</v>
      </c>
      <c r="J77" s="241"/>
      <c r="M77" s="800">
        <v>43070</v>
      </c>
      <c r="N77" s="800">
        <v>43100</v>
      </c>
      <c r="O77" s="1129">
        <v>0.31154999999999999</v>
      </c>
      <c r="P77" s="1130">
        <f t="shared" si="17"/>
        <v>42304361.084849142</v>
      </c>
      <c r="Q77" s="1131">
        <f t="shared" si="20"/>
        <v>31</v>
      </c>
      <c r="R77" s="909">
        <f t="shared" si="23"/>
        <v>7.4331624292400811E-4</v>
      </c>
      <c r="S77" s="812">
        <f t="shared" si="21"/>
        <v>974811.08096761105</v>
      </c>
    </row>
    <row r="78" spans="1:19" ht="13.5">
      <c r="A78" s="216">
        <v>21</v>
      </c>
      <c r="B78" s="237">
        <v>43101</v>
      </c>
      <c r="C78" s="237">
        <v>43131</v>
      </c>
      <c r="D78" s="360">
        <v>0.31035000000000001</v>
      </c>
      <c r="E78" s="239">
        <f t="shared" si="18"/>
        <v>58832992.516255289</v>
      </c>
      <c r="F78" s="240">
        <f t="shared" si="19"/>
        <v>31</v>
      </c>
      <c r="G78" s="241">
        <f t="shared" si="22"/>
        <v>7.4080652774299871E-4</v>
      </c>
      <c r="H78" s="241"/>
      <c r="I78" s="242">
        <f t="shared" si="16"/>
        <v>1366221.4391600618</v>
      </c>
      <c r="J78" s="241"/>
      <c r="M78" s="800">
        <v>43101</v>
      </c>
      <c r="N78" s="800">
        <v>43131</v>
      </c>
      <c r="O78" s="1129">
        <v>0.31035000000000001</v>
      </c>
      <c r="P78" s="1130">
        <f t="shared" si="17"/>
        <v>42304361.084849142</v>
      </c>
      <c r="Q78" s="1131">
        <f t="shared" si="20"/>
        <v>31</v>
      </c>
      <c r="R78" s="909">
        <f t="shared" si="23"/>
        <v>7.4080652774299871E-4</v>
      </c>
      <c r="S78" s="812">
        <f t="shared" si="21"/>
        <v>971519.75215324701</v>
      </c>
    </row>
    <row r="79" spans="1:19" ht="13.5">
      <c r="A79" s="216">
        <v>22</v>
      </c>
      <c r="B79" s="237">
        <v>43132</v>
      </c>
      <c r="C79" s="237">
        <v>43159</v>
      </c>
      <c r="D79" s="360">
        <v>0.31515000000000004</v>
      </c>
      <c r="E79" s="239">
        <f t="shared" si="18"/>
        <v>60199213.955415353</v>
      </c>
      <c r="F79" s="240">
        <f t="shared" si="19"/>
        <v>28</v>
      </c>
      <c r="G79" s="241">
        <f t="shared" si="22"/>
        <v>7.5083167162115494E-4</v>
      </c>
      <c r="H79" s="241"/>
      <c r="I79" s="242">
        <f t="shared" si="16"/>
        <v>1278497.4707645378</v>
      </c>
      <c r="J79" s="241"/>
      <c r="M79" s="800">
        <v>43132</v>
      </c>
      <c r="N79" s="800">
        <v>43159</v>
      </c>
      <c r="O79" s="1129">
        <v>0.31515000000000004</v>
      </c>
      <c r="P79" s="1130">
        <f t="shared" si="17"/>
        <v>42304361.084849142</v>
      </c>
      <c r="Q79" s="1131">
        <f t="shared" si="20"/>
        <v>28</v>
      </c>
      <c r="R79" s="909">
        <f t="shared" si="23"/>
        <v>7.5083167162115494E-4</v>
      </c>
      <c r="S79" s="812">
        <f t="shared" si="21"/>
        <v>889376.71620566212</v>
      </c>
    </row>
    <row r="80" spans="1:19" ht="13.5">
      <c r="A80" s="216">
        <v>23</v>
      </c>
      <c r="B80" s="237">
        <v>43160</v>
      </c>
      <c r="C80" s="237">
        <v>43190</v>
      </c>
      <c r="D80" s="360">
        <v>0.31020000000000003</v>
      </c>
      <c r="E80" s="239">
        <f t="shared" si="18"/>
        <v>61477711.426179893</v>
      </c>
      <c r="F80" s="240">
        <f t="shared" si="19"/>
        <v>31</v>
      </c>
      <c r="G80" s="241">
        <f t="shared" si="22"/>
        <v>7.4049265219700011E-4</v>
      </c>
      <c r="H80" s="241"/>
      <c r="I80" s="242">
        <f t="shared" si="16"/>
        <v>1427025.5555230496</v>
      </c>
      <c r="J80" s="241"/>
      <c r="M80" s="800">
        <v>43160</v>
      </c>
      <c r="N80" s="800">
        <v>43190</v>
      </c>
      <c r="O80" s="1129">
        <v>0.31020000000000003</v>
      </c>
      <c r="P80" s="1130">
        <f t="shared" si="17"/>
        <v>42304361.084849142</v>
      </c>
      <c r="Q80" s="1131">
        <f t="shared" si="20"/>
        <v>31</v>
      </c>
      <c r="R80" s="909">
        <f t="shared" si="23"/>
        <v>7.4049265219700011E-4</v>
      </c>
      <c r="S80" s="812">
        <f t="shared" si="21"/>
        <v>971108.12471580459</v>
      </c>
    </row>
    <row r="81" spans="1:19" ht="13.5">
      <c r="A81" s="216">
        <v>24</v>
      </c>
      <c r="B81" s="237">
        <v>43191</v>
      </c>
      <c r="C81" s="237">
        <v>43220</v>
      </c>
      <c r="D81" s="360">
        <v>0.30720000000000003</v>
      </c>
      <c r="E81" s="239">
        <f t="shared" si="18"/>
        <v>62904736.981702946</v>
      </c>
      <c r="F81" s="240">
        <f t="shared" si="19"/>
        <v>30</v>
      </c>
      <c r="G81" s="241">
        <f t="shared" si="22"/>
        <v>7.34207604366377E-4</v>
      </c>
      <c r="H81" s="241"/>
      <c r="I81" s="242">
        <f t="shared" si="16"/>
        <v>1400406.2933572358</v>
      </c>
      <c r="J81" s="241"/>
      <c r="M81" s="800">
        <v>43191</v>
      </c>
      <c r="N81" s="800">
        <v>43220</v>
      </c>
      <c r="O81" s="1129">
        <v>0.30720000000000003</v>
      </c>
      <c r="P81" s="1130">
        <f t="shared" si="17"/>
        <v>42304361.084849142</v>
      </c>
      <c r="Q81" s="1131">
        <f t="shared" si="20"/>
        <v>30</v>
      </c>
      <c r="R81" s="909">
        <f t="shared" si="23"/>
        <v>7.34207604366377E-4</v>
      </c>
      <c r="S81" s="812">
        <f t="shared" si="21"/>
        <v>931805.50819071825</v>
      </c>
    </row>
    <row r="82" spans="1:19" ht="13.5">
      <c r="A82" s="216">
        <v>25</v>
      </c>
      <c r="B82" s="237">
        <v>43221</v>
      </c>
      <c r="C82" s="237">
        <v>43251</v>
      </c>
      <c r="D82" s="360">
        <v>0.30659999999999998</v>
      </c>
      <c r="E82" s="239">
        <f t="shared" si="18"/>
        <v>64305143.275060184</v>
      </c>
      <c r="F82" s="240">
        <f t="shared" si="19"/>
        <v>31</v>
      </c>
      <c r="G82" s="241">
        <f t="shared" si="22"/>
        <v>7.3294886878794152E-4</v>
      </c>
      <c r="H82" s="241"/>
      <c r="I82" s="242">
        <f t="shared" si="16"/>
        <v>1477281.9592281559</v>
      </c>
      <c r="J82" s="241"/>
      <c r="M82" s="800">
        <v>43221</v>
      </c>
      <c r="N82" s="800">
        <v>43251</v>
      </c>
      <c r="O82" s="1129">
        <v>0.30659999999999998</v>
      </c>
      <c r="P82" s="1130">
        <f t="shared" si="17"/>
        <v>42304361.084849142</v>
      </c>
      <c r="Q82" s="1131">
        <f t="shared" si="20"/>
        <v>31</v>
      </c>
      <c r="R82" s="909">
        <f t="shared" si="23"/>
        <v>7.3294886878794152E-4</v>
      </c>
      <c r="S82" s="812">
        <f t="shared" si="21"/>
        <v>961214.94166004064</v>
      </c>
    </row>
    <row r="83" spans="1:19" ht="13.5">
      <c r="A83" s="216">
        <v>26</v>
      </c>
      <c r="B83" s="237">
        <v>43252</v>
      </c>
      <c r="C83" s="237">
        <v>43281</v>
      </c>
      <c r="D83" s="360">
        <v>0.30420000000000003</v>
      </c>
      <c r="E83" s="239">
        <f t="shared" si="18"/>
        <v>65782425.234288342</v>
      </c>
      <c r="F83" s="240">
        <f t="shared" si="19"/>
        <v>30</v>
      </c>
      <c r="G83" s="241">
        <f t="shared" si="22"/>
        <v>7.2790815549184096E-4</v>
      </c>
      <c r="H83" s="241"/>
      <c r="I83" s="242">
        <f t="shared" si="16"/>
        <v>1451772.2831892243</v>
      </c>
      <c r="J83" s="241"/>
      <c r="M83" s="800">
        <v>43252</v>
      </c>
      <c r="N83" s="800">
        <v>43281</v>
      </c>
      <c r="O83" s="1129">
        <v>0.30420000000000003</v>
      </c>
      <c r="P83" s="1130">
        <f t="shared" si="17"/>
        <v>42304361.084849142</v>
      </c>
      <c r="Q83" s="1131">
        <f t="shared" si="20"/>
        <v>30</v>
      </c>
      <c r="R83" s="909">
        <f t="shared" si="23"/>
        <v>7.2790815549184096E-4</v>
      </c>
      <c r="S83" s="812">
        <f t="shared" si="21"/>
        <v>923810.68339600065</v>
      </c>
    </row>
    <row r="84" spans="1:19" ht="13.5">
      <c r="A84" s="216">
        <v>27</v>
      </c>
      <c r="B84" s="237">
        <v>43282</v>
      </c>
      <c r="C84" s="237">
        <v>43312</v>
      </c>
      <c r="D84" s="360">
        <v>0.30044999999999999</v>
      </c>
      <c r="E84" s="239">
        <f t="shared" si="18"/>
        <v>67234197.517477572</v>
      </c>
      <c r="F84" s="240">
        <f t="shared" si="19"/>
        <v>31</v>
      </c>
      <c r="G84" s="241">
        <f t="shared" si="22"/>
        <v>7.2001349197825526E-4</v>
      </c>
      <c r="H84" s="241"/>
      <c r="I84" s="242">
        <f t="shared" si="16"/>
        <v>1517016.6027972775</v>
      </c>
      <c r="J84" s="241"/>
      <c r="M84" s="800">
        <v>43282</v>
      </c>
      <c r="N84" s="800">
        <v>43312</v>
      </c>
      <c r="O84" s="1129">
        <v>0.30044999999999999</v>
      </c>
      <c r="P84" s="1130">
        <f t="shared" si="17"/>
        <v>42304361.084849142</v>
      </c>
      <c r="Q84" s="1131">
        <f t="shared" si="20"/>
        <v>31</v>
      </c>
      <c r="R84" s="909">
        <f t="shared" si="23"/>
        <v>7.2001349197825526E-4</v>
      </c>
      <c r="S84" s="812">
        <f t="shared" si="21"/>
        <v>944251.03326894855</v>
      </c>
    </row>
    <row r="85" spans="1:19" ht="13.5">
      <c r="A85" s="216">
        <v>28</v>
      </c>
      <c r="B85" s="237">
        <v>43313</v>
      </c>
      <c r="C85" s="237">
        <v>43343</v>
      </c>
      <c r="D85" s="360">
        <v>0.29909999999999998</v>
      </c>
      <c r="E85" s="239">
        <f t="shared" si="18"/>
        <v>68751214.120274857</v>
      </c>
      <c r="F85" s="240">
        <f t="shared" si="19"/>
        <v>31</v>
      </c>
      <c r="G85" s="241">
        <f t="shared" si="22"/>
        <v>7.1716585429704161E-4</v>
      </c>
      <c r="H85" s="241"/>
      <c r="I85" s="242">
        <f t="shared" si="16"/>
        <v>1545043.9617555633</v>
      </c>
      <c r="J85" s="241"/>
      <c r="M85" s="800">
        <v>43313</v>
      </c>
      <c r="N85" s="800">
        <v>43343</v>
      </c>
      <c r="O85" s="1129">
        <v>0.29909999999999998</v>
      </c>
      <c r="P85" s="1130">
        <f t="shared" si="17"/>
        <v>42304361.084849142</v>
      </c>
      <c r="Q85" s="1131">
        <f t="shared" si="20"/>
        <v>31</v>
      </c>
      <c r="R85" s="909">
        <f t="shared" si="23"/>
        <v>7.1716585429704161E-4</v>
      </c>
      <c r="S85" s="812">
        <f t="shared" si="21"/>
        <v>940516.54099509702</v>
      </c>
    </row>
    <row r="86" spans="1:19" ht="13.5">
      <c r="A86" s="216">
        <v>29</v>
      </c>
      <c r="B86" s="237">
        <v>43344</v>
      </c>
      <c r="C86" s="237">
        <v>43373</v>
      </c>
      <c r="D86" s="360">
        <v>0.29715000000000003</v>
      </c>
      <c r="E86" s="239">
        <f t="shared" si="18"/>
        <v>70296258.082030416</v>
      </c>
      <c r="F86" s="240">
        <f t="shared" si="19"/>
        <v>30</v>
      </c>
      <c r="G86" s="241">
        <f t="shared" si="22"/>
        <v>7.1304738558919389E-4</v>
      </c>
      <c r="H86" s="241"/>
      <c r="I86" s="242">
        <f t="shared" si="16"/>
        <v>1519388.2779306634</v>
      </c>
      <c r="J86" s="241"/>
      <c r="M86" s="800">
        <v>43344</v>
      </c>
      <c r="N86" s="800">
        <v>43373</v>
      </c>
      <c r="O86" s="1129">
        <v>0.29715000000000003</v>
      </c>
      <c r="P86" s="1130">
        <f t="shared" si="17"/>
        <v>42304361.084849142</v>
      </c>
      <c r="Q86" s="1131">
        <f t="shared" si="20"/>
        <v>30</v>
      </c>
      <c r="R86" s="909">
        <f t="shared" si="23"/>
        <v>7.1304738558919389E-4</v>
      </c>
      <c r="S86" s="812">
        <f t="shared" si="21"/>
        <v>904950.42211718753</v>
      </c>
    </row>
    <row r="87" spans="1:19" ht="13.5">
      <c r="A87" s="216">
        <v>30</v>
      </c>
      <c r="B87" s="237">
        <v>43374</v>
      </c>
      <c r="C87" s="237">
        <v>43404</v>
      </c>
      <c r="D87" s="360">
        <v>0.29444999999999999</v>
      </c>
      <c r="E87" s="239">
        <f t="shared" si="18"/>
        <v>71815646.359961078</v>
      </c>
      <c r="F87" s="240">
        <f t="shared" si="19"/>
        <v>31</v>
      </c>
      <c r="G87" s="241">
        <f t="shared" si="22"/>
        <v>7.073346857742191E-4</v>
      </c>
      <c r="H87" s="241"/>
      <c r="I87" s="242">
        <f t="shared" si="16"/>
        <v>1591551.3391300519</v>
      </c>
      <c r="J87" s="241"/>
      <c r="M87" s="800">
        <v>43374</v>
      </c>
      <c r="N87" s="800">
        <v>43404</v>
      </c>
      <c r="O87" s="1129">
        <v>0.29444999999999999</v>
      </c>
      <c r="P87" s="1130">
        <f t="shared" si="17"/>
        <v>42304361.084849142</v>
      </c>
      <c r="Q87" s="1131">
        <f t="shared" si="20"/>
        <v>31</v>
      </c>
      <c r="R87" s="909">
        <f t="shared" si="23"/>
        <v>7.073346857742191E-4</v>
      </c>
      <c r="S87" s="812">
        <f t="shared" si="21"/>
        <v>927623.60059975693</v>
      </c>
    </row>
    <row r="88" spans="1:19" ht="13.5">
      <c r="A88" s="216">
        <v>31</v>
      </c>
      <c r="B88" s="237">
        <v>43405</v>
      </c>
      <c r="C88" s="237">
        <v>43434</v>
      </c>
      <c r="D88" s="360">
        <v>0.29235</v>
      </c>
      <c r="E88" s="239">
        <f t="shared" si="18"/>
        <v>73407197.699091136</v>
      </c>
      <c r="F88" s="240">
        <f t="shared" si="19"/>
        <v>30</v>
      </c>
      <c r="G88" s="241">
        <f t="shared" si="22"/>
        <v>7.0288325333756063E-4</v>
      </c>
      <c r="H88" s="241"/>
      <c r="I88" s="242">
        <f t="shared" si="16"/>
        <v>1563780.5901592227</v>
      </c>
      <c r="J88" s="241"/>
      <c r="M88" s="800">
        <v>43405</v>
      </c>
      <c r="N88" s="800">
        <v>43434</v>
      </c>
      <c r="O88" s="1129">
        <v>0.29235</v>
      </c>
      <c r="P88" s="1130">
        <f t="shared" si="17"/>
        <v>42304361.084849142</v>
      </c>
      <c r="Q88" s="1131">
        <f t="shared" si="20"/>
        <v>30</v>
      </c>
      <c r="R88" s="909">
        <f t="shared" si="23"/>
        <v>7.0288325333756063E-4</v>
      </c>
      <c r="S88" s="812">
        <f t="shared" si="21"/>
        <v>892050.80849056982</v>
      </c>
    </row>
    <row r="89" spans="1:19" ht="13.5">
      <c r="A89" s="216">
        <v>32</v>
      </c>
      <c r="B89" s="237">
        <v>43435</v>
      </c>
      <c r="C89" s="237">
        <v>43465</v>
      </c>
      <c r="D89" s="360">
        <v>0.29100000000000004</v>
      </c>
      <c r="E89" s="239">
        <f t="shared" si="18"/>
        <v>74970978.289250359</v>
      </c>
      <c r="F89" s="240">
        <f t="shared" si="19"/>
        <v>31</v>
      </c>
      <c r="G89" s="241">
        <f t="shared" si="22"/>
        <v>7.0001780740103214E-4</v>
      </c>
      <c r="H89" s="241"/>
      <c r="I89" s="242">
        <f t="shared" si="16"/>
        <v>1644110.7881310456</v>
      </c>
      <c r="J89" s="241"/>
      <c r="M89" s="800">
        <v>43435</v>
      </c>
      <c r="N89" s="800">
        <v>43465</v>
      </c>
      <c r="O89" s="1129">
        <v>0.29100000000000004</v>
      </c>
      <c r="P89" s="1130">
        <f t="shared" si="17"/>
        <v>42304361.084849142</v>
      </c>
      <c r="Q89" s="1131">
        <f t="shared" si="20"/>
        <v>31</v>
      </c>
      <c r="R89" s="909">
        <f t="shared" si="23"/>
        <v>7.0001780740103214E-4</v>
      </c>
      <c r="S89" s="812">
        <f t="shared" si="21"/>
        <v>918027.98879364703</v>
      </c>
    </row>
    <row r="90" spans="1:19" ht="13.5">
      <c r="A90" s="216">
        <v>33</v>
      </c>
      <c r="B90" s="237">
        <v>43466</v>
      </c>
      <c r="C90" s="237">
        <v>43496</v>
      </c>
      <c r="D90" s="360">
        <v>0.28739999999999999</v>
      </c>
      <c r="E90" s="239">
        <f t="shared" si="18"/>
        <v>76615089.077381402</v>
      </c>
      <c r="F90" s="240">
        <f t="shared" si="19"/>
        <v>31</v>
      </c>
      <c r="G90" s="241">
        <f t="shared" si="22"/>
        <v>6.9236198468725085E-4</v>
      </c>
      <c r="H90" s="241"/>
      <c r="I90" s="242">
        <f t="shared" si="16"/>
        <v>1661599.3539621811</v>
      </c>
      <c r="J90" s="241"/>
      <c r="M90" s="800">
        <v>43466</v>
      </c>
      <c r="N90" s="800">
        <v>43496</v>
      </c>
      <c r="O90" s="1129">
        <v>0.28739999999999999</v>
      </c>
      <c r="P90" s="1130">
        <f t="shared" si="17"/>
        <v>42304361.084849142</v>
      </c>
      <c r="Q90" s="1131">
        <f t="shared" si="20"/>
        <v>31</v>
      </c>
      <c r="R90" s="909">
        <f t="shared" si="23"/>
        <v>6.9236198468725085E-4</v>
      </c>
      <c r="S90" s="812">
        <f t="shared" si="21"/>
        <v>907987.87345059984</v>
      </c>
    </row>
    <row r="91" spans="1:19" ht="13.5">
      <c r="A91" s="216">
        <v>34</v>
      </c>
      <c r="B91" s="237">
        <v>43497</v>
      </c>
      <c r="C91" s="237">
        <v>43524</v>
      </c>
      <c r="D91" s="360">
        <v>0.29549999999999998</v>
      </c>
      <c r="E91" s="239">
        <f t="shared" si="18"/>
        <v>78276688.431343585</v>
      </c>
      <c r="F91" s="240">
        <f t="shared" si="19"/>
        <v>28</v>
      </c>
      <c r="G91" s="241">
        <f t="shared" si="22"/>
        <v>7.0955770203506852E-4</v>
      </c>
      <c r="H91" s="241"/>
      <c r="I91" s="242">
        <f t="shared" si="16"/>
        <v>1570160.2072032143</v>
      </c>
      <c r="J91" s="241"/>
      <c r="M91" s="800">
        <v>43497</v>
      </c>
      <c r="N91" s="800">
        <v>43524</v>
      </c>
      <c r="O91" s="1129">
        <v>0.29549999999999998</v>
      </c>
      <c r="P91" s="1130">
        <f t="shared" si="17"/>
        <v>42304361.084849142</v>
      </c>
      <c r="Q91" s="1131">
        <f t="shared" si="20"/>
        <v>28</v>
      </c>
      <c r="R91" s="909">
        <f t="shared" si="23"/>
        <v>7.0955770203506852E-4</v>
      </c>
      <c r="S91" s="812">
        <f t="shared" si="21"/>
        <v>840486.78664796543</v>
      </c>
    </row>
    <row r="92" spans="1:19" ht="13.5">
      <c r="A92" s="216">
        <v>35</v>
      </c>
      <c r="B92" s="237">
        <v>43525</v>
      </c>
      <c r="C92" s="237">
        <v>43555</v>
      </c>
      <c r="D92" s="360">
        <v>0.29055000000000003</v>
      </c>
      <c r="E92" s="239">
        <f t="shared" si="18"/>
        <v>79846848.638546795</v>
      </c>
      <c r="F92" s="240">
        <f t="shared" si="19"/>
        <v>31</v>
      </c>
      <c r="G92" s="241">
        <f t="shared" si="22"/>
        <v>6.9906199467517638E-4</v>
      </c>
      <c r="H92" s="241"/>
      <c r="I92" s="242">
        <f t="shared" si="16"/>
        <v>1748622.4096572797</v>
      </c>
      <c r="J92" s="241"/>
      <c r="M92" s="800">
        <v>43525</v>
      </c>
      <c r="N92" s="800">
        <v>43555</v>
      </c>
      <c r="O92" s="1129">
        <v>0.29055000000000003</v>
      </c>
      <c r="P92" s="1130">
        <f t="shared" si="17"/>
        <v>42304361.084849142</v>
      </c>
      <c r="Q92" s="1131">
        <f t="shared" si="20"/>
        <v>31</v>
      </c>
      <c r="R92" s="909">
        <f t="shared" si="23"/>
        <v>6.9906199467517638E-4</v>
      </c>
      <c r="S92" s="812">
        <f t="shared" si="21"/>
        <v>916774.5023464401</v>
      </c>
    </row>
    <row r="93" spans="1:19" ht="13.5">
      <c r="A93" s="216">
        <v>36</v>
      </c>
      <c r="B93" s="237">
        <v>43556</v>
      </c>
      <c r="C93" s="237">
        <v>43585</v>
      </c>
      <c r="D93" s="360">
        <v>0.2898</v>
      </c>
      <c r="E93" s="239">
        <f t="shared" si="18"/>
        <v>81595471.048204079</v>
      </c>
      <c r="F93" s="240">
        <f t="shared" si="19"/>
        <v>30</v>
      </c>
      <c r="G93" s="241">
        <f t="shared" si="22"/>
        <v>6.9746823462724095E-4</v>
      </c>
      <c r="H93" s="241"/>
      <c r="I93" s="242">
        <f t="shared" si="16"/>
        <v>1724686.8998071174</v>
      </c>
      <c r="J93" s="241"/>
      <c r="M93" s="800">
        <v>43556</v>
      </c>
      <c r="N93" s="800">
        <v>43585</v>
      </c>
      <c r="O93" s="1129">
        <v>0.2898</v>
      </c>
      <c r="P93" s="1130">
        <f t="shared" si="17"/>
        <v>42304361.084849142</v>
      </c>
      <c r="Q93" s="1131">
        <f t="shared" si="20"/>
        <v>30</v>
      </c>
      <c r="R93" s="909">
        <f t="shared" si="23"/>
        <v>6.9746823462724095E-4</v>
      </c>
      <c r="S93" s="812">
        <f t="shared" si="21"/>
        <v>885178.44128649251</v>
      </c>
    </row>
    <row r="94" spans="1:19" ht="13.5">
      <c r="A94" s="216">
        <v>37</v>
      </c>
      <c r="B94" s="237">
        <v>43586</v>
      </c>
      <c r="C94" s="237">
        <v>43616</v>
      </c>
      <c r="D94" s="360">
        <v>0.29009999999999997</v>
      </c>
      <c r="E94" s="239">
        <f t="shared" si="18"/>
        <v>83320157.94801119</v>
      </c>
      <c r="F94" s="240">
        <f t="shared" si="19"/>
        <v>31</v>
      </c>
      <c r="G94" s="241">
        <f t="shared" si="22"/>
        <v>6.9810584952367805E-4</v>
      </c>
      <c r="H94" s="241"/>
      <c r="I94" s="242">
        <f t="shared" si="16"/>
        <v>1822164.9214213076</v>
      </c>
      <c r="J94" s="241"/>
      <c r="M94" s="800">
        <v>43586</v>
      </c>
      <c r="N94" s="800">
        <v>43616</v>
      </c>
      <c r="O94" s="1129">
        <v>0.29009999999999997</v>
      </c>
      <c r="P94" s="1130">
        <f t="shared" si="17"/>
        <v>42304361.084849142</v>
      </c>
      <c r="Q94" s="1131">
        <f t="shared" si="20"/>
        <v>31</v>
      </c>
      <c r="R94" s="909">
        <f t="shared" si="23"/>
        <v>6.9810584952367805E-4</v>
      </c>
      <c r="S94" s="812">
        <f t="shared" si="21"/>
        <v>915520.5799445461</v>
      </c>
    </row>
    <row r="95" spans="1:19" ht="13.5">
      <c r="A95" s="216">
        <v>38</v>
      </c>
      <c r="B95" s="237">
        <v>43617</v>
      </c>
      <c r="C95" s="237">
        <v>43646</v>
      </c>
      <c r="D95" s="360">
        <v>0.28949999999999998</v>
      </c>
      <c r="E95" s="239">
        <f t="shared" si="18"/>
        <v>85142322.869432494</v>
      </c>
      <c r="F95" s="240">
        <f t="shared" si="19"/>
        <v>30</v>
      </c>
      <c r="G95" s="241">
        <f t="shared" si="22"/>
        <v>6.9683047181468005E-4</v>
      </c>
      <c r="H95" s="241"/>
      <c r="I95" s="242">
        <f t="shared" si="16"/>
        <v>1797994.5796860454</v>
      </c>
      <c r="J95" s="241"/>
      <c r="M95" s="800">
        <v>43617</v>
      </c>
      <c r="N95" s="800">
        <v>43646</v>
      </c>
      <c r="O95" s="1129">
        <v>0.28949999999999998</v>
      </c>
      <c r="P95" s="1130">
        <f t="shared" si="17"/>
        <v>42304361.084849142</v>
      </c>
      <c r="Q95" s="1131">
        <f t="shared" si="20"/>
        <v>30</v>
      </c>
      <c r="R95" s="909">
        <f t="shared" si="23"/>
        <v>6.9683047181468005E-4</v>
      </c>
      <c r="S95" s="812">
        <f t="shared" si="21"/>
        <v>884369.03683722054</v>
      </c>
    </row>
    <row r="96" spans="1:19" ht="13.5">
      <c r="A96" s="216">
        <v>39</v>
      </c>
      <c r="B96" s="237">
        <v>43647</v>
      </c>
      <c r="C96" s="237">
        <v>43677</v>
      </c>
      <c r="D96" s="360">
        <v>0.28920000000000001</v>
      </c>
      <c r="E96" s="239">
        <f t="shared" si="18"/>
        <v>86940317.44911854</v>
      </c>
      <c r="F96" s="240">
        <f t="shared" si="19"/>
        <v>31</v>
      </c>
      <c r="G96" s="241">
        <f t="shared" si="22"/>
        <v>6.9619256101671745E-4</v>
      </c>
      <c r="H96" s="241"/>
      <c r="I96" s="242">
        <f t="shared" si="16"/>
        <v>1896070.2264239111</v>
      </c>
      <c r="J96" s="241"/>
      <c r="M96" s="800">
        <v>43647</v>
      </c>
      <c r="N96" s="800">
        <v>43677</v>
      </c>
      <c r="O96" s="1129">
        <v>0.28920000000000001</v>
      </c>
      <c r="P96" s="1130">
        <f t="shared" si="17"/>
        <v>42304361.084849142</v>
      </c>
      <c r="Q96" s="1131">
        <f t="shared" si="20"/>
        <v>31</v>
      </c>
      <c r="R96" s="909">
        <f t="shared" si="23"/>
        <v>6.9619256101671745E-4</v>
      </c>
      <c r="S96" s="812">
        <f t="shared" si="21"/>
        <v>913011.42606094957</v>
      </c>
    </row>
    <row r="97" spans="1:19" ht="13.5">
      <c r="A97" s="216">
        <v>40</v>
      </c>
      <c r="B97" s="237">
        <v>43678</v>
      </c>
      <c r="C97" s="237">
        <v>43708</v>
      </c>
      <c r="D97" s="360">
        <v>0.2898</v>
      </c>
      <c r="E97" s="239">
        <f t="shared" si="18"/>
        <v>88836387.675542444</v>
      </c>
      <c r="F97" s="240">
        <f t="shared" si="19"/>
        <v>31</v>
      </c>
      <c r="G97" s="241">
        <f t="shared" si="22"/>
        <v>6.9746823462724095E-4</v>
      </c>
      <c r="H97" s="241"/>
      <c r="I97" s="242">
        <f t="shared" si="16"/>
        <v>1941008.6801993775</v>
      </c>
      <c r="J97" s="241"/>
      <c r="M97" s="800">
        <v>43678</v>
      </c>
      <c r="N97" s="800">
        <v>43708</v>
      </c>
      <c r="O97" s="1129">
        <v>0.2898</v>
      </c>
      <c r="P97" s="1130">
        <f t="shared" si="17"/>
        <v>42304361.084849142</v>
      </c>
      <c r="Q97" s="1131">
        <f t="shared" si="20"/>
        <v>31</v>
      </c>
      <c r="R97" s="909">
        <f t="shared" si="23"/>
        <v>6.9746823462724095E-4</v>
      </c>
      <c r="S97" s="812">
        <f t="shared" si="21"/>
        <v>914684.38932937558</v>
      </c>
    </row>
    <row r="98" spans="1:19" ht="13.5">
      <c r="A98" s="216">
        <v>41</v>
      </c>
      <c r="B98" s="237">
        <v>43709</v>
      </c>
      <c r="C98" s="237">
        <v>43738</v>
      </c>
      <c r="D98" s="360">
        <v>0.2898</v>
      </c>
      <c r="E98" s="239">
        <f t="shared" si="18"/>
        <v>90777396.355741829</v>
      </c>
      <c r="F98" s="240">
        <f t="shared" si="19"/>
        <v>30</v>
      </c>
      <c r="G98" s="241">
        <f t="shared" si="22"/>
        <v>6.9746823462724095E-4</v>
      </c>
      <c r="H98" s="241"/>
      <c r="I98" s="242">
        <f t="shared" si="16"/>
        <v>1918765.6408142303</v>
      </c>
      <c r="J98" s="241"/>
      <c r="M98" s="800">
        <v>43709</v>
      </c>
      <c r="N98" s="800">
        <v>43738</v>
      </c>
      <c r="O98" s="1129">
        <v>0.2898</v>
      </c>
      <c r="P98" s="1130">
        <f t="shared" si="17"/>
        <v>42304361.084849142</v>
      </c>
      <c r="Q98" s="1131">
        <f t="shared" si="20"/>
        <v>30</v>
      </c>
      <c r="R98" s="909">
        <f t="shared" si="23"/>
        <v>6.9746823462724095E-4</v>
      </c>
      <c r="S98" s="812">
        <f t="shared" si="21"/>
        <v>885178.44128649251</v>
      </c>
    </row>
    <row r="99" spans="1:19" ht="13.5">
      <c r="A99" s="216">
        <v>42</v>
      </c>
      <c r="B99" s="237">
        <v>43739</v>
      </c>
      <c r="C99" s="237">
        <v>43769</v>
      </c>
      <c r="D99" s="360">
        <v>0.28649999999999998</v>
      </c>
      <c r="E99" s="239">
        <f t="shared" si="18"/>
        <v>92696161.996556059</v>
      </c>
      <c r="F99" s="240">
        <f t="shared" si="19"/>
        <v>31</v>
      </c>
      <c r="G99" s="241">
        <f t="shared" si="22"/>
        <v>6.9044469314105683E-4</v>
      </c>
      <c r="H99" s="241"/>
      <c r="I99" s="242">
        <f t="shared" si="16"/>
        <v>2004734.7157389324</v>
      </c>
      <c r="J99" s="241"/>
      <c r="M99" s="800">
        <v>43739</v>
      </c>
      <c r="N99" s="800">
        <v>43769</v>
      </c>
      <c r="O99" s="1129">
        <v>0.28649999999999998</v>
      </c>
      <c r="P99" s="1130">
        <f t="shared" si="17"/>
        <v>42304361.084849142</v>
      </c>
      <c r="Q99" s="1131">
        <f t="shared" si="20"/>
        <v>31</v>
      </c>
      <c r="R99" s="909">
        <f t="shared" si="23"/>
        <v>6.9044469314105683E-4</v>
      </c>
      <c r="S99" s="812">
        <f t="shared" si="21"/>
        <v>905473.46984047105</v>
      </c>
    </row>
    <row r="100" spans="1:19" ht="13.5">
      <c r="A100" s="216">
        <v>43</v>
      </c>
      <c r="B100" s="237">
        <v>43770</v>
      </c>
      <c r="C100" s="237">
        <v>43799</v>
      </c>
      <c r="D100" s="360">
        <v>0.28544999999999998</v>
      </c>
      <c r="E100" s="239">
        <f t="shared" si="18"/>
        <v>94700896.712294996</v>
      </c>
      <c r="F100" s="240">
        <f t="shared" si="19"/>
        <v>30</v>
      </c>
      <c r="G100" s="241">
        <f t="shared" si="22"/>
        <v>6.8820616169262827E-4</v>
      </c>
      <c r="H100" s="241"/>
      <c r="I100" s="242">
        <f t="shared" si="16"/>
        <v>1974849.1696738449</v>
      </c>
      <c r="J100" s="241"/>
      <c r="M100" s="800">
        <v>43770</v>
      </c>
      <c r="N100" s="800">
        <v>43799</v>
      </c>
      <c r="O100" s="1129">
        <v>0.28544999999999998</v>
      </c>
      <c r="P100" s="1130">
        <f t="shared" si="17"/>
        <v>42304361.084849142</v>
      </c>
      <c r="Q100" s="1131">
        <f t="shared" si="20"/>
        <v>30</v>
      </c>
      <c r="R100" s="909">
        <f t="shared" si="23"/>
        <v>6.8820616169262827E-4</v>
      </c>
      <c r="S100" s="812">
        <f t="shared" si="21"/>
        <v>873423.65895189065</v>
      </c>
    </row>
    <row r="101" spans="1:19" ht="13.5">
      <c r="A101" s="216">
        <v>44</v>
      </c>
      <c r="B101" s="237">
        <v>43800</v>
      </c>
      <c r="C101" s="237">
        <v>43830</v>
      </c>
      <c r="D101" s="360">
        <v>0.28364999999999996</v>
      </c>
      <c r="E101" s="239">
        <f t="shared" si="18"/>
        <v>96675745.881968841</v>
      </c>
      <c r="F101" s="240">
        <f t="shared" si="19"/>
        <v>31</v>
      </c>
      <c r="G101" s="241">
        <f t="shared" si="22"/>
        <v>6.8436443340047504E-4</v>
      </c>
      <c r="H101" s="241"/>
      <c r="I101" s="242">
        <f t="shared" si="16"/>
        <v>2072199.18014748</v>
      </c>
      <c r="J101" s="241"/>
      <c r="M101" s="800">
        <v>43800</v>
      </c>
      <c r="N101" s="800">
        <v>43830</v>
      </c>
      <c r="O101" s="1129">
        <v>0.28364999999999996</v>
      </c>
      <c r="P101" s="1130">
        <f t="shared" si="17"/>
        <v>42304361.084849142</v>
      </c>
      <c r="Q101" s="1131">
        <f t="shared" si="20"/>
        <v>31</v>
      </c>
      <c r="R101" s="909">
        <f t="shared" si="23"/>
        <v>6.8436443340047504E-4</v>
      </c>
      <c r="S101" s="812">
        <f t="shared" si="21"/>
        <v>897499.60323025857</v>
      </c>
    </row>
    <row r="102" spans="1:19" ht="13.5">
      <c r="A102" s="216">
        <v>45</v>
      </c>
      <c r="B102" s="237">
        <v>43831</v>
      </c>
      <c r="C102" s="237">
        <v>43861</v>
      </c>
      <c r="D102" s="360">
        <v>0.28155000000000002</v>
      </c>
      <c r="E102" s="239">
        <f t="shared" si="18"/>
        <v>98747945.062116325</v>
      </c>
      <c r="F102" s="240">
        <f t="shared" si="19"/>
        <v>31</v>
      </c>
      <c r="G102" s="241">
        <f t="shared" si="22"/>
        <v>6.7987562124560696E-4</v>
      </c>
      <c r="H102" s="241"/>
      <c r="I102" s="242">
        <f t="shared" si="16"/>
        <v>2102590.7143011922</v>
      </c>
      <c r="J102" s="241"/>
      <c r="M102" s="800">
        <v>43831</v>
      </c>
      <c r="N102" s="800">
        <v>43861</v>
      </c>
      <c r="O102" s="1129">
        <v>0.28155000000000002</v>
      </c>
      <c r="P102" s="1130">
        <f t="shared" si="17"/>
        <v>42304361.084849142</v>
      </c>
      <c r="Q102" s="1131">
        <f t="shared" si="20"/>
        <v>31</v>
      </c>
      <c r="R102" s="909">
        <f t="shared" si="23"/>
        <v>6.7987562124560696E-4</v>
      </c>
      <c r="S102" s="812">
        <f t="shared" si="21"/>
        <v>891612.81699276902</v>
      </c>
    </row>
    <row r="103" spans="1:19" ht="13.5">
      <c r="A103" s="216">
        <v>46</v>
      </c>
      <c r="B103" s="237">
        <v>43862</v>
      </c>
      <c r="C103" s="237">
        <v>43890</v>
      </c>
      <c r="D103" s="360">
        <v>0.28589999999999999</v>
      </c>
      <c r="E103" s="239">
        <f t="shared" si="18"/>
        <v>100850535.77641752</v>
      </c>
      <c r="F103" s="240">
        <f t="shared" si="19"/>
        <v>29</v>
      </c>
      <c r="G103" s="241">
        <f t="shared" si="22"/>
        <v>6.8916575551658532E-4</v>
      </c>
      <c r="H103" s="241"/>
      <c r="I103" s="242">
        <f t="shared" si="16"/>
        <v>2035147.452140867</v>
      </c>
      <c r="J103" s="241"/>
      <c r="M103" s="800">
        <v>43862</v>
      </c>
      <c r="N103" s="800">
        <v>43890</v>
      </c>
      <c r="O103" s="1129">
        <v>0.28589999999999999</v>
      </c>
      <c r="P103" s="1130">
        <f t="shared" si="17"/>
        <v>42304361.084849142</v>
      </c>
      <c r="Q103" s="1131">
        <f t="shared" si="20"/>
        <v>29</v>
      </c>
      <c r="R103" s="909">
        <f t="shared" si="23"/>
        <v>6.8916575551658532E-4</v>
      </c>
      <c r="S103" s="812">
        <f t="shared" si="21"/>
        <v>845486.79209190828</v>
      </c>
    </row>
    <row r="104" spans="1:19" ht="13.5">
      <c r="A104" s="216">
        <v>47</v>
      </c>
      <c r="B104" s="237">
        <v>43891</v>
      </c>
      <c r="C104" s="237">
        <v>43921</v>
      </c>
      <c r="D104" s="360">
        <v>0.28425</v>
      </c>
      <c r="E104" s="239">
        <f t="shared" si="18"/>
        <v>102885683.22855839</v>
      </c>
      <c r="F104" s="240">
        <f t="shared" si="19"/>
        <v>31</v>
      </c>
      <c r="G104" s="241">
        <f t="shared" si="22"/>
        <v>6.8564560609574166E-4</v>
      </c>
      <c r="H104" s="241"/>
      <c r="I104" s="242">
        <f t="shared" si="16"/>
        <v>2209477.3253358933</v>
      </c>
      <c r="J104" s="241"/>
      <c r="M104" s="800">
        <v>43891</v>
      </c>
      <c r="N104" s="800">
        <v>43921</v>
      </c>
      <c r="O104" s="1129">
        <v>0.28425</v>
      </c>
      <c r="P104" s="1130">
        <f t="shared" si="17"/>
        <v>42304361.084849142</v>
      </c>
      <c r="Q104" s="1131">
        <f t="shared" si="20"/>
        <v>31</v>
      </c>
      <c r="R104" s="909">
        <f t="shared" si="23"/>
        <v>6.8564560609574166E-4</v>
      </c>
      <c r="S104" s="812">
        <f t="shared" si="21"/>
        <v>899179.77819194936</v>
      </c>
    </row>
    <row r="105" spans="1:19" ht="13.5">
      <c r="A105" s="216">
        <v>48</v>
      </c>
      <c r="B105" s="237">
        <v>43922</v>
      </c>
      <c r="C105" s="237">
        <v>43951</v>
      </c>
      <c r="D105" s="360">
        <v>0.28034999999999999</v>
      </c>
      <c r="E105" s="239">
        <f t="shared" si="18"/>
        <v>105095160.55389428</v>
      </c>
      <c r="F105" s="240">
        <f t="shared" si="19"/>
        <v>30</v>
      </c>
      <c r="G105" s="241">
        <f t="shared" si="22"/>
        <v>6.7730729113191224E-4</v>
      </c>
      <c r="H105" s="241"/>
      <c r="I105" s="242">
        <f t="shared" si="16"/>
        <v>2156556.9149331837</v>
      </c>
      <c r="J105" s="241"/>
      <c r="M105" s="800">
        <v>43922</v>
      </c>
      <c r="N105" s="800">
        <v>43951</v>
      </c>
      <c r="O105" s="1129">
        <v>0.28034999999999999</v>
      </c>
      <c r="P105" s="1130">
        <f t="shared" si="17"/>
        <v>42304361.084849142</v>
      </c>
      <c r="Q105" s="1131">
        <f t="shared" si="20"/>
        <v>30</v>
      </c>
      <c r="R105" s="909">
        <f t="shared" si="23"/>
        <v>6.7730729113191224E-4</v>
      </c>
      <c r="S105" s="812">
        <f t="shared" si="21"/>
        <v>859591.56628336373</v>
      </c>
    </row>
    <row r="106" spans="1:19" ht="13.5">
      <c r="A106" s="216">
        <v>49</v>
      </c>
      <c r="B106" s="237">
        <v>43952</v>
      </c>
      <c r="C106" s="237">
        <v>43982</v>
      </c>
      <c r="D106" s="360">
        <v>0.27285000000000004</v>
      </c>
      <c r="E106" s="239">
        <f t="shared" si="18"/>
        <v>107251717.46882747</v>
      </c>
      <c r="F106" s="240">
        <f t="shared" si="19"/>
        <v>31</v>
      </c>
      <c r="G106" s="241">
        <f t="shared" si="22"/>
        <v>6.6120063584418354E-4</v>
      </c>
      <c r="H106" s="241"/>
      <c r="I106" s="242">
        <f t="shared" si="16"/>
        <v>2220305.3987201201</v>
      </c>
      <c r="J106" s="241"/>
      <c r="M106" s="800">
        <v>43952</v>
      </c>
      <c r="N106" s="800">
        <v>43982</v>
      </c>
      <c r="O106" s="1129">
        <v>0.27285000000000004</v>
      </c>
      <c r="P106" s="1130">
        <f t="shared" si="17"/>
        <v>42304361.084849142</v>
      </c>
      <c r="Q106" s="1131">
        <f t="shared" si="20"/>
        <v>31</v>
      </c>
      <c r="R106" s="909">
        <f t="shared" si="23"/>
        <v>6.6120063584418354E-4</v>
      </c>
      <c r="S106" s="812">
        <f t="shared" si="21"/>
        <v>867121.78389680979</v>
      </c>
    </row>
    <row r="107" spans="1:19" ht="13.5">
      <c r="A107" s="216">
        <v>50</v>
      </c>
      <c r="B107" s="237">
        <v>43983</v>
      </c>
      <c r="C107" s="237">
        <v>44012</v>
      </c>
      <c r="D107" s="360">
        <v>0.27179999999999999</v>
      </c>
      <c r="E107" s="239">
        <f t="shared" si="18"/>
        <v>109472022.86754759</v>
      </c>
      <c r="F107" s="240">
        <f t="shared" si="19"/>
        <v>30</v>
      </c>
      <c r="G107" s="241">
        <f t="shared" si="22"/>
        <v>6.5893815469997286E-4</v>
      </c>
      <c r="H107" s="241"/>
      <c r="I107" s="242">
        <f t="shared" si="16"/>
        <v>2184863.2364894585</v>
      </c>
      <c r="J107" s="241"/>
      <c r="M107" s="800">
        <v>43983</v>
      </c>
      <c r="N107" s="800">
        <v>44012</v>
      </c>
      <c r="O107" s="1129">
        <v>0.27179999999999999</v>
      </c>
      <c r="P107" s="1130">
        <f t="shared" si="17"/>
        <v>42304361.084849142</v>
      </c>
      <c r="Q107" s="1131">
        <f t="shared" si="20"/>
        <v>30</v>
      </c>
      <c r="R107" s="909">
        <f t="shared" si="23"/>
        <v>6.5893815469997286E-4</v>
      </c>
      <c r="S107" s="812">
        <f t="shared" si="21"/>
        <v>836278.72887035506</v>
      </c>
    </row>
    <row r="108" spans="1:19" ht="13.5">
      <c r="A108" s="216">
        <v>51</v>
      </c>
      <c r="B108" s="237">
        <v>44013</v>
      </c>
      <c r="C108" s="237">
        <v>44043</v>
      </c>
      <c r="D108" s="360">
        <v>0.27179999999999999</v>
      </c>
      <c r="E108" s="239">
        <f t="shared" si="18"/>
        <v>111656886.10403705</v>
      </c>
      <c r="F108" s="240">
        <f t="shared" si="19"/>
        <v>31</v>
      </c>
      <c r="G108" s="241">
        <f t="shared" si="22"/>
        <v>6.5893815469997286E-4</v>
      </c>
      <c r="H108" s="241"/>
      <c r="I108" s="242">
        <f t="shared" si="16"/>
        <v>2303512.5540210544</v>
      </c>
      <c r="J108" s="241"/>
      <c r="M108" s="800">
        <v>44013</v>
      </c>
      <c r="N108" s="800">
        <v>44043</v>
      </c>
      <c r="O108" s="1129">
        <v>0.27179999999999999</v>
      </c>
      <c r="P108" s="1130">
        <f t="shared" si="17"/>
        <v>42304361.084849142</v>
      </c>
      <c r="Q108" s="1131">
        <f t="shared" si="20"/>
        <v>31</v>
      </c>
      <c r="R108" s="909">
        <f t="shared" si="23"/>
        <v>6.5893815469997286E-4</v>
      </c>
      <c r="S108" s="812">
        <f t="shared" si="21"/>
        <v>864154.68649936689</v>
      </c>
    </row>
    <row r="109" spans="1:19" ht="13.5">
      <c r="A109" s="216">
        <v>52</v>
      </c>
      <c r="B109" s="237">
        <v>44044</v>
      </c>
      <c r="C109" s="237">
        <v>44074</v>
      </c>
      <c r="D109" s="360">
        <v>0.27434999999999998</v>
      </c>
      <c r="E109" s="239">
        <f t="shared" si="18"/>
        <v>113960398.65805811</v>
      </c>
      <c r="F109" s="240">
        <f t="shared" si="19"/>
        <v>31</v>
      </c>
      <c r="G109" s="241">
        <f t="shared" si="22"/>
        <v>6.6442952514544906E-4</v>
      </c>
      <c r="H109" s="241"/>
      <c r="I109" s="242">
        <f t="shared" si="16"/>
        <v>2370823.2321093115</v>
      </c>
      <c r="J109" s="241"/>
      <c r="M109" s="800">
        <v>44044</v>
      </c>
      <c r="N109" s="800">
        <v>44074</v>
      </c>
      <c r="O109" s="1129">
        <v>0.27434999999999998</v>
      </c>
      <c r="P109" s="1130">
        <f t="shared" si="17"/>
        <v>42304361.084849142</v>
      </c>
      <c r="Q109" s="1131">
        <f t="shared" si="20"/>
        <v>31</v>
      </c>
      <c r="R109" s="909">
        <f t="shared" si="23"/>
        <v>6.6442952514544906E-4</v>
      </c>
      <c r="S109" s="812">
        <f t="shared" si="21"/>
        <v>871356.26296282583</v>
      </c>
    </row>
    <row r="110" spans="1:19" ht="13.5">
      <c r="A110" s="216">
        <v>53</v>
      </c>
      <c r="B110" s="237">
        <v>44075</v>
      </c>
      <c r="C110" s="237">
        <v>44104</v>
      </c>
      <c r="D110" s="360">
        <v>0.27524999999999999</v>
      </c>
      <c r="E110" s="239">
        <f t="shared" si="18"/>
        <v>116331221.89016742</v>
      </c>
      <c r="F110" s="240">
        <f t="shared" si="19"/>
        <v>30</v>
      </c>
      <c r="G110" s="241">
        <f t="shared" si="22"/>
        <v>6.6636503991857055E-4</v>
      </c>
      <c r="H110" s="241"/>
      <c r="I110" s="242">
        <f t="shared" si="16"/>
        <v>2348182.5187444468</v>
      </c>
      <c r="J110" s="241"/>
      <c r="M110" s="800">
        <v>44075</v>
      </c>
      <c r="N110" s="800">
        <v>44104</v>
      </c>
      <c r="O110" s="1129">
        <v>0.27524999999999999</v>
      </c>
      <c r="P110" s="1130">
        <f t="shared" si="17"/>
        <v>42304361.084849142</v>
      </c>
      <c r="Q110" s="1131">
        <f t="shared" si="20"/>
        <v>30</v>
      </c>
      <c r="R110" s="909">
        <f t="shared" si="23"/>
        <v>6.6636503991857055E-4</v>
      </c>
      <c r="S110" s="812">
        <f t="shared" si="21"/>
        <v>845704.4178910536</v>
      </c>
    </row>
    <row r="111" spans="1:19" ht="13.5">
      <c r="A111" s="216">
        <v>54</v>
      </c>
      <c r="B111" s="237">
        <v>44105</v>
      </c>
      <c r="C111" s="237">
        <v>44135</v>
      </c>
      <c r="D111" s="360">
        <v>0.27134999999999998</v>
      </c>
      <c r="E111" s="239">
        <f t="shared" si="18"/>
        <v>118679404.40891187</v>
      </c>
      <c r="F111" s="240">
        <f t="shared" si="19"/>
        <v>31</v>
      </c>
      <c r="G111" s="241">
        <f t="shared" si="22"/>
        <v>6.5796794962613703E-4</v>
      </c>
      <c r="H111" s="241"/>
      <c r="I111" s="242">
        <f t="shared" si="16"/>
        <v>2444748.4250993636</v>
      </c>
      <c r="J111" s="241"/>
      <c r="M111" s="800">
        <v>44105</v>
      </c>
      <c r="N111" s="800">
        <v>44135</v>
      </c>
      <c r="O111" s="1129">
        <v>0.27134999999999998</v>
      </c>
      <c r="P111" s="1130">
        <f t="shared" si="17"/>
        <v>42304361.084849142</v>
      </c>
      <c r="Q111" s="1131">
        <f t="shared" si="20"/>
        <v>31</v>
      </c>
      <c r="R111" s="909">
        <f t="shared" si="23"/>
        <v>6.5796794962613703E-4</v>
      </c>
      <c r="S111" s="812">
        <f t="shared" si="21"/>
        <v>862882.3254204999</v>
      </c>
    </row>
    <row r="112" spans="1:19" ht="13.5">
      <c r="A112" s="216">
        <v>55</v>
      </c>
      <c r="B112" s="237">
        <v>44136</v>
      </c>
      <c r="C112" s="237">
        <v>44165</v>
      </c>
      <c r="D112" s="360">
        <v>0.2676</v>
      </c>
      <c r="E112" s="239">
        <f t="shared" si="18"/>
        <v>121124152.83401123</v>
      </c>
      <c r="F112" s="240">
        <f t="shared" si="19"/>
        <v>30</v>
      </c>
      <c r="G112" s="241">
        <f t="shared" si="22"/>
        <v>6.4986956374091243E-4</v>
      </c>
      <c r="H112" s="241"/>
      <c r="I112" s="242">
        <f t="shared" si="16"/>
        <v>2383834.7461182126</v>
      </c>
      <c r="J112" s="241"/>
      <c r="M112" s="800">
        <v>44136</v>
      </c>
      <c r="N112" s="800">
        <v>44165</v>
      </c>
      <c r="O112" s="1129">
        <v>0.2676</v>
      </c>
      <c r="P112" s="1130">
        <f t="shared" si="17"/>
        <v>42304361.084849142</v>
      </c>
      <c r="Q112" s="1131">
        <f t="shared" si="20"/>
        <v>30</v>
      </c>
      <c r="R112" s="909">
        <f t="shared" si="23"/>
        <v>6.4986956374091243E-4</v>
      </c>
      <c r="S112" s="812">
        <f t="shared" si="21"/>
        <v>824769.50047646835</v>
      </c>
    </row>
    <row r="113" spans="1:19" ht="13.5">
      <c r="A113" s="216">
        <v>56</v>
      </c>
      <c r="B113" s="237">
        <v>44166</v>
      </c>
      <c r="C113" s="237">
        <v>44196</v>
      </c>
      <c r="D113" s="360">
        <v>0.26190000000000002</v>
      </c>
      <c r="E113" s="239">
        <f t="shared" si="18"/>
        <v>123507987.58012944</v>
      </c>
      <c r="F113" s="240">
        <f t="shared" si="19"/>
        <v>31</v>
      </c>
      <c r="G113" s="241">
        <f t="shared" si="22"/>
        <v>6.3751414410861962E-4</v>
      </c>
      <c r="H113" s="241"/>
      <c r="I113" s="242">
        <f t="shared" si="16"/>
        <v>2464366.6878455137</v>
      </c>
      <c r="J113" s="241"/>
      <c r="M113" s="800">
        <v>44166</v>
      </c>
      <c r="N113" s="800">
        <v>44196</v>
      </c>
      <c r="O113" s="1129">
        <v>0.26190000000000002</v>
      </c>
      <c r="P113" s="1130">
        <f t="shared" si="17"/>
        <v>42304361.084849142</v>
      </c>
      <c r="Q113" s="1131">
        <f t="shared" si="20"/>
        <v>31</v>
      </c>
      <c r="R113" s="909">
        <f t="shared" si="23"/>
        <v>6.3751414410861962E-4</v>
      </c>
      <c r="S113" s="812">
        <f t="shared" si="21"/>
        <v>836058.48502115742</v>
      </c>
    </row>
    <row r="114" spans="1:19" ht="13.5">
      <c r="A114" s="216">
        <v>57</v>
      </c>
      <c r="B114" s="237">
        <v>44197</v>
      </c>
      <c r="C114" s="237">
        <v>44227</v>
      </c>
      <c r="D114" s="360">
        <v>0.25979999999999998</v>
      </c>
      <c r="E114" s="239">
        <f t="shared" si="18"/>
        <v>125972354.26797496</v>
      </c>
      <c r="F114" s="240">
        <f t="shared" si="19"/>
        <v>31</v>
      </c>
      <c r="G114" s="241">
        <f t="shared" si="22"/>
        <v>6.3294811266723094E-4</v>
      </c>
      <c r="H114" s="241"/>
      <c r="I114" s="242">
        <f t="shared" si="16"/>
        <v>2495364.4735748861</v>
      </c>
      <c r="J114" s="241"/>
      <c r="M114" s="800">
        <v>44197</v>
      </c>
      <c r="N114" s="800">
        <v>44227</v>
      </c>
      <c r="O114" s="1129">
        <v>0.25979999999999998</v>
      </c>
      <c r="P114" s="1130">
        <f t="shared" si="17"/>
        <v>42304361.084849142</v>
      </c>
      <c r="Q114" s="1131">
        <f t="shared" si="20"/>
        <v>31</v>
      </c>
      <c r="R114" s="909">
        <f t="shared" si="23"/>
        <v>6.3294811266723094E-4</v>
      </c>
      <c r="S114" s="812">
        <f t="shared" si="21"/>
        <v>830070.43069369777</v>
      </c>
    </row>
    <row r="115" spans="1:19" ht="13.5">
      <c r="A115" s="216">
        <v>58</v>
      </c>
      <c r="B115" s="237">
        <v>44228</v>
      </c>
      <c r="C115" s="237">
        <v>44255</v>
      </c>
      <c r="D115" s="360">
        <v>0.2631</v>
      </c>
      <c r="E115" s="239">
        <f t="shared" si="18"/>
        <v>128467718.74154985</v>
      </c>
      <c r="F115" s="240">
        <f t="shared" si="19"/>
        <v>28</v>
      </c>
      <c r="G115" s="241">
        <f t="shared" si="22"/>
        <v>6.4011990387169426E-4</v>
      </c>
      <c r="H115" s="241"/>
      <c r="I115" s="242">
        <f t="shared" si="16"/>
        <v>2322581.6129977312</v>
      </c>
      <c r="J115" s="241"/>
      <c r="M115" s="800">
        <v>44228</v>
      </c>
      <c r="N115" s="800">
        <v>44255</v>
      </c>
      <c r="O115" s="1129">
        <v>0.2631</v>
      </c>
      <c r="P115" s="1130">
        <f t="shared" si="17"/>
        <v>42304361.084849142</v>
      </c>
      <c r="Q115" s="1131">
        <f t="shared" si="20"/>
        <v>28</v>
      </c>
      <c r="R115" s="909">
        <f t="shared" si="23"/>
        <v>6.4011990387169426E-4</v>
      </c>
      <c r="S115" s="812">
        <f t="shared" si="21"/>
        <v>758236.17942763818</v>
      </c>
    </row>
    <row r="116" spans="1:19" ht="13.5">
      <c r="A116" s="216">
        <v>59</v>
      </c>
      <c r="B116" s="237">
        <v>44256</v>
      </c>
      <c r="C116" s="237">
        <v>44286</v>
      </c>
      <c r="D116" s="360">
        <v>0.26114999999999999</v>
      </c>
      <c r="E116" s="239">
        <f t="shared" si="18"/>
        <v>130790300.35454758</v>
      </c>
      <c r="F116" s="240">
        <f t="shared" si="19"/>
        <v>31</v>
      </c>
      <c r="G116" s="241">
        <f t="shared" si="22"/>
        <v>6.3588428907812578E-4</v>
      </c>
      <c r="H116" s="241"/>
      <c r="I116" s="242">
        <f t="shared" si="16"/>
        <v>2602935.7287516273</v>
      </c>
      <c r="J116" s="241"/>
      <c r="M116" s="800">
        <v>44256</v>
      </c>
      <c r="N116" s="800">
        <v>44286</v>
      </c>
      <c r="O116" s="1129">
        <v>0.26114999999999999</v>
      </c>
      <c r="P116" s="1130">
        <f t="shared" si="17"/>
        <v>42304361.084849142</v>
      </c>
      <c r="Q116" s="1131">
        <f t="shared" si="20"/>
        <v>31</v>
      </c>
      <c r="R116" s="909">
        <f t="shared" si="23"/>
        <v>6.3588428907812578E-4</v>
      </c>
      <c r="S116" s="812">
        <f t="shared" si="21"/>
        <v>833921.03577365237</v>
      </c>
    </row>
    <row r="117" spans="1:19" ht="13.5">
      <c r="A117" s="216">
        <v>60</v>
      </c>
      <c r="B117" s="237">
        <v>44287</v>
      </c>
      <c r="C117" s="237">
        <v>44316</v>
      </c>
      <c r="D117" s="360">
        <v>0.25964999999999999</v>
      </c>
      <c r="E117" s="239">
        <f t="shared" si="18"/>
        <v>133393236.0832992</v>
      </c>
      <c r="F117" s="240">
        <f t="shared" si="19"/>
        <v>30</v>
      </c>
      <c r="G117" s="241">
        <f t="shared" si="22"/>
        <v>6.326216771728177E-4</v>
      </c>
      <c r="H117" s="241"/>
      <c r="I117" s="242">
        <f t="shared" si="16"/>
        <v>2554983.9060884723</v>
      </c>
      <c r="J117" s="241"/>
      <c r="M117" s="800">
        <v>44287</v>
      </c>
      <c r="N117" s="800">
        <v>44316</v>
      </c>
      <c r="O117" s="1129">
        <v>0.25964999999999999</v>
      </c>
      <c r="P117" s="1130">
        <f t="shared" si="17"/>
        <v>42304361.084849142</v>
      </c>
      <c r="Q117" s="1131">
        <f t="shared" si="20"/>
        <v>30</v>
      </c>
      <c r="R117" s="909">
        <f t="shared" si="23"/>
        <v>6.326216771728177E-4</v>
      </c>
      <c r="S117" s="812">
        <f t="shared" si="21"/>
        <v>802879.6758366524</v>
      </c>
    </row>
    <row r="118" spans="1:19" ht="13.5">
      <c r="A118" s="216">
        <v>61</v>
      </c>
      <c r="B118" s="237">
        <v>44317</v>
      </c>
      <c r="C118" s="237">
        <v>44347</v>
      </c>
      <c r="D118" s="360">
        <v>0.25829999999999997</v>
      </c>
      <c r="E118" s="239">
        <f t="shared" si="18"/>
        <v>135948219.98938769</v>
      </c>
      <c r="F118" s="240">
        <f t="shared" si="19"/>
        <v>31</v>
      </c>
      <c r="G118" s="241">
        <f t="shared" si="22"/>
        <v>6.2968201205726437E-4</v>
      </c>
      <c r="H118" s="241"/>
      <c r="I118" s="242">
        <f t="shared" si="16"/>
        <v>2678946.9312689607</v>
      </c>
      <c r="J118" s="241"/>
      <c r="M118" s="800">
        <v>44317</v>
      </c>
      <c r="N118" s="800">
        <v>44347</v>
      </c>
      <c r="O118" s="1129">
        <v>0.25829999999999997</v>
      </c>
      <c r="P118" s="1130">
        <f t="shared" si="17"/>
        <v>42304361.084849142</v>
      </c>
      <c r="Q118" s="1131">
        <f t="shared" si="20"/>
        <v>31</v>
      </c>
      <c r="R118" s="909">
        <f t="shared" si="23"/>
        <v>6.2968201205726437E-4</v>
      </c>
      <c r="S118" s="812">
        <f t="shared" si="21"/>
        <v>825787.15140785009</v>
      </c>
    </row>
    <row r="119" spans="1:19" ht="13.5">
      <c r="A119" s="216">
        <v>62</v>
      </c>
      <c r="B119" s="237">
        <v>44348</v>
      </c>
      <c r="C119" s="237">
        <v>44377</v>
      </c>
      <c r="D119" s="361">
        <v>0.25814999999999999</v>
      </c>
      <c r="E119" s="239">
        <f t="shared" si="18"/>
        <v>138627166.92065665</v>
      </c>
      <c r="F119" s="240">
        <f t="shared" si="19"/>
        <v>30</v>
      </c>
      <c r="G119" s="241">
        <f t="shared" si="22"/>
        <v>6.2935518846773952E-4</v>
      </c>
      <c r="H119" s="241"/>
      <c r="I119" s="242">
        <f t="shared" si="16"/>
        <v>2641397.9218465588</v>
      </c>
      <c r="J119" s="241"/>
      <c r="M119" s="800">
        <v>44348</v>
      </c>
      <c r="N119" s="800">
        <v>44377</v>
      </c>
      <c r="O119" s="1120">
        <v>0.25814999999999999</v>
      </c>
      <c r="P119" s="1130">
        <f t="shared" si="17"/>
        <v>42304361.084849142</v>
      </c>
      <c r="Q119" s="1131">
        <f t="shared" si="20"/>
        <v>30</v>
      </c>
      <c r="R119" s="909">
        <f t="shared" si="23"/>
        <v>6.2935518846773952E-4</v>
      </c>
      <c r="S119" s="812">
        <f t="shared" si="21"/>
        <v>798734.07430687617</v>
      </c>
    </row>
    <row r="120" spans="1:19" ht="13.5">
      <c r="A120" s="216">
        <v>63</v>
      </c>
      <c r="B120" s="237">
        <v>44378</v>
      </c>
      <c r="C120" s="237">
        <v>44408</v>
      </c>
      <c r="D120" s="361">
        <f>17.18%*1.5</f>
        <v>0.25770000000000004</v>
      </c>
      <c r="E120" s="239">
        <f t="shared" si="18"/>
        <v>141268564.84250322</v>
      </c>
      <c r="F120" s="240">
        <f t="shared" si="19"/>
        <v>31</v>
      </c>
      <c r="G120" s="241">
        <f t="shared" si="22"/>
        <v>6.2837448450037137E-4</v>
      </c>
      <c r="H120" s="241"/>
      <c r="I120" s="242">
        <f t="shared" si="16"/>
        <v>2777952.6050705826</v>
      </c>
      <c r="J120" s="241"/>
      <c r="M120" s="800">
        <v>44378</v>
      </c>
      <c r="N120" s="800">
        <v>44408</v>
      </c>
      <c r="O120" s="1120">
        <f>17.18%*1.5</f>
        <v>0.25770000000000004</v>
      </c>
      <c r="P120" s="1130">
        <f t="shared" si="17"/>
        <v>42304361.084849142</v>
      </c>
      <c r="Q120" s="1131">
        <f t="shared" si="20"/>
        <v>31</v>
      </c>
      <c r="R120" s="909">
        <f t="shared" si="23"/>
        <v>6.2837448450037137E-4</v>
      </c>
      <c r="S120" s="812">
        <f t="shared" si="21"/>
        <v>824072.41375309916</v>
      </c>
    </row>
    <row r="121" spans="1:19" ht="13.5">
      <c r="A121" s="216">
        <v>64</v>
      </c>
      <c r="B121" s="237">
        <v>44409</v>
      </c>
      <c r="C121" s="237">
        <v>44439</v>
      </c>
      <c r="D121" s="361">
        <f>17.24*1.5%</f>
        <v>0.25859999999999994</v>
      </c>
      <c r="E121" s="239">
        <f t="shared" si="18"/>
        <v>144046517.44757381</v>
      </c>
      <c r="F121" s="240">
        <f t="shared" si="19"/>
        <v>31</v>
      </c>
      <c r="G121" s="241">
        <f t="shared" si="22"/>
        <v>6.3033554269220637E-4</v>
      </c>
      <c r="H121" s="241"/>
      <c r="I121" s="242">
        <f t="shared" si="16"/>
        <v>2841503.0471658725</v>
      </c>
      <c r="J121" s="241"/>
      <c r="M121" s="800">
        <v>44409</v>
      </c>
      <c r="N121" s="800">
        <v>44439</v>
      </c>
      <c r="O121" s="1120">
        <f>17.24*1.5%</f>
        <v>0.25859999999999994</v>
      </c>
      <c r="P121" s="1130">
        <f t="shared" si="17"/>
        <v>42304361.084849142</v>
      </c>
      <c r="Q121" s="1131">
        <f t="shared" si="20"/>
        <v>31</v>
      </c>
      <c r="R121" s="909">
        <f t="shared" si="23"/>
        <v>6.3033554269220637E-4</v>
      </c>
      <c r="S121" s="812">
        <f t="shared" si="21"/>
        <v>826644.21448262862</v>
      </c>
    </row>
    <row r="122" spans="1:19" ht="13.5">
      <c r="A122" s="216">
        <v>65</v>
      </c>
      <c r="B122" s="237">
        <v>44440</v>
      </c>
      <c r="C122" s="237">
        <v>44469</v>
      </c>
      <c r="D122" s="361">
        <f>17.19*1.5%</f>
        <v>0.25785000000000002</v>
      </c>
      <c r="E122" s="239">
        <f t="shared" si="18"/>
        <v>146888020.49473968</v>
      </c>
      <c r="F122" s="240">
        <f t="shared" si="19"/>
        <v>30</v>
      </c>
      <c r="G122" s="241">
        <f t="shared" si="22"/>
        <v>6.2870142469861889E-4</v>
      </c>
      <c r="H122" s="241"/>
      <c r="I122" s="242">
        <f>E122*(((1+G122)^F122)-1)</f>
        <v>2795866.0602254751</v>
      </c>
      <c r="J122" s="241"/>
      <c r="M122" s="800">
        <v>44440</v>
      </c>
      <c r="N122" s="800">
        <v>44469</v>
      </c>
      <c r="O122" s="1120">
        <f>17.19*1.5%</f>
        <v>0.25785000000000002</v>
      </c>
      <c r="P122" s="1130">
        <f>+$N$56</f>
        <v>42304361.084849142</v>
      </c>
      <c r="Q122" s="1131">
        <f t="shared" si="20"/>
        <v>30</v>
      </c>
      <c r="R122" s="909">
        <f t="shared" si="23"/>
        <v>6.2870142469861889E-4</v>
      </c>
      <c r="S122" s="812">
        <f>+P122*Q122*R122</f>
        <v>797904.36255028402</v>
      </c>
    </row>
    <row r="123" spans="1:19" ht="13.5">
      <c r="B123" s="539"/>
      <c r="C123" s="539"/>
      <c r="D123" s="540"/>
      <c r="E123" s="541"/>
      <c r="F123" s="542"/>
      <c r="G123" s="543"/>
      <c r="H123" s="543"/>
      <c r="I123" s="544"/>
      <c r="J123" s="543"/>
      <c r="M123" s="800">
        <v>44470</v>
      </c>
      <c r="N123" s="800">
        <v>44500</v>
      </c>
      <c r="O123" s="1120">
        <f>17.08*1.5%</f>
        <v>0.25619999999999998</v>
      </c>
      <c r="P123" s="1130">
        <f>+$N$56</f>
        <v>42304361.084849142</v>
      </c>
      <c r="Q123" s="1131">
        <f>_xlfn.DAYS(N123,M123)+1</f>
        <v>31</v>
      </c>
      <c r="R123" s="909">
        <f t="shared" si="23"/>
        <v>6.2510294214179751E-4</v>
      </c>
      <c r="S123" s="812">
        <f>+P123*Q123*R123</f>
        <v>819781.99796661304</v>
      </c>
    </row>
    <row r="124" spans="1:19" ht="14.25" thickBot="1">
      <c r="E124" s="362" t="s">
        <v>207</v>
      </c>
      <c r="F124" s="362"/>
      <c r="G124" s="362"/>
      <c r="H124" s="362"/>
      <c r="I124" s="249">
        <f>SUM(I58:I122)</f>
        <v>107379525.4701159</v>
      </c>
      <c r="M124" s="800">
        <v>44501</v>
      </c>
      <c r="N124" s="800">
        <v>44530</v>
      </c>
      <c r="O124" s="1120">
        <f>17.27*1.5%</f>
        <v>0.25905</v>
      </c>
      <c r="P124" s="1130">
        <f>+$N$56</f>
        <v>42304361.084849142</v>
      </c>
      <c r="Q124" s="1131">
        <f>_xlfn.DAYS(N124,M124)+1</f>
        <v>30</v>
      </c>
      <c r="R124" s="909">
        <f>((1+O124)^(1/365))-1</f>
        <v>6.3131554742335005E-4</v>
      </c>
      <c r="S124" s="812">
        <f>+P124*Q124*R124</f>
        <v>801222.02630029817</v>
      </c>
    </row>
    <row r="125" spans="1:19" ht="14.25" thickTop="1">
      <c r="G125" s="221"/>
      <c r="H125" s="221"/>
      <c r="I125" s="221"/>
      <c r="J125" s="221"/>
      <c r="K125" s="561"/>
      <c r="M125" s="800">
        <v>44531</v>
      </c>
      <c r="N125" s="800">
        <v>44543</v>
      </c>
      <c r="O125" s="1120">
        <f>17.46*1.5%</f>
        <v>0.26190000000000002</v>
      </c>
      <c r="P125" s="1130">
        <f>+$N$56</f>
        <v>42304361.084849142</v>
      </c>
      <c r="Q125" s="1131">
        <f>_xlfn.DAYS(N125,M125)+1</f>
        <v>13</v>
      </c>
      <c r="R125" s="909">
        <f>((1+O125)^(1/365))-1</f>
        <v>6.3751414410861962E-4</v>
      </c>
      <c r="S125" s="812">
        <f>+P125*Q125*R125</f>
        <v>350605.17113790469</v>
      </c>
    </row>
    <row r="126" spans="1:19" ht="14.25" thickBot="1">
      <c r="M126" s="814"/>
      <c r="N126" s="814"/>
      <c r="O126" s="814"/>
      <c r="P126" s="814"/>
      <c r="Q126" s="814"/>
      <c r="R126" s="1137" t="s">
        <v>207</v>
      </c>
      <c r="S126" s="859">
        <f>SUM(S58:S125)</f>
        <v>55424725.650106423</v>
      </c>
    </row>
    <row r="127" spans="1:19" ht="14.25" thickTop="1">
      <c r="M127" s="1132" t="s">
        <v>178</v>
      </c>
      <c r="N127" s="800">
        <v>40697</v>
      </c>
      <c r="O127" s="800">
        <v>40908</v>
      </c>
      <c r="P127" s="1131">
        <f>_xlfn.DAYS(O127,N127)+1</f>
        <v>212</v>
      </c>
      <c r="Q127" s="814"/>
      <c r="R127" s="814"/>
      <c r="S127" s="814"/>
    </row>
    <row r="128" spans="1:19" ht="13.5">
      <c r="M128" s="1132" t="s">
        <v>179</v>
      </c>
      <c r="N128" s="800">
        <v>41073</v>
      </c>
      <c r="O128" s="800">
        <v>40909</v>
      </c>
      <c r="P128" s="1131">
        <f>_xlfn.DAYS(N128,O128)+1</f>
        <v>165</v>
      </c>
      <c r="Q128" s="814"/>
      <c r="R128" s="814"/>
      <c r="S128" s="814"/>
    </row>
    <row r="129" spans="2:19" ht="13.5">
      <c r="B129" s="347" t="s">
        <v>178</v>
      </c>
      <c r="C129" s="237">
        <v>40697</v>
      </c>
      <c r="D129" s="237">
        <v>40908</v>
      </c>
      <c r="E129" s="240">
        <f>_xlfn.DAYS(D129,C129)+1</f>
        <v>212</v>
      </c>
      <c r="M129" s="814"/>
      <c r="N129" s="814"/>
      <c r="O129" s="814"/>
      <c r="P129" s="1131"/>
      <c r="Q129" s="814"/>
      <c r="R129" s="814"/>
      <c r="S129" s="814"/>
    </row>
    <row r="130" spans="2:19" ht="13.5">
      <c r="B130" s="347" t="s">
        <v>179</v>
      </c>
      <c r="C130" s="237">
        <v>41073</v>
      </c>
      <c r="D130" s="237">
        <v>40909</v>
      </c>
      <c r="E130" s="240">
        <f>_xlfn.DAYS(C130,D130)+1</f>
        <v>165</v>
      </c>
      <c r="M130" s="1133"/>
      <c r="N130" s="726" t="s">
        <v>208</v>
      </c>
      <c r="O130" s="741"/>
      <c r="P130" s="741"/>
      <c r="Q130" s="1036"/>
      <c r="R130" s="814"/>
      <c r="S130" s="814"/>
    </row>
    <row r="131" spans="2:19" ht="13.5">
      <c r="E131" s="240"/>
      <c r="M131" s="741" t="s">
        <v>209</v>
      </c>
      <c r="N131" s="741"/>
      <c r="O131" s="735" t="s">
        <v>76</v>
      </c>
      <c r="P131" s="735" t="s">
        <v>77</v>
      </c>
      <c r="Q131" s="1036" t="s">
        <v>57</v>
      </c>
      <c r="R131" s="814"/>
      <c r="S131" s="814"/>
    </row>
    <row r="132" spans="2:19" ht="13.5">
      <c r="B132" s="363"/>
      <c r="C132" s="354" t="s">
        <v>208</v>
      </c>
      <c r="D132" s="233"/>
      <c r="E132" s="233"/>
      <c r="F132" s="231"/>
      <c r="M132" s="741" t="s">
        <v>210</v>
      </c>
      <c r="N132" s="741"/>
      <c r="O132" s="1134">
        <v>92.1</v>
      </c>
      <c r="P132" s="735"/>
      <c r="Q132" s="1036"/>
      <c r="R132" s="814"/>
      <c r="S132" s="814"/>
    </row>
    <row r="133" spans="2:19" ht="13.5">
      <c r="B133" s="233" t="s">
        <v>209</v>
      </c>
      <c r="C133" s="233"/>
      <c r="D133" s="228" t="s">
        <v>76</v>
      </c>
      <c r="E133" s="228" t="s">
        <v>77</v>
      </c>
      <c r="F133" s="231" t="s">
        <v>57</v>
      </c>
      <c r="M133" s="735">
        <v>2011</v>
      </c>
      <c r="N133" s="1036">
        <f>(C11*P127)/360</f>
        <v>1398484.5</v>
      </c>
      <c r="O133" s="1134">
        <v>76.19</v>
      </c>
      <c r="P133" s="1135">
        <f>+O132/O133</f>
        <v>1.2088200551253445</v>
      </c>
      <c r="Q133" s="1036">
        <f>+N133*P133</f>
        <v>1690516.1103819399</v>
      </c>
      <c r="R133" s="814"/>
      <c r="S133" s="814"/>
    </row>
    <row r="134" spans="2:19" ht="13.5">
      <c r="B134" s="233" t="s">
        <v>210</v>
      </c>
      <c r="C134" s="233"/>
      <c r="D134" s="364">
        <f>+D9</f>
        <v>92.1</v>
      </c>
      <c r="E134" s="228"/>
      <c r="F134" s="231"/>
      <c r="M134" s="735">
        <v>2012</v>
      </c>
      <c r="N134" s="1036">
        <f>(C32*P128)/360</f>
        <v>1142865.1666666667</v>
      </c>
      <c r="O134" s="1134">
        <v>78.05</v>
      </c>
      <c r="P134" s="1135">
        <v>1</v>
      </c>
      <c r="Q134" s="1036">
        <f>+N134*P134</f>
        <v>1142865.1666666667</v>
      </c>
      <c r="R134" s="814"/>
      <c r="S134" s="814"/>
    </row>
    <row r="135" spans="2:19" ht="13.5">
      <c r="B135" s="228">
        <v>2011</v>
      </c>
      <c r="C135" s="231">
        <f>(C11*E129)/360</f>
        <v>1398484.5</v>
      </c>
      <c r="D135" s="364">
        <f>+D18</f>
        <v>76.19</v>
      </c>
      <c r="E135" s="365">
        <f>+D134/D135</f>
        <v>1.2088200551253445</v>
      </c>
      <c r="F135" s="231">
        <f>+C135*E135</f>
        <v>1690516.1103819399</v>
      </c>
      <c r="M135" s="735"/>
      <c r="N135" s="1036"/>
      <c r="O135" s="726" t="s">
        <v>211</v>
      </c>
      <c r="P135" s="1136"/>
      <c r="Q135" s="1136">
        <f>SUM(Q133:Q134)</f>
        <v>2833381.2770486064</v>
      </c>
      <c r="R135" s="814"/>
      <c r="S135" s="814"/>
    </row>
    <row r="136" spans="2:19" ht="13.5">
      <c r="B136" s="228">
        <v>2012</v>
      </c>
      <c r="C136" s="231">
        <f>(C32*E130)/360</f>
        <v>1142865.1666666667</v>
      </c>
      <c r="D136" s="364">
        <v>77.72</v>
      </c>
      <c r="E136" s="365">
        <f>+D134/D136</f>
        <v>1.18502316006176</v>
      </c>
      <c r="F136" s="231">
        <f>+C136*E136</f>
        <v>1354321.6913278433</v>
      </c>
      <c r="M136" s="814"/>
      <c r="N136" s="1051"/>
      <c r="R136" s="814"/>
      <c r="S136" s="814"/>
    </row>
    <row r="137" spans="2:19" ht="13.5">
      <c r="B137" s="228"/>
      <c r="C137" s="231"/>
      <c r="D137" s="228"/>
      <c r="E137" s="365"/>
      <c r="F137" s="231"/>
      <c r="M137" s="814"/>
      <c r="N137" s="1051"/>
      <c r="O137" s="814"/>
      <c r="P137" s="1051"/>
      <c r="Q137" s="1051"/>
      <c r="R137" s="814"/>
      <c r="S137" s="814"/>
    </row>
    <row r="138" spans="2:19" ht="13.5">
      <c r="C138" s="348"/>
      <c r="D138" s="219" t="s">
        <v>211</v>
      </c>
      <c r="E138" s="355"/>
      <c r="F138" s="356">
        <f>SUM(F135:F137)</f>
        <v>3044837.8017097833</v>
      </c>
      <c r="M138" s="1133"/>
      <c r="N138" s="1036"/>
      <c r="O138" s="741"/>
      <c r="P138" s="1036"/>
      <c r="Q138" s="1036"/>
      <c r="R138" s="814"/>
      <c r="S138" s="814"/>
    </row>
    <row r="139" spans="2:19" ht="13.5">
      <c r="C139" s="348"/>
      <c r="E139" s="348"/>
      <c r="F139" s="348"/>
      <c r="M139" s="741"/>
      <c r="N139" s="1036" t="s">
        <v>212</v>
      </c>
      <c r="O139" s="735"/>
      <c r="P139" s="734"/>
      <c r="Q139" s="1036"/>
      <c r="R139" s="814"/>
      <c r="S139" s="814"/>
    </row>
    <row r="140" spans="2:19" ht="13.5">
      <c r="B140" s="363"/>
      <c r="C140" s="231"/>
      <c r="D140" s="233"/>
      <c r="E140" s="231"/>
      <c r="F140" s="231"/>
      <c r="M140" s="741" t="s">
        <v>209</v>
      </c>
      <c r="N140" s="1036"/>
      <c r="O140" s="735" t="s">
        <v>76</v>
      </c>
      <c r="P140" s="734" t="s">
        <v>77</v>
      </c>
      <c r="Q140" s="1036" t="s">
        <v>57</v>
      </c>
      <c r="R140" s="814"/>
      <c r="S140" s="814"/>
    </row>
    <row r="141" spans="2:19" ht="13.5">
      <c r="B141" s="233"/>
      <c r="C141" s="231" t="s">
        <v>212</v>
      </c>
      <c r="D141" s="228"/>
      <c r="E141" s="229"/>
      <c r="F141" s="231"/>
      <c r="M141" s="741"/>
      <c r="N141" s="1036"/>
      <c r="O141" s="735">
        <v>92.1</v>
      </c>
      <c r="P141" s="734"/>
      <c r="Q141" s="1036"/>
      <c r="R141" s="814"/>
      <c r="S141" s="814"/>
    </row>
    <row r="142" spans="2:19" ht="13.5">
      <c r="B142" s="233" t="s">
        <v>209</v>
      </c>
      <c r="C142" s="231"/>
      <c r="D142" s="228" t="s">
        <v>76</v>
      </c>
      <c r="E142" s="229" t="s">
        <v>77</v>
      </c>
      <c r="F142" s="231" t="s">
        <v>57</v>
      </c>
      <c r="M142" s="741" t="s">
        <v>210</v>
      </c>
      <c r="N142" s="741"/>
      <c r="O142" s="1134"/>
      <c r="P142" s="735"/>
      <c r="Q142" s="1036"/>
      <c r="R142" s="814"/>
      <c r="S142" s="814"/>
    </row>
    <row r="143" spans="2:19" ht="13.5">
      <c r="B143" s="233"/>
      <c r="C143" s="231"/>
      <c r="D143" s="228">
        <f>+D134</f>
        <v>92.1</v>
      </c>
      <c r="E143" s="229"/>
      <c r="F143" s="231"/>
      <c r="M143" s="735">
        <v>2011</v>
      </c>
      <c r="N143" s="1036">
        <f>(N133*P127*0.12)/360</f>
        <v>98826.237999999998</v>
      </c>
      <c r="O143" s="1134">
        <v>76.19</v>
      </c>
      <c r="P143" s="1135">
        <f>+$O$141/O143</f>
        <v>1.2088200551253445</v>
      </c>
      <c r="Q143" s="1036">
        <f>+N143*P143</f>
        <v>119463.13846699041</v>
      </c>
      <c r="R143" s="814"/>
      <c r="S143" s="814"/>
    </row>
    <row r="144" spans="2:19" ht="13.5">
      <c r="B144" s="233" t="s">
        <v>210</v>
      </c>
      <c r="C144" s="233"/>
      <c r="D144" s="364"/>
      <c r="E144" s="228"/>
      <c r="F144" s="231"/>
      <c r="M144" s="735">
        <v>2012</v>
      </c>
      <c r="N144" s="1036">
        <f>(N134*P128*0.12)/360</f>
        <v>62857.584166666667</v>
      </c>
      <c r="O144" s="1134">
        <v>78.05</v>
      </c>
      <c r="P144" s="1135">
        <f>+$O$141/O144</f>
        <v>1.1800128122998077</v>
      </c>
      <c r="Q144" s="1036">
        <f>+N144*P144</f>
        <v>74172.754666880195</v>
      </c>
      <c r="R144" s="814"/>
      <c r="S144" s="814"/>
    </row>
    <row r="145" spans="2:19" ht="13.5">
      <c r="B145" s="228">
        <v>2011</v>
      </c>
      <c r="C145" s="231">
        <f>(C135*E129*0.12)/360</f>
        <v>98826.237999999998</v>
      </c>
      <c r="D145" s="364">
        <f>+D135</f>
        <v>76.19</v>
      </c>
      <c r="E145" s="365">
        <f>+$D$143/D145</f>
        <v>1.2088200551253445</v>
      </c>
      <c r="F145" s="231">
        <f>+C145*E145</f>
        <v>119463.13846699041</v>
      </c>
      <c r="M145" s="735"/>
      <c r="N145" s="1036"/>
      <c r="O145" s="1136" t="s">
        <v>213</v>
      </c>
      <c r="P145" s="1136"/>
      <c r="Q145" s="1136">
        <f>SUM(Q143:Q144)</f>
        <v>193635.89313387062</v>
      </c>
      <c r="R145" s="814"/>
      <c r="S145" s="1051">
        <f>+Q135+Q145</f>
        <v>3027017.1701824772</v>
      </c>
    </row>
    <row r="146" spans="2:19" ht="13.5">
      <c r="B146" s="228">
        <v>2012</v>
      </c>
      <c r="C146" s="231">
        <f>(C136*E130*0.12)/360</f>
        <v>62857.584166666667</v>
      </c>
      <c r="D146" s="364">
        <v>77.72</v>
      </c>
      <c r="E146" s="365">
        <f>+D143/D146</f>
        <v>1.18502316006176</v>
      </c>
      <c r="F146" s="231">
        <f>+C146*E146</f>
        <v>74487.693023031388</v>
      </c>
      <c r="M146" s="1051"/>
      <c r="N146" s="1051"/>
      <c r="R146" s="814"/>
      <c r="S146" s="814"/>
    </row>
    <row r="147" spans="2:19" ht="13.5">
      <c r="B147" s="228"/>
      <c r="C147" s="231"/>
      <c r="D147" s="228"/>
      <c r="E147" s="219" t="s">
        <v>211</v>
      </c>
      <c r="F147" s="231">
        <f>SUM(F145:F146)</f>
        <v>193950.83149002178</v>
      </c>
      <c r="M147" s="814"/>
      <c r="N147" s="814"/>
      <c r="O147" s="814"/>
      <c r="P147" s="814"/>
      <c r="Q147" s="814"/>
      <c r="R147" s="814"/>
      <c r="S147" s="814"/>
    </row>
    <row r="148" spans="2:19" ht="13.5">
      <c r="M148" s="814"/>
      <c r="N148" s="814"/>
      <c r="O148" s="814"/>
      <c r="P148" s="814"/>
      <c r="Q148" s="814"/>
      <c r="R148" s="814"/>
      <c r="S148" s="814"/>
    </row>
    <row r="149" spans="2:19" ht="12.75" customHeight="1">
      <c r="M149" s="1201" t="s">
        <v>55</v>
      </c>
      <c r="N149" s="1112"/>
      <c r="O149" s="814"/>
      <c r="P149" s="814"/>
      <c r="Q149" s="814"/>
      <c r="R149" s="814"/>
      <c r="S149" s="814"/>
    </row>
    <row r="150" spans="2:19" ht="25.5">
      <c r="B150" s="2554" t="s">
        <v>55</v>
      </c>
      <c r="C150" s="2555"/>
      <c r="D150" s="2556"/>
      <c r="M150" s="1190" t="s">
        <v>133</v>
      </c>
      <c r="N150" s="929">
        <f>+N56</f>
        <v>42304361.084849142</v>
      </c>
      <c r="O150" s="814"/>
      <c r="P150" s="814"/>
      <c r="Q150" s="814"/>
      <c r="R150" s="814"/>
      <c r="S150" s="814"/>
    </row>
    <row r="151" spans="2:19" ht="25.5">
      <c r="B151" s="233" t="s">
        <v>133</v>
      </c>
      <c r="C151" s="251">
        <f>+F53</f>
        <v>42304361.084849142</v>
      </c>
      <c r="D151" s="251"/>
      <c r="M151" s="1190" t="s">
        <v>134</v>
      </c>
      <c r="N151" s="929">
        <f>+S126</f>
        <v>55424725.650106423</v>
      </c>
      <c r="O151" s="814"/>
      <c r="P151" s="814"/>
      <c r="Q151" s="814"/>
      <c r="R151" s="814"/>
      <c r="S151" s="814"/>
    </row>
    <row r="152" spans="2:19" ht="26.25" thickBot="1">
      <c r="B152" s="233" t="s">
        <v>134</v>
      </c>
      <c r="C152" s="252">
        <f>+I124</f>
        <v>107379525.4701159</v>
      </c>
      <c r="D152" s="251"/>
      <c r="M152" s="817" t="s">
        <v>61</v>
      </c>
      <c r="N152" s="859">
        <f>SUM(N150:N151)</f>
        <v>97729086.734955564</v>
      </c>
      <c r="O152" s="814"/>
      <c r="P152" s="814"/>
      <c r="Q152" s="814"/>
      <c r="R152" s="814"/>
      <c r="S152" s="814"/>
    </row>
    <row r="153" spans="2:19" ht="14.25" thickTop="1">
      <c r="B153" s="1894" t="str">
        <f>+C132</f>
        <v xml:space="preserve">                CESANTIAS</v>
      </c>
      <c r="C153" s="504">
        <f>+F138</f>
        <v>3044837.8017097833</v>
      </c>
      <c r="D153" s="251"/>
      <c r="O153" s="814"/>
      <c r="P153" s="814"/>
      <c r="Q153" s="814"/>
      <c r="R153" s="814"/>
      <c r="S153" s="814"/>
    </row>
    <row r="154" spans="2:19" ht="16.5" customHeight="1">
      <c r="B154" s="231" t="str">
        <f>+C141</f>
        <v xml:space="preserve">   INTERESES DE CESANTIAS</v>
      </c>
      <c r="C154" s="504">
        <f>+F147</f>
        <v>193950.83149002178</v>
      </c>
      <c r="D154" s="251"/>
      <c r="O154" s="814"/>
      <c r="P154" s="814"/>
      <c r="Q154" s="814"/>
      <c r="R154" s="814"/>
      <c r="S154" s="814"/>
    </row>
    <row r="155" spans="2:19" ht="14.25" thickBot="1">
      <c r="B155" s="248" t="s">
        <v>61</v>
      </c>
      <c r="C155" s="249">
        <f>SUM(C151:C154)</f>
        <v>152922675.18816483</v>
      </c>
      <c r="D155" s="251"/>
      <c r="M155" s="221" t="s">
        <v>62</v>
      </c>
      <c r="N155"/>
      <c r="O155" s="814"/>
      <c r="P155" s="814"/>
      <c r="Q155" s="814"/>
      <c r="R155" s="814"/>
      <c r="S155" s="814"/>
    </row>
    <row r="156" spans="2:19" ht="13.5" thickTop="1">
      <c r="N156" s="218"/>
    </row>
    <row r="157" spans="2:19">
      <c r="N157" s="218"/>
    </row>
    <row r="158" spans="2:19">
      <c r="M158" s="476" t="s">
        <v>63</v>
      </c>
      <c r="N158" s="218"/>
    </row>
    <row r="159" spans="2:19">
      <c r="M159" s="476" t="s">
        <v>64</v>
      </c>
      <c r="N159" s="218"/>
    </row>
    <row r="160" spans="2:19">
      <c r="M160" s="221" t="s">
        <v>65</v>
      </c>
      <c r="N160" s="218"/>
    </row>
    <row r="186" spans="14:14">
      <c r="N186" s="217" t="s">
        <v>214</v>
      </c>
    </row>
    <row r="187" spans="14:14">
      <c r="N187" s="217" t="s">
        <v>215</v>
      </c>
    </row>
    <row r="188" spans="14:14">
      <c r="N188" s="217" t="s">
        <v>216</v>
      </c>
    </row>
  </sheetData>
  <mergeCells count="5">
    <mergeCell ref="B9:C9"/>
    <mergeCell ref="K9:Q9"/>
    <mergeCell ref="B30:C30"/>
    <mergeCell ref="K30:Q30"/>
    <mergeCell ref="B150:D150"/>
  </mergeCells>
  <pageMargins left="0.7" right="0.7" top="0.75" bottom="0.75" header="0.3" footer="0.3"/>
  <pageSetup paperSize="9" scale="69" orientation="portrait" r:id="rId1"/>
  <rowBreaks count="1" manualBreakCount="1">
    <brk id="55" max="16383" man="1"/>
  </rowBreaks>
  <colBreaks count="1" manualBreakCount="1">
    <brk id="10"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BFF5C-DDED-405C-A598-56617AFDF7AA}">
  <sheetPr codeName="Hoja41"/>
  <dimension ref="A3:M123"/>
  <sheetViews>
    <sheetView workbookViewId="0">
      <selection activeCell="C21" sqref="C21"/>
    </sheetView>
  </sheetViews>
  <sheetFormatPr defaultColWidth="11.42578125" defaultRowHeight="12.75"/>
  <cols>
    <col min="1" max="1" width="4" customWidth="1"/>
    <col min="2" max="2" width="27.5703125" customWidth="1"/>
    <col min="3" max="3" width="15" customWidth="1"/>
    <col min="5" max="5" width="11.7109375" customWidth="1"/>
    <col min="6" max="6" width="13.5703125" customWidth="1"/>
    <col min="7" max="7" width="14.5703125" customWidth="1"/>
    <col min="9" max="9" width="15.28515625" customWidth="1"/>
    <col min="10" max="10" width="8" customWidth="1"/>
    <col min="11" max="11" width="13.85546875" bestFit="1" customWidth="1"/>
    <col min="12" max="12" width="12.85546875" bestFit="1" customWidth="1"/>
  </cols>
  <sheetData>
    <row r="3" spans="2:13">
      <c r="B3" s="914" t="s">
        <v>121</v>
      </c>
      <c r="C3" s="188" t="s">
        <v>1317</v>
      </c>
    </row>
    <row r="4" spans="2:13">
      <c r="B4" s="1" t="s">
        <v>1318</v>
      </c>
      <c r="C4" s="276">
        <v>43223</v>
      </c>
    </row>
    <row r="5" spans="2:13">
      <c r="B5" s="1" t="s">
        <v>291</v>
      </c>
    </row>
    <row r="6" spans="2:13">
      <c r="B6" s="1" t="s">
        <v>1319</v>
      </c>
      <c r="C6" s="7">
        <v>43297</v>
      </c>
    </row>
    <row r="7" spans="2:13">
      <c r="B7" s="1" t="s">
        <v>2</v>
      </c>
      <c r="C7" s="8" t="s">
        <v>1320</v>
      </c>
    </row>
    <row r="8" spans="2:13">
      <c r="C8" t="s">
        <v>1321</v>
      </c>
    </row>
    <row r="10" spans="2:13">
      <c r="B10" s="1" t="s">
        <v>1322</v>
      </c>
      <c r="C10">
        <v>2008</v>
      </c>
      <c r="D10">
        <v>2009</v>
      </c>
      <c r="E10">
        <v>2010</v>
      </c>
      <c r="F10">
        <v>2011</v>
      </c>
      <c r="G10">
        <v>2012</v>
      </c>
      <c r="H10">
        <v>2013</v>
      </c>
      <c r="I10">
        <v>2014</v>
      </c>
      <c r="J10">
        <v>2015</v>
      </c>
      <c r="K10">
        <v>2016</v>
      </c>
      <c r="L10">
        <v>2017</v>
      </c>
      <c r="M10">
        <v>2018</v>
      </c>
    </row>
    <row r="11" spans="2:13">
      <c r="B11" t="s">
        <v>1323</v>
      </c>
      <c r="C11" s="32">
        <v>1228662</v>
      </c>
      <c r="D11" s="32">
        <v>1314668</v>
      </c>
      <c r="E11" s="32">
        <v>1442454</v>
      </c>
      <c r="F11" s="32">
        <v>1578359</v>
      </c>
      <c r="G11" s="32">
        <v>1657276</v>
      </c>
      <c r="H11" s="32">
        <v>1789858</v>
      </c>
      <c r="I11" s="32">
        <v>1888300</v>
      </c>
      <c r="K11" s="32">
        <v>2016011</v>
      </c>
      <c r="L11" s="32">
        <v>2448692</v>
      </c>
      <c r="M11" s="32">
        <v>2718048</v>
      </c>
    </row>
    <row r="12" spans="2:13">
      <c r="B12" s="188" t="s">
        <v>1324</v>
      </c>
      <c r="C12" s="32"/>
      <c r="D12" s="32"/>
      <c r="E12" s="32"/>
      <c r="F12" s="32"/>
      <c r="G12" s="32"/>
      <c r="H12" s="32"/>
      <c r="I12" s="32"/>
      <c r="K12" s="32">
        <v>1108006</v>
      </c>
      <c r="L12" s="32">
        <v>1224346</v>
      </c>
      <c r="M12" s="32">
        <v>1359024</v>
      </c>
    </row>
    <row r="13" spans="2:13">
      <c r="B13" t="s">
        <v>1325</v>
      </c>
      <c r="C13" s="32">
        <v>614331</v>
      </c>
      <c r="D13" s="32">
        <v>657334</v>
      </c>
      <c r="E13" s="32">
        <v>749712</v>
      </c>
      <c r="F13" s="32">
        <v>758827</v>
      </c>
      <c r="G13" s="32">
        <v>789180</v>
      </c>
      <c r="H13" s="32">
        <v>894929</v>
      </c>
      <c r="I13" s="32">
        <v>944150</v>
      </c>
      <c r="K13" s="32">
        <v>776604</v>
      </c>
      <c r="L13" s="32">
        <v>857042</v>
      </c>
      <c r="M13" s="32">
        <v>951317</v>
      </c>
    </row>
    <row r="14" spans="2:13">
      <c r="B14" t="s">
        <v>1326</v>
      </c>
      <c r="C14" s="32">
        <v>639328</v>
      </c>
      <c r="D14" s="32">
        <v>682931</v>
      </c>
      <c r="E14" s="32">
        <v>779792</v>
      </c>
      <c r="F14" s="32">
        <v>951379</v>
      </c>
      <c r="G14" s="32">
        <v>863165</v>
      </c>
      <c r="H14" s="32">
        <v>932218</v>
      </c>
      <c r="I14" s="32">
        <v>1311319</v>
      </c>
      <c r="K14" s="32">
        <v>1538897</v>
      </c>
      <c r="L14" s="32">
        <v>1743570</v>
      </c>
      <c r="M14" s="32">
        <v>1935147</v>
      </c>
    </row>
    <row r="15" spans="2:13">
      <c r="B15" t="s">
        <v>24</v>
      </c>
      <c r="C15" s="32">
        <v>81911</v>
      </c>
      <c r="D15" s="32">
        <v>87645</v>
      </c>
      <c r="E15" s="32">
        <v>96164</v>
      </c>
      <c r="F15" s="32">
        <v>105224</v>
      </c>
      <c r="G15" s="32">
        <v>110485</v>
      </c>
      <c r="H15" s="32">
        <v>119324</v>
      </c>
      <c r="I15" s="32">
        <v>125887</v>
      </c>
      <c r="K15" s="32">
        <v>147734</v>
      </c>
      <c r="L15" s="32">
        <v>163246</v>
      </c>
      <c r="M15" s="32">
        <v>181203</v>
      </c>
    </row>
    <row r="16" spans="2:13">
      <c r="B16" t="s">
        <v>26</v>
      </c>
      <c r="C16" s="32">
        <v>1333133</v>
      </c>
      <c r="D16" s="32">
        <v>1426356</v>
      </c>
      <c r="E16" s="32">
        <v>1558674</v>
      </c>
      <c r="F16" s="32">
        <v>1558674</v>
      </c>
      <c r="G16" s="32">
        <v>1798260</v>
      </c>
      <c r="H16" s="32">
        <v>1942120</v>
      </c>
      <c r="I16" s="32">
        <v>2076256</v>
      </c>
      <c r="K16" s="32">
        <v>2436586</v>
      </c>
      <c r="L16" s="32">
        <v>2767439</v>
      </c>
      <c r="M16" s="32">
        <v>3071839</v>
      </c>
    </row>
    <row r="19" spans="2:6">
      <c r="B19" s="473" t="s">
        <v>307</v>
      </c>
      <c r="C19" s="2"/>
      <c r="D19" s="3" t="s">
        <v>76</v>
      </c>
    </row>
    <row r="20" spans="2:6">
      <c r="B20" s="196" t="s">
        <v>1327</v>
      </c>
      <c r="C20" s="915">
        <v>43250</v>
      </c>
      <c r="D20" s="232">
        <v>99.16</v>
      </c>
    </row>
    <row r="21" spans="2:6">
      <c r="B21" s="196" t="s">
        <v>147</v>
      </c>
      <c r="C21" s="915">
        <v>40661</v>
      </c>
      <c r="D21" s="232">
        <v>74.86</v>
      </c>
    </row>
    <row r="22" spans="2:6">
      <c r="B22" s="196" t="s">
        <v>40</v>
      </c>
      <c r="C22" s="63">
        <v>40908</v>
      </c>
      <c r="D22" s="2"/>
    </row>
    <row r="23" spans="2:6">
      <c r="B23" s="196" t="s">
        <v>1328</v>
      </c>
      <c r="C23" s="26">
        <f>_xlfn.DAYS(C22,C21)</f>
        <v>247</v>
      </c>
      <c r="D23" s="2"/>
    </row>
    <row r="24" spans="2:6">
      <c r="B24" s="403" t="s">
        <v>1329</v>
      </c>
      <c r="C24" s="388">
        <f>+F11</f>
        <v>1578359</v>
      </c>
      <c r="D24" s="461">
        <v>40634</v>
      </c>
      <c r="E24" s="228" t="s">
        <v>77</v>
      </c>
      <c r="F24" s="229" t="s">
        <v>253</v>
      </c>
    </row>
    <row r="25" spans="2:6">
      <c r="B25" s="196" t="s">
        <v>1330</v>
      </c>
      <c r="C25" s="377">
        <f>+(C24*C23)/360</f>
        <v>1082929.6472222223</v>
      </c>
      <c r="D25" s="232">
        <f>+D21</f>
        <v>74.86</v>
      </c>
      <c r="E25" s="233">
        <f>+$D$20/D25</f>
        <v>1.3246059310713332</v>
      </c>
      <c r="F25" s="377">
        <f>+C25*E25</f>
        <v>1434455.0336435421</v>
      </c>
    </row>
    <row r="26" spans="2:6">
      <c r="D26" s="2549" t="s">
        <v>120</v>
      </c>
      <c r="E26" s="2549"/>
      <c r="F26" s="22">
        <f>SUM(F25:F25)</f>
        <v>1434455.0336435421</v>
      </c>
    </row>
    <row r="28" spans="2:6">
      <c r="B28" s="188" t="s">
        <v>147</v>
      </c>
      <c r="C28" s="184">
        <v>40909</v>
      </c>
    </row>
    <row r="29" spans="2:6">
      <c r="B29" s="462" t="s">
        <v>40</v>
      </c>
      <c r="C29" s="463">
        <v>41274</v>
      </c>
    </row>
    <row r="30" spans="2:6">
      <c r="B30" s="188" t="s">
        <v>1328</v>
      </c>
      <c r="C30" s="13">
        <f>_xlfn.DAYS(C29,C28)-5</f>
        <v>360</v>
      </c>
    </row>
    <row r="31" spans="2:6">
      <c r="B31" s="403" t="s">
        <v>1331</v>
      </c>
      <c r="C31" s="388">
        <f>+G11</f>
        <v>1657276</v>
      </c>
      <c r="D31" s="461"/>
      <c r="E31" s="228" t="s">
        <v>77</v>
      </c>
      <c r="F31" s="229" t="s">
        <v>253</v>
      </c>
    </row>
    <row r="32" spans="2:6">
      <c r="B32" s="196" t="s">
        <v>1330</v>
      </c>
      <c r="C32" s="377">
        <f>+(C31*C30)/360</f>
        <v>1657276</v>
      </c>
      <c r="D32" s="232">
        <v>78.05</v>
      </c>
      <c r="E32" s="233">
        <f>+$D$20/D32</f>
        <v>1.2704676489429854</v>
      </c>
      <c r="F32" s="377">
        <f>+C32*E32</f>
        <v>2105515.543369635</v>
      </c>
    </row>
    <row r="33" spans="2:6">
      <c r="B33" s="2"/>
      <c r="C33" s="377"/>
      <c r="D33" s="232"/>
      <c r="E33" s="233"/>
      <c r="F33" s="377"/>
    </row>
    <row r="34" spans="2:6">
      <c r="D34" s="2549" t="s">
        <v>120</v>
      </c>
      <c r="E34" s="2549"/>
      <c r="F34" s="22">
        <f>SUM(F32:F33)</f>
        <v>2105515.543369635</v>
      </c>
    </row>
    <row r="36" spans="2:6">
      <c r="B36" s="188" t="s">
        <v>147</v>
      </c>
      <c r="C36" s="184">
        <v>41275</v>
      </c>
    </row>
    <row r="37" spans="2:6">
      <c r="B37" s="462" t="s">
        <v>40</v>
      </c>
      <c r="C37" s="463">
        <v>41639</v>
      </c>
    </row>
    <row r="38" spans="2:6">
      <c r="B38" s="188" t="s">
        <v>1328</v>
      </c>
      <c r="C38" s="13">
        <f>_xlfn.DAYS(C37,C36)-4</f>
        <v>360</v>
      </c>
    </row>
    <row r="39" spans="2:6">
      <c r="B39" s="403" t="s">
        <v>1332</v>
      </c>
      <c r="C39" s="388">
        <f>+H11</f>
        <v>1789858</v>
      </c>
      <c r="D39" s="461"/>
      <c r="E39" s="228" t="s">
        <v>77</v>
      </c>
      <c r="F39" s="229" t="s">
        <v>253</v>
      </c>
    </row>
    <row r="40" spans="2:6">
      <c r="B40" s="196" t="s">
        <v>1330</v>
      </c>
      <c r="C40" s="377">
        <f>+(C39*C38)/360</f>
        <v>1789858</v>
      </c>
      <c r="D40" s="232">
        <v>79.56</v>
      </c>
      <c r="E40" s="233">
        <f>+$D$20/D40</f>
        <v>1.2463549522373052</v>
      </c>
      <c r="F40" s="377">
        <f>+C40*E40</f>
        <v>2230798.3821015586</v>
      </c>
    </row>
    <row r="41" spans="2:6">
      <c r="D41" s="2549" t="s">
        <v>120</v>
      </c>
      <c r="E41" s="2549"/>
      <c r="F41" s="377">
        <f>SUM(F40:F40)</f>
        <v>2230798.3821015586</v>
      </c>
    </row>
    <row r="43" spans="2:6">
      <c r="B43" s="188" t="s">
        <v>147</v>
      </c>
      <c r="C43" s="184">
        <v>41640</v>
      </c>
    </row>
    <row r="44" spans="2:6">
      <c r="B44" s="462" t="s">
        <v>40</v>
      </c>
      <c r="C44" s="463">
        <v>42004</v>
      </c>
    </row>
    <row r="45" spans="2:6">
      <c r="B45" s="188" t="s">
        <v>1328</v>
      </c>
      <c r="C45" s="13">
        <f>_xlfn.DAYS(C44,C43)-4</f>
        <v>360</v>
      </c>
    </row>
    <row r="46" spans="2:6">
      <c r="B46" s="403" t="s">
        <v>1333</v>
      </c>
      <c r="C46" s="388">
        <f>+I11</f>
        <v>1888300</v>
      </c>
      <c r="D46" s="461"/>
      <c r="E46" s="228" t="s">
        <v>77</v>
      </c>
      <c r="F46" s="229" t="s">
        <v>253</v>
      </c>
    </row>
    <row r="47" spans="2:6">
      <c r="B47" s="196" t="s">
        <v>1330</v>
      </c>
      <c r="C47" s="377">
        <f>+(C46*C45)/360</f>
        <v>1888300</v>
      </c>
      <c r="D47" s="232">
        <v>82.47</v>
      </c>
      <c r="E47" s="233">
        <f>+$D$20/D47</f>
        <v>1.2023766218018672</v>
      </c>
      <c r="F47" s="377">
        <f>+C47*E47</f>
        <v>2270447.7749484656</v>
      </c>
    </row>
    <row r="48" spans="2:6">
      <c r="D48" s="2549" t="s">
        <v>120</v>
      </c>
      <c r="E48" s="2549"/>
      <c r="F48" s="377">
        <f>SUM(F47:F47)</f>
        <v>2270447.7749484656</v>
      </c>
    </row>
    <row r="54" spans="2:6">
      <c r="B54" s="188" t="s">
        <v>147</v>
      </c>
      <c r="C54" s="184">
        <v>42370</v>
      </c>
    </row>
    <row r="55" spans="2:6">
      <c r="B55" s="462" t="s">
        <v>40</v>
      </c>
      <c r="C55" s="463">
        <v>42735</v>
      </c>
    </row>
    <row r="56" spans="2:6">
      <c r="B56" s="188" t="s">
        <v>1328</v>
      </c>
      <c r="C56" s="13">
        <f>_xlfn.DAYS(C55,C54)-5</f>
        <v>360</v>
      </c>
    </row>
    <row r="57" spans="2:6">
      <c r="B57" s="403" t="s">
        <v>1334</v>
      </c>
      <c r="C57" s="388">
        <f>+K11</f>
        <v>2016011</v>
      </c>
      <c r="D57" s="461"/>
      <c r="E57" s="228" t="s">
        <v>77</v>
      </c>
      <c r="F57" s="229" t="s">
        <v>253</v>
      </c>
    </row>
    <row r="58" spans="2:6">
      <c r="B58" s="196" t="s">
        <v>1330</v>
      </c>
      <c r="C58" s="377">
        <f>+(C57*C56)/360</f>
        <v>2016011</v>
      </c>
      <c r="D58" s="232">
        <v>93.11</v>
      </c>
      <c r="E58" s="233">
        <f>+$D$20/D58</f>
        <v>1.0649769090323273</v>
      </c>
      <c r="F58" s="377">
        <f>+C58*E58</f>
        <v>2147005.1633551712</v>
      </c>
    </row>
    <row r="59" spans="2:6">
      <c r="D59" s="2549" t="s">
        <v>120</v>
      </c>
      <c r="E59" s="2549"/>
      <c r="F59" s="377">
        <f>SUM(F58:F58)</f>
        <v>2147005.1633551712</v>
      </c>
    </row>
    <row r="61" spans="2:6">
      <c r="B61" s="188" t="s">
        <v>147</v>
      </c>
      <c r="C61" s="184">
        <v>42736</v>
      </c>
    </row>
    <row r="62" spans="2:6">
      <c r="B62" s="462" t="s">
        <v>40</v>
      </c>
      <c r="C62" s="463">
        <v>43100</v>
      </c>
    </row>
    <row r="63" spans="2:6">
      <c r="B63" s="188" t="s">
        <v>1328</v>
      </c>
      <c r="C63" s="13">
        <f>_xlfn.DAYS(C62,C61)-4</f>
        <v>360</v>
      </c>
    </row>
    <row r="64" spans="2:6">
      <c r="B64" s="403" t="s">
        <v>1334</v>
      </c>
      <c r="C64" s="388">
        <f>+L11</f>
        <v>2448692</v>
      </c>
      <c r="D64" s="461"/>
      <c r="E64" s="228" t="s">
        <v>77</v>
      </c>
      <c r="F64" s="229" t="s">
        <v>253</v>
      </c>
    </row>
    <row r="65" spans="1:9">
      <c r="B65" s="196" t="s">
        <v>1330</v>
      </c>
      <c r="C65" s="377">
        <f>+(C64*C63)/360</f>
        <v>2448692</v>
      </c>
      <c r="D65" s="232">
        <v>96.92</v>
      </c>
      <c r="E65" s="233">
        <f>+$D$20/D65</f>
        <v>1.0231118448204704</v>
      </c>
      <c r="F65" s="377">
        <f>+C65*E65</f>
        <v>2505285.789517127</v>
      </c>
    </row>
    <row r="66" spans="1:9">
      <c r="D66" s="2549" t="s">
        <v>120</v>
      </c>
      <c r="E66" s="2549"/>
      <c r="F66" s="377">
        <f>SUM(F65:F65)</f>
        <v>2505285.789517127</v>
      </c>
    </row>
    <row r="68" spans="1:9">
      <c r="B68" s="188" t="s">
        <v>147</v>
      </c>
      <c r="C68" s="184">
        <v>43101</v>
      </c>
    </row>
    <row r="69" spans="1:9">
      <c r="B69" s="462" t="s">
        <v>40</v>
      </c>
      <c r="C69" s="463">
        <v>43465</v>
      </c>
    </row>
    <row r="70" spans="1:9">
      <c r="B70" s="188" t="s">
        <v>1328</v>
      </c>
      <c r="C70" s="13">
        <f>_xlfn.DAYS(C69,C68)-4</f>
        <v>360</v>
      </c>
    </row>
    <row r="71" spans="1:9">
      <c r="B71" s="403" t="s">
        <v>1334</v>
      </c>
      <c r="C71" s="388">
        <f>+M11</f>
        <v>2718048</v>
      </c>
      <c r="D71" s="461"/>
      <c r="E71" s="228" t="s">
        <v>77</v>
      </c>
      <c r="F71" s="229" t="s">
        <v>253</v>
      </c>
    </row>
    <row r="72" spans="1:9">
      <c r="B72" s="196" t="s">
        <v>1330</v>
      </c>
      <c r="C72" s="377">
        <f>+(C71*C70)/360</f>
        <v>2718048</v>
      </c>
      <c r="D72" s="232">
        <v>100</v>
      </c>
      <c r="E72" s="233">
        <f>+$D$20/D72</f>
        <v>0.99159999999999993</v>
      </c>
      <c r="F72" s="377">
        <f>+C72*E72</f>
        <v>2695216.3967999998</v>
      </c>
    </row>
    <row r="73" spans="1:9">
      <c r="D73" s="2549" t="s">
        <v>120</v>
      </c>
      <c r="E73" s="2549"/>
      <c r="F73" s="377">
        <f>SUM(F72:F72)</f>
        <v>2695216.3967999998</v>
      </c>
    </row>
    <row r="75" spans="1:9">
      <c r="C75" s="1" t="s">
        <v>1335</v>
      </c>
      <c r="D75" s="1"/>
      <c r="E75" s="1"/>
      <c r="F75" s="24">
        <f>+F26+F34+F41+F48+F59+F66+F73</f>
        <v>15388724.0837355</v>
      </c>
    </row>
    <row r="76" spans="1:9">
      <c r="B76" s="2" t="str">
        <f>+B20</f>
        <v xml:space="preserve">Fecha Ejecutoria </v>
      </c>
      <c r="C76" s="16">
        <f>+C20</f>
        <v>43250</v>
      </c>
    </row>
    <row r="77" spans="1:9">
      <c r="B77" s="2780" t="s">
        <v>160</v>
      </c>
      <c r="C77" s="2781"/>
      <c r="D77" s="2781"/>
      <c r="E77" s="2781"/>
      <c r="F77" s="2781"/>
      <c r="G77" s="2781"/>
      <c r="H77" s="2782"/>
    </row>
    <row r="78" spans="1:9" ht="22.5">
      <c r="B78" s="410" t="s">
        <v>206</v>
      </c>
      <c r="C78" s="410" t="s">
        <v>10</v>
      </c>
      <c r="D78" s="410" t="s">
        <v>148</v>
      </c>
      <c r="E78" s="410" t="s">
        <v>149</v>
      </c>
      <c r="F78" s="410" t="s">
        <v>43</v>
      </c>
      <c r="G78" s="410" t="s">
        <v>129</v>
      </c>
      <c r="H78" s="410" t="s">
        <v>47</v>
      </c>
      <c r="I78" s="410" t="s">
        <v>48</v>
      </c>
    </row>
    <row r="79" spans="1:9">
      <c r="A79" s="2">
        <v>1</v>
      </c>
      <c r="B79" s="16">
        <v>43251</v>
      </c>
      <c r="C79" s="16">
        <v>43251</v>
      </c>
      <c r="D79" s="18">
        <v>0.2044</v>
      </c>
      <c r="E79" s="18">
        <f>+D79*1.5</f>
        <v>0.30659999999999998</v>
      </c>
      <c r="F79" s="96">
        <f>((1+E79)^(1/365))-1</f>
        <v>7.3294886878794152E-4</v>
      </c>
      <c r="G79" s="22">
        <f>+$F$75</f>
        <v>15388724.0837355</v>
      </c>
      <c r="H79" s="26">
        <f>_xlfn.DAYS(C79,B79)+1</f>
        <v>1</v>
      </c>
      <c r="I79" s="22">
        <f>(F79*G79)*H79</f>
        <v>11279.147909263686</v>
      </c>
    </row>
    <row r="80" spans="1:9">
      <c r="A80" s="2">
        <v>2</v>
      </c>
      <c r="B80" s="16">
        <v>43252</v>
      </c>
      <c r="C80" s="16">
        <v>43281</v>
      </c>
      <c r="D80" s="18">
        <v>0.20280000000000001</v>
      </c>
      <c r="E80" s="18">
        <f t="shared" ref="E80:E117" si="0">+D80*1.5</f>
        <v>0.30420000000000003</v>
      </c>
      <c r="F80" s="96">
        <f t="shared" ref="F80:F121" si="1">((1+E80)^(1/365))-1</f>
        <v>7.2790815549184096E-4</v>
      </c>
      <c r="G80" s="22">
        <f t="shared" ref="G80:G122" si="2">+$F$75</f>
        <v>15388724.0837355</v>
      </c>
      <c r="H80" s="26">
        <f>_xlfn.DAYS(C80,B80)+1</f>
        <v>30</v>
      </c>
      <c r="I80" s="22">
        <f t="shared" ref="I80:I117" si="3">(F80*G80)*H80</f>
        <v>336047.33289494336</v>
      </c>
    </row>
    <row r="81" spans="1:9">
      <c r="A81" s="2">
        <v>3</v>
      </c>
      <c r="B81" s="16">
        <v>43282</v>
      </c>
      <c r="C81" s="16">
        <v>43312</v>
      </c>
      <c r="D81" s="18">
        <v>0.20030000000000001</v>
      </c>
      <c r="E81" s="18">
        <f t="shared" si="0"/>
        <v>0.30044999999999999</v>
      </c>
      <c r="F81" s="96">
        <f t="shared" si="1"/>
        <v>7.2001349197825526E-4</v>
      </c>
      <c r="G81" s="22">
        <f t="shared" si="2"/>
        <v>15388724.0837355</v>
      </c>
      <c r="H81" s="26">
        <f t="shared" ref="H81:H117" si="4">_xlfn.DAYS(C81,B81)+1</f>
        <v>31</v>
      </c>
      <c r="I81" s="22">
        <f t="shared" si="3"/>
        <v>343482.75790322851</v>
      </c>
    </row>
    <row r="82" spans="1:9">
      <c r="A82" s="2">
        <v>4</v>
      </c>
      <c r="B82" s="16">
        <v>43313</v>
      </c>
      <c r="C82" s="16">
        <v>43343</v>
      </c>
      <c r="D82" s="18">
        <v>0.19939999999999999</v>
      </c>
      <c r="E82" s="18">
        <f t="shared" si="0"/>
        <v>0.29909999999999998</v>
      </c>
      <c r="F82" s="96">
        <f t="shared" si="1"/>
        <v>7.1716585429704161E-4</v>
      </c>
      <c r="G82" s="22">
        <f t="shared" si="2"/>
        <v>15388724.0837355</v>
      </c>
      <c r="H82" s="26">
        <f t="shared" si="4"/>
        <v>31</v>
      </c>
      <c r="I82" s="22">
        <f t="shared" si="3"/>
        <v>342124.29107566248</v>
      </c>
    </row>
    <row r="83" spans="1:9">
      <c r="A83" s="2">
        <v>5</v>
      </c>
      <c r="B83" s="16">
        <v>43344</v>
      </c>
      <c r="C83" s="16">
        <v>43373</v>
      </c>
      <c r="D83" s="18">
        <v>0.1981</v>
      </c>
      <c r="E83" s="18">
        <f t="shared" si="0"/>
        <v>0.29715000000000003</v>
      </c>
      <c r="F83" s="96">
        <f t="shared" si="1"/>
        <v>7.1304738558919389E-4</v>
      </c>
      <c r="G83" s="22">
        <f t="shared" si="2"/>
        <v>15388724.0837355</v>
      </c>
      <c r="H83" s="26">
        <f t="shared" si="4"/>
        <v>30</v>
      </c>
      <c r="I83" s="22">
        <f t="shared" si="3"/>
        <v>329186.68426383182</v>
      </c>
    </row>
    <row r="84" spans="1:9">
      <c r="A84" s="2">
        <v>6</v>
      </c>
      <c r="B84" s="16">
        <v>43374</v>
      </c>
      <c r="C84" s="16">
        <v>43404</v>
      </c>
      <c r="D84" s="18">
        <v>0.1963</v>
      </c>
      <c r="E84" s="18">
        <f t="shared" si="0"/>
        <v>0.29444999999999999</v>
      </c>
      <c r="F84" s="96">
        <f t="shared" si="1"/>
        <v>7.073346857742191E-4</v>
      </c>
      <c r="G84" s="22">
        <f t="shared" si="2"/>
        <v>15388724.0837355</v>
      </c>
      <c r="H84" s="26">
        <f t="shared" si="4"/>
        <v>31</v>
      </c>
      <c r="I84" s="22">
        <f t="shared" si="3"/>
        <v>337434.32774129143</v>
      </c>
    </row>
    <row r="85" spans="1:9">
      <c r="A85" s="2">
        <v>7</v>
      </c>
      <c r="B85" s="16">
        <v>43405</v>
      </c>
      <c r="C85" s="16">
        <v>43434</v>
      </c>
      <c r="D85" s="18">
        <v>0.19489999999999999</v>
      </c>
      <c r="E85" s="18">
        <f t="shared" si="0"/>
        <v>0.29235</v>
      </c>
      <c r="F85" s="96">
        <f t="shared" si="1"/>
        <v>7.0288325333756063E-4</v>
      </c>
      <c r="G85" s="22">
        <f t="shared" si="2"/>
        <v>15388724.0837355</v>
      </c>
      <c r="H85" s="26">
        <f t="shared" si="4"/>
        <v>30</v>
      </c>
      <c r="I85" s="22">
        <f t="shared" si="3"/>
        <v>324494.29346070241</v>
      </c>
    </row>
    <row r="86" spans="1:9">
      <c r="A86" s="2">
        <v>8</v>
      </c>
      <c r="B86" s="16">
        <v>43435</v>
      </c>
      <c r="C86" s="16">
        <v>43465</v>
      </c>
      <c r="D86" s="18">
        <v>0.19400000000000001</v>
      </c>
      <c r="E86" s="18">
        <f t="shared" si="0"/>
        <v>0.29100000000000004</v>
      </c>
      <c r="F86" s="96">
        <f t="shared" si="1"/>
        <v>7.0001780740103214E-4</v>
      </c>
      <c r="G86" s="22">
        <f t="shared" si="2"/>
        <v>15388724.0837355</v>
      </c>
      <c r="H86" s="26">
        <f t="shared" si="4"/>
        <v>31</v>
      </c>
      <c r="I86" s="22">
        <f t="shared" si="3"/>
        <v>333943.80764567544</v>
      </c>
    </row>
    <row r="87" spans="1:9">
      <c r="A87" s="2">
        <v>9</v>
      </c>
      <c r="B87" s="16">
        <v>43466</v>
      </c>
      <c r="C87" s="16">
        <v>43496</v>
      </c>
      <c r="D87" s="18">
        <v>0.19159999999999999</v>
      </c>
      <c r="E87" s="18">
        <f t="shared" si="0"/>
        <v>0.28739999999999999</v>
      </c>
      <c r="F87" s="96">
        <f t="shared" si="1"/>
        <v>6.9236198468725085E-4</v>
      </c>
      <c r="G87" s="22">
        <f t="shared" si="2"/>
        <v>15388724.0837355</v>
      </c>
      <c r="H87" s="26">
        <f t="shared" si="4"/>
        <v>31</v>
      </c>
      <c r="I87" s="22">
        <f t="shared" si="3"/>
        <v>330291.59400100785</v>
      </c>
    </row>
    <row r="88" spans="1:9">
      <c r="A88" s="2">
        <v>10</v>
      </c>
      <c r="B88" s="16">
        <v>43497</v>
      </c>
      <c r="C88" s="16">
        <v>43524</v>
      </c>
      <c r="D88" s="18">
        <v>0.19700000000000001</v>
      </c>
      <c r="E88" s="18">
        <f t="shared" si="0"/>
        <v>0.29549999999999998</v>
      </c>
      <c r="F88" s="96">
        <f t="shared" si="1"/>
        <v>7.0955770203506852E-4</v>
      </c>
      <c r="G88" s="22">
        <f t="shared" si="2"/>
        <v>15388724.0837355</v>
      </c>
      <c r="H88" s="26">
        <f t="shared" si="4"/>
        <v>28</v>
      </c>
      <c r="I88" s="22">
        <f t="shared" si="3"/>
        <v>305737.25554699812</v>
      </c>
    </row>
    <row r="89" spans="1:9">
      <c r="A89" s="2">
        <v>11</v>
      </c>
      <c r="B89" s="16">
        <v>43525</v>
      </c>
      <c r="C89" s="16">
        <v>43555</v>
      </c>
      <c r="D89" s="18">
        <v>0.19370000000000001</v>
      </c>
      <c r="E89" s="18">
        <f t="shared" si="0"/>
        <v>0.29055000000000003</v>
      </c>
      <c r="F89" s="96">
        <f t="shared" si="1"/>
        <v>6.9906199467517638E-4</v>
      </c>
      <c r="G89" s="22">
        <f t="shared" si="2"/>
        <v>15388724.0837355</v>
      </c>
      <c r="H89" s="26">
        <f t="shared" si="4"/>
        <v>31</v>
      </c>
      <c r="I89" s="22">
        <f t="shared" si="3"/>
        <v>333487.83675794402</v>
      </c>
    </row>
    <row r="90" spans="1:9">
      <c r="A90" s="2">
        <v>12</v>
      </c>
      <c r="B90" s="16">
        <v>43556</v>
      </c>
      <c r="C90" s="16">
        <v>43585</v>
      </c>
      <c r="D90" s="18">
        <v>0.19320000000000001</v>
      </c>
      <c r="E90" s="18">
        <f t="shared" si="0"/>
        <v>0.2898</v>
      </c>
      <c r="F90" s="96">
        <f t="shared" si="1"/>
        <v>6.9746823462724095E-4</v>
      </c>
      <c r="G90" s="22">
        <f t="shared" si="2"/>
        <v>15388724.0837355</v>
      </c>
      <c r="H90" s="26">
        <f t="shared" si="4"/>
        <v>30</v>
      </c>
      <c r="I90" s="22">
        <f t="shared" si="3"/>
        <v>321994.38659546111</v>
      </c>
    </row>
    <row r="91" spans="1:9">
      <c r="A91" s="2">
        <v>13</v>
      </c>
      <c r="B91" s="16">
        <v>43586</v>
      </c>
      <c r="C91" s="16">
        <v>43616</v>
      </c>
      <c r="D91" s="18">
        <v>0.19339999999999999</v>
      </c>
      <c r="E91" s="18">
        <f t="shared" si="0"/>
        <v>0.29009999999999997</v>
      </c>
      <c r="F91" s="96">
        <f t="shared" si="1"/>
        <v>6.9810584952367805E-4</v>
      </c>
      <c r="G91" s="22">
        <f t="shared" si="2"/>
        <v>15388724.0837355</v>
      </c>
      <c r="H91" s="26">
        <f t="shared" si="4"/>
        <v>31</v>
      </c>
      <c r="I91" s="22">
        <f t="shared" si="3"/>
        <v>333031.70728641131</v>
      </c>
    </row>
    <row r="92" spans="1:9">
      <c r="A92" s="2">
        <v>14</v>
      </c>
      <c r="B92" s="16">
        <v>43617</v>
      </c>
      <c r="C92" s="16">
        <v>43646</v>
      </c>
      <c r="D92" s="18">
        <v>0.193</v>
      </c>
      <c r="E92" s="18">
        <f t="shared" si="0"/>
        <v>0.28949999999999998</v>
      </c>
      <c r="F92" s="96">
        <f t="shared" si="1"/>
        <v>6.9683047181468005E-4</v>
      </c>
      <c r="G92" s="22">
        <f t="shared" si="2"/>
        <v>15388724.0837355</v>
      </c>
      <c r="H92" s="26">
        <f t="shared" si="4"/>
        <v>30</v>
      </c>
      <c r="I92" s="22">
        <f t="shared" si="3"/>
        <v>321699.95591686014</v>
      </c>
    </row>
    <row r="93" spans="1:9">
      <c r="A93" s="2">
        <v>15</v>
      </c>
      <c r="B93" s="16">
        <v>43647</v>
      </c>
      <c r="C93" s="16">
        <v>43677</v>
      </c>
      <c r="D93" s="18">
        <v>0.1928</v>
      </c>
      <c r="E93" s="18">
        <f t="shared" si="0"/>
        <v>0.28920000000000001</v>
      </c>
      <c r="F93" s="96">
        <f t="shared" si="1"/>
        <v>6.9619256101671745E-4</v>
      </c>
      <c r="G93" s="22">
        <f t="shared" si="2"/>
        <v>15388724.0837355</v>
      </c>
      <c r="H93" s="26">
        <f t="shared" si="4"/>
        <v>31</v>
      </c>
      <c r="I93" s="22">
        <f t="shared" si="3"/>
        <v>332118.97214969911</v>
      </c>
    </row>
    <row r="94" spans="1:9">
      <c r="A94" s="2">
        <v>16</v>
      </c>
      <c r="B94" s="16">
        <v>43678</v>
      </c>
      <c r="C94" s="16">
        <v>43708</v>
      </c>
      <c r="D94" s="18">
        <v>0.19320000000000001</v>
      </c>
      <c r="E94" s="18">
        <f t="shared" si="0"/>
        <v>0.2898</v>
      </c>
      <c r="F94" s="96">
        <f t="shared" si="1"/>
        <v>6.9746823462724095E-4</v>
      </c>
      <c r="G94" s="22">
        <f t="shared" si="2"/>
        <v>15388724.0837355</v>
      </c>
      <c r="H94" s="26">
        <f t="shared" si="4"/>
        <v>31</v>
      </c>
      <c r="I94" s="22">
        <f t="shared" si="3"/>
        <v>332727.53281530982</v>
      </c>
    </row>
    <row r="95" spans="1:9">
      <c r="A95" s="2">
        <v>17</v>
      </c>
      <c r="B95" s="16">
        <v>43709</v>
      </c>
      <c r="C95" s="16">
        <v>43738</v>
      </c>
      <c r="D95" s="18">
        <v>0.19320000000000001</v>
      </c>
      <c r="E95" s="18">
        <f t="shared" si="0"/>
        <v>0.2898</v>
      </c>
      <c r="F95" s="96">
        <f t="shared" si="1"/>
        <v>6.9746823462724095E-4</v>
      </c>
      <c r="G95" s="22">
        <f t="shared" si="2"/>
        <v>15388724.0837355</v>
      </c>
      <c r="H95" s="26">
        <f t="shared" si="4"/>
        <v>30</v>
      </c>
      <c r="I95" s="22">
        <f t="shared" si="3"/>
        <v>321994.38659546111</v>
      </c>
    </row>
    <row r="96" spans="1:9">
      <c r="A96" s="2">
        <v>18</v>
      </c>
      <c r="B96" s="16">
        <v>43739</v>
      </c>
      <c r="C96" s="16">
        <v>43769</v>
      </c>
      <c r="D96" s="18">
        <v>0.191</v>
      </c>
      <c r="E96" s="18">
        <f t="shared" si="0"/>
        <v>0.28649999999999998</v>
      </c>
      <c r="F96" s="96">
        <f t="shared" si="1"/>
        <v>6.9044469314105683E-4</v>
      </c>
      <c r="G96" s="22">
        <f t="shared" si="2"/>
        <v>15388724.0837355</v>
      </c>
      <c r="H96" s="26">
        <f t="shared" si="4"/>
        <v>31</v>
      </c>
      <c r="I96" s="22">
        <f t="shared" si="3"/>
        <v>329376.94921264157</v>
      </c>
    </row>
    <row r="97" spans="1:9">
      <c r="A97" s="2">
        <v>19</v>
      </c>
      <c r="B97" s="16">
        <v>43770</v>
      </c>
      <c r="C97" s="16">
        <v>43799</v>
      </c>
      <c r="D97" s="18">
        <v>0.1903</v>
      </c>
      <c r="E97" s="18">
        <f t="shared" si="0"/>
        <v>0.28544999999999998</v>
      </c>
      <c r="F97" s="96">
        <f t="shared" si="1"/>
        <v>6.8820616169262827E-4</v>
      </c>
      <c r="G97" s="22">
        <f t="shared" si="2"/>
        <v>15388724.0837355</v>
      </c>
      <c r="H97" s="26">
        <f t="shared" si="4"/>
        <v>30</v>
      </c>
      <c r="I97" s="22">
        <f t="shared" si="3"/>
        <v>317718.44205043552</v>
      </c>
    </row>
    <row r="98" spans="1:9">
      <c r="A98" s="2">
        <v>20</v>
      </c>
      <c r="B98" s="16">
        <v>43800</v>
      </c>
      <c r="C98" s="16">
        <v>43830</v>
      </c>
      <c r="D98" s="18">
        <v>0.18909999999999999</v>
      </c>
      <c r="E98" s="18">
        <f t="shared" si="0"/>
        <v>0.28364999999999996</v>
      </c>
      <c r="F98" s="96">
        <f t="shared" si="1"/>
        <v>6.8436443340047504E-4</v>
      </c>
      <c r="G98" s="22">
        <f t="shared" si="2"/>
        <v>15388724.0837355</v>
      </c>
      <c r="H98" s="26">
        <f t="shared" si="4"/>
        <v>31</v>
      </c>
      <c r="I98" s="22">
        <f t="shared" si="3"/>
        <v>326476.35858797858</v>
      </c>
    </row>
    <row r="99" spans="1:9">
      <c r="A99" s="2">
        <v>21</v>
      </c>
      <c r="B99" s="16">
        <v>43831</v>
      </c>
      <c r="C99" s="16">
        <v>43861</v>
      </c>
      <c r="D99" s="18">
        <v>0.18770000000000001</v>
      </c>
      <c r="E99" s="18">
        <f t="shared" si="0"/>
        <v>0.28155000000000002</v>
      </c>
      <c r="F99" s="96">
        <f t="shared" si="1"/>
        <v>6.7987562124560696E-4</v>
      </c>
      <c r="G99" s="22">
        <f t="shared" si="2"/>
        <v>15388724.0837355</v>
      </c>
      <c r="H99" s="26">
        <f t="shared" si="4"/>
        <v>31</v>
      </c>
      <c r="I99" s="22">
        <f t="shared" si="3"/>
        <v>324334.9687448141</v>
      </c>
    </row>
    <row r="100" spans="1:9">
      <c r="A100" s="2">
        <v>22</v>
      </c>
      <c r="B100" s="16">
        <v>43862</v>
      </c>
      <c r="C100" s="16">
        <v>43890</v>
      </c>
      <c r="D100" s="18">
        <v>0.19059999999999999</v>
      </c>
      <c r="E100" s="18">
        <f t="shared" si="0"/>
        <v>0.28589999999999999</v>
      </c>
      <c r="F100" s="96">
        <f t="shared" si="1"/>
        <v>6.8916575551658532E-4</v>
      </c>
      <c r="G100" s="22">
        <f t="shared" si="2"/>
        <v>15388724.0837355</v>
      </c>
      <c r="H100" s="26">
        <f t="shared" si="4"/>
        <v>29</v>
      </c>
      <c r="I100" s="22">
        <f t="shared" si="3"/>
        <v>307556.06812851154</v>
      </c>
    </row>
    <row r="101" spans="1:9">
      <c r="A101" s="2">
        <v>23</v>
      </c>
      <c r="B101" s="16">
        <v>43891</v>
      </c>
      <c r="C101" s="16">
        <v>43921</v>
      </c>
      <c r="D101" s="18">
        <v>0.1895</v>
      </c>
      <c r="E101" s="18">
        <f t="shared" si="0"/>
        <v>0.28425</v>
      </c>
      <c r="F101" s="96">
        <f t="shared" si="1"/>
        <v>6.8564560609574166E-4</v>
      </c>
      <c r="G101" s="22">
        <f t="shared" si="2"/>
        <v>15388724.0837355</v>
      </c>
      <c r="H101" s="26">
        <f t="shared" si="4"/>
        <v>31</v>
      </c>
      <c r="I101" s="22">
        <f t="shared" si="3"/>
        <v>327087.54259442189</v>
      </c>
    </row>
    <row r="102" spans="1:9">
      <c r="A102" s="2">
        <v>24</v>
      </c>
      <c r="B102" s="16">
        <v>43922</v>
      </c>
      <c r="C102" s="16">
        <v>43951</v>
      </c>
      <c r="D102" s="18">
        <v>0.18690000000000001</v>
      </c>
      <c r="E102" s="18">
        <f t="shared" si="0"/>
        <v>0.28034999999999999</v>
      </c>
      <c r="F102" s="96">
        <f t="shared" si="1"/>
        <v>6.7730729113191224E-4</v>
      </c>
      <c r="G102" s="22">
        <f t="shared" si="2"/>
        <v>15388724.0837355</v>
      </c>
      <c r="H102" s="26">
        <f t="shared" si="4"/>
        <v>30</v>
      </c>
      <c r="I102" s="22">
        <f t="shared" si="3"/>
        <v>312686.85069393931</v>
      </c>
    </row>
    <row r="103" spans="1:9">
      <c r="A103" s="2">
        <v>25</v>
      </c>
      <c r="B103" s="16">
        <v>43952</v>
      </c>
      <c r="C103" s="16">
        <v>43982</v>
      </c>
      <c r="D103" s="18">
        <v>0.18190000000000001</v>
      </c>
      <c r="E103" s="18">
        <f t="shared" si="0"/>
        <v>0.27285000000000004</v>
      </c>
      <c r="F103" s="96">
        <f t="shared" si="1"/>
        <v>6.6120063584418354E-4</v>
      </c>
      <c r="G103" s="22">
        <f t="shared" si="2"/>
        <v>15388724.0837355</v>
      </c>
      <c r="H103" s="26">
        <f t="shared" si="4"/>
        <v>31</v>
      </c>
      <c r="I103" s="22">
        <f t="shared" si="3"/>
        <v>315426.05861889495</v>
      </c>
    </row>
    <row r="104" spans="1:9">
      <c r="A104" s="2">
        <v>26</v>
      </c>
      <c r="B104" s="16">
        <v>43983</v>
      </c>
      <c r="C104" s="16">
        <v>44012</v>
      </c>
      <c r="D104" s="18">
        <v>0.1812</v>
      </c>
      <c r="E104" s="18">
        <f t="shared" si="0"/>
        <v>0.27179999999999999</v>
      </c>
      <c r="F104" s="96">
        <f t="shared" si="1"/>
        <v>6.5893815469997286E-4</v>
      </c>
      <c r="G104" s="22">
        <f t="shared" si="2"/>
        <v>15388724.0837355</v>
      </c>
      <c r="H104" s="26">
        <f t="shared" si="4"/>
        <v>30</v>
      </c>
      <c r="I104" s="22">
        <f t="shared" si="3"/>
        <v>304206.52352771105</v>
      </c>
    </row>
    <row r="105" spans="1:9">
      <c r="A105" s="2">
        <v>27</v>
      </c>
      <c r="B105" s="16">
        <v>44013</v>
      </c>
      <c r="C105" s="16">
        <v>44043</v>
      </c>
      <c r="D105" s="18">
        <v>0.1812</v>
      </c>
      <c r="E105" s="18">
        <f t="shared" si="0"/>
        <v>0.27179999999999999</v>
      </c>
      <c r="F105" s="96">
        <f t="shared" si="1"/>
        <v>6.5893815469997286E-4</v>
      </c>
      <c r="G105" s="22">
        <f t="shared" si="2"/>
        <v>15388724.0837355</v>
      </c>
      <c r="H105" s="26">
        <f t="shared" si="4"/>
        <v>31</v>
      </c>
      <c r="I105" s="22">
        <f t="shared" si="3"/>
        <v>314346.74097863474</v>
      </c>
    </row>
    <row r="106" spans="1:9">
      <c r="A106" s="2">
        <v>28</v>
      </c>
      <c r="B106" s="16">
        <v>44044</v>
      </c>
      <c r="C106" s="16">
        <v>44074</v>
      </c>
      <c r="D106" s="18">
        <v>0.18290000000000001</v>
      </c>
      <c r="E106" s="18">
        <f t="shared" si="0"/>
        <v>0.27434999999999998</v>
      </c>
      <c r="F106" s="96">
        <f t="shared" si="1"/>
        <v>6.6442952514544906E-4</v>
      </c>
      <c r="G106" s="22">
        <f t="shared" si="2"/>
        <v>15388724.0837355</v>
      </c>
      <c r="H106" s="26">
        <f t="shared" si="4"/>
        <v>31</v>
      </c>
      <c r="I106" s="22">
        <f t="shared" si="3"/>
        <v>316966.40170207212</v>
      </c>
    </row>
    <row r="107" spans="1:9">
      <c r="A107" s="2">
        <v>29</v>
      </c>
      <c r="B107" s="16">
        <v>44075</v>
      </c>
      <c r="C107" s="16">
        <v>44104</v>
      </c>
      <c r="D107" s="18">
        <v>0.1835</v>
      </c>
      <c r="E107" s="18">
        <f t="shared" si="0"/>
        <v>0.27524999999999999</v>
      </c>
      <c r="F107" s="96">
        <f t="shared" si="1"/>
        <v>6.6636503991857055E-4</v>
      </c>
      <c r="G107" s="22">
        <f t="shared" si="2"/>
        <v>15388724.0837355</v>
      </c>
      <c r="H107" s="26">
        <f t="shared" si="4"/>
        <v>30</v>
      </c>
      <c r="I107" s="22">
        <f t="shared" si="3"/>
        <v>307635.23215062823</v>
      </c>
    </row>
    <row r="108" spans="1:9">
      <c r="A108" s="2">
        <v>30</v>
      </c>
      <c r="B108" s="16">
        <v>44105</v>
      </c>
      <c r="C108" s="16">
        <v>44135</v>
      </c>
      <c r="D108" s="18">
        <v>0.18090000000000001</v>
      </c>
      <c r="E108" s="18">
        <f t="shared" si="0"/>
        <v>0.27134999999999998</v>
      </c>
      <c r="F108" s="96">
        <f t="shared" si="1"/>
        <v>6.5796794962613703E-4</v>
      </c>
      <c r="G108" s="22">
        <f t="shared" si="2"/>
        <v>15388724.0837355</v>
      </c>
      <c r="H108" s="26">
        <f t="shared" si="4"/>
        <v>31</v>
      </c>
      <c r="I108" s="22">
        <f t="shared" si="3"/>
        <v>313883.90421487181</v>
      </c>
    </row>
    <row r="109" spans="1:9">
      <c r="A109" s="2">
        <v>31</v>
      </c>
      <c r="B109" s="16">
        <v>44136</v>
      </c>
      <c r="C109" s="16">
        <v>44165</v>
      </c>
      <c r="D109" s="18">
        <v>0.1784</v>
      </c>
      <c r="E109" s="18">
        <f t="shared" si="0"/>
        <v>0.2676</v>
      </c>
      <c r="F109" s="96">
        <f t="shared" si="1"/>
        <v>6.4986956374091243E-4</v>
      </c>
      <c r="G109" s="22">
        <f t="shared" si="2"/>
        <v>15388724.0837355</v>
      </c>
      <c r="H109" s="26">
        <f t="shared" si="4"/>
        <v>30</v>
      </c>
      <c r="I109" s="22">
        <f t="shared" si="3"/>
        <v>300019.90220479382</v>
      </c>
    </row>
    <row r="110" spans="1:9">
      <c r="A110" s="2">
        <v>32</v>
      </c>
      <c r="B110" s="16">
        <v>44166</v>
      </c>
      <c r="C110" s="16">
        <v>44196</v>
      </c>
      <c r="D110" s="18">
        <v>0.17460000000000001</v>
      </c>
      <c r="E110" s="18">
        <f t="shared" si="0"/>
        <v>0.26190000000000002</v>
      </c>
      <c r="F110" s="96">
        <f t="shared" si="1"/>
        <v>6.3751414410861962E-4</v>
      </c>
      <c r="G110" s="22">
        <f t="shared" si="2"/>
        <v>15388724.0837355</v>
      </c>
      <c r="H110" s="26">
        <f t="shared" si="4"/>
        <v>31</v>
      </c>
      <c r="I110" s="22">
        <f t="shared" si="3"/>
        <v>304126.40715815645</v>
      </c>
    </row>
    <row r="111" spans="1:9">
      <c r="A111" s="2">
        <v>33</v>
      </c>
      <c r="B111" s="16">
        <v>44197</v>
      </c>
      <c r="C111" s="16">
        <v>44227</v>
      </c>
      <c r="D111" s="18">
        <v>0.17319999999999999</v>
      </c>
      <c r="E111" s="18">
        <f t="shared" si="0"/>
        <v>0.25979999999999998</v>
      </c>
      <c r="F111" s="96">
        <f t="shared" si="1"/>
        <v>6.3294811266723094E-4</v>
      </c>
      <c r="G111" s="22">
        <f t="shared" si="2"/>
        <v>15388724.0837355</v>
      </c>
      <c r="H111" s="26">
        <f t="shared" si="4"/>
        <v>31</v>
      </c>
      <c r="I111" s="22">
        <f t="shared" si="3"/>
        <v>301948.17981987156</v>
      </c>
    </row>
    <row r="112" spans="1:9">
      <c r="A112" s="2">
        <v>34</v>
      </c>
      <c r="B112" s="16">
        <v>44228</v>
      </c>
      <c r="C112" s="16">
        <v>44255</v>
      </c>
      <c r="D112" s="18">
        <v>0.1754</v>
      </c>
      <c r="E112" s="18">
        <f t="shared" si="0"/>
        <v>0.2631</v>
      </c>
      <c r="F112" s="96">
        <f t="shared" si="1"/>
        <v>6.4011990387169426E-4</v>
      </c>
      <c r="G112" s="22">
        <f t="shared" si="2"/>
        <v>15388724.0837355</v>
      </c>
      <c r="H112" s="26">
        <f t="shared" si="4"/>
        <v>28</v>
      </c>
      <c r="I112" s="22">
        <f t="shared" si="3"/>
        <v>275817.60027328623</v>
      </c>
    </row>
    <row r="113" spans="1:9">
      <c r="A113" s="2">
        <v>35</v>
      </c>
      <c r="B113" s="16">
        <v>44256</v>
      </c>
      <c r="C113" s="16">
        <v>44286</v>
      </c>
      <c r="D113" s="18">
        <v>0.1741</v>
      </c>
      <c r="E113" s="18">
        <f t="shared" si="0"/>
        <v>0.26114999999999999</v>
      </c>
      <c r="F113" s="96">
        <f t="shared" si="1"/>
        <v>6.3588428907812578E-4</v>
      </c>
      <c r="G113" s="22">
        <f t="shared" si="2"/>
        <v>15388724.0837355</v>
      </c>
      <c r="H113" s="26">
        <f t="shared" si="4"/>
        <v>31</v>
      </c>
      <c r="I113" s="22">
        <f t="shared" si="3"/>
        <v>303348.88408797298</v>
      </c>
    </row>
    <row r="114" spans="1:9">
      <c r="A114" s="2">
        <v>36</v>
      </c>
      <c r="B114" s="16">
        <v>44287</v>
      </c>
      <c r="C114" s="16">
        <v>44316</v>
      </c>
      <c r="D114" s="18">
        <v>0.1731</v>
      </c>
      <c r="E114" s="18">
        <f t="shared" si="0"/>
        <v>0.25964999999999999</v>
      </c>
      <c r="F114" s="96">
        <f t="shared" si="1"/>
        <v>6.326216771728177E-4</v>
      </c>
      <c r="G114" s="22">
        <f t="shared" si="2"/>
        <v>15388724.0837355</v>
      </c>
      <c r="H114" s="26">
        <f t="shared" si="4"/>
        <v>30</v>
      </c>
      <c r="I114" s="22">
        <f t="shared" si="3"/>
        <v>292057.21318207448</v>
      </c>
    </row>
    <row r="115" spans="1:9">
      <c r="A115" s="2">
        <v>37</v>
      </c>
      <c r="B115" s="16">
        <v>44317</v>
      </c>
      <c r="C115" s="16">
        <v>44347</v>
      </c>
      <c r="D115" s="18">
        <v>0.17219999999999999</v>
      </c>
      <c r="E115" s="18">
        <f t="shared" si="0"/>
        <v>0.25829999999999997</v>
      </c>
      <c r="F115" s="96">
        <f t="shared" si="1"/>
        <v>6.2968201205726437E-4</v>
      </c>
      <c r="G115" s="22">
        <f t="shared" si="2"/>
        <v>15388724.0837355</v>
      </c>
      <c r="H115" s="26">
        <f t="shared" si="4"/>
        <v>31</v>
      </c>
      <c r="I115" s="22">
        <f t="shared" si="3"/>
        <v>300390.08506526024</v>
      </c>
    </row>
    <row r="116" spans="1:9">
      <c r="A116" s="2">
        <v>38</v>
      </c>
      <c r="B116" s="16">
        <v>44348</v>
      </c>
      <c r="C116" s="16">
        <v>44377</v>
      </c>
      <c r="D116" s="18">
        <v>0.1721</v>
      </c>
      <c r="E116" s="18">
        <f t="shared" si="0"/>
        <v>0.25814999999999999</v>
      </c>
      <c r="F116" s="96">
        <f t="shared" si="1"/>
        <v>6.2935518846773952E-4</v>
      </c>
      <c r="G116" s="22">
        <f t="shared" si="2"/>
        <v>15388724.0837355</v>
      </c>
      <c r="H116" s="26">
        <f t="shared" si="4"/>
        <v>30</v>
      </c>
      <c r="I116" s="22">
        <f t="shared" si="3"/>
        <v>290549.20037992194</v>
      </c>
    </row>
    <row r="117" spans="1:9">
      <c r="A117" s="2">
        <v>39</v>
      </c>
      <c r="B117" s="16">
        <v>44378</v>
      </c>
      <c r="C117" s="16">
        <v>44408</v>
      </c>
      <c r="D117" s="18">
        <v>0.17180000000000001</v>
      </c>
      <c r="E117" s="18">
        <f t="shared" si="0"/>
        <v>0.25770000000000004</v>
      </c>
      <c r="F117" s="96">
        <f t="shared" si="1"/>
        <v>6.2837448450037137E-4</v>
      </c>
      <c r="G117" s="22">
        <f t="shared" si="2"/>
        <v>15388724.0837355</v>
      </c>
      <c r="H117" s="26">
        <f t="shared" si="4"/>
        <v>31</v>
      </c>
      <c r="I117" s="22">
        <f t="shared" si="3"/>
        <v>299766.32846030802</v>
      </c>
    </row>
    <row r="118" spans="1:9">
      <c r="A118" s="2">
        <v>40</v>
      </c>
      <c r="B118" s="16">
        <v>44409</v>
      </c>
      <c r="C118" s="16">
        <v>44439</v>
      </c>
      <c r="D118" s="18">
        <v>0.1724</v>
      </c>
      <c r="E118" s="18">
        <f>+D118*1.5</f>
        <v>0.2586</v>
      </c>
      <c r="F118" s="96">
        <f t="shared" si="1"/>
        <v>6.3033554269220637E-4</v>
      </c>
      <c r="G118" s="22">
        <f t="shared" si="2"/>
        <v>15388724.0837355</v>
      </c>
      <c r="H118" s="26">
        <f>_xlfn.DAYS(C118,B118)+1</f>
        <v>31</v>
      </c>
      <c r="I118" s="22">
        <f>(F118*G118)*H118</f>
        <v>300701.85214652331</v>
      </c>
    </row>
    <row r="119" spans="1:9">
      <c r="A119" s="2">
        <v>41</v>
      </c>
      <c r="B119" s="16">
        <v>44440</v>
      </c>
      <c r="C119" s="16">
        <v>44469</v>
      </c>
      <c r="D119" s="18">
        <v>0.1719</v>
      </c>
      <c r="E119" s="18">
        <f>+D119*1.5</f>
        <v>0.25785000000000002</v>
      </c>
      <c r="F119" s="96">
        <f t="shared" si="1"/>
        <v>6.2870142469861889E-4</v>
      </c>
      <c r="G119" s="22">
        <f t="shared" si="2"/>
        <v>15388724.0837355</v>
      </c>
      <c r="H119" s="26">
        <f>_xlfn.DAYS(C119,B119)+1</f>
        <v>30</v>
      </c>
      <c r="I119" s="22">
        <f>(F119*G119)*H119</f>
        <v>290247.3826721537</v>
      </c>
    </row>
    <row r="120" spans="1:9">
      <c r="A120" s="2">
        <v>42</v>
      </c>
      <c r="B120" s="16">
        <v>44470</v>
      </c>
      <c r="C120" s="16">
        <v>44500</v>
      </c>
      <c r="D120" s="18">
        <v>0.1714</v>
      </c>
      <c r="E120" s="18">
        <f>+D120*1.5</f>
        <v>0.2571</v>
      </c>
      <c r="F120" s="96">
        <f t="shared" si="1"/>
        <v>6.2706633473341711E-4</v>
      </c>
      <c r="G120" s="22">
        <f t="shared" si="2"/>
        <v>15388724.0837355</v>
      </c>
      <c r="H120" s="26">
        <f>_xlfn.DAYS(C120,B120)+1</f>
        <v>31</v>
      </c>
      <c r="I120" s="22">
        <f>(F120*G120)*H120</f>
        <v>299142.27502976835</v>
      </c>
    </row>
    <row r="121" spans="1:9">
      <c r="A121" s="2">
        <v>43</v>
      </c>
      <c r="B121" s="16">
        <v>44501</v>
      </c>
      <c r="C121" s="16">
        <v>44530</v>
      </c>
      <c r="D121" s="18">
        <v>0.17269999999999999</v>
      </c>
      <c r="E121" s="18">
        <f>+D121*1.5</f>
        <v>0.25905</v>
      </c>
      <c r="F121" s="96">
        <f t="shared" si="1"/>
        <v>6.3131554742335005E-4</v>
      </c>
      <c r="G121" s="22">
        <f t="shared" si="2"/>
        <v>15388724.0837355</v>
      </c>
      <c r="H121" s="26">
        <f>_xlfn.DAYS(C121,B121)+1</f>
        <v>30</v>
      </c>
      <c r="I121" s="22">
        <f>(F121*G121)*H121</f>
        <v>291454.22307211102</v>
      </c>
    </row>
    <row r="122" spans="1:9">
      <c r="A122" s="2">
        <v>44</v>
      </c>
      <c r="B122" s="16">
        <v>44531</v>
      </c>
      <c r="C122" s="16">
        <v>44561</v>
      </c>
      <c r="D122" s="18">
        <v>0.17460000000000001</v>
      </c>
      <c r="E122" s="18">
        <f>+D122*1.5</f>
        <v>0.26190000000000002</v>
      </c>
      <c r="F122" s="96">
        <f>((1+E122)^(1/365))-1</f>
        <v>6.3751414410861962E-4</v>
      </c>
      <c r="G122" s="22">
        <f t="shared" si="2"/>
        <v>15388724.0837355</v>
      </c>
      <c r="H122" s="26">
        <f>_xlfn.DAYS(C122,B122)+1</f>
        <v>31</v>
      </c>
      <c r="I122" s="22">
        <f>(F122*G122)*H122</f>
        <v>304126.40715815645</v>
      </c>
    </row>
    <row r="123" spans="1:9">
      <c r="G123" s="2549" t="s">
        <v>93</v>
      </c>
      <c r="H123" s="2549"/>
      <c r="I123" s="22">
        <f>SUM(I79:I122)</f>
        <v>13562474.252475666</v>
      </c>
    </row>
  </sheetData>
  <mergeCells count="9">
    <mergeCell ref="D73:E73"/>
    <mergeCell ref="B77:H77"/>
    <mergeCell ref="G123:H123"/>
    <mergeCell ref="D26:E26"/>
    <mergeCell ref="D34:E34"/>
    <mergeCell ref="D41:E41"/>
    <mergeCell ref="D48:E48"/>
    <mergeCell ref="D59:E59"/>
    <mergeCell ref="D66:E66"/>
  </mergeCell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4"/>
  <dimension ref="A3:J88"/>
  <sheetViews>
    <sheetView workbookViewId="0">
      <selection activeCell="A13" sqref="A13"/>
    </sheetView>
  </sheetViews>
  <sheetFormatPr defaultColWidth="9.140625" defaultRowHeight="12.75"/>
  <cols>
    <col min="1" max="1" width="21.85546875" customWidth="1"/>
    <col min="2" max="2" width="15.42578125" bestFit="1" customWidth="1"/>
    <col min="3" max="3" width="17.140625" customWidth="1"/>
    <col min="4" max="6" width="11.42578125" customWidth="1"/>
    <col min="7" max="7" width="15.5703125" customWidth="1"/>
    <col min="8" max="8" width="13.7109375" customWidth="1"/>
    <col min="9" max="9" width="17.42578125" bestFit="1" customWidth="1"/>
    <col min="10" max="10" width="13.85546875" bestFit="1" customWidth="1"/>
    <col min="11" max="256" width="11.42578125" customWidth="1"/>
  </cols>
  <sheetData>
    <row r="3" spans="1:5" ht="22.5" customHeight="1">
      <c r="A3" s="473" t="s">
        <v>1336</v>
      </c>
      <c r="B3" s="75" t="s">
        <v>1337</v>
      </c>
      <c r="C3" s="2"/>
    </row>
    <row r="4" spans="1:5" ht="14.25">
      <c r="A4" s="473" t="s">
        <v>667</v>
      </c>
      <c r="B4" s="74">
        <f>+B10</f>
        <v>54847036</v>
      </c>
      <c r="C4" s="2"/>
    </row>
    <row r="5" spans="1:5">
      <c r="A5" s="473" t="s">
        <v>1338</v>
      </c>
    </row>
    <row r="6" spans="1:5">
      <c r="A6" s="473" t="s">
        <v>11</v>
      </c>
      <c r="B6" s="196" t="s">
        <v>1339</v>
      </c>
      <c r="C6" s="2"/>
    </row>
    <row r="7" spans="1:5" ht="28.5" customHeight="1">
      <c r="A7" s="473" t="s">
        <v>219</v>
      </c>
    </row>
    <row r="8" spans="1:5">
      <c r="A8" s="473"/>
    </row>
    <row r="9" spans="1:5">
      <c r="A9" s="473" t="s">
        <v>142</v>
      </c>
      <c r="B9" s="2"/>
      <c r="C9" s="2"/>
      <c r="D9" s="2"/>
      <c r="E9" s="2"/>
    </row>
    <row r="10" spans="1:5">
      <c r="A10" s="2" t="s">
        <v>143</v>
      </c>
      <c r="B10" s="2501">
        <v>54847036</v>
      </c>
      <c r="C10" s="2"/>
      <c r="D10" s="2"/>
      <c r="E10" s="2"/>
    </row>
    <row r="11" spans="1:5">
      <c r="A11" s="2" t="s">
        <v>145</v>
      </c>
      <c r="B11" s="2"/>
      <c r="C11" s="187" t="s">
        <v>1340</v>
      </c>
      <c r="D11" s="2">
        <v>108.84</v>
      </c>
      <c r="E11" s="2"/>
    </row>
    <row r="12" spans="1:5" ht="25.5">
      <c r="A12" s="2"/>
      <c r="B12" s="2509">
        <f>+B10*D13</f>
        <v>64815976.09381108</v>
      </c>
      <c r="C12" s="187" t="s">
        <v>1341</v>
      </c>
      <c r="D12" s="42">
        <v>92.1</v>
      </c>
    </row>
    <row r="13" spans="1:5">
      <c r="A13" s="3"/>
      <c r="B13" s="2509"/>
      <c r="C13" s="2" t="s">
        <v>76</v>
      </c>
      <c r="D13" s="2">
        <f>+D11/D12</f>
        <v>1.1817589576547232</v>
      </c>
      <c r="E13" s="2"/>
    </row>
    <row r="17" spans="1:9">
      <c r="A17" s="2783" t="s">
        <v>957</v>
      </c>
      <c r="B17" s="2770"/>
      <c r="C17" s="2770"/>
      <c r="D17" s="2770"/>
      <c r="E17" s="2770"/>
      <c r="F17" s="2770"/>
      <c r="G17" s="2784"/>
    </row>
    <row r="18" spans="1:9" ht="25.5">
      <c r="A18" s="4" t="s">
        <v>11</v>
      </c>
      <c r="B18" s="4"/>
      <c r="C18" s="3" t="s">
        <v>148</v>
      </c>
      <c r="D18" s="33" t="s">
        <v>149</v>
      </c>
      <c r="E18" s="3" t="s">
        <v>1342</v>
      </c>
      <c r="F18" s="3" t="s">
        <v>43</v>
      </c>
      <c r="G18" s="17" t="s">
        <v>129</v>
      </c>
      <c r="H18" s="17" t="s">
        <v>47</v>
      </c>
      <c r="I18" s="17" t="s">
        <v>48</v>
      </c>
    </row>
    <row r="19" spans="1:9">
      <c r="A19" s="16">
        <v>42502</v>
      </c>
      <c r="B19" s="16">
        <v>42521</v>
      </c>
      <c r="C19" s="18">
        <v>0.2054</v>
      </c>
      <c r="D19" s="18">
        <f>+C19*1.5</f>
        <v>0.30809999999999998</v>
      </c>
      <c r="E19" s="18">
        <f>(1+D19)^(1/12)-1</f>
        <v>2.2633649099822239E-2</v>
      </c>
      <c r="F19" s="43">
        <f>((1+E19)^(1/30)-1)</f>
        <v>7.4632197840363013E-4</v>
      </c>
      <c r="G19" s="22">
        <f>+$B$12</f>
        <v>64815976.09381108</v>
      </c>
      <c r="H19" s="26">
        <f>_xlfn.DAYS(B19,A19)+1</f>
        <v>20</v>
      </c>
      <c r="I19" s="22">
        <f>(F19*G19)*H19</f>
        <v>967471.75020990951</v>
      </c>
    </row>
    <row r="20" spans="1:9">
      <c r="A20" s="16">
        <v>42522</v>
      </c>
      <c r="B20" s="16">
        <v>42551</v>
      </c>
      <c r="C20" s="18">
        <v>0.2054</v>
      </c>
      <c r="D20" s="18">
        <f t="shared" ref="D20:D65" si="0">+C20*1.5</f>
        <v>0.30809999999999998</v>
      </c>
      <c r="E20" s="18">
        <f t="shared" ref="E20:E65" si="1">(1+D20)^(1/12)-1</f>
        <v>2.2633649099822239E-2</v>
      </c>
      <c r="F20" s="18">
        <f t="shared" ref="F20:F65" si="2">((1+E20)^(1/30)-1)</f>
        <v>7.4632197840363013E-4</v>
      </c>
      <c r="G20" s="22">
        <f>+G19+I19</f>
        <v>65783447.844020993</v>
      </c>
      <c r="H20" s="26">
        <f t="shared" ref="H20:H83" si="3">_xlfn.DAYS(B20,A20)+1</f>
        <v>30</v>
      </c>
      <c r="I20" s="22">
        <f>(F20*G20)*H20</f>
        <v>1472868.9882348529</v>
      </c>
    </row>
    <row r="21" spans="1:9">
      <c r="A21" s="16">
        <f>EDATE(A20,1)</f>
        <v>42552</v>
      </c>
      <c r="B21" s="16">
        <v>42582</v>
      </c>
      <c r="C21" s="18">
        <v>0.21340000000000001</v>
      </c>
      <c r="D21" s="18">
        <f t="shared" si="0"/>
        <v>0.3201</v>
      </c>
      <c r="E21" s="18">
        <f t="shared" si="1"/>
        <v>2.3412151466478903E-2</v>
      </c>
      <c r="F21" s="18">
        <f t="shared" si="2"/>
        <v>7.7170731105158374E-4</v>
      </c>
      <c r="G21" s="22">
        <f>+G20+I20</f>
        <v>67256316.83225584</v>
      </c>
      <c r="H21" s="26">
        <f t="shared" si="3"/>
        <v>31</v>
      </c>
      <c r="I21" s="22">
        <f t="shared" ref="I21:I65" si="4">(F21*G21)*H21</f>
        <v>1608967.9338294594</v>
      </c>
    </row>
    <row r="22" spans="1:9">
      <c r="A22" s="16">
        <f t="shared" ref="A22:A84" si="5">EDATE(A21,1)</f>
        <v>42583</v>
      </c>
      <c r="B22" s="16">
        <v>42613</v>
      </c>
      <c r="C22" s="451">
        <v>0.21340000000000001</v>
      </c>
      <c r="D22" s="18">
        <f t="shared" si="0"/>
        <v>0.3201</v>
      </c>
      <c r="E22" s="18">
        <f t="shared" si="1"/>
        <v>2.3412151466478903E-2</v>
      </c>
      <c r="F22" s="18">
        <f t="shared" si="2"/>
        <v>7.7170731105158374E-4</v>
      </c>
      <c r="G22" s="22">
        <f t="shared" ref="G22:G29" si="6">+G21+I21</f>
        <v>68865284.766085297</v>
      </c>
      <c r="H22" s="26">
        <f t="shared" si="3"/>
        <v>31</v>
      </c>
      <c r="I22" s="22">
        <f t="shared" si="4"/>
        <v>1647459.1556807556</v>
      </c>
    </row>
    <row r="23" spans="1:9">
      <c r="A23" s="16">
        <f t="shared" si="5"/>
        <v>42614</v>
      </c>
      <c r="B23" s="16">
        <v>42643</v>
      </c>
      <c r="C23" s="18">
        <v>0.21340000000000001</v>
      </c>
      <c r="D23" s="18">
        <f t="shared" si="0"/>
        <v>0.3201</v>
      </c>
      <c r="E23" s="18">
        <f t="shared" si="1"/>
        <v>2.3412151466478903E-2</v>
      </c>
      <c r="F23" s="18">
        <f t="shared" si="2"/>
        <v>7.7170731105158374E-4</v>
      </c>
      <c r="G23" s="22">
        <f t="shared" si="6"/>
        <v>70512743.921766058</v>
      </c>
      <c r="H23" s="26">
        <f t="shared" si="3"/>
        <v>30</v>
      </c>
      <c r="I23" s="22">
        <f t="shared" si="4"/>
        <v>1632456.0002020495</v>
      </c>
    </row>
    <row r="24" spans="1:9">
      <c r="A24" s="16">
        <f t="shared" si="5"/>
        <v>42644</v>
      </c>
      <c r="B24" s="16">
        <v>42674</v>
      </c>
      <c r="C24" s="18">
        <v>0.21989999999999998</v>
      </c>
      <c r="D24" s="18">
        <f t="shared" si="0"/>
        <v>0.32984999999999998</v>
      </c>
      <c r="E24" s="18">
        <f t="shared" si="1"/>
        <v>2.4039922656450941E-2</v>
      </c>
      <c r="F24" s="18">
        <f t="shared" si="2"/>
        <v>7.9216402386927953E-4</v>
      </c>
      <c r="G24" s="22">
        <f t="shared" si="6"/>
        <v>72145199.921968102</v>
      </c>
      <c r="H24" s="26">
        <f t="shared" si="3"/>
        <v>31</v>
      </c>
      <c r="I24" s="22">
        <f t="shared" si="4"/>
        <v>1771675.7880642363</v>
      </c>
    </row>
    <row r="25" spans="1:9">
      <c r="A25" s="16">
        <f t="shared" si="5"/>
        <v>42675</v>
      </c>
      <c r="B25" s="16">
        <v>42704</v>
      </c>
      <c r="C25" s="18">
        <v>0.21989999999999998</v>
      </c>
      <c r="D25" s="18">
        <f t="shared" si="0"/>
        <v>0.32984999999999998</v>
      </c>
      <c r="E25" s="18">
        <f t="shared" si="1"/>
        <v>2.4039922656450941E-2</v>
      </c>
      <c r="F25" s="18">
        <f t="shared" si="2"/>
        <v>7.9216402386927953E-4</v>
      </c>
      <c r="G25" s="22">
        <f t="shared" si="6"/>
        <v>73916875.710032344</v>
      </c>
      <c r="H25" s="26">
        <f t="shared" si="3"/>
        <v>30</v>
      </c>
      <c r="I25" s="22">
        <f t="shared" si="4"/>
        <v>1756628.690829139</v>
      </c>
    </row>
    <row r="26" spans="1:9">
      <c r="A26" s="16">
        <f t="shared" si="5"/>
        <v>42705</v>
      </c>
      <c r="B26" s="16">
        <v>42735</v>
      </c>
      <c r="C26" s="18">
        <v>0.21989999999999998</v>
      </c>
      <c r="D26" s="18">
        <f t="shared" si="0"/>
        <v>0.32984999999999998</v>
      </c>
      <c r="E26" s="18">
        <f t="shared" si="1"/>
        <v>2.4039922656450941E-2</v>
      </c>
      <c r="F26" s="18">
        <f t="shared" si="2"/>
        <v>7.9216402386927953E-4</v>
      </c>
      <c r="G26" s="22">
        <f t="shared" si="6"/>
        <v>75673504.400861487</v>
      </c>
      <c r="H26" s="26">
        <f t="shared" si="3"/>
        <v>31</v>
      </c>
      <c r="I26" s="22">
        <f t="shared" si="4"/>
        <v>1858320.6601407581</v>
      </c>
    </row>
    <row r="27" spans="1:9">
      <c r="A27" s="16">
        <f t="shared" si="5"/>
        <v>42736</v>
      </c>
      <c r="B27" s="16">
        <v>42766</v>
      </c>
      <c r="C27" s="18">
        <v>0.22339999999999999</v>
      </c>
      <c r="D27" s="18">
        <f t="shared" si="0"/>
        <v>0.33509999999999995</v>
      </c>
      <c r="E27" s="18">
        <f t="shared" si="1"/>
        <v>2.4376207843189057E-2</v>
      </c>
      <c r="F27" s="18">
        <f t="shared" si="2"/>
        <v>8.0311731340487746E-4</v>
      </c>
      <c r="G27" s="22">
        <f t="shared" si="6"/>
        <v>77531825.06100224</v>
      </c>
      <c r="H27" s="26">
        <f t="shared" si="3"/>
        <v>31</v>
      </c>
      <c r="I27" s="22">
        <f t="shared" si="4"/>
        <v>1930281.6824374413</v>
      </c>
    </row>
    <row r="28" spans="1:9">
      <c r="A28" s="16">
        <f t="shared" si="5"/>
        <v>42767</v>
      </c>
      <c r="B28" s="16">
        <v>42794</v>
      </c>
      <c r="C28" s="18">
        <v>0.22339999999999999</v>
      </c>
      <c r="D28" s="18">
        <f t="shared" si="0"/>
        <v>0.33509999999999995</v>
      </c>
      <c r="E28" s="18">
        <f t="shared" si="1"/>
        <v>2.4376207843189057E-2</v>
      </c>
      <c r="F28" s="18">
        <f t="shared" si="2"/>
        <v>8.0311731340487746E-4</v>
      </c>
      <c r="G28" s="22">
        <f t="shared" si="6"/>
        <v>79462106.743439674</v>
      </c>
      <c r="H28" s="26">
        <f t="shared" si="3"/>
        <v>28</v>
      </c>
      <c r="I28" s="22">
        <f t="shared" si="4"/>
        <v>1786887.0231879205</v>
      </c>
    </row>
    <row r="29" spans="1:9">
      <c r="A29" s="16">
        <f t="shared" si="5"/>
        <v>42795</v>
      </c>
      <c r="B29" s="16">
        <v>42825</v>
      </c>
      <c r="C29" s="18">
        <v>0.22339999999999999</v>
      </c>
      <c r="D29" s="18">
        <f t="shared" si="0"/>
        <v>0.33509999999999995</v>
      </c>
      <c r="E29" s="18">
        <f t="shared" si="1"/>
        <v>2.4376207843189057E-2</v>
      </c>
      <c r="F29" s="18">
        <f t="shared" si="2"/>
        <v>8.0311731340487746E-4</v>
      </c>
      <c r="G29" s="22">
        <f t="shared" si="6"/>
        <v>81248993.766627595</v>
      </c>
      <c r="H29" s="26">
        <f t="shared" si="3"/>
        <v>31</v>
      </c>
      <c r="I29" s="22">
        <f t="shared" si="4"/>
        <v>2022826.6813118111</v>
      </c>
    </row>
    <row r="30" spans="1:9">
      <c r="A30" s="16">
        <f t="shared" si="5"/>
        <v>42826</v>
      </c>
      <c r="B30" s="16">
        <v>42855</v>
      </c>
      <c r="C30" s="18">
        <v>0.22329999999999997</v>
      </c>
      <c r="D30" s="18">
        <f t="shared" si="0"/>
        <v>0.33494999999999997</v>
      </c>
      <c r="E30" s="18">
        <f t="shared" si="1"/>
        <v>2.4366616530168139E-2</v>
      </c>
      <c r="F30" s="18">
        <f t="shared" si="2"/>
        <v>8.0280495877915747E-4</v>
      </c>
      <c r="G30" s="22">
        <f t="shared" ref="G30:G38" si="7">+G29+I29</f>
        <v>83271820.447939411</v>
      </c>
      <c r="H30" s="26">
        <f t="shared" si="3"/>
        <v>30</v>
      </c>
      <c r="I30" s="22">
        <f t="shared" si="4"/>
        <v>2005530.911465202</v>
      </c>
    </row>
    <row r="31" spans="1:9">
      <c r="A31" s="16">
        <f t="shared" si="5"/>
        <v>42856</v>
      </c>
      <c r="B31" s="16">
        <v>42886</v>
      </c>
      <c r="C31" s="18">
        <v>0.22329999999999997</v>
      </c>
      <c r="D31" s="18">
        <f t="shared" si="0"/>
        <v>0.33494999999999997</v>
      </c>
      <c r="E31" s="18">
        <f t="shared" si="1"/>
        <v>2.4366616530168139E-2</v>
      </c>
      <c r="F31" s="18">
        <f t="shared" si="2"/>
        <v>8.0280495877915747E-4</v>
      </c>
      <c r="G31" s="22">
        <f t="shared" si="7"/>
        <v>85277351.359404609</v>
      </c>
      <c r="H31" s="26">
        <f t="shared" si="3"/>
        <v>31</v>
      </c>
      <c r="I31" s="22">
        <f t="shared" si="4"/>
        <v>2122293.4968293589</v>
      </c>
    </row>
    <row r="32" spans="1:9">
      <c r="A32" s="16">
        <f t="shared" si="5"/>
        <v>42887</v>
      </c>
      <c r="B32" s="16">
        <v>42916</v>
      </c>
      <c r="C32" s="18">
        <v>0.22329999999999997</v>
      </c>
      <c r="D32" s="18">
        <f t="shared" si="0"/>
        <v>0.33494999999999997</v>
      </c>
      <c r="E32" s="18">
        <f t="shared" si="1"/>
        <v>2.4366616530168139E-2</v>
      </c>
      <c r="F32" s="18">
        <f t="shared" si="2"/>
        <v>8.0280495877915747E-4</v>
      </c>
      <c r="G32" s="22">
        <f t="shared" si="7"/>
        <v>87399644.856233969</v>
      </c>
      <c r="H32" s="26">
        <f t="shared" si="3"/>
        <v>30</v>
      </c>
      <c r="I32" s="22">
        <f t="shared" si="4"/>
        <v>2104946.0485836575</v>
      </c>
    </row>
    <row r="33" spans="1:9">
      <c r="A33" s="16">
        <f t="shared" si="5"/>
        <v>42917</v>
      </c>
      <c r="B33" s="16">
        <v>42947</v>
      </c>
      <c r="C33" s="18">
        <v>0.2198</v>
      </c>
      <c r="D33" s="18">
        <f t="shared" si="0"/>
        <v>0.32969999999999999</v>
      </c>
      <c r="E33" s="18">
        <f t="shared" si="1"/>
        <v>2.4030296637850723E-2</v>
      </c>
      <c r="F33" s="18">
        <f t="shared" si="2"/>
        <v>7.9185043948837297E-4</v>
      </c>
      <c r="G33" s="22">
        <f t="shared" si="7"/>
        <v>89504590.904817626</v>
      </c>
      <c r="H33" s="26">
        <f t="shared" si="3"/>
        <v>31</v>
      </c>
      <c r="I33" s="22">
        <f t="shared" si="4"/>
        <v>2197101.7389704129</v>
      </c>
    </row>
    <row r="34" spans="1:9">
      <c r="A34" s="16">
        <f t="shared" si="5"/>
        <v>42948</v>
      </c>
      <c r="B34" s="16">
        <v>42978</v>
      </c>
      <c r="C34" s="18">
        <v>0.2198</v>
      </c>
      <c r="D34" s="18">
        <f t="shared" si="0"/>
        <v>0.32969999999999999</v>
      </c>
      <c r="E34" s="18">
        <f t="shared" si="1"/>
        <v>2.4030296637850723E-2</v>
      </c>
      <c r="F34" s="18">
        <f t="shared" si="2"/>
        <v>7.9185043948837297E-4</v>
      </c>
      <c r="G34" s="22">
        <f t="shared" si="7"/>
        <v>91701692.64378804</v>
      </c>
      <c r="H34" s="26">
        <f t="shared" si="3"/>
        <v>31</v>
      </c>
      <c r="I34" s="22">
        <f t="shared" si="4"/>
        <v>2251034.794276149</v>
      </c>
    </row>
    <row r="35" spans="1:9">
      <c r="A35" s="16">
        <f t="shared" si="5"/>
        <v>42979</v>
      </c>
      <c r="B35" s="16">
        <v>43008</v>
      </c>
      <c r="C35" s="18">
        <v>0.21479999999999999</v>
      </c>
      <c r="D35" s="18">
        <f t="shared" si="0"/>
        <v>0.32219999999999999</v>
      </c>
      <c r="E35" s="18">
        <f t="shared" si="1"/>
        <v>2.3547722012123629E-2</v>
      </c>
      <c r="F35" s="18">
        <f t="shared" si="2"/>
        <v>7.7612607430821434E-4</v>
      </c>
      <c r="G35" s="22">
        <f t="shared" si="7"/>
        <v>93952727.438064188</v>
      </c>
      <c r="H35" s="26">
        <f t="shared" si="3"/>
        <v>30</v>
      </c>
      <c r="I35" s="22">
        <f t="shared" si="4"/>
        <v>2187574.8455116325</v>
      </c>
    </row>
    <row r="36" spans="1:9">
      <c r="A36" s="16">
        <f t="shared" si="5"/>
        <v>43009</v>
      </c>
      <c r="B36" s="16">
        <v>43039</v>
      </c>
      <c r="C36" s="18">
        <v>0.21149999999999999</v>
      </c>
      <c r="D36" s="18">
        <f t="shared" si="0"/>
        <v>0.31724999999999998</v>
      </c>
      <c r="E36" s="18">
        <f t="shared" si="1"/>
        <v>2.3227846316473233E-2</v>
      </c>
      <c r="F36" s="18">
        <f t="shared" si="2"/>
        <v>7.6569919281332943E-4</v>
      </c>
      <c r="G36" s="22">
        <f t="shared" si="7"/>
        <v>96140302.283575818</v>
      </c>
      <c r="H36" s="26">
        <f t="shared" si="3"/>
        <v>31</v>
      </c>
      <c r="I36" s="22">
        <f t="shared" si="4"/>
        <v>2282051.1075162683</v>
      </c>
    </row>
    <row r="37" spans="1:9">
      <c r="A37" s="16">
        <f t="shared" si="5"/>
        <v>43040</v>
      </c>
      <c r="B37" s="16">
        <v>43069</v>
      </c>
      <c r="C37" s="18">
        <v>0.20960000000000001</v>
      </c>
      <c r="D37" s="18">
        <f t="shared" si="0"/>
        <v>0.31440000000000001</v>
      </c>
      <c r="E37" s="18">
        <f t="shared" si="1"/>
        <v>2.3043175271197036E-2</v>
      </c>
      <c r="F37" s="18">
        <f t="shared" si="2"/>
        <v>7.5967809751897875E-4</v>
      </c>
      <c r="G37" s="22">
        <f t="shared" si="7"/>
        <v>98422353.391092092</v>
      </c>
      <c r="H37" s="26">
        <f t="shared" si="3"/>
        <v>30</v>
      </c>
      <c r="I37" s="22">
        <f t="shared" si="4"/>
        <v>2243079.1853245632</v>
      </c>
    </row>
    <row r="38" spans="1:9">
      <c r="A38" s="16">
        <f t="shared" si="5"/>
        <v>43070</v>
      </c>
      <c r="B38" s="16">
        <v>43100</v>
      </c>
      <c r="C38" s="18">
        <v>0.2077</v>
      </c>
      <c r="D38" s="18">
        <f t="shared" si="0"/>
        <v>0.31154999999999999</v>
      </c>
      <c r="E38" s="18">
        <f t="shared" si="1"/>
        <v>2.2858136808515228E-2</v>
      </c>
      <c r="F38" s="18">
        <f t="shared" si="2"/>
        <v>7.5364396890975627E-4</v>
      </c>
      <c r="G38" s="22">
        <f t="shared" si="7"/>
        <v>100665432.57641666</v>
      </c>
      <c r="H38" s="26">
        <f t="shared" si="3"/>
        <v>31</v>
      </c>
      <c r="I38" s="22">
        <f t="shared" si="4"/>
        <v>2351842.7803061516</v>
      </c>
    </row>
    <row r="39" spans="1:9">
      <c r="A39" s="16">
        <f t="shared" si="5"/>
        <v>43101</v>
      </c>
      <c r="B39" s="16">
        <v>43131</v>
      </c>
      <c r="C39" s="18">
        <v>0.2069</v>
      </c>
      <c r="D39" s="18">
        <f t="shared" si="0"/>
        <v>0.31035000000000001</v>
      </c>
      <c r="E39" s="18">
        <f t="shared" si="1"/>
        <v>2.2780115587483163E-2</v>
      </c>
      <c r="F39" s="18">
        <f t="shared" si="2"/>
        <v>7.5109937035766627E-4</v>
      </c>
      <c r="G39" s="22">
        <f t="shared" ref="G39:G44" si="8">+G38+I38</f>
        <v>103017275.3567228</v>
      </c>
      <c r="H39" s="26">
        <f t="shared" si="3"/>
        <v>31</v>
      </c>
      <c r="I39" s="22">
        <f t="shared" si="4"/>
        <v>2398662.5303483014</v>
      </c>
    </row>
    <row r="40" spans="1:9">
      <c r="A40" s="16">
        <f t="shared" si="5"/>
        <v>43132</v>
      </c>
      <c r="B40" s="16">
        <v>43159</v>
      </c>
      <c r="C40" s="18">
        <v>0.21010000000000001</v>
      </c>
      <c r="D40" s="18">
        <f t="shared" si="0"/>
        <v>0.31515000000000004</v>
      </c>
      <c r="E40" s="18">
        <f t="shared" si="1"/>
        <v>2.3091808474569486E-2</v>
      </c>
      <c r="F40" s="18">
        <f t="shared" si="2"/>
        <v>7.612638575953401E-4</v>
      </c>
      <c r="G40" s="22">
        <f t="shared" si="8"/>
        <v>105415937.8870711</v>
      </c>
      <c r="H40" s="26">
        <f t="shared" si="3"/>
        <v>28</v>
      </c>
      <c r="I40" s="22">
        <f t="shared" si="4"/>
        <v>2246981.6187823904</v>
      </c>
    </row>
    <row r="41" spans="1:9">
      <c r="A41" s="16">
        <f t="shared" si="5"/>
        <v>43160</v>
      </c>
      <c r="B41" s="16">
        <v>43190</v>
      </c>
      <c r="C41" s="18">
        <v>0.20679999999999998</v>
      </c>
      <c r="D41" s="18">
        <f t="shared" si="0"/>
        <v>0.31019999999999998</v>
      </c>
      <c r="E41" s="18">
        <f t="shared" si="1"/>
        <v>2.2770358330055807E-2</v>
      </c>
      <c r="F41" s="18">
        <f t="shared" si="2"/>
        <v>7.5078113215654163E-4</v>
      </c>
      <c r="G41" s="22">
        <f t="shared" si="8"/>
        <v>107662919.50585349</v>
      </c>
      <c r="H41" s="26">
        <f t="shared" si="3"/>
        <v>31</v>
      </c>
      <c r="I41" s="22">
        <f t="shared" si="4"/>
        <v>2505769.9465343822</v>
      </c>
    </row>
    <row r="42" spans="1:9">
      <c r="A42" s="16">
        <f t="shared" si="5"/>
        <v>43191</v>
      </c>
      <c r="B42" s="16">
        <v>43220</v>
      </c>
      <c r="C42" s="18">
        <v>0.20480000000000001</v>
      </c>
      <c r="D42" s="18">
        <f t="shared" si="0"/>
        <v>0.30720000000000003</v>
      </c>
      <c r="E42" s="18">
        <f t="shared" si="1"/>
        <v>2.2574997834371668E-2</v>
      </c>
      <c r="F42" s="18">
        <f t="shared" si="2"/>
        <v>7.4440872675962666E-4</v>
      </c>
      <c r="G42" s="22">
        <f t="shared" si="8"/>
        <v>110168689.45238787</v>
      </c>
      <c r="H42" s="26">
        <f t="shared" si="3"/>
        <v>30</v>
      </c>
      <c r="I42" s="22">
        <f t="shared" si="4"/>
        <v>2460316.0153208626</v>
      </c>
    </row>
    <row r="43" spans="1:9">
      <c r="A43" s="16">
        <f t="shared" si="5"/>
        <v>43221</v>
      </c>
      <c r="B43" s="16">
        <v>43251</v>
      </c>
      <c r="C43" s="18">
        <v>0.2044</v>
      </c>
      <c r="D43" s="18">
        <f t="shared" si="0"/>
        <v>0.30659999999999998</v>
      </c>
      <c r="E43" s="18">
        <f t="shared" si="1"/>
        <v>2.2535876422826506E-2</v>
      </c>
      <c r="F43" s="18">
        <f t="shared" si="2"/>
        <v>7.4313249574453621E-4</v>
      </c>
      <c r="G43" s="22">
        <f t="shared" si="8"/>
        <v>112629005.46770874</v>
      </c>
      <c r="H43" s="26">
        <f t="shared" si="3"/>
        <v>31</v>
      </c>
      <c r="I43" s="22">
        <f t="shared" si="4"/>
        <v>2594646.4917197456</v>
      </c>
    </row>
    <row r="44" spans="1:9">
      <c r="A44" s="16">
        <f t="shared" si="5"/>
        <v>43252</v>
      </c>
      <c r="B44" s="16">
        <v>43281</v>
      </c>
      <c r="C44" s="18">
        <v>0.20280000000000001</v>
      </c>
      <c r="D44" s="18">
        <f t="shared" si="0"/>
        <v>0.30420000000000003</v>
      </c>
      <c r="E44" s="18">
        <f t="shared" si="1"/>
        <v>2.2379225919199275E-2</v>
      </c>
      <c r="F44" s="18">
        <f t="shared" si="2"/>
        <v>7.3802172071268934E-4</v>
      </c>
      <c r="G44" s="22">
        <f t="shared" si="8"/>
        <v>115223651.95942849</v>
      </c>
      <c r="H44" s="26">
        <f t="shared" si="3"/>
        <v>30</v>
      </c>
      <c r="I44" s="22">
        <f t="shared" si="4"/>
        <v>2551126.7365769236</v>
      </c>
    </row>
    <row r="45" spans="1:9">
      <c r="A45" s="16">
        <f t="shared" si="5"/>
        <v>43282</v>
      </c>
      <c r="B45" s="16">
        <v>43312</v>
      </c>
      <c r="C45" s="18">
        <v>0.20030000000000001</v>
      </c>
      <c r="D45" s="18">
        <f t="shared" si="0"/>
        <v>0.30044999999999999</v>
      </c>
      <c r="E45" s="18">
        <f t="shared" si="1"/>
        <v>2.2133929699163168E-2</v>
      </c>
      <c r="F45" s="18">
        <f t="shared" si="2"/>
        <v>7.3001732863997582E-4</v>
      </c>
      <c r="G45" s="22">
        <f t="shared" ref="G45:G58" si="9">+G44+I44</f>
        <v>117774778.69600542</v>
      </c>
      <c r="H45" s="26">
        <f t="shared" si="3"/>
        <v>31</v>
      </c>
      <c r="I45" s="22">
        <f t="shared" si="4"/>
        <v>2665306.5090694884</v>
      </c>
    </row>
    <row r="46" spans="1:9">
      <c r="A46" s="16">
        <f t="shared" si="5"/>
        <v>43313</v>
      </c>
      <c r="B46" s="16">
        <v>43343</v>
      </c>
      <c r="C46" s="18">
        <v>0.19940000000000002</v>
      </c>
      <c r="D46" s="18">
        <f t="shared" si="0"/>
        <v>0.29910000000000003</v>
      </c>
      <c r="E46" s="18">
        <f t="shared" si="1"/>
        <v>2.2045464310016527E-2</v>
      </c>
      <c r="F46" s="18">
        <f t="shared" si="2"/>
        <v>7.2713011163028085E-4</v>
      </c>
      <c r="G46" s="22">
        <f t="shared" si="9"/>
        <v>120440085.20507491</v>
      </c>
      <c r="H46" s="26">
        <f t="shared" si="3"/>
        <v>31</v>
      </c>
      <c r="I46" s="22">
        <f t="shared" si="4"/>
        <v>2714843.9905977263</v>
      </c>
    </row>
    <row r="47" spans="1:9">
      <c r="A47" s="16">
        <f t="shared" si="5"/>
        <v>43344</v>
      </c>
      <c r="B47" s="16">
        <v>43373</v>
      </c>
      <c r="C47" s="18">
        <v>0.1981</v>
      </c>
      <c r="D47" s="18">
        <f t="shared" si="0"/>
        <v>0.29715000000000003</v>
      </c>
      <c r="E47" s="18">
        <f t="shared" si="1"/>
        <v>2.1917532081249247E-2</v>
      </c>
      <c r="F47" s="18">
        <f t="shared" si="2"/>
        <v>7.2295440050984539E-4</v>
      </c>
      <c r="G47" s="22">
        <f t="shared" si="9"/>
        <v>123154929.19567263</v>
      </c>
      <c r="H47" s="26">
        <f t="shared" si="3"/>
        <v>30</v>
      </c>
      <c r="I47" s="22">
        <f t="shared" si="4"/>
        <v>2671061.940194699</v>
      </c>
    </row>
    <row r="48" spans="1:9">
      <c r="A48" s="16">
        <f t="shared" si="5"/>
        <v>43374</v>
      </c>
      <c r="B48" s="16">
        <v>43404</v>
      </c>
      <c r="C48" s="18">
        <v>0.1963</v>
      </c>
      <c r="D48" s="18">
        <f t="shared" si="0"/>
        <v>0.29444999999999999</v>
      </c>
      <c r="E48" s="18">
        <f t="shared" si="1"/>
        <v>2.1740103800155453E-2</v>
      </c>
      <c r="F48" s="18">
        <f t="shared" si="2"/>
        <v>7.1716230053064933E-4</v>
      </c>
      <c r="G48" s="22">
        <f t="shared" si="9"/>
        <v>125825991.13586733</v>
      </c>
      <c r="H48" s="26">
        <f t="shared" si="3"/>
        <v>31</v>
      </c>
      <c r="I48" s="22">
        <f t="shared" si="4"/>
        <v>2797367.375355979</v>
      </c>
    </row>
    <row r="49" spans="1:9">
      <c r="A49" s="16">
        <f t="shared" si="5"/>
        <v>43405</v>
      </c>
      <c r="B49" s="16">
        <v>43434</v>
      </c>
      <c r="C49" s="18">
        <v>0.19489999999999999</v>
      </c>
      <c r="D49" s="18">
        <f t="shared" si="0"/>
        <v>0.29235</v>
      </c>
      <c r="E49" s="18">
        <f t="shared" si="1"/>
        <v>2.1601869331581591E-2</v>
      </c>
      <c r="F49" s="18">
        <f t="shared" si="2"/>
        <v>7.1264899845968621E-4</v>
      </c>
      <c r="G49" s="22">
        <f t="shared" si="9"/>
        <v>128623358.5112233</v>
      </c>
      <c r="H49" s="26">
        <f t="shared" si="3"/>
        <v>30</v>
      </c>
      <c r="I49" s="22">
        <f t="shared" si="4"/>
        <v>2749899.2286463333</v>
      </c>
    </row>
    <row r="50" spans="1:9">
      <c r="A50" s="16">
        <f t="shared" si="5"/>
        <v>43435</v>
      </c>
      <c r="B50" s="16">
        <v>43465</v>
      </c>
      <c r="C50" s="18">
        <v>0.19399999999999998</v>
      </c>
      <c r="D50" s="18">
        <f t="shared" si="0"/>
        <v>0.29099999999999998</v>
      </c>
      <c r="E50" s="18">
        <f t="shared" si="1"/>
        <v>2.1512895544899102E-2</v>
      </c>
      <c r="F50" s="18">
        <f t="shared" si="2"/>
        <v>7.0974372636878336E-4</v>
      </c>
      <c r="G50" s="22">
        <f t="shared" si="9"/>
        <v>131373257.73986964</v>
      </c>
      <c r="H50" s="26">
        <f t="shared" si="3"/>
        <v>31</v>
      </c>
      <c r="I50" s="22">
        <f t="shared" si="4"/>
        <v>2890481.7102985526</v>
      </c>
    </row>
    <row r="51" spans="1:9">
      <c r="A51" s="16">
        <f t="shared" si="5"/>
        <v>43466</v>
      </c>
      <c r="B51" s="16">
        <v>43496</v>
      </c>
      <c r="C51" s="18">
        <v>0.19159999999999999</v>
      </c>
      <c r="D51" s="18">
        <f t="shared" si="0"/>
        <v>0.28739999999999999</v>
      </c>
      <c r="E51" s="18">
        <f t="shared" si="1"/>
        <v>2.127521449135017E-2</v>
      </c>
      <c r="F51" s="18">
        <f t="shared" si="2"/>
        <v>7.0198149775513308E-4</v>
      </c>
      <c r="G51" s="22">
        <f t="shared" si="9"/>
        <v>134263739.45016819</v>
      </c>
      <c r="H51" s="26">
        <f t="shared" si="3"/>
        <v>31</v>
      </c>
      <c r="I51" s="22">
        <f t="shared" si="4"/>
        <v>2921770.4883164545</v>
      </c>
    </row>
    <row r="52" spans="1:9">
      <c r="A52" s="16">
        <f t="shared" si="5"/>
        <v>43497</v>
      </c>
      <c r="B52" s="16">
        <v>43524</v>
      </c>
      <c r="C52" s="18">
        <v>0.19699999999999998</v>
      </c>
      <c r="D52" s="18">
        <f t="shared" si="0"/>
        <v>0.29549999999999998</v>
      </c>
      <c r="E52" s="18">
        <f t="shared" si="1"/>
        <v>2.1809143962671307E-2</v>
      </c>
      <c r="F52" s="18">
        <f t="shared" si="2"/>
        <v>7.1941621418680768E-4</v>
      </c>
      <c r="G52" s="22">
        <f t="shared" si="9"/>
        <v>137185509.93848464</v>
      </c>
      <c r="H52" s="26">
        <f t="shared" si="3"/>
        <v>28</v>
      </c>
      <c r="I52" s="22">
        <f t="shared" si="4"/>
        <v>2763417.4456344764</v>
      </c>
    </row>
    <row r="53" spans="1:9">
      <c r="A53" s="16">
        <f t="shared" si="5"/>
        <v>43525</v>
      </c>
      <c r="B53" s="16">
        <v>43555</v>
      </c>
      <c r="C53" s="18">
        <v>0.19370000000000001</v>
      </c>
      <c r="D53" s="18">
        <f t="shared" si="0"/>
        <v>0.29055000000000003</v>
      </c>
      <c r="E53" s="18">
        <f t="shared" si="1"/>
        <v>2.1483218662772696E-2</v>
      </c>
      <c r="F53" s="18">
        <f t="shared" si="2"/>
        <v>7.0877462905394317E-4</v>
      </c>
      <c r="G53" s="22">
        <f t="shared" si="9"/>
        <v>139948927.38411912</v>
      </c>
      <c r="H53" s="26">
        <f t="shared" si="3"/>
        <v>31</v>
      </c>
      <c r="I53" s="22">
        <f t="shared" si="4"/>
        <v>3074959.7218884639</v>
      </c>
    </row>
    <row r="54" spans="1:9">
      <c r="A54" s="16">
        <f t="shared" si="5"/>
        <v>43556</v>
      </c>
      <c r="B54" s="16">
        <v>43585</v>
      </c>
      <c r="C54" s="18">
        <v>0.19320000000000001</v>
      </c>
      <c r="D54" s="18">
        <f t="shared" si="0"/>
        <v>0.2898</v>
      </c>
      <c r="E54" s="18">
        <f t="shared" si="1"/>
        <v>2.1433736106823309E-2</v>
      </c>
      <c r="F54" s="18">
        <f t="shared" si="2"/>
        <v>7.0715871778403994E-4</v>
      </c>
      <c r="G54" s="22">
        <f t="shared" si="9"/>
        <v>143023887.10600758</v>
      </c>
      <c r="H54" s="26">
        <f t="shared" si="3"/>
        <v>30</v>
      </c>
      <c r="I54" s="22">
        <f t="shared" si="4"/>
        <v>3034217.6585512082</v>
      </c>
    </row>
    <row r="55" spans="1:9">
      <c r="A55" s="16">
        <f t="shared" si="5"/>
        <v>43586</v>
      </c>
      <c r="B55" s="16">
        <v>43616</v>
      </c>
      <c r="C55" s="18">
        <v>0.19339999999999999</v>
      </c>
      <c r="D55" s="18">
        <f t="shared" si="0"/>
        <v>0.29009999999999997</v>
      </c>
      <c r="E55" s="18">
        <f t="shared" si="1"/>
        <v>2.1453532293473465E-2</v>
      </c>
      <c r="F55" s="18">
        <f t="shared" si="2"/>
        <v>7.0780519470603487E-4</v>
      </c>
      <c r="G55" s="22">
        <f t="shared" si="9"/>
        <v>146058104.76455879</v>
      </c>
      <c r="H55" s="26">
        <f t="shared" si="3"/>
        <v>31</v>
      </c>
      <c r="I55" s="22">
        <f t="shared" si="4"/>
        <v>3204801.2437194623</v>
      </c>
    </row>
    <row r="56" spans="1:9">
      <c r="A56" s="16">
        <f t="shared" si="5"/>
        <v>43617</v>
      </c>
      <c r="B56" s="16">
        <v>43646</v>
      </c>
      <c r="C56" s="18">
        <v>0.193</v>
      </c>
      <c r="D56" s="18">
        <f t="shared" si="0"/>
        <v>0.28949999999999998</v>
      </c>
      <c r="E56" s="18">
        <f t="shared" si="1"/>
        <v>2.1413935698951558E-2</v>
      </c>
      <c r="F56" s="18">
        <f t="shared" si="2"/>
        <v>7.0651209089578337E-4</v>
      </c>
      <c r="G56" s="22">
        <f t="shared" si="9"/>
        <v>149262906.00827825</v>
      </c>
      <c r="H56" s="26">
        <f t="shared" si="3"/>
        <v>30</v>
      </c>
      <c r="I56" s="22">
        <f t="shared" si="4"/>
        <v>3163681.4345126837</v>
      </c>
    </row>
    <row r="57" spans="1:9">
      <c r="A57" s="16">
        <f t="shared" si="5"/>
        <v>43647</v>
      </c>
      <c r="B57" s="16">
        <v>43677</v>
      </c>
      <c r="C57" s="18">
        <v>0.1928</v>
      </c>
      <c r="D57" s="18">
        <f t="shared" si="0"/>
        <v>0.28920000000000001</v>
      </c>
      <c r="E57" s="18">
        <f t="shared" si="1"/>
        <v>2.1394131067975497E-2</v>
      </c>
      <c r="F57" s="18">
        <f t="shared" si="2"/>
        <v>7.0586531397109908E-4</v>
      </c>
      <c r="G57" s="22">
        <f t="shared" si="9"/>
        <v>152426587.44279093</v>
      </c>
      <c r="H57" s="26">
        <f t="shared" si="3"/>
        <v>31</v>
      </c>
      <c r="I57" s="22">
        <f t="shared" si="4"/>
        <v>3335371.8710883129</v>
      </c>
    </row>
    <row r="58" spans="1:9">
      <c r="A58" s="16">
        <f t="shared" si="5"/>
        <v>43678</v>
      </c>
      <c r="B58" s="16">
        <v>43708</v>
      </c>
      <c r="C58" s="18">
        <v>0.19320000000000001</v>
      </c>
      <c r="D58" s="18">
        <f t="shared" si="0"/>
        <v>0.2898</v>
      </c>
      <c r="E58" s="18">
        <f t="shared" si="1"/>
        <v>2.1433736106823309E-2</v>
      </c>
      <c r="F58" s="18">
        <f t="shared" si="2"/>
        <v>7.0715871778403994E-4</v>
      </c>
      <c r="G58" s="22">
        <f t="shared" si="9"/>
        <v>155761959.31387925</v>
      </c>
      <c r="H58" s="26">
        <f t="shared" si="3"/>
        <v>31</v>
      </c>
      <c r="I58" s="22">
        <f t="shared" si="4"/>
        <v>3414601.2502659122</v>
      </c>
    </row>
    <row r="59" spans="1:9">
      <c r="A59" s="16">
        <f t="shared" si="5"/>
        <v>43709</v>
      </c>
      <c r="B59" s="16">
        <v>43738</v>
      </c>
      <c r="C59" s="18">
        <v>0.19320000000000001</v>
      </c>
      <c r="D59" s="18">
        <f t="shared" si="0"/>
        <v>0.2898</v>
      </c>
      <c r="E59" s="18">
        <f t="shared" si="1"/>
        <v>2.1433736106823309E-2</v>
      </c>
      <c r="F59" s="18">
        <f t="shared" si="2"/>
        <v>7.0715871778403994E-4</v>
      </c>
      <c r="G59" s="22">
        <f t="shared" ref="G59:G66" si="10">+G58+I58</f>
        <v>159176560.56414518</v>
      </c>
      <c r="H59" s="26">
        <f t="shared" si="3"/>
        <v>30</v>
      </c>
      <c r="I59" s="22">
        <f t="shared" si="4"/>
        <v>3376892.7740944345</v>
      </c>
    </row>
    <row r="60" spans="1:9">
      <c r="A60" s="16">
        <f t="shared" si="5"/>
        <v>43739</v>
      </c>
      <c r="B60" s="16">
        <v>43769</v>
      </c>
      <c r="C60" s="18">
        <v>0.191</v>
      </c>
      <c r="D60" s="18">
        <f t="shared" si="0"/>
        <v>0.28649999999999998</v>
      </c>
      <c r="E60" s="18">
        <f t="shared" si="1"/>
        <v>2.1215699038257929E-2</v>
      </c>
      <c r="F60" s="18">
        <f t="shared" si="2"/>
        <v>7.0003755849890048E-4</v>
      </c>
      <c r="G60" s="22">
        <f t="shared" si="10"/>
        <v>162553453.33823961</v>
      </c>
      <c r="H60" s="26">
        <f t="shared" si="3"/>
        <v>31</v>
      </c>
      <c r="I60" s="22">
        <f t="shared" si="4"/>
        <v>3527599.2006144519</v>
      </c>
    </row>
    <row r="61" spans="1:9">
      <c r="A61" s="16">
        <f t="shared" si="5"/>
        <v>43770</v>
      </c>
      <c r="B61" s="16">
        <v>43799</v>
      </c>
      <c r="C61" s="18">
        <v>0.19030000000000002</v>
      </c>
      <c r="D61" s="18">
        <f t="shared" si="0"/>
        <v>0.28545000000000004</v>
      </c>
      <c r="E61" s="18">
        <f t="shared" si="1"/>
        <v>2.1146216086632474E-2</v>
      </c>
      <c r="F61" s="18">
        <f t="shared" si="2"/>
        <v>6.9776791461384491E-4</v>
      </c>
      <c r="G61" s="22">
        <f t="shared" si="10"/>
        <v>166081052.53885406</v>
      </c>
      <c r="H61" s="26">
        <f t="shared" si="3"/>
        <v>30</v>
      </c>
      <c r="I61" s="22">
        <f t="shared" si="4"/>
        <v>3476580.8906072583</v>
      </c>
    </row>
    <row r="62" spans="1:9">
      <c r="A62" s="16">
        <f t="shared" si="5"/>
        <v>43800</v>
      </c>
      <c r="B62" s="16">
        <v>43830</v>
      </c>
      <c r="C62" s="18">
        <v>0.18909999999999999</v>
      </c>
      <c r="D62" s="18">
        <f t="shared" si="0"/>
        <v>0.28364999999999996</v>
      </c>
      <c r="E62" s="18">
        <f t="shared" si="1"/>
        <v>2.102698132372427E-2</v>
      </c>
      <c r="F62" s="18">
        <f t="shared" si="2"/>
        <v>6.9387279187016482E-4</v>
      </c>
      <c r="G62" s="22">
        <f t="shared" si="10"/>
        <v>169557633.42946133</v>
      </c>
      <c r="H62" s="26">
        <f t="shared" si="3"/>
        <v>31</v>
      </c>
      <c r="I62" s="22">
        <f t="shared" si="4"/>
        <v>3647194.2832085481</v>
      </c>
    </row>
    <row r="63" spans="1:9">
      <c r="A63" s="16">
        <f t="shared" si="5"/>
        <v>43831</v>
      </c>
      <c r="B63" s="16">
        <v>43861</v>
      </c>
      <c r="C63" s="18">
        <v>0.18770000000000001</v>
      </c>
      <c r="D63" s="18">
        <f t="shared" si="0"/>
        <v>0.28155000000000002</v>
      </c>
      <c r="E63" s="18">
        <f t="shared" si="1"/>
        <v>2.0887680238021122E-2</v>
      </c>
      <c r="F63" s="18">
        <f t="shared" si="2"/>
        <v>6.8932159199941445E-4</v>
      </c>
      <c r="G63" s="22">
        <f t="shared" si="10"/>
        <v>173204827.71266988</v>
      </c>
      <c r="H63" s="26">
        <f t="shared" si="3"/>
        <v>31</v>
      </c>
      <c r="I63" s="22">
        <f t="shared" si="4"/>
        <v>3701208.6550073391</v>
      </c>
    </row>
    <row r="64" spans="1:9">
      <c r="A64" s="16">
        <f t="shared" si="5"/>
        <v>43862</v>
      </c>
      <c r="B64" s="16">
        <v>43890</v>
      </c>
      <c r="C64" s="18">
        <v>0.19059999999999999</v>
      </c>
      <c r="D64" s="18">
        <f t="shared" si="0"/>
        <v>0.28589999999999999</v>
      </c>
      <c r="E64" s="18">
        <f t="shared" si="1"/>
        <v>2.1176000862688671E-2</v>
      </c>
      <c r="F64" s="18">
        <f t="shared" si="2"/>
        <v>6.9874084543286585E-4</v>
      </c>
      <c r="G64" s="22">
        <f t="shared" si="10"/>
        <v>176906036.36767721</v>
      </c>
      <c r="H64" s="26">
        <f t="shared" si="3"/>
        <v>29</v>
      </c>
      <c r="I64" s="22">
        <f t="shared" si="4"/>
        <v>3584732.7289981148</v>
      </c>
    </row>
    <row r="65" spans="1:9">
      <c r="A65" s="16">
        <f t="shared" si="5"/>
        <v>43891</v>
      </c>
      <c r="B65" s="16">
        <v>43921</v>
      </c>
      <c r="C65" s="18">
        <v>0.1895</v>
      </c>
      <c r="D65" s="18">
        <f t="shared" si="0"/>
        <v>0.28425</v>
      </c>
      <c r="E65" s="18">
        <f t="shared" si="1"/>
        <v>2.1066743264638976E-2</v>
      </c>
      <c r="F65" s="18">
        <f t="shared" si="2"/>
        <v>6.9517177098465943E-4</v>
      </c>
      <c r="G65" s="22">
        <f t="shared" si="10"/>
        <v>180490769.09667534</v>
      </c>
      <c r="H65" s="26">
        <f t="shared" si="3"/>
        <v>31</v>
      </c>
      <c r="I65" s="22">
        <f t="shared" si="4"/>
        <v>3889634.7155788899</v>
      </c>
    </row>
    <row r="66" spans="1:9">
      <c r="A66" s="16">
        <f t="shared" si="5"/>
        <v>43922</v>
      </c>
      <c r="B66" s="16">
        <v>43951</v>
      </c>
      <c r="C66" s="18">
        <v>0.18690000000000001</v>
      </c>
      <c r="D66" s="18">
        <f>+C66*1.5</f>
        <v>0.28034999999999999</v>
      </c>
      <c r="E66" s="18">
        <f>(1+D66)^(1/12)-1</f>
        <v>2.0807985643612081E-2</v>
      </c>
      <c r="F66" s="18">
        <f>((1+E66)^(1/30)-1)</f>
        <v>6.8671756609983703E-4</v>
      </c>
      <c r="G66" s="22">
        <f t="shared" si="10"/>
        <v>184380403.81225422</v>
      </c>
      <c r="H66" s="26">
        <f t="shared" si="3"/>
        <v>30</v>
      </c>
      <c r="I66" s="22">
        <f>(F66*G66)*H66</f>
        <v>3798517.8642736897</v>
      </c>
    </row>
    <row r="67" spans="1:9">
      <c r="A67" s="16">
        <f t="shared" si="5"/>
        <v>43952</v>
      </c>
      <c r="B67" s="16">
        <v>43982</v>
      </c>
      <c r="C67" s="18">
        <v>0.18190000000000001</v>
      </c>
      <c r="D67" s="18">
        <f t="shared" ref="D67:D74" si="11">+C67*1.5</f>
        <v>0.27285000000000004</v>
      </c>
      <c r="E67" s="18">
        <f t="shared" ref="E67:E74" si="12">(1+D67)^(1/12)-1</f>
        <v>2.0308337615317473E-2</v>
      </c>
      <c r="F67" s="18">
        <f t="shared" ref="F67:F74" si="13">((1+E67)^(1/30)-1)</f>
        <v>6.7038705552269207E-4</v>
      </c>
      <c r="G67" s="22">
        <f t="shared" ref="G67:G84" si="14">+G66+I66</f>
        <v>188178921.67652792</v>
      </c>
      <c r="H67" s="26">
        <f t="shared" si="3"/>
        <v>31</v>
      </c>
      <c r="I67" s="22">
        <f t="shared" ref="I67:I74" si="15">(F67*G67)*H67</f>
        <v>3910734.1096390481</v>
      </c>
    </row>
    <row r="68" spans="1:9">
      <c r="A68" s="16">
        <f t="shared" si="5"/>
        <v>43983</v>
      </c>
      <c r="B68" s="16">
        <v>44012</v>
      </c>
      <c r="C68" s="18">
        <v>0.1812</v>
      </c>
      <c r="D68" s="18">
        <f t="shared" si="11"/>
        <v>0.27179999999999999</v>
      </c>
      <c r="E68" s="18">
        <f t="shared" si="12"/>
        <v>2.0238171647650516E-2</v>
      </c>
      <c r="F68" s="18">
        <f t="shared" si="13"/>
        <v>6.6809313000626425E-4</v>
      </c>
      <c r="G68" s="22">
        <f t="shared" si="14"/>
        <v>192089655.78616697</v>
      </c>
      <c r="H68" s="26">
        <f t="shared" si="3"/>
        <v>30</v>
      </c>
      <c r="I68" s="22">
        <f t="shared" si="15"/>
        <v>3850013.3812801857</v>
      </c>
    </row>
    <row r="69" spans="1:9">
      <c r="A69" s="16">
        <f t="shared" si="5"/>
        <v>44013</v>
      </c>
      <c r="B69" s="16">
        <v>44043</v>
      </c>
      <c r="C69" s="18">
        <v>0.1812</v>
      </c>
      <c r="D69" s="18">
        <f t="shared" si="11"/>
        <v>0.27179999999999999</v>
      </c>
      <c r="E69" s="18">
        <f t="shared" si="12"/>
        <v>2.0238171647650516E-2</v>
      </c>
      <c r="F69" s="18">
        <f t="shared" si="13"/>
        <v>6.6809313000626425E-4</v>
      </c>
      <c r="G69" s="22">
        <f t="shared" si="14"/>
        <v>195939669.16744715</v>
      </c>
      <c r="H69" s="26">
        <f t="shared" si="3"/>
        <v>31</v>
      </c>
      <c r="I69" s="22">
        <f t="shared" si="15"/>
        <v>4058084.3528606216</v>
      </c>
    </row>
    <row r="70" spans="1:9">
      <c r="A70" s="16">
        <f t="shared" si="5"/>
        <v>44044</v>
      </c>
      <c r="B70" s="16">
        <v>44074</v>
      </c>
      <c r="C70" s="18">
        <v>0.18290000000000001</v>
      </c>
      <c r="D70" s="18">
        <f t="shared" si="11"/>
        <v>0.27434999999999998</v>
      </c>
      <c r="E70" s="18">
        <f t="shared" si="12"/>
        <v>2.040848272831397E-2</v>
      </c>
      <c r="F70" s="18">
        <f t="shared" si="13"/>
        <v>6.7366082063591293E-4</v>
      </c>
      <c r="G70" s="22">
        <f t="shared" si="14"/>
        <v>199997753.52030778</v>
      </c>
      <c r="H70" s="26">
        <f t="shared" si="3"/>
        <v>31</v>
      </c>
      <c r="I70" s="22">
        <f t="shared" si="15"/>
        <v>4176650.1736167166</v>
      </c>
    </row>
    <row r="71" spans="1:9">
      <c r="A71" s="16">
        <f t="shared" si="5"/>
        <v>44075</v>
      </c>
      <c r="B71" s="16">
        <v>44104</v>
      </c>
      <c r="C71" s="18">
        <v>0.1835</v>
      </c>
      <c r="D71" s="18">
        <f t="shared" si="11"/>
        <v>0.27524999999999999</v>
      </c>
      <c r="E71" s="18">
        <f t="shared" si="12"/>
        <v>2.0468517942215714E-2</v>
      </c>
      <c r="F71" s="18">
        <f t="shared" si="13"/>
        <v>6.7562323568859384E-4</v>
      </c>
      <c r="G71" s="22">
        <f t="shared" si="14"/>
        <v>204174403.69392449</v>
      </c>
      <c r="H71" s="26">
        <f t="shared" si="3"/>
        <v>30</v>
      </c>
      <c r="I71" s="22">
        <f t="shared" si="15"/>
        <v>4138349.1380543537</v>
      </c>
    </row>
    <row r="72" spans="1:9" ht="12.75" customHeight="1">
      <c r="A72" s="16">
        <f t="shared" si="5"/>
        <v>44105</v>
      </c>
      <c r="B72" s="16">
        <v>44135</v>
      </c>
      <c r="C72" s="18">
        <v>0.18090000000000001</v>
      </c>
      <c r="D72" s="18">
        <f t="shared" si="11"/>
        <v>0.27134999999999998</v>
      </c>
      <c r="E72" s="18">
        <f t="shared" si="12"/>
        <v>2.0208084261774895E-2</v>
      </c>
      <c r="F72" s="18">
        <f t="shared" si="13"/>
        <v>6.6710944086900703E-4</v>
      </c>
      <c r="G72" s="22">
        <f t="shared" si="14"/>
        <v>208312752.83197883</v>
      </c>
      <c r="H72" s="26">
        <f t="shared" si="3"/>
        <v>31</v>
      </c>
      <c r="I72" s="22">
        <f t="shared" si="15"/>
        <v>4307989.5260963766</v>
      </c>
    </row>
    <row r="73" spans="1:9" ht="11.25" customHeight="1">
      <c r="A73" s="16">
        <f t="shared" si="5"/>
        <v>44136</v>
      </c>
      <c r="B73" s="16">
        <v>44165</v>
      </c>
      <c r="C73" s="18">
        <v>0.1784</v>
      </c>
      <c r="D73" s="18">
        <f t="shared" si="11"/>
        <v>0.2676</v>
      </c>
      <c r="E73" s="18">
        <f t="shared" si="12"/>
        <v>1.9956975716262315E-2</v>
      </c>
      <c r="F73" s="18">
        <f t="shared" si="13"/>
        <v>6.5889850285327789E-4</v>
      </c>
      <c r="G73" s="22">
        <f t="shared" si="14"/>
        <v>212620742.3580752</v>
      </c>
      <c r="H73" s="26">
        <f t="shared" si="3"/>
        <v>30</v>
      </c>
      <c r="I73" s="22">
        <f t="shared" si="15"/>
        <v>4202864.6644586483</v>
      </c>
    </row>
    <row r="74" spans="1:9">
      <c r="A74" s="16">
        <f t="shared" si="5"/>
        <v>44166</v>
      </c>
      <c r="B74" s="16">
        <v>44196</v>
      </c>
      <c r="C74" s="18">
        <v>0.17460000000000001</v>
      </c>
      <c r="D74" s="18">
        <f t="shared" si="11"/>
        <v>0.26190000000000002</v>
      </c>
      <c r="E74" s="18">
        <f t="shared" si="12"/>
        <v>1.9573983490916769E-2</v>
      </c>
      <c r="F74" s="18">
        <f t="shared" si="13"/>
        <v>6.4637136821255048E-4</v>
      </c>
      <c r="G74" s="22">
        <f t="shared" si="14"/>
        <v>216823607.02253386</v>
      </c>
      <c r="H74" s="26">
        <f t="shared" si="3"/>
        <v>31</v>
      </c>
      <c r="I74" s="22">
        <f t="shared" si="15"/>
        <v>4344605.7174900034</v>
      </c>
    </row>
    <row r="75" spans="1:9">
      <c r="A75" s="16">
        <f t="shared" si="5"/>
        <v>44197</v>
      </c>
      <c r="B75" s="16">
        <v>44227</v>
      </c>
      <c r="C75" s="18">
        <v>0.17319999999999999</v>
      </c>
      <c r="D75" s="18">
        <f t="shared" ref="D75:D84" si="16">+C75*1.5</f>
        <v>0.25979999999999998</v>
      </c>
      <c r="E75" s="18">
        <f t="shared" ref="E75:E84" si="17">(1+D75)^(1/12)-1</f>
        <v>1.9432481245112987E-2</v>
      </c>
      <c r="F75" s="18">
        <f t="shared" ref="F75:F84" si="18">((1+E75)^(1/30)-1)</f>
        <v>6.4174187883647704E-4</v>
      </c>
      <c r="G75" s="22">
        <f t="shared" si="14"/>
        <v>221168212.74002388</v>
      </c>
      <c r="H75" s="26">
        <f>_xlfn.DAYS(B75,A75)+1</f>
        <v>31</v>
      </c>
      <c r="I75" s="22">
        <f t="shared" ref="I75:I84" si="19">(F75*G75)*H75</f>
        <v>4399920.0358633455</v>
      </c>
    </row>
    <row r="76" spans="1:9">
      <c r="A76" s="16">
        <f t="shared" si="5"/>
        <v>44228</v>
      </c>
      <c r="B76" s="186">
        <v>44255</v>
      </c>
      <c r="C76" s="18">
        <v>0.1754</v>
      </c>
      <c r="D76" s="18">
        <f t="shared" si="16"/>
        <v>0.2631</v>
      </c>
      <c r="E76" s="18">
        <f t="shared" si="17"/>
        <v>1.9654745030757592E-2</v>
      </c>
      <c r="F76" s="18">
        <f t="shared" si="18"/>
        <v>6.4901334251654674E-4</v>
      </c>
      <c r="G76" s="22">
        <f t="shared" si="14"/>
        <v>225568132.77588722</v>
      </c>
      <c r="H76" s="26">
        <f t="shared" si="3"/>
        <v>28</v>
      </c>
      <c r="I76" s="22">
        <f t="shared" si="19"/>
        <v>4099108.3789066537</v>
      </c>
    </row>
    <row r="77" spans="1:9">
      <c r="A77" s="16">
        <f t="shared" si="5"/>
        <v>44256</v>
      </c>
      <c r="B77" s="186">
        <v>44286</v>
      </c>
      <c r="C77" s="18">
        <v>0.1741</v>
      </c>
      <c r="D77" s="18">
        <f t="shared" si="16"/>
        <v>0.26114999999999999</v>
      </c>
      <c r="E77" s="18">
        <f t="shared" si="17"/>
        <v>1.9523471771100809E-2</v>
      </c>
      <c r="F77" s="18">
        <f t="shared" si="18"/>
        <v>6.4471886169825687E-4</v>
      </c>
      <c r="G77" s="22">
        <f t="shared" si="14"/>
        <v>229667241.15479389</v>
      </c>
      <c r="H77" s="26">
        <f t="shared" si="3"/>
        <v>31</v>
      </c>
      <c r="I77" s="22">
        <f t="shared" si="19"/>
        <v>4590194.8708876316</v>
      </c>
    </row>
    <row r="78" spans="1:9">
      <c r="A78" s="16">
        <f t="shared" si="5"/>
        <v>44287</v>
      </c>
      <c r="B78" s="186">
        <v>44316</v>
      </c>
      <c r="C78" s="18">
        <v>0.1731</v>
      </c>
      <c r="D78" s="18">
        <f t="shared" si="16"/>
        <v>0.25964999999999999</v>
      </c>
      <c r="E78" s="18">
        <f t="shared" si="17"/>
        <v>1.942236567004052E-2</v>
      </c>
      <c r="F78" s="18">
        <f t="shared" si="18"/>
        <v>6.4141090660796429E-4</v>
      </c>
      <c r="G78" s="22">
        <f t="shared" si="14"/>
        <v>234257436.02568153</v>
      </c>
      <c r="H78" s="26">
        <f t="shared" si="3"/>
        <v>30</v>
      </c>
      <c r="I78" s="22">
        <f t="shared" si="19"/>
        <v>4507658.2326266877</v>
      </c>
    </row>
    <row r="79" spans="1:9">
      <c r="A79" s="16">
        <f t="shared" si="5"/>
        <v>44317</v>
      </c>
      <c r="B79" s="186">
        <v>44347</v>
      </c>
      <c r="C79" s="18">
        <v>0.17219999999999999</v>
      </c>
      <c r="D79" s="18">
        <f t="shared" si="16"/>
        <v>0.25829999999999997</v>
      </c>
      <c r="E79" s="18">
        <f t="shared" si="17"/>
        <v>1.9331275772907164E-2</v>
      </c>
      <c r="F79" s="18">
        <f t="shared" si="18"/>
        <v>6.3843038669131325E-4</v>
      </c>
      <c r="G79" s="22">
        <f t="shared" si="14"/>
        <v>238765094.2583082</v>
      </c>
      <c r="H79" s="26">
        <f t="shared" si="3"/>
        <v>31</v>
      </c>
      <c r="I79" s="22">
        <f t="shared" si="19"/>
        <v>4725481.6351273069</v>
      </c>
    </row>
    <row r="80" spans="1:9">
      <c r="A80" s="16">
        <f t="shared" si="5"/>
        <v>44348</v>
      </c>
      <c r="B80" s="186">
        <v>44377</v>
      </c>
      <c r="C80" s="18">
        <v>0.1721</v>
      </c>
      <c r="D80" s="18">
        <f t="shared" si="16"/>
        <v>0.25814999999999999</v>
      </c>
      <c r="E80" s="18">
        <f t="shared" si="17"/>
        <v>1.9321149143988858E-2</v>
      </c>
      <c r="F80" s="18">
        <f t="shared" si="18"/>
        <v>6.3809902098910243E-4</v>
      </c>
      <c r="G80" s="22">
        <f t="shared" si="14"/>
        <v>243490575.89343551</v>
      </c>
      <c r="H80" s="26">
        <f t="shared" si="3"/>
        <v>30</v>
      </c>
      <c r="I80" s="22">
        <f t="shared" si="19"/>
        <v>4661132.9429302178</v>
      </c>
    </row>
    <row r="81" spans="1:10">
      <c r="A81" s="16">
        <f t="shared" si="5"/>
        <v>44378</v>
      </c>
      <c r="B81" s="186">
        <v>44408</v>
      </c>
      <c r="C81" s="18">
        <v>0.17180000000000001</v>
      </c>
      <c r="D81" s="18">
        <f t="shared" si="16"/>
        <v>0.25770000000000004</v>
      </c>
      <c r="E81" s="18">
        <f t="shared" si="17"/>
        <v>1.9290762615578938E-2</v>
      </c>
      <c r="F81" s="18">
        <f t="shared" si="18"/>
        <v>6.3710468745115101E-4</v>
      </c>
      <c r="G81" s="22">
        <f t="shared" si="14"/>
        <v>248151708.83636573</v>
      </c>
      <c r="H81" s="26">
        <f t="shared" si="3"/>
        <v>31</v>
      </c>
      <c r="I81" s="22">
        <f t="shared" si="19"/>
        <v>4901057.123858517</v>
      </c>
    </row>
    <row r="82" spans="1:10">
      <c r="A82" s="16">
        <f t="shared" si="5"/>
        <v>44409</v>
      </c>
      <c r="B82" s="186">
        <v>44439</v>
      </c>
      <c r="C82" s="18">
        <v>0.1724</v>
      </c>
      <c r="D82" s="18">
        <f t="shared" si="16"/>
        <v>0.2586</v>
      </c>
      <c r="E82" s="18">
        <f t="shared" si="17"/>
        <v>1.9351525711433615E-2</v>
      </c>
      <c r="F82" s="18">
        <f t="shared" si="18"/>
        <v>6.3909299993669677E-4</v>
      </c>
      <c r="G82" s="22">
        <f t="shared" si="14"/>
        <v>253052765.96022424</v>
      </c>
      <c r="H82" s="26">
        <f t="shared" si="3"/>
        <v>31</v>
      </c>
      <c r="I82" s="22">
        <f t="shared" si="19"/>
        <v>5013451.7915337542</v>
      </c>
    </row>
    <row r="83" spans="1:10">
      <c r="A83" s="16">
        <f t="shared" si="5"/>
        <v>44440</v>
      </c>
      <c r="B83" s="186">
        <v>44469</v>
      </c>
      <c r="C83" s="18">
        <v>0.1719</v>
      </c>
      <c r="D83" s="18">
        <f t="shared" si="16"/>
        <v>0.25785000000000002</v>
      </c>
      <c r="E83" s="18">
        <f t="shared" si="17"/>
        <v>1.9300892565577765E-2</v>
      </c>
      <c r="F83" s="18">
        <f t="shared" si="18"/>
        <v>6.3743617137834718E-4</v>
      </c>
      <c r="G83" s="22">
        <f t="shared" si="14"/>
        <v>258066217.75175801</v>
      </c>
      <c r="H83" s="26">
        <f t="shared" si="3"/>
        <v>30</v>
      </c>
      <c r="I83" s="22">
        <f t="shared" si="19"/>
        <v>4935022.2541731447</v>
      </c>
    </row>
    <row r="84" spans="1:10">
      <c r="A84" s="16">
        <f t="shared" si="5"/>
        <v>44470</v>
      </c>
      <c r="B84" s="186">
        <v>44500</v>
      </c>
      <c r="C84" s="18">
        <v>0.1714</v>
      </c>
      <c r="D84" s="18">
        <f t="shared" si="16"/>
        <v>0.2571</v>
      </c>
      <c r="E84" s="18">
        <f t="shared" si="17"/>
        <v>1.9250231737720558E-2</v>
      </c>
      <c r="F84" s="18">
        <f t="shared" si="18"/>
        <v>6.3577835737782529E-4</v>
      </c>
      <c r="G84" s="22">
        <f t="shared" si="14"/>
        <v>263001240.00593114</v>
      </c>
      <c r="H84" s="26">
        <f>_xlfn.DAYS(B84,A84)+1</f>
        <v>31</v>
      </c>
      <c r="I84" s="22">
        <f t="shared" si="19"/>
        <v>5183525.3871383648</v>
      </c>
    </row>
    <row r="85" spans="1:10" ht="15">
      <c r="E85" s="1" t="s">
        <v>1343</v>
      </c>
      <c r="F85" s="44"/>
      <c r="G85" s="20"/>
      <c r="H85" s="20"/>
      <c r="I85" s="2510">
        <f>SUM(I19:I84)</f>
        <v>203368789.29925841</v>
      </c>
      <c r="J85" s="53"/>
    </row>
    <row r="86" spans="1:10">
      <c r="G86" s="2785" t="s">
        <v>1344</v>
      </c>
      <c r="H86" s="2785"/>
      <c r="I86" s="2509">
        <f>+B12</f>
        <v>64815976.09381108</v>
      </c>
      <c r="J86" s="51">
        <f>+I85+B13</f>
        <v>203368789.29925841</v>
      </c>
    </row>
    <row r="87" spans="1:10" ht="16.5" thickBot="1">
      <c r="F87" s="45"/>
      <c r="G87" s="185" t="s">
        <v>97</v>
      </c>
      <c r="H87" s="185"/>
      <c r="I87" s="76">
        <f>+I85+I86</f>
        <v>268184765.39306951</v>
      </c>
      <c r="J87" s="53"/>
    </row>
    <row r="88" spans="1:10" ht="13.5" thickTop="1"/>
  </sheetData>
  <mergeCells count="2">
    <mergeCell ref="A17:G17"/>
    <mergeCell ref="G86:H86"/>
  </mergeCells>
  <pageMargins left="0.7" right="0.7" top="0.75" bottom="0.75" header="0.3" footer="0.3"/>
  <pageSetup orientation="portrait"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65"/>
  <dimension ref="A3:J128"/>
  <sheetViews>
    <sheetView workbookViewId="0">
      <selection activeCell="A10" sqref="A10"/>
    </sheetView>
  </sheetViews>
  <sheetFormatPr defaultColWidth="9.140625" defaultRowHeight="12.75"/>
  <cols>
    <col min="1" max="1" width="21.28515625" customWidth="1"/>
    <col min="2" max="2" width="15.42578125" bestFit="1" customWidth="1"/>
    <col min="3" max="3" width="12.85546875" customWidth="1"/>
    <col min="4" max="4" width="13.85546875" bestFit="1" customWidth="1"/>
    <col min="5" max="6" width="11.42578125" customWidth="1"/>
    <col min="7" max="7" width="13.28515625" customWidth="1"/>
    <col min="8" max="8" width="12.28515625" style="80" customWidth="1"/>
    <col min="9" max="9" width="18.5703125" style="83" bestFit="1" customWidth="1"/>
    <col min="10" max="10" width="12.85546875" bestFit="1" customWidth="1"/>
    <col min="11" max="14" width="11.42578125" customWidth="1"/>
    <col min="15" max="15" width="13.42578125" customWidth="1"/>
    <col min="16" max="256" width="11.42578125" customWidth="1"/>
  </cols>
  <sheetData>
    <row r="3" spans="1:9" ht="25.5">
      <c r="A3" s="33" t="s">
        <v>1336</v>
      </c>
      <c r="B3" s="2" t="s">
        <v>1345</v>
      </c>
      <c r="C3" s="2"/>
    </row>
    <row r="4" spans="1:9">
      <c r="A4" s="3" t="s">
        <v>667</v>
      </c>
      <c r="B4" s="609">
        <v>39654212</v>
      </c>
      <c r="C4" s="2"/>
    </row>
    <row r="5" spans="1:9">
      <c r="A5" s="3" t="s">
        <v>1338</v>
      </c>
      <c r="B5" s="63">
        <v>41066</v>
      </c>
      <c r="C5" s="2"/>
    </row>
    <row r="6" spans="1:9">
      <c r="A6" s="3" t="s">
        <v>11</v>
      </c>
      <c r="B6" s="63">
        <v>43921</v>
      </c>
      <c r="C6" s="2"/>
    </row>
    <row r="7" spans="1:9">
      <c r="A7" s="3" t="s">
        <v>1346</v>
      </c>
      <c r="B7" s="19">
        <v>1135668</v>
      </c>
      <c r="C7" s="2"/>
    </row>
    <row r="8" spans="1:9">
      <c r="H8" s="81"/>
    </row>
    <row r="9" spans="1:9">
      <c r="A9" s="2"/>
      <c r="B9" s="2549" t="s">
        <v>957</v>
      </c>
      <c r="C9" s="2549"/>
      <c r="D9" s="2549"/>
      <c r="E9" s="2549"/>
      <c r="F9" s="2549"/>
      <c r="G9" s="2549"/>
      <c r="H9" s="2549"/>
      <c r="I9" s="84"/>
    </row>
    <row r="10" spans="1:9" ht="24">
      <c r="A10" s="2"/>
      <c r="B10" s="2"/>
      <c r="C10" s="3" t="s">
        <v>148</v>
      </c>
      <c r="D10" s="33" t="s">
        <v>149</v>
      </c>
      <c r="E10" s="3" t="s">
        <v>1342</v>
      </c>
      <c r="F10" s="3" t="s">
        <v>43</v>
      </c>
      <c r="G10" s="17" t="s">
        <v>129</v>
      </c>
      <c r="H10" s="65" t="s">
        <v>47</v>
      </c>
      <c r="I10" s="85" t="s">
        <v>48</v>
      </c>
    </row>
    <row r="11" spans="1:9">
      <c r="A11" s="16">
        <v>41096</v>
      </c>
      <c r="B11" s="16">
        <v>41121</v>
      </c>
      <c r="C11" s="28">
        <v>0.20860000000000001</v>
      </c>
      <c r="D11" s="18">
        <f>+C11*1.5</f>
        <v>0.31290000000000001</v>
      </c>
      <c r="E11" s="18">
        <f>(1+D11)^(1/12)-1</f>
        <v>2.2945832503501462E-2</v>
      </c>
      <c r="F11" s="43">
        <f>((1+E11)^(1/30)-1)</f>
        <v>7.5650386859016372E-4</v>
      </c>
      <c r="G11" s="29">
        <f>+$B$4</f>
        <v>39654212</v>
      </c>
      <c r="H11" s="151">
        <f>_xlfn.DAYS(B11,A11)+1</f>
        <v>26</v>
      </c>
      <c r="I11" s="86">
        <f>(F11*G11)*H11</f>
        <v>779962.68438125681</v>
      </c>
    </row>
    <row r="12" spans="1:9">
      <c r="A12" s="16">
        <v>41122</v>
      </c>
      <c r="B12" s="16">
        <v>41152</v>
      </c>
      <c r="C12" s="28">
        <v>0.20860000000000001</v>
      </c>
      <c r="D12" s="18">
        <f t="shared" ref="D12:D75" si="0">+C12*1.5</f>
        <v>0.31290000000000001</v>
      </c>
      <c r="E12" s="18">
        <f t="shared" ref="E12:E75" si="1">(1+D12)^(1/12)-1</f>
        <v>2.2945832503501462E-2</v>
      </c>
      <c r="F12" s="43">
        <f t="shared" ref="F12:F75" si="2">((1+E12)^(1/30)-1)</f>
        <v>7.5650386859016372E-4</v>
      </c>
      <c r="G12" s="29">
        <f>+G11+I11</f>
        <v>40434174.684381254</v>
      </c>
      <c r="H12" s="151">
        <f>_xlfn.DAYS(B12,A12)+1</f>
        <v>31</v>
      </c>
      <c r="I12" s="86">
        <f t="shared" ref="I12:I75" si="3">(F12*G12)*H12</f>
        <v>948246.89673153136</v>
      </c>
    </row>
    <row r="13" spans="1:9">
      <c r="A13" s="16">
        <v>41153</v>
      </c>
      <c r="B13" s="16">
        <v>41182</v>
      </c>
      <c r="C13" s="28">
        <v>0.20860000000000001</v>
      </c>
      <c r="D13" s="18">
        <f t="shared" si="0"/>
        <v>0.31290000000000001</v>
      </c>
      <c r="E13" s="18">
        <f t="shared" si="1"/>
        <v>2.2945832503501462E-2</v>
      </c>
      <c r="F13" s="43">
        <f t="shared" si="2"/>
        <v>7.5650386859016372E-4</v>
      </c>
      <c r="G13" s="29">
        <f>+G12+I12</f>
        <v>41382421.581112787</v>
      </c>
      <c r="H13" s="151">
        <f t="shared" ref="H13:H76" si="4">_xlfn.DAYS(B13,A13)+1</f>
        <v>30</v>
      </c>
      <c r="I13" s="86">
        <f t="shared" si="3"/>
        <v>939178.86053222709</v>
      </c>
    </row>
    <row r="14" spans="1:9">
      <c r="A14" s="16">
        <v>41183</v>
      </c>
      <c r="B14" s="16">
        <v>41213</v>
      </c>
      <c r="C14" s="28">
        <v>0.20860000000000001</v>
      </c>
      <c r="D14" s="18">
        <f t="shared" si="0"/>
        <v>0.31290000000000001</v>
      </c>
      <c r="E14" s="18">
        <f t="shared" si="1"/>
        <v>2.2945832503501462E-2</v>
      </c>
      <c r="F14" s="43">
        <f t="shared" si="2"/>
        <v>7.5650386859016372E-4</v>
      </c>
      <c r="G14" s="29">
        <f t="shared" ref="G14:G51" si="5">+G13+I13</f>
        <v>42321600.441645011</v>
      </c>
      <c r="H14" s="151">
        <f t="shared" si="4"/>
        <v>31</v>
      </c>
      <c r="I14" s="86">
        <f t="shared" si="3"/>
        <v>992510.08822998067</v>
      </c>
    </row>
    <row r="15" spans="1:9">
      <c r="A15" s="16">
        <v>41214</v>
      </c>
      <c r="B15" s="16">
        <v>41243</v>
      </c>
      <c r="C15" s="28">
        <v>0.2089</v>
      </c>
      <c r="D15" s="18">
        <f t="shared" si="0"/>
        <v>0.31335000000000002</v>
      </c>
      <c r="E15" s="18">
        <f t="shared" si="1"/>
        <v>2.2975046033702595E-2</v>
      </c>
      <c r="F15" s="43">
        <f t="shared" si="2"/>
        <v>7.5745651684333559E-4</v>
      </c>
      <c r="G15" s="29">
        <f t="shared" si="5"/>
        <v>43314110.529874995</v>
      </c>
      <c r="H15" s="151">
        <f t="shared" si="4"/>
        <v>30</v>
      </c>
      <c r="I15" s="86">
        <f t="shared" si="3"/>
        <v>984256.65876379074</v>
      </c>
    </row>
    <row r="16" spans="1:9">
      <c r="A16" s="16">
        <v>41244</v>
      </c>
      <c r="B16" s="16">
        <v>41274</v>
      </c>
      <c r="C16" s="28">
        <v>0.2089</v>
      </c>
      <c r="D16" s="18">
        <f t="shared" si="0"/>
        <v>0.31335000000000002</v>
      </c>
      <c r="E16" s="18">
        <f t="shared" si="1"/>
        <v>2.2975046033702595E-2</v>
      </c>
      <c r="F16" s="43">
        <f t="shared" si="2"/>
        <v>7.5745651684333559E-4</v>
      </c>
      <c r="G16" s="29">
        <f t="shared" si="5"/>
        <v>44298367.188638784</v>
      </c>
      <c r="H16" s="151">
        <f t="shared" si="4"/>
        <v>31</v>
      </c>
      <c r="I16" s="86">
        <f t="shared" si="3"/>
        <v>1040176.6942891566</v>
      </c>
    </row>
    <row r="17" spans="1:9">
      <c r="A17" s="16">
        <v>41275</v>
      </c>
      <c r="B17" s="16">
        <v>41305</v>
      </c>
      <c r="C17" s="28">
        <v>0.20749999999999999</v>
      </c>
      <c r="D17" s="18">
        <f t="shared" si="0"/>
        <v>0.31124999999999997</v>
      </c>
      <c r="E17" s="18">
        <f t="shared" si="1"/>
        <v>2.2838637639847281E-2</v>
      </c>
      <c r="F17" s="43">
        <f t="shared" si="2"/>
        <v>7.530080369984038E-4</v>
      </c>
      <c r="G17" s="29">
        <f t="shared" si="5"/>
        <v>45338543.882927939</v>
      </c>
      <c r="H17" s="151">
        <f t="shared" si="4"/>
        <v>31</v>
      </c>
      <c r="I17" s="86">
        <f t="shared" si="3"/>
        <v>1058348.9258191364</v>
      </c>
    </row>
    <row r="18" spans="1:9">
      <c r="A18" s="16">
        <v>41306</v>
      </c>
      <c r="B18" s="16">
        <v>41333</v>
      </c>
      <c r="C18" s="28">
        <v>0.20749999999999999</v>
      </c>
      <c r="D18" s="18">
        <f t="shared" si="0"/>
        <v>0.31124999999999997</v>
      </c>
      <c r="E18" s="18">
        <f t="shared" si="1"/>
        <v>2.2838637639847281E-2</v>
      </c>
      <c r="F18" s="43">
        <f t="shared" si="2"/>
        <v>7.530080369984038E-4</v>
      </c>
      <c r="G18" s="29">
        <f t="shared" si="5"/>
        <v>46396892.808747075</v>
      </c>
      <c r="H18" s="151">
        <f t="shared" si="4"/>
        <v>28</v>
      </c>
      <c r="I18" s="86">
        <f t="shared" si="3"/>
        <v>978242.52894871985</v>
      </c>
    </row>
    <row r="19" spans="1:9">
      <c r="A19" s="16">
        <v>41334</v>
      </c>
      <c r="B19" s="16">
        <v>41364</v>
      </c>
      <c r="C19" s="28">
        <v>0.20749999999999999</v>
      </c>
      <c r="D19" s="18">
        <f t="shared" si="0"/>
        <v>0.31124999999999997</v>
      </c>
      <c r="E19" s="18">
        <f t="shared" si="1"/>
        <v>2.2838637639847281E-2</v>
      </c>
      <c r="F19" s="43">
        <f t="shared" si="2"/>
        <v>7.530080369984038E-4</v>
      </c>
      <c r="G19" s="29">
        <f t="shared" si="5"/>
        <v>47375135.337695792</v>
      </c>
      <c r="H19" s="151">
        <f t="shared" si="4"/>
        <v>31</v>
      </c>
      <c r="I19" s="86">
        <f t="shared" si="3"/>
        <v>1105889.5875583326</v>
      </c>
    </row>
    <row r="20" spans="1:9">
      <c r="A20" s="16">
        <v>41365</v>
      </c>
      <c r="B20" s="16">
        <v>41394</v>
      </c>
      <c r="C20" s="28">
        <v>0.20830000000000001</v>
      </c>
      <c r="D20" s="18">
        <f t="shared" si="0"/>
        <v>0.31245000000000001</v>
      </c>
      <c r="E20" s="18">
        <f t="shared" si="1"/>
        <v>2.2916609793260045E-2</v>
      </c>
      <c r="F20" s="43">
        <f t="shared" si="2"/>
        <v>7.5555089466550207E-4</v>
      </c>
      <c r="G20" s="29">
        <f t="shared" si="5"/>
        <v>48481024.925254121</v>
      </c>
      <c r="H20" s="151">
        <f t="shared" si="4"/>
        <v>30</v>
      </c>
      <c r="I20" s="86">
        <f t="shared" si="3"/>
        <v>1098896.4526972878</v>
      </c>
    </row>
    <row r="21" spans="1:9">
      <c r="A21" s="16">
        <v>41395</v>
      </c>
      <c r="B21" s="16">
        <v>41425</v>
      </c>
      <c r="C21" s="28">
        <v>0.20830000000000001</v>
      </c>
      <c r="D21" s="18">
        <f t="shared" si="0"/>
        <v>0.31245000000000001</v>
      </c>
      <c r="E21" s="18">
        <f t="shared" si="1"/>
        <v>2.2916609793260045E-2</v>
      </c>
      <c r="F21" s="43">
        <f t="shared" si="2"/>
        <v>7.5555089466550207E-4</v>
      </c>
      <c r="G21" s="29">
        <f t="shared" si="5"/>
        <v>49579921.377951406</v>
      </c>
      <c r="H21" s="151">
        <f t="shared" si="4"/>
        <v>31</v>
      </c>
      <c r="I21" s="86">
        <f t="shared" si="3"/>
        <v>1161264.7725912496</v>
      </c>
    </row>
    <row r="22" spans="1:9">
      <c r="A22" s="16">
        <v>41426</v>
      </c>
      <c r="B22" s="16">
        <v>41455</v>
      </c>
      <c r="C22" s="28">
        <v>0.20830000000000001</v>
      </c>
      <c r="D22" s="18">
        <f t="shared" si="0"/>
        <v>0.31245000000000001</v>
      </c>
      <c r="E22" s="18">
        <f t="shared" si="1"/>
        <v>2.2916609793260045E-2</v>
      </c>
      <c r="F22" s="43">
        <f t="shared" si="2"/>
        <v>7.5555089466550207E-4</v>
      </c>
      <c r="G22" s="29">
        <f t="shared" si="5"/>
        <v>50741186.150542654</v>
      </c>
      <c r="H22" s="151">
        <f t="shared" si="4"/>
        <v>30</v>
      </c>
      <c r="I22" s="86">
        <f t="shared" si="3"/>
        <v>1150126.4577729388</v>
      </c>
    </row>
    <row r="23" spans="1:9">
      <c r="A23" s="16">
        <v>41456</v>
      </c>
      <c r="B23" s="16">
        <v>41486</v>
      </c>
      <c r="C23" s="28">
        <v>0.2034</v>
      </c>
      <c r="D23" s="18">
        <f t="shared" si="0"/>
        <v>0.30509999999999998</v>
      </c>
      <c r="E23" s="18">
        <f t="shared" si="1"/>
        <v>2.2438000800601765E-2</v>
      </c>
      <c r="F23" s="43">
        <f t="shared" si="2"/>
        <v>7.3993935958172052E-4</v>
      </c>
      <c r="G23" s="29">
        <f t="shared" si="5"/>
        <v>51891312.608315594</v>
      </c>
      <c r="H23" s="151">
        <f t="shared" si="4"/>
        <v>31</v>
      </c>
      <c r="I23" s="86">
        <f t="shared" si="3"/>
        <v>1190289.1631968089</v>
      </c>
    </row>
    <row r="24" spans="1:9">
      <c r="A24" s="16">
        <v>41487</v>
      </c>
      <c r="B24" s="16">
        <v>41517</v>
      </c>
      <c r="C24" s="28">
        <v>0.2034</v>
      </c>
      <c r="D24" s="18">
        <f t="shared" si="0"/>
        <v>0.30509999999999998</v>
      </c>
      <c r="E24" s="18">
        <f t="shared" si="1"/>
        <v>2.2438000800601765E-2</v>
      </c>
      <c r="F24" s="43">
        <f t="shared" si="2"/>
        <v>7.3993935958172052E-4</v>
      </c>
      <c r="G24" s="29">
        <f t="shared" si="5"/>
        <v>53081601.771512404</v>
      </c>
      <c r="H24" s="151">
        <f t="shared" si="4"/>
        <v>31</v>
      </c>
      <c r="I24" s="86">
        <f t="shared" si="3"/>
        <v>1217592.1590319292</v>
      </c>
    </row>
    <row r="25" spans="1:9">
      <c r="A25" s="16">
        <v>41518</v>
      </c>
      <c r="B25" s="16">
        <v>41547</v>
      </c>
      <c r="C25" s="28">
        <v>0.2034</v>
      </c>
      <c r="D25" s="18">
        <f t="shared" si="0"/>
        <v>0.30509999999999998</v>
      </c>
      <c r="E25" s="18">
        <f t="shared" si="1"/>
        <v>2.2438000800601765E-2</v>
      </c>
      <c r="F25" s="43">
        <f t="shared" si="2"/>
        <v>7.3993935958172052E-4</v>
      </c>
      <c r="G25" s="29">
        <f t="shared" si="5"/>
        <v>54299193.930544332</v>
      </c>
      <c r="H25" s="151">
        <f t="shared" si="4"/>
        <v>30</v>
      </c>
      <c r="I25" s="86">
        <f t="shared" si="3"/>
        <v>1205343.3234831186</v>
      </c>
    </row>
    <row r="26" spans="1:9">
      <c r="A26" s="16">
        <v>41548</v>
      </c>
      <c r="B26" s="16">
        <v>41578</v>
      </c>
      <c r="C26" s="28">
        <v>0.19850000000000001</v>
      </c>
      <c r="D26" s="18">
        <f t="shared" si="0"/>
        <v>0.29775000000000001</v>
      </c>
      <c r="E26" s="18">
        <f t="shared" si="1"/>
        <v>2.1956914610111067E-2</v>
      </c>
      <c r="F26" s="43">
        <f t="shared" si="2"/>
        <v>7.2423990106229574E-4</v>
      </c>
      <c r="G26" s="29">
        <f t="shared" si="5"/>
        <v>55504537.254027449</v>
      </c>
      <c r="H26" s="151">
        <f t="shared" si="4"/>
        <v>31</v>
      </c>
      <c r="I26" s="86">
        <f t="shared" si="3"/>
        <v>1246156.6176503259</v>
      </c>
    </row>
    <row r="27" spans="1:9">
      <c r="A27" s="16">
        <v>41579</v>
      </c>
      <c r="B27" s="16">
        <v>41608</v>
      </c>
      <c r="C27" s="28">
        <v>0.19850000000000001</v>
      </c>
      <c r="D27" s="18">
        <f t="shared" si="0"/>
        <v>0.29775000000000001</v>
      </c>
      <c r="E27" s="18">
        <f t="shared" si="1"/>
        <v>2.1956914610111067E-2</v>
      </c>
      <c r="F27" s="43">
        <f t="shared" si="2"/>
        <v>7.2423990106229574E-4</v>
      </c>
      <c r="G27" s="29">
        <f t="shared" si="5"/>
        <v>56750693.871677771</v>
      </c>
      <c r="H27" s="151">
        <f t="shared" si="4"/>
        <v>30</v>
      </c>
      <c r="I27" s="86">
        <f t="shared" si="3"/>
        <v>1233033.5074452162</v>
      </c>
    </row>
    <row r="28" spans="1:9">
      <c r="A28" s="16">
        <v>41609</v>
      </c>
      <c r="B28" s="16">
        <v>41639</v>
      </c>
      <c r="C28" s="28">
        <v>0.19850000000000001</v>
      </c>
      <c r="D28" s="18">
        <f t="shared" si="0"/>
        <v>0.29775000000000001</v>
      </c>
      <c r="E28" s="18">
        <f t="shared" si="1"/>
        <v>2.1956914610111067E-2</v>
      </c>
      <c r="F28" s="43">
        <f t="shared" si="2"/>
        <v>7.2423990106229574E-4</v>
      </c>
      <c r="G28" s="29">
        <f t="shared" si="5"/>
        <v>57983727.379122987</v>
      </c>
      <c r="H28" s="151">
        <f t="shared" si="4"/>
        <v>31</v>
      </c>
      <c r="I28" s="86">
        <f t="shared" si="3"/>
        <v>1301817.9983886539</v>
      </c>
    </row>
    <row r="29" spans="1:9">
      <c r="A29" s="16">
        <v>41640</v>
      </c>
      <c r="B29" s="16">
        <v>41670</v>
      </c>
      <c r="C29" s="28">
        <v>0.19650000000000001</v>
      </c>
      <c r="D29" s="18">
        <f t="shared" si="0"/>
        <v>0.29475000000000001</v>
      </c>
      <c r="E29" s="18">
        <f t="shared" si="1"/>
        <v>2.1759834797641986E-2</v>
      </c>
      <c r="F29" s="43">
        <f t="shared" si="2"/>
        <v>7.1780646184760322E-4</v>
      </c>
      <c r="G29" s="29">
        <f t="shared" si="5"/>
        <v>59285545.377511643</v>
      </c>
      <c r="H29" s="151">
        <f t="shared" si="4"/>
        <v>31</v>
      </c>
      <c r="I29" s="86">
        <f t="shared" si="3"/>
        <v>1319221.9745502518</v>
      </c>
    </row>
    <row r="30" spans="1:9">
      <c r="A30" s="16">
        <v>41671</v>
      </c>
      <c r="B30" s="16">
        <v>41698</v>
      </c>
      <c r="C30" s="28">
        <v>0.19650000000000001</v>
      </c>
      <c r="D30" s="18">
        <f t="shared" si="0"/>
        <v>0.29475000000000001</v>
      </c>
      <c r="E30" s="18">
        <f t="shared" si="1"/>
        <v>2.1759834797641986E-2</v>
      </c>
      <c r="F30" s="43">
        <f t="shared" si="2"/>
        <v>7.1780646184760322E-4</v>
      </c>
      <c r="G30" s="29">
        <f t="shared" si="5"/>
        <v>60604767.352061898</v>
      </c>
      <c r="H30" s="151">
        <f t="shared" si="4"/>
        <v>28</v>
      </c>
      <c r="I30" s="86">
        <f t="shared" si="3"/>
        <v>1218069.8214742593</v>
      </c>
    </row>
    <row r="31" spans="1:9">
      <c r="A31" s="16">
        <v>41699</v>
      </c>
      <c r="B31" s="16">
        <v>41729</v>
      </c>
      <c r="C31" s="28">
        <v>0.19650000000000001</v>
      </c>
      <c r="D31" s="18">
        <f t="shared" si="0"/>
        <v>0.29475000000000001</v>
      </c>
      <c r="E31" s="18">
        <f t="shared" si="1"/>
        <v>2.1759834797641986E-2</v>
      </c>
      <c r="F31" s="43">
        <f t="shared" si="2"/>
        <v>7.1780646184760322E-4</v>
      </c>
      <c r="G31" s="29">
        <f>+G30+I30</f>
        <v>61822837.173536159</v>
      </c>
      <c r="H31" s="151">
        <f t="shared" si="4"/>
        <v>31</v>
      </c>
      <c r="I31" s="86">
        <f t="shared" si="3"/>
        <v>1375681.7924004106</v>
      </c>
    </row>
    <row r="32" spans="1:9">
      <c r="A32" s="16">
        <v>41730</v>
      </c>
      <c r="B32" s="16">
        <v>41759</v>
      </c>
      <c r="C32" s="28">
        <v>0.1963</v>
      </c>
      <c r="D32" s="18">
        <f t="shared" si="0"/>
        <v>0.29444999999999999</v>
      </c>
      <c r="E32" s="18">
        <f t="shared" si="1"/>
        <v>2.1740103800155453E-2</v>
      </c>
      <c r="F32" s="43">
        <f t="shared" si="2"/>
        <v>7.1716230053064933E-4</v>
      </c>
      <c r="G32" s="29">
        <f t="shared" si="5"/>
        <v>63198518.965936571</v>
      </c>
      <c r="H32" s="151">
        <f t="shared" si="4"/>
        <v>30</v>
      </c>
      <c r="I32" s="86">
        <f t="shared" si="3"/>
        <v>1359707.8575522285</v>
      </c>
    </row>
    <row r="33" spans="1:9">
      <c r="A33" s="16">
        <v>41760</v>
      </c>
      <c r="B33" s="16">
        <v>41790</v>
      </c>
      <c r="C33" s="28">
        <v>0.1963</v>
      </c>
      <c r="D33" s="18">
        <f t="shared" si="0"/>
        <v>0.29444999999999999</v>
      </c>
      <c r="E33" s="18">
        <f t="shared" si="1"/>
        <v>2.1740103800155453E-2</v>
      </c>
      <c r="F33" s="43">
        <f t="shared" si="2"/>
        <v>7.1716230053064933E-4</v>
      </c>
      <c r="G33" s="29">
        <f t="shared" si="5"/>
        <v>64558226.823488802</v>
      </c>
      <c r="H33" s="151">
        <f t="shared" si="4"/>
        <v>31</v>
      </c>
      <c r="I33" s="86">
        <f t="shared" si="3"/>
        <v>1435260.5204742937</v>
      </c>
    </row>
    <row r="34" spans="1:9">
      <c r="A34" s="16">
        <v>41791</v>
      </c>
      <c r="B34" s="16">
        <v>41820</v>
      </c>
      <c r="C34" s="28">
        <v>0.1963</v>
      </c>
      <c r="D34" s="18">
        <f t="shared" si="0"/>
        <v>0.29444999999999999</v>
      </c>
      <c r="E34" s="18">
        <f t="shared" si="1"/>
        <v>2.1740103800155453E-2</v>
      </c>
      <c r="F34" s="43">
        <f t="shared" si="2"/>
        <v>7.1716230053064933E-4</v>
      </c>
      <c r="G34" s="29">
        <f t="shared" si="5"/>
        <v>65993487.343963094</v>
      </c>
      <c r="H34" s="151">
        <f t="shared" si="4"/>
        <v>30</v>
      </c>
      <c r="I34" s="86">
        <f t="shared" si="3"/>
        <v>1419841.2361091059</v>
      </c>
    </row>
    <row r="35" spans="1:9">
      <c r="A35" s="16">
        <v>41821</v>
      </c>
      <c r="B35" s="16">
        <v>41851</v>
      </c>
      <c r="C35" s="28">
        <v>0.1933</v>
      </c>
      <c r="D35" s="18">
        <f t="shared" si="0"/>
        <v>0.28994999999999999</v>
      </c>
      <c r="E35" s="18">
        <f t="shared" si="1"/>
        <v>2.1443634727683625E-2</v>
      </c>
      <c r="F35" s="43">
        <f t="shared" si="2"/>
        <v>7.0748197498637921E-4</v>
      </c>
      <c r="G35" s="29">
        <f t="shared" si="5"/>
        <v>67413328.580072194</v>
      </c>
      <c r="H35" s="151">
        <f t="shared" si="4"/>
        <v>31</v>
      </c>
      <c r="I35" s="86">
        <f t="shared" si="3"/>
        <v>1478505.1601712911</v>
      </c>
    </row>
    <row r="36" spans="1:9">
      <c r="A36" s="16">
        <v>41852</v>
      </c>
      <c r="B36" s="16">
        <v>41882</v>
      </c>
      <c r="C36" s="28">
        <v>0.1933</v>
      </c>
      <c r="D36" s="18">
        <f t="shared" si="0"/>
        <v>0.28994999999999999</v>
      </c>
      <c r="E36" s="18">
        <f t="shared" si="1"/>
        <v>2.1443634727683625E-2</v>
      </c>
      <c r="F36" s="43">
        <f t="shared" si="2"/>
        <v>7.0748197498637921E-4</v>
      </c>
      <c r="G36" s="29">
        <f t="shared" si="5"/>
        <v>68891833.74024348</v>
      </c>
      <c r="H36" s="151">
        <f t="shared" si="4"/>
        <v>31</v>
      </c>
      <c r="I36" s="86">
        <f t="shared" si="3"/>
        <v>1510931.6484444027</v>
      </c>
    </row>
    <row r="37" spans="1:9">
      <c r="A37" s="16">
        <v>41883</v>
      </c>
      <c r="B37" s="16">
        <v>41912</v>
      </c>
      <c r="C37" s="28">
        <v>0.1933</v>
      </c>
      <c r="D37" s="18">
        <f t="shared" si="0"/>
        <v>0.28994999999999999</v>
      </c>
      <c r="E37" s="18">
        <f t="shared" si="1"/>
        <v>2.1443634727683625E-2</v>
      </c>
      <c r="F37" s="43">
        <f t="shared" si="2"/>
        <v>7.0748197498637921E-4</v>
      </c>
      <c r="G37" s="29">
        <f t="shared" si="5"/>
        <v>70402765.388687879</v>
      </c>
      <c r="H37" s="151">
        <f t="shared" si="4"/>
        <v>30</v>
      </c>
      <c r="I37" s="86">
        <f t="shared" si="3"/>
        <v>1494260.625050748</v>
      </c>
    </row>
    <row r="38" spans="1:9">
      <c r="A38" s="16">
        <v>41913</v>
      </c>
      <c r="B38" s="16">
        <v>41943</v>
      </c>
      <c r="C38" s="28">
        <v>0.19170000000000001</v>
      </c>
      <c r="D38" s="18">
        <f t="shared" si="0"/>
        <v>0.28755000000000003</v>
      </c>
      <c r="E38" s="18">
        <f t="shared" si="1"/>
        <v>2.1285130025374244E-2</v>
      </c>
      <c r="F38" s="43">
        <f t="shared" si="2"/>
        <v>7.0230535587034737E-4</v>
      </c>
      <c r="G38" s="29">
        <f t="shared" si="5"/>
        <v>71897026.013738632</v>
      </c>
      <c r="H38" s="151">
        <f t="shared" si="4"/>
        <v>31</v>
      </c>
      <c r="I38" s="86">
        <f t="shared" si="3"/>
        <v>1565303.6596585482</v>
      </c>
    </row>
    <row r="39" spans="1:9">
      <c r="A39" s="16">
        <v>41944</v>
      </c>
      <c r="B39" s="16">
        <v>41973</v>
      </c>
      <c r="C39" s="28">
        <v>0.19170000000000001</v>
      </c>
      <c r="D39" s="18">
        <f t="shared" si="0"/>
        <v>0.28755000000000003</v>
      </c>
      <c r="E39" s="18">
        <f t="shared" si="1"/>
        <v>2.1285130025374244E-2</v>
      </c>
      <c r="F39" s="43">
        <f t="shared" si="2"/>
        <v>7.0230535587034737E-4</v>
      </c>
      <c r="G39" s="29">
        <f t="shared" si="5"/>
        <v>73462329.673397183</v>
      </c>
      <c r="H39" s="151">
        <f t="shared" si="4"/>
        <v>30</v>
      </c>
      <c r="I39" s="86">
        <f t="shared" si="3"/>
        <v>1547789.6275301995</v>
      </c>
    </row>
    <row r="40" spans="1:9">
      <c r="A40" s="16">
        <v>41974</v>
      </c>
      <c r="B40" s="16">
        <v>42004</v>
      </c>
      <c r="C40" s="28">
        <v>0.19170000000000001</v>
      </c>
      <c r="D40" s="18">
        <f t="shared" si="0"/>
        <v>0.28755000000000003</v>
      </c>
      <c r="E40" s="18">
        <f t="shared" si="1"/>
        <v>2.1285130025374244E-2</v>
      </c>
      <c r="F40" s="43">
        <f t="shared" si="2"/>
        <v>7.0230535587034737E-4</v>
      </c>
      <c r="G40" s="29">
        <f t="shared" si="5"/>
        <v>75010119.300927386</v>
      </c>
      <c r="H40" s="151">
        <f t="shared" si="4"/>
        <v>31</v>
      </c>
      <c r="I40" s="86">
        <f t="shared" si="3"/>
        <v>1633080.2644149656</v>
      </c>
    </row>
    <row r="41" spans="1:9">
      <c r="A41" s="16">
        <v>42005</v>
      </c>
      <c r="B41" s="16">
        <v>42035</v>
      </c>
      <c r="C41" s="28">
        <v>0.19209999999999999</v>
      </c>
      <c r="D41" s="18">
        <f t="shared" si="0"/>
        <v>0.28815000000000002</v>
      </c>
      <c r="E41" s="18">
        <f t="shared" si="1"/>
        <v>2.1324781575405183E-2</v>
      </c>
      <c r="F41" s="43">
        <f t="shared" si="2"/>
        <v>7.0360041219297287E-4</v>
      </c>
      <c r="G41" s="29">
        <f t="shared" si="5"/>
        <v>76643199.565342352</v>
      </c>
      <c r="H41" s="151">
        <f t="shared" si="4"/>
        <v>31</v>
      </c>
      <c r="I41" s="86">
        <f t="shared" si="3"/>
        <v>1671711.7909848581</v>
      </c>
    </row>
    <row r="42" spans="1:9">
      <c r="A42" s="16">
        <v>42036</v>
      </c>
      <c r="B42" s="16">
        <v>42063</v>
      </c>
      <c r="C42" s="28">
        <v>0.19209999999999999</v>
      </c>
      <c r="D42" s="18">
        <f t="shared" si="0"/>
        <v>0.28815000000000002</v>
      </c>
      <c r="E42" s="18">
        <f t="shared" si="1"/>
        <v>2.1324781575405183E-2</v>
      </c>
      <c r="F42" s="43">
        <f t="shared" si="2"/>
        <v>7.0360041219297287E-4</v>
      </c>
      <c r="G42" s="29">
        <f t="shared" si="5"/>
        <v>78314911.356327206</v>
      </c>
      <c r="H42" s="151">
        <f t="shared" si="4"/>
        <v>28</v>
      </c>
      <c r="I42" s="86">
        <f t="shared" si="3"/>
        <v>1542867.3095127027</v>
      </c>
    </row>
    <row r="43" spans="1:9">
      <c r="A43" s="16">
        <v>42064</v>
      </c>
      <c r="B43" s="16">
        <v>42094</v>
      </c>
      <c r="C43" s="28">
        <v>0.19209999999999999</v>
      </c>
      <c r="D43" s="18">
        <f t="shared" si="0"/>
        <v>0.28815000000000002</v>
      </c>
      <c r="E43" s="18">
        <f t="shared" si="1"/>
        <v>2.1324781575405183E-2</v>
      </c>
      <c r="F43" s="43">
        <f t="shared" si="2"/>
        <v>7.0360041219297287E-4</v>
      </c>
      <c r="G43" s="29">
        <f t="shared" si="5"/>
        <v>79857778.665839911</v>
      </c>
      <c r="H43" s="151">
        <f t="shared" si="4"/>
        <v>31</v>
      </c>
      <c r="I43" s="86">
        <f t="shared" si="3"/>
        <v>1741826.9455691047</v>
      </c>
    </row>
    <row r="44" spans="1:9">
      <c r="A44" s="16">
        <v>42095</v>
      </c>
      <c r="B44" s="16">
        <v>42124</v>
      </c>
      <c r="C44" s="28">
        <v>0.19370000000000001</v>
      </c>
      <c r="D44" s="18">
        <f t="shared" si="0"/>
        <v>0.29055000000000003</v>
      </c>
      <c r="E44" s="18">
        <f t="shared" si="1"/>
        <v>2.1483218662772696E-2</v>
      </c>
      <c r="F44" s="43">
        <f t="shared" si="2"/>
        <v>7.0877462905394317E-4</v>
      </c>
      <c r="G44" s="29">
        <f>+G43+I43</f>
        <v>81599605.611409009</v>
      </c>
      <c r="H44" s="151">
        <f t="shared" si="4"/>
        <v>30</v>
      </c>
      <c r="I44" s="86">
        <f t="shared" si="3"/>
        <v>1735071.9059452345</v>
      </c>
    </row>
    <row r="45" spans="1:9">
      <c r="A45" s="16">
        <v>42125</v>
      </c>
      <c r="B45" s="16">
        <v>42155</v>
      </c>
      <c r="C45" s="28">
        <v>0.19370000000000001</v>
      </c>
      <c r="D45" s="18">
        <f t="shared" si="0"/>
        <v>0.29055000000000003</v>
      </c>
      <c r="E45" s="18">
        <f t="shared" si="1"/>
        <v>2.1483218662772696E-2</v>
      </c>
      <c r="F45" s="43">
        <f t="shared" si="2"/>
        <v>7.0877462905394317E-4</v>
      </c>
      <c r="G45" s="29">
        <f t="shared" si="5"/>
        <v>83334677.51735425</v>
      </c>
      <c r="H45" s="151">
        <f t="shared" si="4"/>
        <v>31</v>
      </c>
      <c r="I45" s="86">
        <f t="shared" si="3"/>
        <v>1831030.6594854749</v>
      </c>
    </row>
    <row r="46" spans="1:9">
      <c r="A46" s="16">
        <v>42156</v>
      </c>
      <c r="B46" s="16">
        <v>42185</v>
      </c>
      <c r="C46" s="28">
        <v>0.19370000000000001</v>
      </c>
      <c r="D46" s="18">
        <f t="shared" si="0"/>
        <v>0.29055000000000003</v>
      </c>
      <c r="E46" s="18">
        <f t="shared" si="1"/>
        <v>2.1483218662772696E-2</v>
      </c>
      <c r="F46" s="43">
        <f t="shared" si="2"/>
        <v>7.0877462905394317E-4</v>
      </c>
      <c r="G46" s="29">
        <f t="shared" si="5"/>
        <v>85165708.176839724</v>
      </c>
      <c r="H46" s="151">
        <f t="shared" si="4"/>
        <v>30</v>
      </c>
      <c r="I46" s="86">
        <f t="shared" si="3"/>
        <v>1810898.7966346785</v>
      </c>
    </row>
    <row r="47" spans="1:9">
      <c r="A47" s="16">
        <v>42186</v>
      </c>
      <c r="B47" s="16">
        <v>42216</v>
      </c>
      <c r="C47" s="28">
        <v>0.19259999999999999</v>
      </c>
      <c r="D47" s="18">
        <f t="shared" si="0"/>
        <v>0.28889999999999999</v>
      </c>
      <c r="E47" s="18">
        <f t="shared" si="1"/>
        <v>2.1374322212011299E-2</v>
      </c>
      <c r="F47" s="43">
        <f t="shared" si="2"/>
        <v>7.0521838694070915E-4</v>
      </c>
      <c r="G47" s="29">
        <f t="shared" si="5"/>
        <v>86976606.973474398</v>
      </c>
      <c r="H47" s="151">
        <f t="shared" si="4"/>
        <v>31</v>
      </c>
      <c r="I47" s="86">
        <f t="shared" si="3"/>
        <v>1901462.5766136991</v>
      </c>
    </row>
    <row r="48" spans="1:9">
      <c r="A48" s="16">
        <v>42217</v>
      </c>
      <c r="B48" s="16">
        <v>42247</v>
      </c>
      <c r="C48" s="28">
        <v>0.19259999999999999</v>
      </c>
      <c r="D48" s="18">
        <f t="shared" si="0"/>
        <v>0.28889999999999999</v>
      </c>
      <c r="E48" s="18">
        <f t="shared" si="1"/>
        <v>2.1374322212011299E-2</v>
      </c>
      <c r="F48" s="43">
        <f t="shared" si="2"/>
        <v>7.0521838694070915E-4</v>
      </c>
      <c r="G48" s="29">
        <f t="shared" si="5"/>
        <v>88878069.550088093</v>
      </c>
      <c r="H48" s="151">
        <f t="shared" si="4"/>
        <v>31</v>
      </c>
      <c r="I48" s="86">
        <f t="shared" si="3"/>
        <v>1943031.9141180357</v>
      </c>
    </row>
    <row r="49" spans="1:9">
      <c r="A49" s="16">
        <v>42248</v>
      </c>
      <c r="B49" s="16">
        <v>42277</v>
      </c>
      <c r="C49" s="28">
        <v>0.19259999999999999</v>
      </c>
      <c r="D49" s="18">
        <f t="shared" si="0"/>
        <v>0.28889999999999999</v>
      </c>
      <c r="E49" s="18">
        <f t="shared" si="1"/>
        <v>2.1374322212011299E-2</v>
      </c>
      <c r="F49" s="43">
        <f t="shared" si="2"/>
        <v>7.0521838694070915E-4</v>
      </c>
      <c r="G49" s="29">
        <f t="shared" si="5"/>
        <v>90821101.464206129</v>
      </c>
      <c r="H49" s="151">
        <f t="shared" si="4"/>
        <v>30</v>
      </c>
      <c r="I49" s="86">
        <f t="shared" si="3"/>
        <v>1921461.3202429777</v>
      </c>
    </row>
    <row r="50" spans="1:9">
      <c r="A50" s="16">
        <v>42278</v>
      </c>
      <c r="B50" s="16">
        <v>42308</v>
      </c>
      <c r="C50" s="28">
        <v>0.1933</v>
      </c>
      <c r="D50" s="18">
        <f t="shared" si="0"/>
        <v>0.28994999999999999</v>
      </c>
      <c r="E50" s="18">
        <f t="shared" si="1"/>
        <v>2.1443634727683625E-2</v>
      </c>
      <c r="F50" s="43">
        <f t="shared" si="2"/>
        <v>7.0748197498637921E-4</v>
      </c>
      <c r="G50" s="29">
        <f t="shared" si="5"/>
        <v>92742562.7844491</v>
      </c>
      <c r="H50" s="151">
        <f t="shared" si="4"/>
        <v>31</v>
      </c>
      <c r="I50" s="86">
        <f t="shared" si="3"/>
        <v>2034024.4360052499</v>
      </c>
    </row>
    <row r="51" spans="1:9">
      <c r="A51" s="16">
        <v>42309</v>
      </c>
      <c r="B51" s="16">
        <v>42338</v>
      </c>
      <c r="C51" s="28">
        <v>0.1933</v>
      </c>
      <c r="D51" s="18">
        <f t="shared" si="0"/>
        <v>0.28994999999999999</v>
      </c>
      <c r="E51" s="18">
        <f t="shared" si="1"/>
        <v>2.1443634727683625E-2</v>
      </c>
      <c r="F51" s="43">
        <f t="shared" si="2"/>
        <v>7.0748197498637921E-4</v>
      </c>
      <c r="G51" s="29">
        <f t="shared" si="5"/>
        <v>94776587.22045435</v>
      </c>
      <c r="H51" s="151">
        <f t="shared" si="4"/>
        <v>30</v>
      </c>
      <c r="I51" s="86">
        <f t="shared" si="3"/>
        <v>2011581.813275876</v>
      </c>
    </row>
    <row r="52" spans="1:9">
      <c r="A52" s="16">
        <v>42339</v>
      </c>
      <c r="B52" s="16">
        <v>42369</v>
      </c>
      <c r="C52" s="28">
        <v>0.1933</v>
      </c>
      <c r="D52" s="18">
        <f t="shared" si="0"/>
        <v>0.28994999999999999</v>
      </c>
      <c r="E52" s="18">
        <f t="shared" si="1"/>
        <v>2.1443634727683625E-2</v>
      </c>
      <c r="F52" s="43">
        <f t="shared" si="2"/>
        <v>7.0748197498637921E-4</v>
      </c>
      <c r="G52" s="29">
        <f>+G51+I51</f>
        <v>96788169.033730224</v>
      </c>
      <c r="H52" s="151">
        <f t="shared" si="4"/>
        <v>31</v>
      </c>
      <c r="I52" s="86">
        <f t="shared" si="3"/>
        <v>2122752.4344822681</v>
      </c>
    </row>
    <row r="53" spans="1:9">
      <c r="A53" s="16">
        <v>42370</v>
      </c>
      <c r="B53" s="16">
        <v>42400</v>
      </c>
      <c r="C53" s="28">
        <v>0.1968</v>
      </c>
      <c r="D53" s="18">
        <f t="shared" si="0"/>
        <v>0.29520000000000002</v>
      </c>
      <c r="E53" s="18">
        <f t="shared" si="1"/>
        <v>2.1789423437557742E-2</v>
      </c>
      <c r="F53" s="43">
        <f t="shared" si="2"/>
        <v>7.1877242479989611E-4</v>
      </c>
      <c r="G53" s="29">
        <f t="shared" ref="G53:G116" si="6">+G52+I52</f>
        <v>98910921.468212485</v>
      </c>
      <c r="H53" s="151">
        <f t="shared" si="4"/>
        <v>31</v>
      </c>
      <c r="I53" s="86">
        <f t="shared" si="3"/>
        <v>2203927.728749875</v>
      </c>
    </row>
    <row r="54" spans="1:9">
      <c r="A54" s="16">
        <v>42401</v>
      </c>
      <c r="B54" s="16">
        <v>42429</v>
      </c>
      <c r="C54" s="28">
        <v>0.1968</v>
      </c>
      <c r="D54" s="18">
        <f t="shared" si="0"/>
        <v>0.29520000000000002</v>
      </c>
      <c r="E54" s="18">
        <f t="shared" si="1"/>
        <v>2.1789423437557742E-2</v>
      </c>
      <c r="F54" s="43">
        <f t="shared" si="2"/>
        <v>7.1877242479989611E-4</v>
      </c>
      <c r="G54" s="29">
        <f t="shared" si="6"/>
        <v>101114849.19696236</v>
      </c>
      <c r="H54" s="151">
        <f t="shared" si="4"/>
        <v>29</v>
      </c>
      <c r="I54" s="86">
        <f t="shared" si="3"/>
        <v>2107678.3948767176</v>
      </c>
    </row>
    <row r="55" spans="1:9">
      <c r="A55" s="16">
        <v>42430</v>
      </c>
      <c r="B55" s="16">
        <v>42460</v>
      </c>
      <c r="C55" s="28">
        <v>0.1968</v>
      </c>
      <c r="D55" s="18">
        <f t="shared" si="0"/>
        <v>0.29520000000000002</v>
      </c>
      <c r="E55" s="18">
        <f t="shared" si="1"/>
        <v>2.1789423437557742E-2</v>
      </c>
      <c r="F55" s="43">
        <f t="shared" si="2"/>
        <v>7.1877242479989611E-4</v>
      </c>
      <c r="G55" s="29">
        <f t="shared" si="6"/>
        <v>103222527.59183908</v>
      </c>
      <c r="H55" s="151">
        <f t="shared" si="4"/>
        <v>31</v>
      </c>
      <c r="I55" s="86">
        <f t="shared" si="3"/>
        <v>2299998.6999859712</v>
      </c>
    </row>
    <row r="56" spans="1:9">
      <c r="A56" s="16">
        <v>42461</v>
      </c>
      <c r="B56" s="16">
        <v>42490</v>
      </c>
      <c r="C56" s="28">
        <v>0.2054</v>
      </c>
      <c r="D56" s="18">
        <f t="shared" si="0"/>
        <v>0.30809999999999998</v>
      </c>
      <c r="E56" s="18">
        <f t="shared" si="1"/>
        <v>2.2633649099822239E-2</v>
      </c>
      <c r="F56" s="43">
        <f t="shared" si="2"/>
        <v>7.4632197840363013E-4</v>
      </c>
      <c r="G56" s="29">
        <f t="shared" si="6"/>
        <v>105522526.29182504</v>
      </c>
      <c r="H56" s="151">
        <f t="shared" si="4"/>
        <v>30</v>
      </c>
      <c r="I56" s="86">
        <f t="shared" si="3"/>
        <v>2362613.4176479182</v>
      </c>
    </row>
    <row r="57" spans="1:9">
      <c r="A57" s="16">
        <v>42491</v>
      </c>
      <c r="B57" s="16">
        <v>42521</v>
      </c>
      <c r="C57" s="28">
        <v>0.2054</v>
      </c>
      <c r="D57" s="18">
        <f t="shared" si="0"/>
        <v>0.30809999999999998</v>
      </c>
      <c r="E57" s="18">
        <f t="shared" si="1"/>
        <v>2.2633649099822239E-2</v>
      </c>
      <c r="F57" s="43">
        <f t="shared" si="2"/>
        <v>7.4632197840363013E-4</v>
      </c>
      <c r="G57" s="29">
        <f t="shared" si="6"/>
        <v>107885139.70947295</v>
      </c>
      <c r="H57" s="151">
        <f t="shared" si="4"/>
        <v>31</v>
      </c>
      <c r="I57" s="86">
        <f t="shared" si="3"/>
        <v>2496028.5781581029</v>
      </c>
    </row>
    <row r="58" spans="1:9">
      <c r="A58" s="16">
        <v>42522</v>
      </c>
      <c r="B58" s="16">
        <v>42551</v>
      </c>
      <c r="C58" s="28">
        <v>0.2054</v>
      </c>
      <c r="D58" s="18">
        <f t="shared" si="0"/>
        <v>0.30809999999999998</v>
      </c>
      <c r="E58" s="18">
        <f t="shared" si="1"/>
        <v>2.2633649099822239E-2</v>
      </c>
      <c r="F58" s="43">
        <f t="shared" si="2"/>
        <v>7.4632197840363013E-4</v>
      </c>
      <c r="G58" s="29">
        <f t="shared" si="6"/>
        <v>110381168.28763106</v>
      </c>
      <c r="H58" s="151">
        <f t="shared" si="4"/>
        <v>30</v>
      </c>
      <c r="I58" s="86">
        <f t="shared" si="3"/>
        <v>2471396.7568478654</v>
      </c>
    </row>
    <row r="59" spans="1:9">
      <c r="A59" s="16">
        <v>42552</v>
      </c>
      <c r="B59" s="16">
        <v>42582</v>
      </c>
      <c r="C59" s="28">
        <v>0.21340000000000001</v>
      </c>
      <c r="D59" s="18">
        <f t="shared" si="0"/>
        <v>0.3201</v>
      </c>
      <c r="E59" s="18">
        <f t="shared" si="1"/>
        <v>2.3412151466478903E-2</v>
      </c>
      <c r="F59" s="43">
        <f t="shared" si="2"/>
        <v>7.7170731105158374E-4</v>
      </c>
      <c r="G59" s="29">
        <f>+G58+I58</f>
        <v>112852565.04447892</v>
      </c>
      <c r="H59" s="151">
        <f t="shared" si="4"/>
        <v>31</v>
      </c>
      <c r="I59" s="86">
        <f t="shared" si="3"/>
        <v>2699763.634988212</v>
      </c>
    </row>
    <row r="60" spans="1:9">
      <c r="A60" s="16">
        <v>42583</v>
      </c>
      <c r="B60" s="16">
        <v>42613</v>
      </c>
      <c r="C60" s="28">
        <v>0.21340000000000001</v>
      </c>
      <c r="D60" s="18">
        <f t="shared" si="0"/>
        <v>0.3201</v>
      </c>
      <c r="E60" s="18">
        <f t="shared" si="1"/>
        <v>2.3412151466478903E-2</v>
      </c>
      <c r="F60" s="43">
        <f t="shared" si="2"/>
        <v>7.7170731105158374E-4</v>
      </c>
      <c r="G60" s="29">
        <f t="shared" si="6"/>
        <v>115552328.67946714</v>
      </c>
      <c r="H60" s="151">
        <f t="shared" si="4"/>
        <v>31</v>
      </c>
      <c r="I60" s="86">
        <f t="shared" si="3"/>
        <v>2764349.8823803919</v>
      </c>
    </row>
    <row r="61" spans="1:9">
      <c r="A61" s="16">
        <v>42614</v>
      </c>
      <c r="B61" s="16">
        <v>42643</v>
      </c>
      <c r="C61" s="28">
        <v>0.21340000000000001</v>
      </c>
      <c r="D61" s="18">
        <f t="shared" si="0"/>
        <v>0.3201</v>
      </c>
      <c r="E61" s="18">
        <f t="shared" si="1"/>
        <v>2.3412151466478903E-2</v>
      </c>
      <c r="F61" s="43">
        <f t="shared" si="2"/>
        <v>7.7170731105158374E-4</v>
      </c>
      <c r="G61" s="29">
        <f t="shared" si="6"/>
        <v>118316678.56184754</v>
      </c>
      <c r="H61" s="151">
        <f t="shared" si="4"/>
        <v>30</v>
      </c>
      <c r="I61" s="86">
        <f t="shared" si="3"/>
        <v>2739175.375965538</v>
      </c>
    </row>
    <row r="62" spans="1:9">
      <c r="A62" s="16">
        <v>42644</v>
      </c>
      <c r="B62" s="16">
        <v>42674</v>
      </c>
      <c r="C62" s="28">
        <v>0.21990000000000001</v>
      </c>
      <c r="D62" s="18">
        <f t="shared" si="0"/>
        <v>0.32985000000000003</v>
      </c>
      <c r="E62" s="18">
        <f t="shared" si="1"/>
        <v>2.4039922656450941E-2</v>
      </c>
      <c r="F62" s="43">
        <f t="shared" si="2"/>
        <v>7.9216402386927953E-4</v>
      </c>
      <c r="G62" s="29">
        <f t="shared" si="6"/>
        <v>121055853.93781307</v>
      </c>
      <c r="H62" s="151">
        <f t="shared" si="4"/>
        <v>31</v>
      </c>
      <c r="I62" s="86">
        <f t="shared" si="3"/>
        <v>2972778.8634176031</v>
      </c>
    </row>
    <row r="63" spans="1:9">
      <c r="A63" s="16">
        <v>42675</v>
      </c>
      <c r="B63" s="16">
        <v>42704</v>
      </c>
      <c r="C63" s="28">
        <v>0.21990000000000001</v>
      </c>
      <c r="D63" s="18">
        <f t="shared" si="0"/>
        <v>0.32985000000000003</v>
      </c>
      <c r="E63" s="18">
        <f t="shared" si="1"/>
        <v>2.4039922656450941E-2</v>
      </c>
      <c r="F63" s="43">
        <f t="shared" si="2"/>
        <v>7.9216402386927953E-4</v>
      </c>
      <c r="G63" s="29">
        <f t="shared" si="6"/>
        <v>124028632.80123067</v>
      </c>
      <c r="H63" s="151">
        <f t="shared" si="4"/>
        <v>30</v>
      </c>
      <c r="I63" s="86">
        <f t="shared" si="3"/>
        <v>2947530.625044846</v>
      </c>
    </row>
    <row r="64" spans="1:9">
      <c r="A64" s="16">
        <v>42705</v>
      </c>
      <c r="B64" s="16">
        <v>42735</v>
      </c>
      <c r="C64" s="28">
        <v>0.21990000000000001</v>
      </c>
      <c r="D64" s="18">
        <f t="shared" si="0"/>
        <v>0.32985000000000003</v>
      </c>
      <c r="E64" s="18">
        <f t="shared" si="1"/>
        <v>2.4039922656450941E-2</v>
      </c>
      <c r="F64" s="43">
        <f t="shared" si="2"/>
        <v>7.9216402386927953E-4</v>
      </c>
      <c r="G64" s="29">
        <f t="shared" si="6"/>
        <v>126976163.42627552</v>
      </c>
      <c r="H64" s="151">
        <f t="shared" si="4"/>
        <v>31</v>
      </c>
      <c r="I64" s="86">
        <f t="shared" si="3"/>
        <v>3118164.4052124913</v>
      </c>
    </row>
    <row r="65" spans="1:9">
      <c r="A65" s="16">
        <v>42736</v>
      </c>
      <c r="B65" s="16">
        <v>42766</v>
      </c>
      <c r="C65" s="28">
        <v>0.22339999999999999</v>
      </c>
      <c r="D65" s="18">
        <f t="shared" si="0"/>
        <v>0.33509999999999995</v>
      </c>
      <c r="E65" s="18">
        <f t="shared" si="1"/>
        <v>2.4376207843189057E-2</v>
      </c>
      <c r="F65" s="43">
        <f t="shared" si="2"/>
        <v>8.0311731340487746E-4</v>
      </c>
      <c r="G65" s="29">
        <f>+G64+I64</f>
        <v>130094327.83148801</v>
      </c>
      <c r="H65" s="151">
        <f t="shared" si="4"/>
        <v>31</v>
      </c>
      <c r="I65" s="86">
        <f t="shared" si="3"/>
        <v>3238911.2187743792</v>
      </c>
    </row>
    <row r="66" spans="1:9">
      <c r="A66" s="16">
        <v>42767</v>
      </c>
      <c r="B66" s="16">
        <v>42794</v>
      </c>
      <c r="C66" s="28">
        <v>0.22339999999999999</v>
      </c>
      <c r="D66" s="18">
        <f t="shared" si="0"/>
        <v>0.33509999999999995</v>
      </c>
      <c r="E66" s="18">
        <f t="shared" si="1"/>
        <v>2.4376207843189057E-2</v>
      </c>
      <c r="F66" s="43">
        <f t="shared" si="2"/>
        <v>8.0311731340487746E-4</v>
      </c>
      <c r="G66" s="29">
        <f t="shared" si="6"/>
        <v>133333239.05026239</v>
      </c>
      <c r="H66" s="151">
        <f t="shared" si="4"/>
        <v>28</v>
      </c>
      <c r="I66" s="86">
        <f t="shared" si="3"/>
        <v>2998302.5165412766</v>
      </c>
    </row>
    <row r="67" spans="1:9">
      <c r="A67" s="16">
        <v>42795</v>
      </c>
      <c r="B67" s="16">
        <v>42825</v>
      </c>
      <c r="C67" s="28">
        <v>0.22339999999999999</v>
      </c>
      <c r="D67" s="18">
        <f t="shared" si="0"/>
        <v>0.33509999999999995</v>
      </c>
      <c r="E67" s="18">
        <f t="shared" si="1"/>
        <v>2.4376207843189057E-2</v>
      </c>
      <c r="F67" s="43">
        <f t="shared" si="2"/>
        <v>8.0311731340487746E-4</v>
      </c>
      <c r="G67" s="29">
        <f t="shared" si="6"/>
        <v>136331541.56680366</v>
      </c>
      <c r="H67" s="151">
        <f t="shared" si="4"/>
        <v>31</v>
      </c>
      <c r="I67" s="86">
        <f t="shared" si="3"/>
        <v>3394196.8632597788</v>
      </c>
    </row>
    <row r="68" spans="1:9">
      <c r="A68" s="16">
        <v>42826</v>
      </c>
      <c r="B68" s="16">
        <v>42855</v>
      </c>
      <c r="C68" s="28">
        <v>0.2233</v>
      </c>
      <c r="D68" s="18">
        <f t="shared" si="0"/>
        <v>0.33494999999999997</v>
      </c>
      <c r="E68" s="18">
        <f t="shared" si="1"/>
        <v>2.4366616530168139E-2</v>
      </c>
      <c r="F68" s="43">
        <f t="shared" si="2"/>
        <v>8.0280495877915747E-4</v>
      </c>
      <c r="G68" s="29">
        <f t="shared" si="6"/>
        <v>139725738.43006346</v>
      </c>
      <c r="H68" s="151">
        <f t="shared" si="4"/>
        <v>30</v>
      </c>
      <c r="I68" s="86">
        <f t="shared" si="3"/>
        <v>3365175.4704220328</v>
      </c>
    </row>
    <row r="69" spans="1:9">
      <c r="A69" s="16">
        <v>42856</v>
      </c>
      <c r="B69" s="16">
        <v>42886</v>
      </c>
      <c r="C69" s="28">
        <v>0.2233</v>
      </c>
      <c r="D69" s="18">
        <f t="shared" si="0"/>
        <v>0.33494999999999997</v>
      </c>
      <c r="E69" s="18">
        <f t="shared" si="1"/>
        <v>2.4366616530168139E-2</v>
      </c>
      <c r="F69" s="43">
        <f t="shared" si="2"/>
        <v>8.0280495877915747E-4</v>
      </c>
      <c r="G69" s="29">
        <f t="shared" si="6"/>
        <v>143090913.90048549</v>
      </c>
      <c r="H69" s="151">
        <f t="shared" si="4"/>
        <v>31</v>
      </c>
      <c r="I69" s="86">
        <f t="shared" si="3"/>
        <v>3561096.952302088</v>
      </c>
    </row>
    <row r="70" spans="1:9">
      <c r="A70" s="16">
        <v>42887</v>
      </c>
      <c r="B70" s="16">
        <v>42916</v>
      </c>
      <c r="C70" s="28">
        <v>0.2233</v>
      </c>
      <c r="D70" s="18">
        <f t="shared" si="0"/>
        <v>0.33494999999999997</v>
      </c>
      <c r="E70" s="18">
        <f t="shared" si="1"/>
        <v>2.4366616530168139E-2</v>
      </c>
      <c r="F70" s="43">
        <f t="shared" si="2"/>
        <v>8.0280495877915747E-4</v>
      </c>
      <c r="G70" s="29">
        <f t="shared" si="6"/>
        <v>146652010.85278758</v>
      </c>
      <c r="H70" s="151">
        <f t="shared" si="4"/>
        <v>30</v>
      </c>
      <c r="I70" s="86">
        <f t="shared" si="3"/>
        <v>3531988.8458265807</v>
      </c>
    </row>
    <row r="71" spans="1:9">
      <c r="A71" s="16">
        <v>42917</v>
      </c>
      <c r="B71" s="16">
        <v>42947</v>
      </c>
      <c r="C71" s="28">
        <v>0.2198</v>
      </c>
      <c r="D71" s="18">
        <f t="shared" si="0"/>
        <v>0.32969999999999999</v>
      </c>
      <c r="E71" s="18">
        <f t="shared" si="1"/>
        <v>2.4030296637850723E-2</v>
      </c>
      <c r="F71" s="43">
        <f t="shared" si="2"/>
        <v>7.9185043948837297E-4</v>
      </c>
      <c r="G71" s="29">
        <f t="shared" si="6"/>
        <v>150183999.69861415</v>
      </c>
      <c r="H71" s="151">
        <f t="shared" si="4"/>
        <v>31</v>
      </c>
      <c r="I71" s="86">
        <f t="shared" si="3"/>
        <v>3686621.2511295481</v>
      </c>
    </row>
    <row r="72" spans="1:9">
      <c r="A72" s="16">
        <v>42948</v>
      </c>
      <c r="B72" s="16">
        <v>42978</v>
      </c>
      <c r="C72" s="28">
        <v>0.2198</v>
      </c>
      <c r="D72" s="18">
        <f t="shared" si="0"/>
        <v>0.32969999999999999</v>
      </c>
      <c r="E72" s="18">
        <f t="shared" si="1"/>
        <v>2.4030296637850723E-2</v>
      </c>
      <c r="F72" s="43">
        <f t="shared" si="2"/>
        <v>7.9185043948837297E-4</v>
      </c>
      <c r="G72" s="29">
        <f>+G71+I71</f>
        <v>153870620.94974369</v>
      </c>
      <c r="H72" s="151">
        <f t="shared" si="4"/>
        <v>31</v>
      </c>
      <c r="I72" s="86">
        <f t="shared" si="3"/>
        <v>3777118.0835255049</v>
      </c>
    </row>
    <row r="73" spans="1:9">
      <c r="A73" s="16">
        <v>42979</v>
      </c>
      <c r="B73" s="16">
        <v>43008</v>
      </c>
      <c r="C73" s="28">
        <v>0.21479999999999999</v>
      </c>
      <c r="D73" s="18">
        <f t="shared" si="0"/>
        <v>0.32219999999999999</v>
      </c>
      <c r="E73" s="18">
        <f t="shared" si="1"/>
        <v>2.3547722012123629E-2</v>
      </c>
      <c r="F73" s="43">
        <f t="shared" si="2"/>
        <v>7.7612607430821434E-4</v>
      </c>
      <c r="G73" s="29">
        <f t="shared" si="6"/>
        <v>157647739.0332692</v>
      </c>
      <c r="H73" s="151">
        <f t="shared" si="4"/>
        <v>30</v>
      </c>
      <c r="I73" s="86">
        <f t="shared" si="3"/>
        <v>3670635.6245837123</v>
      </c>
    </row>
    <row r="74" spans="1:9">
      <c r="A74" s="16">
        <v>43009</v>
      </c>
      <c r="B74" s="16">
        <v>43039</v>
      </c>
      <c r="C74" s="28">
        <v>0.21149999999999999</v>
      </c>
      <c r="D74" s="18">
        <f t="shared" si="0"/>
        <v>0.31724999999999998</v>
      </c>
      <c r="E74" s="18">
        <f t="shared" si="1"/>
        <v>2.3227846316473233E-2</v>
      </c>
      <c r="F74" s="43">
        <f t="shared" si="2"/>
        <v>7.6569919281332943E-4</v>
      </c>
      <c r="G74" s="29">
        <f t="shared" si="6"/>
        <v>161318374.65785292</v>
      </c>
      <c r="H74" s="151">
        <f t="shared" si="4"/>
        <v>31</v>
      </c>
      <c r="I74" s="86">
        <f t="shared" si="3"/>
        <v>3829161.8271057634</v>
      </c>
    </row>
    <row r="75" spans="1:9">
      <c r="A75" s="16">
        <v>43040</v>
      </c>
      <c r="B75" s="16">
        <v>43069</v>
      </c>
      <c r="C75" s="28">
        <v>0.20960000000000001</v>
      </c>
      <c r="D75" s="18">
        <f t="shared" si="0"/>
        <v>0.31440000000000001</v>
      </c>
      <c r="E75" s="18">
        <f t="shared" si="1"/>
        <v>2.3043175271197036E-2</v>
      </c>
      <c r="F75" s="43">
        <f t="shared" si="2"/>
        <v>7.5967809751897875E-4</v>
      </c>
      <c r="G75" s="29">
        <f t="shared" si="6"/>
        <v>165147536.48495868</v>
      </c>
      <c r="H75" s="151">
        <f t="shared" si="4"/>
        <v>30</v>
      </c>
      <c r="I75" s="86">
        <f t="shared" si="3"/>
        <v>3763768.9898051862</v>
      </c>
    </row>
    <row r="76" spans="1:9">
      <c r="A76" s="16">
        <v>43070</v>
      </c>
      <c r="B76" s="16">
        <v>43100</v>
      </c>
      <c r="C76" s="28">
        <v>0.2077</v>
      </c>
      <c r="D76" s="18">
        <f t="shared" ref="D76:D112" si="7">+C76*1.5</f>
        <v>0.31154999999999999</v>
      </c>
      <c r="E76" s="18">
        <f t="shared" ref="E76:E112" si="8">(1+D76)^(1/12)-1</f>
        <v>2.2858136808515228E-2</v>
      </c>
      <c r="F76" s="43">
        <f t="shared" ref="F76:F112" si="9">((1+E76)^(1/30)-1)</f>
        <v>7.5364396890975627E-4</v>
      </c>
      <c r="G76" s="29">
        <f t="shared" si="6"/>
        <v>168911305.47476387</v>
      </c>
      <c r="H76" s="151">
        <f t="shared" si="4"/>
        <v>31</v>
      </c>
      <c r="I76" s="86">
        <f t="shared" ref="I76:I98" si="10">(F76*G76)*H76</f>
        <v>3946268.5862036077</v>
      </c>
    </row>
    <row r="77" spans="1:9">
      <c r="A77" s="16">
        <v>43101</v>
      </c>
      <c r="B77" s="16">
        <v>43131</v>
      </c>
      <c r="C77" s="28">
        <v>0.2069</v>
      </c>
      <c r="D77" s="18">
        <f t="shared" si="7"/>
        <v>0.31035000000000001</v>
      </c>
      <c r="E77" s="18">
        <f t="shared" si="8"/>
        <v>2.2780115587483163E-2</v>
      </c>
      <c r="F77" s="43">
        <f t="shared" si="9"/>
        <v>7.5109937035766627E-4</v>
      </c>
      <c r="G77" s="29">
        <f t="shared" si="6"/>
        <v>172857574.06096748</v>
      </c>
      <c r="H77" s="151">
        <f t="shared" ref="H77:H112" si="11">_xlfn.DAYS(B77,A77)+1</f>
        <v>31</v>
      </c>
      <c r="I77" s="86">
        <f t="shared" si="10"/>
        <v>4024829.6662011365</v>
      </c>
    </row>
    <row r="78" spans="1:9">
      <c r="A78" s="16">
        <v>43132</v>
      </c>
      <c r="B78" s="16">
        <v>43159</v>
      </c>
      <c r="C78" s="28">
        <v>0.21010000000000001</v>
      </c>
      <c r="D78" s="18">
        <f t="shared" si="7"/>
        <v>0.31515000000000004</v>
      </c>
      <c r="E78" s="18">
        <f t="shared" si="8"/>
        <v>2.3091808474569486E-2</v>
      </c>
      <c r="F78" s="43">
        <f t="shared" si="9"/>
        <v>7.612638575953401E-4</v>
      </c>
      <c r="G78" s="29">
        <f t="shared" si="6"/>
        <v>176882403.72716862</v>
      </c>
      <c r="H78" s="151">
        <f t="shared" si="11"/>
        <v>28</v>
      </c>
      <c r="I78" s="86">
        <f t="shared" si="10"/>
        <v>3770317.0680582612</v>
      </c>
    </row>
    <row r="79" spans="1:9">
      <c r="A79" s="16">
        <v>43160</v>
      </c>
      <c r="B79" s="16">
        <v>43190</v>
      </c>
      <c r="C79" s="28">
        <v>0.20680000000000001</v>
      </c>
      <c r="D79" s="18">
        <f t="shared" si="7"/>
        <v>0.31020000000000003</v>
      </c>
      <c r="E79" s="18">
        <f t="shared" si="8"/>
        <v>2.2770358330055807E-2</v>
      </c>
      <c r="F79" s="43">
        <f t="shared" si="9"/>
        <v>7.5078113215654163E-4</v>
      </c>
      <c r="G79" s="29">
        <f t="shared" si="6"/>
        <v>180652720.79522687</v>
      </c>
      <c r="H79" s="151">
        <f t="shared" si="11"/>
        <v>31</v>
      </c>
      <c r="I79" s="86">
        <f t="shared" si="10"/>
        <v>4204550.2816198012</v>
      </c>
    </row>
    <row r="80" spans="1:9">
      <c r="A80" s="16">
        <v>43191</v>
      </c>
      <c r="B80" s="16">
        <v>43220</v>
      </c>
      <c r="C80" s="28">
        <v>0.20480000000000001</v>
      </c>
      <c r="D80" s="18">
        <f t="shared" si="7"/>
        <v>0.30720000000000003</v>
      </c>
      <c r="E80" s="18">
        <f t="shared" si="8"/>
        <v>2.2574997834371668E-2</v>
      </c>
      <c r="F80" s="43">
        <f t="shared" si="9"/>
        <v>7.4440872675962666E-4</v>
      </c>
      <c r="G80" s="29">
        <f t="shared" si="6"/>
        <v>184857271.07684666</v>
      </c>
      <c r="H80" s="151">
        <f t="shared" si="11"/>
        <v>30</v>
      </c>
      <c r="I80" s="86">
        <f t="shared" si="10"/>
        <v>4128280.9738372373</v>
      </c>
    </row>
    <row r="81" spans="1:9">
      <c r="A81" s="16">
        <v>43221</v>
      </c>
      <c r="B81" s="16">
        <v>43251</v>
      </c>
      <c r="C81" s="28">
        <v>0.2044</v>
      </c>
      <c r="D81" s="18">
        <f t="shared" si="7"/>
        <v>0.30659999999999998</v>
      </c>
      <c r="E81" s="18">
        <f t="shared" si="8"/>
        <v>2.2535876422826506E-2</v>
      </c>
      <c r="F81" s="43">
        <f t="shared" si="9"/>
        <v>7.4313249574453621E-4</v>
      </c>
      <c r="G81" s="29">
        <f t="shared" si="6"/>
        <v>188985552.05068389</v>
      </c>
      <c r="H81" s="151">
        <f t="shared" si="11"/>
        <v>31</v>
      </c>
      <c r="I81" s="86">
        <f t="shared" si="10"/>
        <v>4353680.4536075937</v>
      </c>
    </row>
    <row r="82" spans="1:9">
      <c r="A82" s="16">
        <v>43252</v>
      </c>
      <c r="B82" s="16">
        <v>43281</v>
      </c>
      <c r="C82" s="28">
        <v>0.20280000000000001</v>
      </c>
      <c r="D82" s="18">
        <f t="shared" si="7"/>
        <v>0.30420000000000003</v>
      </c>
      <c r="E82" s="18">
        <f t="shared" si="8"/>
        <v>2.2379225919199275E-2</v>
      </c>
      <c r="F82" s="43">
        <f t="shared" si="9"/>
        <v>7.3802172071268934E-4</v>
      </c>
      <c r="G82" s="29">
        <f t="shared" si="6"/>
        <v>193339232.50429147</v>
      </c>
      <c r="H82" s="151">
        <f t="shared" si="11"/>
        <v>30</v>
      </c>
      <c r="I82" s="86">
        <f t="shared" si="10"/>
        <v>4280656.5916226376</v>
      </c>
    </row>
    <row r="83" spans="1:9">
      <c r="A83" s="16">
        <v>43282</v>
      </c>
      <c r="B83" s="16">
        <v>43312</v>
      </c>
      <c r="C83" s="28">
        <v>0.20030000000000001</v>
      </c>
      <c r="D83" s="18">
        <f t="shared" si="7"/>
        <v>0.30044999999999999</v>
      </c>
      <c r="E83" s="18">
        <f t="shared" si="8"/>
        <v>2.2133929699163168E-2</v>
      </c>
      <c r="F83" s="43">
        <f t="shared" si="9"/>
        <v>7.3001732863997582E-4</v>
      </c>
      <c r="G83" s="29">
        <f t="shared" si="6"/>
        <v>197619889.09591413</v>
      </c>
      <c r="H83" s="151">
        <f t="shared" si="11"/>
        <v>31</v>
      </c>
      <c r="I83" s="86">
        <f t="shared" si="10"/>
        <v>4472244.2492417526</v>
      </c>
    </row>
    <row r="84" spans="1:9">
      <c r="A84" s="16">
        <v>43313</v>
      </c>
      <c r="B84" s="16">
        <v>43343</v>
      </c>
      <c r="C84" s="28">
        <v>0.19939999999999999</v>
      </c>
      <c r="D84" s="18">
        <f t="shared" si="7"/>
        <v>0.29909999999999998</v>
      </c>
      <c r="E84" s="18">
        <f t="shared" si="8"/>
        <v>2.2045464310016527E-2</v>
      </c>
      <c r="F84" s="43">
        <f t="shared" si="9"/>
        <v>7.2713011163028085E-4</v>
      </c>
      <c r="G84" s="29">
        <f t="shared" si="6"/>
        <v>202092133.34515586</v>
      </c>
      <c r="H84" s="151">
        <f t="shared" si="11"/>
        <v>31</v>
      </c>
      <c r="I84" s="86">
        <f t="shared" si="10"/>
        <v>4555365.5398448082</v>
      </c>
    </row>
    <row r="85" spans="1:9">
      <c r="A85" s="16">
        <v>43344</v>
      </c>
      <c r="B85" s="16">
        <v>43373</v>
      </c>
      <c r="C85" s="28">
        <v>0.1981</v>
      </c>
      <c r="D85" s="18">
        <f t="shared" si="7"/>
        <v>0.29715000000000003</v>
      </c>
      <c r="E85" s="18">
        <f t="shared" si="8"/>
        <v>2.1917532081249247E-2</v>
      </c>
      <c r="F85" s="43">
        <f t="shared" si="9"/>
        <v>7.2295440050984539E-4</v>
      </c>
      <c r="G85" s="29">
        <f t="shared" si="6"/>
        <v>206647498.88500068</v>
      </c>
      <c r="H85" s="151">
        <f t="shared" si="11"/>
        <v>30</v>
      </c>
      <c r="I85" s="86">
        <f t="shared" si="10"/>
        <v>4481901.5601979382</v>
      </c>
    </row>
    <row r="86" spans="1:9">
      <c r="A86" s="16">
        <v>43374</v>
      </c>
      <c r="B86" s="16">
        <v>43404</v>
      </c>
      <c r="C86" s="28">
        <v>0.1963</v>
      </c>
      <c r="D86" s="18">
        <f t="shared" si="7"/>
        <v>0.29444999999999999</v>
      </c>
      <c r="E86" s="18">
        <f t="shared" si="8"/>
        <v>2.1740103800155453E-2</v>
      </c>
      <c r="F86" s="43">
        <f t="shared" si="9"/>
        <v>7.1716230053064933E-4</v>
      </c>
      <c r="G86" s="29">
        <f t="shared" si="6"/>
        <v>211129400.44519863</v>
      </c>
      <c r="H86" s="151">
        <f t="shared" si="11"/>
        <v>31</v>
      </c>
      <c r="I86" s="86">
        <f t="shared" si="10"/>
        <v>4693835.4425209956</v>
      </c>
    </row>
    <row r="87" spans="1:9">
      <c r="A87" s="16">
        <v>43405</v>
      </c>
      <c r="B87" s="16">
        <v>43434</v>
      </c>
      <c r="C87" s="28">
        <v>0.19489999999999999</v>
      </c>
      <c r="D87" s="18">
        <f t="shared" si="7"/>
        <v>0.29235</v>
      </c>
      <c r="E87" s="18">
        <f t="shared" si="8"/>
        <v>2.1601869331581591E-2</v>
      </c>
      <c r="F87" s="43">
        <f t="shared" si="9"/>
        <v>7.1264899845968621E-4</v>
      </c>
      <c r="G87" s="29">
        <f t="shared" si="6"/>
        <v>215823235.88771963</v>
      </c>
      <c r="H87" s="151">
        <f t="shared" si="11"/>
        <v>30</v>
      </c>
      <c r="I87" s="86">
        <f t="shared" si="10"/>
        <v>4614186.3869913602</v>
      </c>
    </row>
    <row r="88" spans="1:9">
      <c r="A88" s="16">
        <v>43435</v>
      </c>
      <c r="B88" s="16">
        <v>43465</v>
      </c>
      <c r="C88" s="28">
        <v>0.19400000000000001</v>
      </c>
      <c r="D88" s="18">
        <f t="shared" si="7"/>
        <v>0.29100000000000004</v>
      </c>
      <c r="E88" s="18">
        <f t="shared" si="8"/>
        <v>2.1512895544899102E-2</v>
      </c>
      <c r="F88" s="43">
        <f t="shared" si="9"/>
        <v>7.0974372636878336E-4</v>
      </c>
      <c r="G88" s="29">
        <f t="shared" si="6"/>
        <v>220437422.27471098</v>
      </c>
      <c r="H88" s="151">
        <f t="shared" si="11"/>
        <v>31</v>
      </c>
      <c r="I88" s="86">
        <f t="shared" si="10"/>
        <v>4850076.4030078547</v>
      </c>
    </row>
    <row r="89" spans="1:9">
      <c r="A89" s="16">
        <v>43466</v>
      </c>
      <c r="B89" s="16">
        <v>43496</v>
      </c>
      <c r="C89" s="28">
        <v>0.19159999999999999</v>
      </c>
      <c r="D89" s="18">
        <f t="shared" si="7"/>
        <v>0.28739999999999999</v>
      </c>
      <c r="E89" s="18">
        <f t="shared" si="8"/>
        <v>2.127521449135017E-2</v>
      </c>
      <c r="F89" s="43">
        <f t="shared" si="9"/>
        <v>7.0198149775513308E-4</v>
      </c>
      <c r="G89" s="29">
        <f t="shared" si="6"/>
        <v>225287498.67771885</v>
      </c>
      <c r="H89" s="151">
        <f t="shared" si="11"/>
        <v>31</v>
      </c>
      <c r="I89" s="86">
        <f t="shared" si="10"/>
        <v>4902577.3281660723</v>
      </c>
    </row>
    <row r="90" spans="1:9">
      <c r="A90" s="16">
        <v>43497</v>
      </c>
      <c r="B90" s="16">
        <v>43524</v>
      </c>
      <c r="C90" s="28">
        <v>0.19700000000000001</v>
      </c>
      <c r="D90" s="18">
        <f t="shared" si="7"/>
        <v>0.29549999999999998</v>
      </c>
      <c r="E90" s="18">
        <f t="shared" si="8"/>
        <v>2.1809143962671307E-2</v>
      </c>
      <c r="F90" s="43">
        <f t="shared" si="9"/>
        <v>7.1941621418680768E-4</v>
      </c>
      <c r="G90" s="29">
        <f t="shared" si="6"/>
        <v>230190076.00588492</v>
      </c>
      <c r="H90" s="151">
        <f t="shared" si="11"/>
        <v>28</v>
      </c>
      <c r="I90" s="86">
        <f t="shared" si="10"/>
        <v>4636869.2446587626</v>
      </c>
    </row>
    <row r="91" spans="1:9">
      <c r="A91" s="16">
        <v>43525</v>
      </c>
      <c r="B91" s="16">
        <v>43555</v>
      </c>
      <c r="C91" s="28">
        <v>0.19370000000000001</v>
      </c>
      <c r="D91" s="18">
        <f t="shared" si="7"/>
        <v>0.29055000000000003</v>
      </c>
      <c r="E91" s="18">
        <f t="shared" si="8"/>
        <v>2.1483218662772696E-2</v>
      </c>
      <c r="F91" s="43">
        <f t="shared" si="9"/>
        <v>7.0877462905394317E-4</v>
      </c>
      <c r="G91" s="29">
        <f t="shared" si="6"/>
        <v>234826945.25054368</v>
      </c>
      <c r="H91" s="151">
        <f t="shared" si="11"/>
        <v>31</v>
      </c>
      <c r="I91" s="86">
        <f t="shared" si="10"/>
        <v>5159620.8113665665</v>
      </c>
    </row>
    <row r="92" spans="1:9">
      <c r="A92" s="16">
        <v>43556</v>
      </c>
      <c r="B92" s="16">
        <v>43585</v>
      </c>
      <c r="C92" s="28">
        <v>0.19320000000000001</v>
      </c>
      <c r="D92" s="18">
        <f t="shared" si="7"/>
        <v>0.2898</v>
      </c>
      <c r="E92" s="18">
        <f t="shared" si="8"/>
        <v>2.1433736106823309E-2</v>
      </c>
      <c r="F92" s="43">
        <f t="shared" si="9"/>
        <v>7.0715871778403994E-4</v>
      </c>
      <c r="G92" s="29">
        <f t="shared" si="6"/>
        <v>239986566.06191024</v>
      </c>
      <c r="H92" s="151">
        <f t="shared" si="11"/>
        <v>30</v>
      </c>
      <c r="I92" s="86">
        <f t="shared" si="10"/>
        <v>5091257.7702520574</v>
      </c>
    </row>
    <row r="93" spans="1:9">
      <c r="A93" s="16">
        <v>43586</v>
      </c>
      <c r="B93" s="16">
        <v>43616</v>
      </c>
      <c r="C93" s="28">
        <v>0.19339999999999999</v>
      </c>
      <c r="D93" s="18">
        <f t="shared" si="7"/>
        <v>0.29009999999999997</v>
      </c>
      <c r="E93" s="18">
        <f t="shared" si="8"/>
        <v>2.1453532293473465E-2</v>
      </c>
      <c r="F93" s="43">
        <f t="shared" si="9"/>
        <v>7.0780519470603487E-4</v>
      </c>
      <c r="G93" s="29">
        <f t="shared" si="6"/>
        <v>245077823.83216229</v>
      </c>
      <c r="H93" s="151">
        <f t="shared" si="11"/>
        <v>31</v>
      </c>
      <c r="I93" s="86">
        <f t="shared" si="10"/>
        <v>5377488.061285303</v>
      </c>
    </row>
    <row r="94" spans="1:9">
      <c r="A94" s="16">
        <v>43617</v>
      </c>
      <c r="B94" s="16">
        <v>43646</v>
      </c>
      <c r="C94" s="28">
        <v>0.193</v>
      </c>
      <c r="D94" s="18">
        <f t="shared" si="7"/>
        <v>0.28949999999999998</v>
      </c>
      <c r="E94" s="18">
        <f t="shared" si="8"/>
        <v>2.1413935698951558E-2</v>
      </c>
      <c r="F94" s="43">
        <f t="shared" si="9"/>
        <v>7.0651209089578337E-4</v>
      </c>
      <c r="G94" s="29">
        <f t="shared" si="6"/>
        <v>250455311.89344761</v>
      </c>
      <c r="H94" s="151">
        <f t="shared" si="11"/>
        <v>30</v>
      </c>
      <c r="I94" s="86">
        <f t="shared" si="10"/>
        <v>5308491.1824538577</v>
      </c>
    </row>
    <row r="95" spans="1:9">
      <c r="A95" s="16">
        <v>43647</v>
      </c>
      <c r="B95" s="16">
        <v>43677</v>
      </c>
      <c r="C95" s="28">
        <v>0.1928</v>
      </c>
      <c r="D95" s="18">
        <f t="shared" si="7"/>
        <v>0.28920000000000001</v>
      </c>
      <c r="E95" s="18">
        <f t="shared" si="8"/>
        <v>2.1394131067975497E-2</v>
      </c>
      <c r="F95" s="43">
        <f t="shared" si="9"/>
        <v>7.0586531397109908E-4</v>
      </c>
      <c r="G95" s="29">
        <f t="shared" si="6"/>
        <v>255763803.07590148</v>
      </c>
      <c r="H95" s="151">
        <f t="shared" si="11"/>
        <v>31</v>
      </c>
      <c r="I95" s="86">
        <f t="shared" si="10"/>
        <v>5596578.7119790204</v>
      </c>
    </row>
    <row r="96" spans="1:9">
      <c r="A96" s="16">
        <v>43678</v>
      </c>
      <c r="B96" s="16">
        <v>43708</v>
      </c>
      <c r="C96" s="28">
        <v>0.19320000000000001</v>
      </c>
      <c r="D96" s="18">
        <f t="shared" si="7"/>
        <v>0.2898</v>
      </c>
      <c r="E96" s="18">
        <f t="shared" si="8"/>
        <v>2.1433736106823309E-2</v>
      </c>
      <c r="F96" s="43">
        <f t="shared" si="9"/>
        <v>7.0715871778403994E-4</v>
      </c>
      <c r="G96" s="29">
        <f t="shared" si="6"/>
        <v>261360381.78788051</v>
      </c>
      <c r="H96" s="151">
        <f t="shared" si="11"/>
        <v>31</v>
      </c>
      <c r="I96" s="86">
        <f t="shared" si="10"/>
        <v>5729521.4464046061</v>
      </c>
    </row>
    <row r="97" spans="1:10">
      <c r="A97" s="16">
        <v>43709</v>
      </c>
      <c r="B97" s="16">
        <v>43738</v>
      </c>
      <c r="C97" s="28">
        <v>0.19320000000000001</v>
      </c>
      <c r="D97" s="18">
        <f t="shared" si="7"/>
        <v>0.2898</v>
      </c>
      <c r="E97" s="18">
        <f t="shared" si="8"/>
        <v>2.1433736106823309E-2</v>
      </c>
      <c r="F97" s="43">
        <f t="shared" si="9"/>
        <v>7.0715871778403994E-4</v>
      </c>
      <c r="G97" s="29">
        <f t="shared" si="6"/>
        <v>267089903.23428512</v>
      </c>
      <c r="H97" s="151">
        <f t="shared" si="11"/>
        <v>30</v>
      </c>
      <c r="I97" s="86">
        <f t="shared" si="10"/>
        <v>5666248.60512661</v>
      </c>
    </row>
    <row r="98" spans="1:10">
      <c r="A98" s="16">
        <v>43739</v>
      </c>
      <c r="B98" s="16">
        <v>43769</v>
      </c>
      <c r="C98" s="28">
        <v>0.191</v>
      </c>
      <c r="D98" s="18">
        <f t="shared" si="7"/>
        <v>0.28649999999999998</v>
      </c>
      <c r="E98" s="18">
        <f t="shared" si="8"/>
        <v>2.1215699038257929E-2</v>
      </c>
      <c r="F98" s="43">
        <f t="shared" si="9"/>
        <v>7.0003755849890048E-4</v>
      </c>
      <c r="G98" s="29">
        <f t="shared" si="6"/>
        <v>272756151.83941174</v>
      </c>
      <c r="H98" s="151">
        <f t="shared" si="11"/>
        <v>31</v>
      </c>
      <c r="I98" s="86">
        <f t="shared" si="10"/>
        <v>5919126.0685757324</v>
      </c>
      <c r="J98" s="23"/>
    </row>
    <row r="99" spans="1:10">
      <c r="A99" s="16">
        <v>43770</v>
      </c>
      <c r="B99" s="16">
        <v>43799</v>
      </c>
      <c r="C99" s="28">
        <v>0.1903</v>
      </c>
      <c r="D99" s="18">
        <f t="shared" si="7"/>
        <v>0.28544999999999998</v>
      </c>
      <c r="E99" s="18">
        <f t="shared" si="8"/>
        <v>2.1146216086632474E-2</v>
      </c>
      <c r="F99" s="43">
        <f t="shared" si="9"/>
        <v>6.9776791461384491E-4</v>
      </c>
      <c r="G99" s="29">
        <f t="shared" si="6"/>
        <v>278675277.90798748</v>
      </c>
      <c r="H99" s="151">
        <f t="shared" si="11"/>
        <v>30</v>
      </c>
      <c r="I99" s="86">
        <f t="shared" ref="I99:I112" si="12">(F99*G99)*H99</f>
        <v>5833520.0256087026</v>
      </c>
    </row>
    <row r="100" spans="1:10">
      <c r="A100" s="16">
        <v>43800</v>
      </c>
      <c r="B100" s="16">
        <v>43830</v>
      </c>
      <c r="C100" s="28">
        <v>0.18909999999999999</v>
      </c>
      <c r="D100" s="18">
        <f t="shared" si="7"/>
        <v>0.28364999999999996</v>
      </c>
      <c r="E100" s="18">
        <f t="shared" si="8"/>
        <v>2.102698132372427E-2</v>
      </c>
      <c r="F100" s="43">
        <f t="shared" si="9"/>
        <v>6.9387279187016482E-4</v>
      </c>
      <c r="G100" s="29">
        <f t="shared" si="6"/>
        <v>284508797.93359619</v>
      </c>
      <c r="H100" s="151">
        <f t="shared" si="11"/>
        <v>31</v>
      </c>
      <c r="I100" s="86">
        <f t="shared" si="12"/>
        <v>6119800.3319480782</v>
      </c>
    </row>
    <row r="101" spans="1:10">
      <c r="A101" s="16">
        <v>43831</v>
      </c>
      <c r="B101" s="16">
        <v>43861</v>
      </c>
      <c r="C101" s="28">
        <v>0.18770000000000001</v>
      </c>
      <c r="D101" s="18">
        <f t="shared" si="7"/>
        <v>0.28155000000000002</v>
      </c>
      <c r="E101" s="18">
        <f t="shared" si="8"/>
        <v>2.0887680238021122E-2</v>
      </c>
      <c r="F101" s="43">
        <f t="shared" si="9"/>
        <v>6.8932159199941445E-4</v>
      </c>
      <c r="G101" s="29">
        <f t="shared" si="6"/>
        <v>290628598.2655443</v>
      </c>
      <c r="H101" s="151">
        <f t="shared" si="11"/>
        <v>31</v>
      </c>
      <c r="I101" s="86">
        <f t="shared" si="12"/>
        <v>6210433.6091458611</v>
      </c>
    </row>
    <row r="102" spans="1:10">
      <c r="A102" s="16">
        <v>43862</v>
      </c>
      <c r="B102" s="16">
        <v>43890</v>
      </c>
      <c r="C102" s="28">
        <v>0.19059999999999999</v>
      </c>
      <c r="D102" s="18">
        <f t="shared" si="7"/>
        <v>0.28589999999999999</v>
      </c>
      <c r="E102" s="18">
        <f t="shared" si="8"/>
        <v>2.1176000862688671E-2</v>
      </c>
      <c r="F102" s="43">
        <f t="shared" si="9"/>
        <v>6.9874084543286585E-4</v>
      </c>
      <c r="G102" s="29">
        <f t="shared" si="6"/>
        <v>296839031.87469018</v>
      </c>
      <c r="H102" s="151">
        <f t="shared" si="11"/>
        <v>29</v>
      </c>
      <c r="I102" s="86">
        <f t="shared" si="12"/>
        <v>6014993.1265982389</v>
      </c>
    </row>
    <row r="103" spans="1:10">
      <c r="A103" s="16">
        <v>43891</v>
      </c>
      <c r="B103" s="16">
        <v>43921</v>
      </c>
      <c r="C103" s="28">
        <v>0.1895</v>
      </c>
      <c r="D103" s="18">
        <f t="shared" si="7"/>
        <v>0.28425</v>
      </c>
      <c r="E103" s="18">
        <f t="shared" si="8"/>
        <v>2.1066743264638976E-2</v>
      </c>
      <c r="F103" s="43">
        <f t="shared" si="9"/>
        <v>6.9517177098465943E-4</v>
      </c>
      <c r="G103" s="29">
        <f t="shared" si="6"/>
        <v>302854025.00128841</v>
      </c>
      <c r="H103" s="151">
        <f t="shared" si="11"/>
        <v>31</v>
      </c>
      <c r="I103" s="86">
        <f t="shared" si="12"/>
        <v>6526602.6362093184</v>
      </c>
    </row>
    <row r="104" spans="1:10">
      <c r="A104" s="16">
        <v>43922</v>
      </c>
      <c r="B104" s="16">
        <v>43951</v>
      </c>
      <c r="C104" s="28">
        <v>0.18690000000000001</v>
      </c>
      <c r="D104" s="18">
        <f t="shared" si="7"/>
        <v>0.28034999999999999</v>
      </c>
      <c r="E104" s="18">
        <f t="shared" si="8"/>
        <v>2.0807985643612081E-2</v>
      </c>
      <c r="F104" s="43">
        <f t="shared" si="9"/>
        <v>6.8671756609983703E-4</v>
      </c>
      <c r="G104" s="29">
        <f t="shared" si="6"/>
        <v>309380627.63749772</v>
      </c>
      <c r="H104" s="151">
        <f t="shared" si="11"/>
        <v>30</v>
      </c>
      <c r="I104" s="86">
        <f t="shared" si="12"/>
        <v>6373713.3482898725</v>
      </c>
    </row>
    <row r="105" spans="1:10">
      <c r="A105" s="16">
        <v>43952</v>
      </c>
      <c r="B105" s="16">
        <v>43982</v>
      </c>
      <c r="C105" s="28">
        <v>0.18190000000000001</v>
      </c>
      <c r="D105" s="18">
        <f t="shared" si="7"/>
        <v>0.27285000000000004</v>
      </c>
      <c r="E105" s="18">
        <f t="shared" si="8"/>
        <v>2.0308337615317473E-2</v>
      </c>
      <c r="F105" s="43">
        <f t="shared" si="9"/>
        <v>6.7038705552269207E-4</v>
      </c>
      <c r="G105" s="29">
        <f t="shared" si="6"/>
        <v>315754340.98578757</v>
      </c>
      <c r="H105" s="151">
        <f t="shared" si="11"/>
        <v>31</v>
      </c>
      <c r="I105" s="86">
        <f t="shared" si="12"/>
        <v>6562006.3105810769</v>
      </c>
    </row>
    <row r="106" spans="1:10">
      <c r="A106" s="16">
        <v>43983</v>
      </c>
      <c r="B106" s="16">
        <v>44012</v>
      </c>
      <c r="C106" s="28">
        <v>0.1812</v>
      </c>
      <c r="D106" s="18">
        <f t="shared" si="7"/>
        <v>0.27179999999999999</v>
      </c>
      <c r="E106" s="18">
        <f t="shared" si="8"/>
        <v>2.0238171647650516E-2</v>
      </c>
      <c r="F106" s="43">
        <f t="shared" si="9"/>
        <v>6.6809313000626425E-4</v>
      </c>
      <c r="G106" s="29">
        <f t="shared" si="6"/>
        <v>322316347.29636866</v>
      </c>
      <c r="H106" s="151">
        <f t="shared" si="11"/>
        <v>30</v>
      </c>
      <c r="I106" s="86">
        <f t="shared" si="12"/>
        <v>6460120.119522512</v>
      </c>
    </row>
    <row r="107" spans="1:10">
      <c r="A107" s="16">
        <v>44013</v>
      </c>
      <c r="B107" s="16">
        <v>44043</v>
      </c>
      <c r="C107" s="28">
        <v>0.1812</v>
      </c>
      <c r="D107" s="18">
        <f t="shared" si="7"/>
        <v>0.27179999999999999</v>
      </c>
      <c r="E107" s="18">
        <f t="shared" si="8"/>
        <v>2.0238171647650516E-2</v>
      </c>
      <c r="F107" s="43">
        <f t="shared" si="9"/>
        <v>6.6809313000626425E-4</v>
      </c>
      <c r="G107" s="29">
        <f t="shared" si="6"/>
        <v>328776467.41589117</v>
      </c>
      <c r="H107" s="151">
        <f t="shared" si="11"/>
        <v>31</v>
      </c>
      <c r="I107" s="86">
        <f t="shared" si="12"/>
        <v>6809252.2748368438</v>
      </c>
    </row>
    <row r="108" spans="1:10">
      <c r="A108" s="16">
        <v>44044</v>
      </c>
      <c r="B108" s="16">
        <v>44074</v>
      </c>
      <c r="C108" s="28">
        <v>0.18290000000000001</v>
      </c>
      <c r="D108" s="18">
        <f t="shared" si="7"/>
        <v>0.27434999999999998</v>
      </c>
      <c r="E108" s="18">
        <f t="shared" si="8"/>
        <v>2.040848272831397E-2</v>
      </c>
      <c r="F108" s="43">
        <f t="shared" si="9"/>
        <v>6.7366082063591293E-4</v>
      </c>
      <c r="G108" s="29">
        <f t="shared" si="6"/>
        <v>335585719.69072801</v>
      </c>
      <c r="H108" s="151">
        <f t="shared" si="11"/>
        <v>31</v>
      </c>
      <c r="I108" s="86">
        <f t="shared" si="12"/>
        <v>7008199.4909370271</v>
      </c>
    </row>
    <row r="109" spans="1:10">
      <c r="A109" s="16">
        <v>44075</v>
      </c>
      <c r="B109" s="16">
        <v>44104</v>
      </c>
      <c r="C109" s="28">
        <v>0.1835</v>
      </c>
      <c r="D109" s="18">
        <f t="shared" si="7"/>
        <v>0.27524999999999999</v>
      </c>
      <c r="E109" s="18">
        <f t="shared" si="8"/>
        <v>2.0468517942215714E-2</v>
      </c>
      <c r="F109" s="43">
        <f t="shared" si="9"/>
        <v>6.7562323568859384E-4</v>
      </c>
      <c r="G109" s="29">
        <f t="shared" si="6"/>
        <v>342593919.18166506</v>
      </c>
      <c r="H109" s="151">
        <f t="shared" si="11"/>
        <v>30</v>
      </c>
      <c r="I109" s="86">
        <f t="shared" si="12"/>
        <v>6943932.3661425952</v>
      </c>
    </row>
    <row r="110" spans="1:10">
      <c r="A110" s="16">
        <v>44105</v>
      </c>
      <c r="B110" s="16">
        <v>44135</v>
      </c>
      <c r="C110" s="28">
        <v>0.18090000000000001</v>
      </c>
      <c r="D110" s="18">
        <f t="shared" si="7"/>
        <v>0.27134999999999998</v>
      </c>
      <c r="E110" s="18">
        <f t="shared" si="8"/>
        <v>2.0208084261774895E-2</v>
      </c>
      <c r="F110" s="43">
        <f t="shared" si="9"/>
        <v>6.6710944086900703E-4</v>
      </c>
      <c r="G110" s="29">
        <f t="shared" si="6"/>
        <v>349537851.54780763</v>
      </c>
      <c r="H110" s="151">
        <f t="shared" si="11"/>
        <v>31</v>
      </c>
      <c r="I110" s="86">
        <f t="shared" si="12"/>
        <v>7228580.0219669705</v>
      </c>
    </row>
    <row r="111" spans="1:10">
      <c r="A111" s="16">
        <v>44136</v>
      </c>
      <c r="B111" s="16">
        <v>44165</v>
      </c>
      <c r="C111" s="28">
        <v>0.1784</v>
      </c>
      <c r="D111" s="18">
        <f t="shared" si="7"/>
        <v>0.2676</v>
      </c>
      <c r="E111" s="18">
        <f t="shared" si="8"/>
        <v>1.9956975716262315E-2</v>
      </c>
      <c r="F111" s="43">
        <f t="shared" si="9"/>
        <v>6.5889850285327789E-4</v>
      </c>
      <c r="G111" s="29">
        <f t="shared" si="6"/>
        <v>356766431.56977463</v>
      </c>
      <c r="H111" s="151">
        <f t="shared" si="11"/>
        <v>30</v>
      </c>
      <c r="I111" s="86">
        <f t="shared" si="12"/>
        <v>7052186.0288889278</v>
      </c>
    </row>
    <row r="112" spans="1:10">
      <c r="A112" s="16">
        <v>44166</v>
      </c>
      <c r="B112" s="16">
        <v>44196</v>
      </c>
      <c r="C112" s="28">
        <v>0.17460000000000001</v>
      </c>
      <c r="D112" s="18">
        <f t="shared" si="7"/>
        <v>0.26190000000000002</v>
      </c>
      <c r="E112" s="18">
        <f t="shared" si="8"/>
        <v>1.9573983490916769E-2</v>
      </c>
      <c r="F112" s="43">
        <f t="shared" si="9"/>
        <v>6.4637136821255048E-4</v>
      </c>
      <c r="G112" s="29">
        <f t="shared" si="6"/>
        <v>363818617.59866357</v>
      </c>
      <c r="H112" s="151">
        <f t="shared" si="11"/>
        <v>31</v>
      </c>
      <c r="I112" s="86">
        <f t="shared" si="12"/>
        <v>7290020.0667918529</v>
      </c>
    </row>
    <row r="113" spans="1:9">
      <c r="A113" s="16">
        <v>44197</v>
      </c>
      <c r="B113" s="16">
        <v>44227</v>
      </c>
      <c r="C113" s="28">
        <v>0.17319999999999999</v>
      </c>
      <c r="D113" s="18">
        <f t="shared" ref="D113:D122" si="13">+C113*1.5</f>
        <v>0.25979999999999998</v>
      </c>
      <c r="E113" s="18">
        <f t="shared" ref="E113:E122" si="14">(1+D113)^(1/12)-1</f>
        <v>1.9432481245112987E-2</v>
      </c>
      <c r="F113" s="43">
        <f t="shared" ref="F113:F122" si="15">((1+E113)^(1/30)-1)</f>
        <v>6.4174187883647704E-4</v>
      </c>
      <c r="G113" s="29">
        <f t="shared" si="6"/>
        <v>371108637.6654554</v>
      </c>
      <c r="H113" s="151">
        <f t="shared" ref="H113:H122" si="16">_xlfn.DAYS(B113,A113)+1</f>
        <v>31</v>
      </c>
      <c r="I113" s="86">
        <f t="shared" ref="I113:I122" si="17">(F113*G113)*H113</f>
        <v>7382834.5860241177</v>
      </c>
    </row>
    <row r="114" spans="1:9">
      <c r="A114" s="16">
        <v>44228</v>
      </c>
      <c r="B114" s="16">
        <v>44255</v>
      </c>
      <c r="C114" s="28">
        <v>0.1754</v>
      </c>
      <c r="D114" s="18">
        <f t="shared" si="13"/>
        <v>0.2631</v>
      </c>
      <c r="E114" s="18">
        <f t="shared" si="14"/>
        <v>1.9654745030757592E-2</v>
      </c>
      <c r="F114" s="43">
        <f t="shared" si="15"/>
        <v>6.4901334251654674E-4</v>
      </c>
      <c r="G114" s="29">
        <f t="shared" si="6"/>
        <v>378491472.25147951</v>
      </c>
      <c r="H114" s="151">
        <f t="shared" si="16"/>
        <v>28</v>
      </c>
      <c r="I114" s="86">
        <f t="shared" si="17"/>
        <v>6878088.4345583627</v>
      </c>
    </row>
    <row r="115" spans="1:9">
      <c r="A115" s="16">
        <v>44256</v>
      </c>
      <c r="B115" s="16">
        <v>44286</v>
      </c>
      <c r="C115" s="28">
        <v>0.1741</v>
      </c>
      <c r="D115" s="18">
        <f t="shared" si="13"/>
        <v>0.26114999999999999</v>
      </c>
      <c r="E115" s="18">
        <f t="shared" si="14"/>
        <v>1.9523471771100809E-2</v>
      </c>
      <c r="F115" s="43">
        <f t="shared" si="15"/>
        <v>6.4471886169825687E-4</v>
      </c>
      <c r="G115" s="29">
        <f t="shared" si="6"/>
        <v>385369560.6860379</v>
      </c>
      <c r="H115" s="151">
        <f t="shared" si="16"/>
        <v>31</v>
      </c>
      <c r="I115" s="86">
        <f t="shared" si="17"/>
        <v>7702105.7594584497</v>
      </c>
    </row>
    <row r="116" spans="1:9">
      <c r="A116" s="16">
        <v>44287</v>
      </c>
      <c r="B116" s="16">
        <v>44316</v>
      </c>
      <c r="C116" s="28">
        <v>0.1731</v>
      </c>
      <c r="D116" s="18">
        <f t="shared" si="13"/>
        <v>0.25964999999999999</v>
      </c>
      <c r="E116" s="18">
        <f t="shared" si="14"/>
        <v>1.942236567004052E-2</v>
      </c>
      <c r="F116" s="43">
        <f t="shared" si="15"/>
        <v>6.4141090660796429E-4</v>
      </c>
      <c r="G116" s="29">
        <f t="shared" si="6"/>
        <v>393071666.44549632</v>
      </c>
      <c r="H116" s="151">
        <f t="shared" si="16"/>
        <v>30</v>
      </c>
      <c r="I116" s="86">
        <f t="shared" si="17"/>
        <v>7563613.6181012737</v>
      </c>
    </row>
    <row r="117" spans="1:9" ht="12.75" customHeight="1">
      <c r="A117" s="16">
        <v>44317</v>
      </c>
      <c r="B117" s="16">
        <v>44347</v>
      </c>
      <c r="C117" s="28">
        <v>0.17219999999999999</v>
      </c>
      <c r="D117" s="18">
        <f t="shared" si="13"/>
        <v>0.25829999999999997</v>
      </c>
      <c r="E117" s="18">
        <f t="shared" si="14"/>
        <v>1.9331275772907164E-2</v>
      </c>
      <c r="F117" s="43">
        <f t="shared" si="15"/>
        <v>6.3843038669131325E-4</v>
      </c>
      <c r="G117" s="29">
        <f t="shared" ref="G117:G122" si="18">+G116+I116</f>
        <v>400635280.06359762</v>
      </c>
      <c r="H117" s="151">
        <f t="shared" si="16"/>
        <v>31</v>
      </c>
      <c r="I117" s="86">
        <f t="shared" si="17"/>
        <v>7929109.8399687409</v>
      </c>
    </row>
    <row r="118" spans="1:9">
      <c r="A118" s="16">
        <v>44348</v>
      </c>
      <c r="B118" s="16">
        <v>44377</v>
      </c>
      <c r="C118" s="28">
        <v>0.1721</v>
      </c>
      <c r="D118" s="18">
        <f t="shared" si="13"/>
        <v>0.25814999999999999</v>
      </c>
      <c r="E118" s="18">
        <f t="shared" si="14"/>
        <v>1.9321149143988858E-2</v>
      </c>
      <c r="F118" s="43">
        <f t="shared" si="15"/>
        <v>6.3809902098910243E-4</v>
      </c>
      <c r="G118" s="29">
        <f t="shared" si="18"/>
        <v>408564389.90356636</v>
      </c>
      <c r="H118" s="151">
        <f t="shared" si="16"/>
        <v>30</v>
      </c>
      <c r="I118" s="86">
        <f t="shared" si="17"/>
        <v>7821136.1162542682</v>
      </c>
    </row>
    <row r="119" spans="1:9">
      <c r="A119" s="16">
        <v>44378</v>
      </c>
      <c r="B119" s="16">
        <v>44408</v>
      </c>
      <c r="C119" s="28">
        <v>0.17180000000000001</v>
      </c>
      <c r="D119" s="18">
        <f t="shared" si="13"/>
        <v>0.25770000000000004</v>
      </c>
      <c r="E119" s="18">
        <f t="shared" si="14"/>
        <v>1.9290762615578938E-2</v>
      </c>
      <c r="F119" s="43">
        <f t="shared" si="15"/>
        <v>6.3710468745115101E-4</v>
      </c>
      <c r="G119" s="29">
        <f t="shared" si="18"/>
        <v>416385526.01982063</v>
      </c>
      <c r="H119" s="151">
        <f t="shared" si="16"/>
        <v>31</v>
      </c>
      <c r="I119" s="86">
        <f t="shared" si="17"/>
        <v>8223716.2828352684</v>
      </c>
    </row>
    <row r="120" spans="1:9">
      <c r="A120" s="16">
        <v>44409</v>
      </c>
      <c r="B120" s="16">
        <v>44439</v>
      </c>
      <c r="C120" s="28">
        <v>0.1724</v>
      </c>
      <c r="D120" s="18">
        <f t="shared" si="13"/>
        <v>0.2586</v>
      </c>
      <c r="E120" s="18">
        <f t="shared" si="14"/>
        <v>1.9351525711433615E-2</v>
      </c>
      <c r="F120" s="43">
        <f t="shared" si="15"/>
        <v>6.3909299993669677E-4</v>
      </c>
      <c r="G120" s="29">
        <f t="shared" si="18"/>
        <v>424609242.30265588</v>
      </c>
      <c r="H120" s="151">
        <f t="shared" si="16"/>
        <v>31</v>
      </c>
      <c r="I120" s="86">
        <f t="shared" si="17"/>
        <v>8412308.6283856165</v>
      </c>
    </row>
    <row r="121" spans="1:9">
      <c r="A121" s="16">
        <v>44440</v>
      </c>
      <c r="B121" s="16">
        <v>44469</v>
      </c>
      <c r="C121" s="28">
        <v>0.1719</v>
      </c>
      <c r="D121" s="18">
        <f t="shared" si="13"/>
        <v>0.25785000000000002</v>
      </c>
      <c r="E121" s="18">
        <f t="shared" si="14"/>
        <v>1.9300892565577765E-2</v>
      </c>
      <c r="F121" s="43">
        <f t="shared" si="15"/>
        <v>6.3743617137834718E-4</v>
      </c>
      <c r="G121" s="29">
        <f t="shared" si="18"/>
        <v>433021550.93104148</v>
      </c>
      <c r="H121" s="151">
        <f t="shared" si="16"/>
        <v>30</v>
      </c>
      <c r="I121" s="86">
        <f t="shared" si="17"/>
        <v>8280707.9864939125</v>
      </c>
    </row>
    <row r="122" spans="1:9">
      <c r="A122" s="16">
        <v>44470</v>
      </c>
      <c r="B122" s="16">
        <v>44500</v>
      </c>
      <c r="C122" s="28">
        <v>0.17080000000000001</v>
      </c>
      <c r="D122" s="18">
        <f t="shared" si="13"/>
        <v>0.25619999999999998</v>
      </c>
      <c r="E122" s="18">
        <f t="shared" si="14"/>
        <v>1.9189402159464075E-2</v>
      </c>
      <c r="F122" s="43">
        <f t="shared" si="15"/>
        <v>6.3378767813970782E-4</v>
      </c>
      <c r="G122" s="29">
        <f t="shared" si="18"/>
        <v>441302258.91753536</v>
      </c>
      <c r="H122" s="151">
        <f t="shared" si="16"/>
        <v>31</v>
      </c>
      <c r="I122" s="86">
        <f t="shared" si="17"/>
        <v>8670449.9551517405</v>
      </c>
    </row>
    <row r="123" spans="1:9">
      <c r="G123" s="149" t="s">
        <v>322</v>
      </c>
      <c r="H123" s="150"/>
      <c r="I123" s="83">
        <f>SUM(I11:I122)</f>
        <v>410318496.87268704</v>
      </c>
    </row>
    <row r="124" spans="1:9" ht="19.5" customHeight="1">
      <c r="G124" s="2785" t="s">
        <v>1344</v>
      </c>
      <c r="H124" s="2785"/>
      <c r="I124" s="86">
        <f>+B4</f>
        <v>39654212</v>
      </c>
    </row>
    <row r="125" spans="1:9" ht="15.75" thickBot="1">
      <c r="G125" s="185" t="s">
        <v>97</v>
      </c>
      <c r="H125" s="185"/>
      <c r="I125" s="87">
        <f>+I123+I124</f>
        <v>449972708.87268704</v>
      </c>
    </row>
    <row r="126" spans="1:9" ht="16.5" thickTop="1" thickBot="1">
      <c r="G126" s="48" t="s">
        <v>1347</v>
      </c>
      <c r="H126" s="82"/>
      <c r="I126" s="87">
        <f>+I125*0.06</f>
        <v>26998362.532361221</v>
      </c>
    </row>
    <row r="127" spans="1:9" ht="16.5" thickTop="1" thickBot="1">
      <c r="G127" s="185" t="s">
        <v>97</v>
      </c>
      <c r="H127" s="185"/>
      <c r="I127" s="87">
        <f>++I125+I126</f>
        <v>476971071.40504825</v>
      </c>
    </row>
    <row r="128" spans="1:9" ht="13.5" thickTop="1"/>
  </sheetData>
  <mergeCells count="2">
    <mergeCell ref="G124:H124"/>
    <mergeCell ref="B9:H9"/>
  </mergeCells>
  <pageMargins left="0.7" right="0.7" top="0.75" bottom="0.75" header="0.3" footer="0.3"/>
  <pageSetup orientation="portrait"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66"/>
  <dimension ref="A1:H14"/>
  <sheetViews>
    <sheetView workbookViewId="0">
      <selection activeCell="A11" sqref="A11"/>
    </sheetView>
  </sheetViews>
  <sheetFormatPr defaultColWidth="9.140625" defaultRowHeight="12.75"/>
  <cols>
    <col min="1" max="1" width="14.42578125" customWidth="1"/>
    <col min="2" max="2" width="13.28515625" customWidth="1"/>
    <col min="3" max="256" width="11.42578125" customWidth="1"/>
  </cols>
  <sheetData>
    <row r="1" spans="1:8" ht="24">
      <c r="A1" s="65" t="s">
        <v>1336</v>
      </c>
      <c r="B1" s="3" t="s">
        <v>1348</v>
      </c>
    </row>
    <row r="2" spans="1:8">
      <c r="A2" s="3" t="s">
        <v>67</v>
      </c>
      <c r="B2" s="62">
        <v>3695022</v>
      </c>
    </row>
    <row r="3" spans="1:8">
      <c r="A3" s="3" t="s">
        <v>541</v>
      </c>
      <c r="B3" s="63"/>
    </row>
    <row r="4" spans="1:8">
      <c r="A4" s="3" t="s">
        <v>40</v>
      </c>
      <c r="B4" s="63"/>
    </row>
    <row r="5" spans="1:8">
      <c r="A5" s="3" t="s">
        <v>1130</v>
      </c>
    </row>
    <row r="8" spans="1:8">
      <c r="A8" s="2783" t="s">
        <v>1349</v>
      </c>
      <c r="B8" s="2770"/>
      <c r="C8" s="2770"/>
      <c r="D8" s="2770"/>
      <c r="E8" s="2770"/>
      <c r="F8" s="2784"/>
    </row>
    <row r="9" spans="1:8" ht="36">
      <c r="A9" s="66" t="s">
        <v>11</v>
      </c>
      <c r="B9" s="4"/>
      <c r="C9" s="3" t="s">
        <v>148</v>
      </c>
      <c r="D9" s="33" t="s">
        <v>149</v>
      </c>
      <c r="E9" s="3" t="s">
        <v>1342</v>
      </c>
      <c r="F9" s="17" t="s">
        <v>129</v>
      </c>
      <c r="G9" s="17" t="s">
        <v>47</v>
      </c>
      <c r="H9" s="17" t="s">
        <v>48</v>
      </c>
    </row>
    <row r="10" spans="1:8">
      <c r="A10" s="16">
        <v>41730</v>
      </c>
      <c r="B10" s="16">
        <v>41820</v>
      </c>
      <c r="C10" s="18">
        <v>0.1963</v>
      </c>
      <c r="D10" s="18"/>
      <c r="E10" s="18">
        <f>(1+C10)^(1/12)-1</f>
        <v>1.5048222972487979E-2</v>
      </c>
      <c r="F10" s="22">
        <f>+$B$5</f>
        <v>0</v>
      </c>
      <c r="G10" s="26">
        <f>_xlfn.DAYS(B10,A10)+1</f>
        <v>91</v>
      </c>
      <c r="H10" s="22">
        <f>(E10*F10)/30*G10</f>
        <v>0</v>
      </c>
    </row>
    <row r="11" spans="1:8">
      <c r="A11" s="16">
        <v>42917</v>
      </c>
      <c r="B11" s="16">
        <v>42947</v>
      </c>
      <c r="C11" s="18">
        <v>0.2198</v>
      </c>
      <c r="D11" s="18"/>
      <c r="E11" s="18">
        <f>(1+C11)^(1/12)-1</f>
        <v>1.6695073362691826E-2</v>
      </c>
      <c r="F11" s="22">
        <f>+$B$5</f>
        <v>0</v>
      </c>
      <c r="G11" s="26">
        <f>_xlfn.DAYS(B11,A11)+1</f>
        <v>31</v>
      </c>
      <c r="H11" s="22">
        <f>(E11*F11)/30*G11</f>
        <v>0</v>
      </c>
    </row>
    <row r="12" spans="1:8">
      <c r="A12" s="16">
        <v>42948</v>
      </c>
      <c r="B12" s="16">
        <v>42978</v>
      </c>
      <c r="C12" s="18">
        <v>0.2198</v>
      </c>
      <c r="D12" s="18"/>
      <c r="E12" s="18">
        <f>(1+C12)^(1/12)-1</f>
        <v>1.6695073362691826E-2</v>
      </c>
      <c r="F12" s="22">
        <f>+$B$5</f>
        <v>0</v>
      </c>
      <c r="G12" s="26">
        <f>_xlfn.DAYS(B12,A12)+1</f>
        <v>31</v>
      </c>
      <c r="H12" s="22">
        <f>(E12*F12)/30*G12</f>
        <v>0</v>
      </c>
    </row>
    <row r="13" spans="1:8">
      <c r="A13" s="16">
        <v>42979</v>
      </c>
      <c r="B13" s="16">
        <v>43008</v>
      </c>
      <c r="C13" s="18">
        <v>0.21479999999999999</v>
      </c>
      <c r="D13" s="18"/>
      <c r="E13" s="18">
        <f>(1+C13)^(1/12)-1</f>
        <v>1.6347130332665216E-2</v>
      </c>
      <c r="F13" s="22">
        <f>+$B$5</f>
        <v>0</v>
      </c>
      <c r="G13" s="26">
        <f>_xlfn.DAYS(B13,A13)+1</f>
        <v>30</v>
      </c>
      <c r="H13" s="22">
        <f>(E13*F13)/30*G13</f>
        <v>0</v>
      </c>
    </row>
    <row r="14" spans="1:8">
      <c r="A14" s="16">
        <v>43009</v>
      </c>
      <c r="B14" s="16">
        <v>43039</v>
      </c>
      <c r="C14" s="18">
        <v>0.21149999999999999</v>
      </c>
      <c r="D14" s="18"/>
      <c r="E14" s="18">
        <f>(1+C14)^(1/12)-1</f>
        <v>1.6116768087963917E-2</v>
      </c>
      <c r="F14" s="22">
        <f>+$B$5</f>
        <v>0</v>
      </c>
      <c r="G14" s="26">
        <f>_xlfn.DAYS(B14,A14)+1</f>
        <v>31</v>
      </c>
      <c r="H14" s="22">
        <f>(E14*F14)/30*G14</f>
        <v>0</v>
      </c>
    </row>
  </sheetData>
  <mergeCells count="1">
    <mergeCell ref="A8:F8"/>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67"/>
  <dimension ref="A4:I126"/>
  <sheetViews>
    <sheetView topLeftCell="A4" workbookViewId="0">
      <selection activeCell="G20" sqref="G20"/>
    </sheetView>
  </sheetViews>
  <sheetFormatPr defaultColWidth="9.140625" defaultRowHeight="12.75"/>
  <cols>
    <col min="1" max="1" width="15.42578125" customWidth="1"/>
    <col min="2" max="2" width="15.42578125" bestFit="1" customWidth="1"/>
    <col min="3" max="3" width="11.42578125" style="14" customWidth="1"/>
    <col min="4" max="6" width="11.42578125" customWidth="1"/>
    <col min="7" max="7" width="13.140625" customWidth="1"/>
    <col min="8" max="8" width="11.42578125" customWidth="1"/>
    <col min="9" max="9" width="16.28515625" customWidth="1"/>
    <col min="10" max="256" width="11.42578125" customWidth="1"/>
  </cols>
  <sheetData>
    <row r="4" spans="1:9" ht="24">
      <c r="A4" s="65" t="s">
        <v>1336</v>
      </c>
      <c r="B4" s="3" t="s">
        <v>1350</v>
      </c>
      <c r="C4" s="188"/>
      <c r="D4" s="1"/>
    </row>
    <row r="5" spans="1:9">
      <c r="A5" s="3" t="s">
        <v>67</v>
      </c>
      <c r="B5" s="62">
        <v>14822000</v>
      </c>
      <c r="C5" s="188"/>
      <c r="D5" s="1"/>
    </row>
    <row r="6" spans="1:9">
      <c r="A6" s="3" t="s">
        <v>541</v>
      </c>
      <c r="B6" s="16">
        <v>41096</v>
      </c>
      <c r="C6" s="188"/>
    </row>
    <row r="7" spans="1:9">
      <c r="A7" s="3" t="s">
        <v>40</v>
      </c>
      <c r="B7" s="16">
        <v>43951</v>
      </c>
      <c r="C7" s="188"/>
    </row>
    <row r="8" spans="1:9">
      <c r="A8" s="1"/>
      <c r="B8" s="7"/>
      <c r="C8" s="188"/>
    </row>
    <row r="9" spans="1:9">
      <c r="B9" s="2549" t="s">
        <v>1351</v>
      </c>
      <c r="C9" s="2549"/>
      <c r="D9" s="2549"/>
      <c r="E9" s="2549"/>
      <c r="F9" s="2549"/>
      <c r="G9" s="2549"/>
      <c r="H9" s="2549"/>
    </row>
    <row r="10" spans="1:9" ht="25.5">
      <c r="C10" s="196" t="s">
        <v>148</v>
      </c>
      <c r="D10" s="33" t="s">
        <v>149</v>
      </c>
      <c r="E10" s="3" t="s">
        <v>1342</v>
      </c>
      <c r="F10" s="17" t="s">
        <v>43</v>
      </c>
      <c r="G10" s="17" t="s">
        <v>129</v>
      </c>
      <c r="H10" s="17" t="s">
        <v>47</v>
      </c>
      <c r="I10" s="17" t="s">
        <v>48</v>
      </c>
    </row>
    <row r="11" spans="1:9">
      <c r="A11" s="16">
        <v>41096</v>
      </c>
      <c r="B11" s="16">
        <v>41121</v>
      </c>
      <c r="C11" s="613">
        <v>0.20860000000000001</v>
      </c>
      <c r="D11" s="18"/>
      <c r="E11" s="18">
        <f>(1+C11)^(1/12)-1</f>
        <v>1.5913853208319173E-2</v>
      </c>
      <c r="F11" s="43">
        <f>((1+E11)^(1/30)-1)</f>
        <v>5.2642369274713552E-4</v>
      </c>
      <c r="G11" s="29">
        <f>+$B$5</f>
        <v>14822000</v>
      </c>
      <c r="H11" s="26">
        <f>+_xlfn.DAYS(B11,A11)+1</f>
        <v>26</v>
      </c>
      <c r="I11" s="22">
        <f>(F11*G11)*H11</f>
        <v>202868.9513213491</v>
      </c>
    </row>
    <row r="12" spans="1:9">
      <c r="A12" s="16">
        <v>41122</v>
      </c>
      <c r="B12" s="16">
        <v>41152</v>
      </c>
      <c r="C12" s="613">
        <v>0.20860000000000001</v>
      </c>
      <c r="D12" s="18"/>
      <c r="E12" s="18">
        <f t="shared" ref="E12:E20" si="0">(1+C12)^(1/12)-1</f>
        <v>1.5913853208319173E-2</v>
      </c>
      <c r="F12" s="43">
        <f t="shared" ref="F12:F75" si="1">((1+E12)^(1/30)-1)</f>
        <v>5.2642369274713552E-4</v>
      </c>
      <c r="G12" s="29">
        <f>+G11+I11</f>
        <v>15024868.951321349</v>
      </c>
      <c r="H12" s="26">
        <f>+_xlfn.DAYS(B12,A12)+1</f>
        <v>31</v>
      </c>
      <c r="I12" s="22">
        <f t="shared" ref="I12:I21" si="2">(F12*G12)*H12</f>
        <v>245192.85688828732</v>
      </c>
    </row>
    <row r="13" spans="1:9">
      <c r="A13" s="16">
        <v>41153</v>
      </c>
      <c r="B13" s="16">
        <v>41182</v>
      </c>
      <c r="C13" s="613">
        <v>0.20860000000000001</v>
      </c>
      <c r="D13" s="18"/>
      <c r="E13" s="18">
        <f t="shared" si="0"/>
        <v>1.5913853208319173E-2</v>
      </c>
      <c r="F13" s="43">
        <f t="shared" si="1"/>
        <v>5.2642369274713552E-4</v>
      </c>
      <c r="G13" s="29">
        <f t="shared" ref="G13:G76" si="3">+G12+I12</f>
        <v>15270061.808209635</v>
      </c>
      <c r="H13" s="26">
        <f>+_xlfn.DAYS(B13,A13)+1</f>
        <v>30</v>
      </c>
      <c r="I13" s="22">
        <f t="shared" si="2"/>
        <v>241155.66976664154</v>
      </c>
    </row>
    <row r="14" spans="1:9">
      <c r="A14" s="16">
        <v>41183</v>
      </c>
      <c r="B14" s="16">
        <v>41213</v>
      </c>
      <c r="C14" s="613">
        <v>0.2089</v>
      </c>
      <c r="D14" s="18"/>
      <c r="E14" s="18">
        <f t="shared" si="0"/>
        <v>1.5934865087622763E-2</v>
      </c>
      <c r="F14" s="43">
        <f t="shared" si="1"/>
        <v>5.271134733564331E-4</v>
      </c>
      <c r="G14" s="29">
        <f t="shared" si="3"/>
        <v>15511217.477976277</v>
      </c>
      <c r="H14" s="26">
        <f t="shared" ref="H14:H77" si="4">+_xlfn.DAYS(B14,A14)+1</f>
        <v>31</v>
      </c>
      <c r="I14" s="22">
        <f t="shared" si="2"/>
        <v>253461.32334489573</v>
      </c>
    </row>
    <row r="15" spans="1:9">
      <c r="A15" s="16">
        <v>41214</v>
      </c>
      <c r="B15" s="16">
        <v>41243</v>
      </c>
      <c r="C15" s="2511">
        <v>0.2089</v>
      </c>
      <c r="D15" s="18"/>
      <c r="E15" s="18">
        <f t="shared" si="0"/>
        <v>1.5934865087622763E-2</v>
      </c>
      <c r="F15" s="43">
        <f t="shared" si="1"/>
        <v>5.271134733564331E-4</v>
      </c>
      <c r="G15" s="29">
        <f t="shared" si="3"/>
        <v>15764678.801321173</v>
      </c>
      <c r="H15" s="26">
        <f t="shared" si="4"/>
        <v>30</v>
      </c>
      <c r="I15" s="22">
        <f t="shared" si="2"/>
        <v>249293.23797938801</v>
      </c>
    </row>
    <row r="16" spans="1:9">
      <c r="A16" s="16">
        <v>41244</v>
      </c>
      <c r="B16" s="16">
        <v>41274</v>
      </c>
      <c r="C16" s="2511">
        <v>0.2089</v>
      </c>
      <c r="D16" s="18"/>
      <c r="E16" s="18">
        <f t="shared" si="0"/>
        <v>1.5934865087622763E-2</v>
      </c>
      <c r="F16" s="43">
        <f t="shared" si="1"/>
        <v>5.271134733564331E-4</v>
      </c>
      <c r="G16" s="29">
        <f t="shared" si="3"/>
        <v>16013972.039300561</v>
      </c>
      <c r="H16" s="26">
        <f t="shared" si="4"/>
        <v>31</v>
      </c>
      <c r="I16" s="22">
        <f t="shared" si="2"/>
        <v>261676.59313992417</v>
      </c>
    </row>
    <row r="17" spans="1:9">
      <c r="A17" s="16">
        <v>41275</v>
      </c>
      <c r="B17" s="16">
        <v>41305</v>
      </c>
      <c r="C17" s="2512">
        <v>0.20749999999999999</v>
      </c>
      <c r="D17" s="18"/>
      <c r="E17" s="18">
        <f t="shared" si="0"/>
        <v>1.5836768725148165E-2</v>
      </c>
      <c r="F17" s="43">
        <f t="shared" si="1"/>
        <v>5.2389303555799849E-4</v>
      </c>
      <c r="G17" s="29">
        <f t="shared" si="3"/>
        <v>16275648.632440485</v>
      </c>
      <c r="H17" s="26">
        <f t="shared" si="4"/>
        <v>31</v>
      </c>
      <c r="I17" s="22">
        <f t="shared" si="2"/>
        <v>264327.66799946362</v>
      </c>
    </row>
    <row r="18" spans="1:9">
      <c r="A18" s="16">
        <v>41306</v>
      </c>
      <c r="B18" s="16">
        <v>41333</v>
      </c>
      <c r="C18" s="2512">
        <v>0.20749999999999999</v>
      </c>
      <c r="D18" s="18"/>
      <c r="E18" s="18">
        <f t="shared" si="0"/>
        <v>1.5836768725148165E-2</v>
      </c>
      <c r="F18" s="43">
        <f t="shared" si="1"/>
        <v>5.2389303555799849E-4</v>
      </c>
      <c r="G18" s="29">
        <f t="shared" si="3"/>
        <v>16539976.300439948</v>
      </c>
      <c r="H18" s="26">
        <f t="shared" si="4"/>
        <v>28</v>
      </c>
      <c r="I18" s="22">
        <f t="shared" si="2"/>
        <v>242624.99497865548</v>
      </c>
    </row>
    <row r="19" spans="1:9">
      <c r="A19" s="16">
        <v>41334</v>
      </c>
      <c r="B19" s="16">
        <v>41364</v>
      </c>
      <c r="C19" s="2512">
        <v>0.20749999999999999</v>
      </c>
      <c r="D19" s="18"/>
      <c r="E19" s="18">
        <f t="shared" si="0"/>
        <v>1.5836768725148165E-2</v>
      </c>
      <c r="F19" s="43">
        <f t="shared" si="1"/>
        <v>5.2389303555799849E-4</v>
      </c>
      <c r="G19" s="29">
        <f t="shared" si="3"/>
        <v>16782601.295418605</v>
      </c>
      <c r="H19" s="26">
        <f t="shared" si="4"/>
        <v>31</v>
      </c>
      <c r="I19" s="22">
        <f t="shared" si="2"/>
        <v>272560.92605370999</v>
      </c>
    </row>
    <row r="20" spans="1:9">
      <c r="A20" s="16">
        <v>41365</v>
      </c>
      <c r="B20" s="16">
        <v>41394</v>
      </c>
      <c r="C20" s="2513">
        <v>0.20830000000000001</v>
      </c>
      <c r="D20" s="18"/>
      <c r="E20" s="18">
        <f t="shared" si="0"/>
        <v>1.5892836547512834E-2</v>
      </c>
      <c r="F20" s="43">
        <f t="shared" si="1"/>
        <v>5.2573374137421247E-4</v>
      </c>
      <c r="G20" s="29">
        <f t="shared" si="3"/>
        <v>17055162.221472315</v>
      </c>
      <c r="H20" s="26">
        <f t="shared" si="4"/>
        <v>30</v>
      </c>
      <c r="I20" s="22">
        <f t="shared" si="2"/>
        <v>268994.22733316297</v>
      </c>
    </row>
    <row r="21" spans="1:9">
      <c r="A21" s="16">
        <v>41395</v>
      </c>
      <c r="B21" s="16">
        <v>41425</v>
      </c>
      <c r="C21" s="2513">
        <v>0.20830000000000001</v>
      </c>
      <c r="D21" s="18">
        <f t="shared" ref="D21:D75" si="5">+C21*1.5</f>
        <v>0.31245000000000001</v>
      </c>
      <c r="E21" s="18">
        <f t="shared" ref="E21:E75" si="6">(1+D21)^(1/12)-1</f>
        <v>2.2916609793260045E-2</v>
      </c>
      <c r="F21" s="43">
        <f t="shared" si="1"/>
        <v>7.5555089466550207E-4</v>
      </c>
      <c r="G21" s="29">
        <f>+G20+I20</f>
        <v>17324156.448805477</v>
      </c>
      <c r="H21" s="26">
        <f t="shared" si="4"/>
        <v>31</v>
      </c>
      <c r="I21" s="22">
        <f t="shared" si="2"/>
        <v>405767.73903082329</v>
      </c>
    </row>
    <row r="22" spans="1:9">
      <c r="A22" s="16">
        <v>41426</v>
      </c>
      <c r="B22" s="16">
        <v>41455</v>
      </c>
      <c r="C22" s="2513">
        <v>0.20830000000000001</v>
      </c>
      <c r="D22" s="18">
        <f t="shared" si="5"/>
        <v>0.31245000000000001</v>
      </c>
      <c r="E22" s="18">
        <f t="shared" si="6"/>
        <v>2.2916609793260045E-2</v>
      </c>
      <c r="F22" s="43">
        <f t="shared" si="1"/>
        <v>7.5555089466550207E-4</v>
      </c>
      <c r="G22" s="29">
        <f t="shared" si="3"/>
        <v>17729924.187836301</v>
      </c>
      <c r="H22" s="26">
        <f t="shared" si="4"/>
        <v>30</v>
      </c>
      <c r="I22" s="22">
        <f t="shared" ref="I22:I78" si="7">(F22*G22)*H22</f>
        <v>401875.80247413722</v>
      </c>
    </row>
    <row r="23" spans="1:9">
      <c r="A23" s="16">
        <v>41456</v>
      </c>
      <c r="B23" s="16">
        <v>41486</v>
      </c>
      <c r="C23" s="2511">
        <v>0.2034</v>
      </c>
      <c r="D23" s="18">
        <f t="shared" si="5"/>
        <v>0.30509999999999998</v>
      </c>
      <c r="E23" s="18">
        <f t="shared" si="6"/>
        <v>2.2438000800601765E-2</v>
      </c>
      <c r="F23" s="43">
        <f t="shared" si="1"/>
        <v>7.3993935958172052E-4</v>
      </c>
      <c r="G23" s="29">
        <f t="shared" si="3"/>
        <v>18131799.990310438</v>
      </c>
      <c r="H23" s="26">
        <f t="shared" si="4"/>
        <v>31</v>
      </c>
      <c r="I23" s="22">
        <f t="shared" si="7"/>
        <v>415909.40665971872</v>
      </c>
    </row>
    <row r="24" spans="1:9">
      <c r="A24" s="16">
        <v>41487</v>
      </c>
      <c r="B24" s="16">
        <v>41517</v>
      </c>
      <c r="C24" s="2511">
        <v>0.2034</v>
      </c>
      <c r="D24" s="18">
        <f t="shared" si="5"/>
        <v>0.30509999999999998</v>
      </c>
      <c r="E24" s="18">
        <f t="shared" si="6"/>
        <v>2.2438000800601765E-2</v>
      </c>
      <c r="F24" s="43">
        <f t="shared" si="1"/>
        <v>7.3993935958172052E-4</v>
      </c>
      <c r="G24" s="29">
        <f t="shared" si="3"/>
        <v>18547709.396970157</v>
      </c>
      <c r="H24" s="26">
        <f t="shared" si="4"/>
        <v>31</v>
      </c>
      <c r="I24" s="22">
        <f t="shared" si="7"/>
        <v>425449.58659996069</v>
      </c>
    </row>
    <row r="25" spans="1:9">
      <c r="A25" s="16">
        <v>41518</v>
      </c>
      <c r="B25" s="16">
        <v>41547</v>
      </c>
      <c r="C25" s="2511">
        <v>0.2034</v>
      </c>
      <c r="D25" s="18">
        <f t="shared" si="5"/>
        <v>0.30509999999999998</v>
      </c>
      <c r="E25" s="18">
        <f t="shared" si="6"/>
        <v>2.2438000800601765E-2</v>
      </c>
      <c r="F25" s="43">
        <f t="shared" si="1"/>
        <v>7.3993935958172052E-4</v>
      </c>
      <c r="G25" s="29">
        <f t="shared" si="3"/>
        <v>18973158.983570118</v>
      </c>
      <c r="H25" s="26">
        <f t="shared" si="4"/>
        <v>30</v>
      </c>
      <c r="I25" s="22">
        <f t="shared" si="7"/>
        <v>421169.61322635121</v>
      </c>
    </row>
    <row r="26" spans="1:9">
      <c r="A26" s="16">
        <v>41548</v>
      </c>
      <c r="B26" s="16">
        <v>41578</v>
      </c>
      <c r="C26" s="2511">
        <v>0.19850000000000001</v>
      </c>
      <c r="D26" s="18">
        <f t="shared" si="5"/>
        <v>0.29775000000000001</v>
      </c>
      <c r="E26" s="18">
        <f t="shared" si="6"/>
        <v>2.1956914610111067E-2</v>
      </c>
      <c r="F26" s="43">
        <f t="shared" si="1"/>
        <v>7.2423990106229574E-4</v>
      </c>
      <c r="G26" s="29">
        <f t="shared" si="3"/>
        <v>19394328.596796468</v>
      </c>
      <c r="H26" s="26">
        <f t="shared" si="4"/>
        <v>31</v>
      </c>
      <c r="I26" s="22">
        <f t="shared" si="7"/>
        <v>435430.54534751934</v>
      </c>
    </row>
    <row r="27" spans="1:9">
      <c r="A27" s="16">
        <v>41579</v>
      </c>
      <c r="B27" s="16">
        <v>41608</v>
      </c>
      <c r="C27" s="2511">
        <v>0.19850000000000001</v>
      </c>
      <c r="D27" s="18">
        <f t="shared" si="5"/>
        <v>0.29775000000000001</v>
      </c>
      <c r="E27" s="18">
        <f t="shared" si="6"/>
        <v>2.1956914610111067E-2</v>
      </c>
      <c r="F27" s="43">
        <f t="shared" si="1"/>
        <v>7.2423990106229574E-4</v>
      </c>
      <c r="G27" s="29">
        <f t="shared" si="3"/>
        <v>19829759.142143987</v>
      </c>
      <c r="H27" s="26">
        <f t="shared" si="4"/>
        <v>30</v>
      </c>
      <c r="I27" s="22">
        <f t="shared" si="7"/>
        <v>430845.08397586545</v>
      </c>
    </row>
    <row r="28" spans="1:9">
      <c r="A28" s="16">
        <v>41609</v>
      </c>
      <c r="B28" s="16">
        <v>41639</v>
      </c>
      <c r="C28" s="2511">
        <v>0.19850000000000001</v>
      </c>
      <c r="D28" s="18">
        <f t="shared" si="5"/>
        <v>0.29775000000000001</v>
      </c>
      <c r="E28" s="18">
        <f t="shared" si="6"/>
        <v>2.1956914610111067E-2</v>
      </c>
      <c r="F28" s="43">
        <f t="shared" si="1"/>
        <v>7.2423990106229574E-4</v>
      </c>
      <c r="G28" s="29">
        <f t="shared" si="3"/>
        <v>20260604.226119854</v>
      </c>
      <c r="H28" s="26">
        <f t="shared" si="4"/>
        <v>31</v>
      </c>
      <c r="I28" s="22">
        <f t="shared" si="7"/>
        <v>454879.67800580862</v>
      </c>
    </row>
    <row r="29" spans="1:9">
      <c r="A29" s="16">
        <v>41640</v>
      </c>
      <c r="B29" s="16">
        <v>41670</v>
      </c>
      <c r="C29" s="2511">
        <v>0.19650000000000001</v>
      </c>
      <c r="D29" s="18">
        <f t="shared" si="5"/>
        <v>0.29475000000000001</v>
      </c>
      <c r="E29" s="18">
        <f t="shared" si="6"/>
        <v>2.1759834797641986E-2</v>
      </c>
      <c r="F29" s="43">
        <f t="shared" si="1"/>
        <v>7.1780646184760322E-4</v>
      </c>
      <c r="G29" s="29">
        <f>+G28+I28</f>
        <v>20715483.904125661</v>
      </c>
      <c r="H29" s="26">
        <f t="shared" si="4"/>
        <v>31</v>
      </c>
      <c r="I29" s="22">
        <f t="shared" si="7"/>
        <v>460960.95440712385</v>
      </c>
    </row>
    <row r="30" spans="1:9">
      <c r="A30" s="16">
        <v>41671</v>
      </c>
      <c r="B30" s="16">
        <v>41698</v>
      </c>
      <c r="C30" s="2511">
        <v>0.19650000000000001</v>
      </c>
      <c r="D30" s="18">
        <f t="shared" si="5"/>
        <v>0.29475000000000001</v>
      </c>
      <c r="E30" s="18">
        <f t="shared" si="6"/>
        <v>2.1759834797641986E-2</v>
      </c>
      <c r="F30" s="43">
        <f t="shared" si="1"/>
        <v>7.1780646184760322E-4</v>
      </c>
      <c r="G30" s="29">
        <f t="shared" si="3"/>
        <v>21176444.858532786</v>
      </c>
      <c r="H30" s="26">
        <f t="shared" si="4"/>
        <v>28</v>
      </c>
      <c r="I30" s="22">
        <f t="shared" si="7"/>
        <v>425616.49083560007</v>
      </c>
    </row>
    <row r="31" spans="1:9">
      <c r="A31" s="16">
        <v>41699</v>
      </c>
      <c r="B31" s="16">
        <v>41729</v>
      </c>
      <c r="C31" s="2511">
        <v>0.19650000000000001</v>
      </c>
      <c r="D31" s="18">
        <f t="shared" si="5"/>
        <v>0.29475000000000001</v>
      </c>
      <c r="E31" s="18">
        <f t="shared" si="6"/>
        <v>2.1759834797641986E-2</v>
      </c>
      <c r="F31" s="43">
        <f t="shared" si="1"/>
        <v>7.1780646184760322E-4</v>
      </c>
      <c r="G31" s="29">
        <f t="shared" si="3"/>
        <v>21602061.349368386</v>
      </c>
      <c r="H31" s="26">
        <f t="shared" si="4"/>
        <v>31</v>
      </c>
      <c r="I31" s="22">
        <f t="shared" si="7"/>
        <v>480689.07599995448</v>
      </c>
    </row>
    <row r="32" spans="1:9">
      <c r="A32" s="16">
        <v>41730</v>
      </c>
      <c r="B32" s="16">
        <v>41759</v>
      </c>
      <c r="C32" s="2511">
        <v>0.1963</v>
      </c>
      <c r="D32" s="18">
        <f t="shared" si="5"/>
        <v>0.29444999999999999</v>
      </c>
      <c r="E32" s="18">
        <f t="shared" si="6"/>
        <v>2.1740103800155453E-2</v>
      </c>
      <c r="F32" s="43">
        <f t="shared" si="1"/>
        <v>7.1716230053064933E-4</v>
      </c>
      <c r="G32" s="29">
        <f t="shared" si="3"/>
        <v>22082750.425368339</v>
      </c>
      <c r="H32" s="26">
        <f t="shared" si="4"/>
        <v>30</v>
      </c>
      <c r="I32" s="22">
        <f t="shared" si="7"/>
        <v>475107.48291303997</v>
      </c>
    </row>
    <row r="33" spans="1:9">
      <c r="A33" s="16">
        <v>41760</v>
      </c>
      <c r="B33" s="16">
        <v>41790</v>
      </c>
      <c r="C33" s="2511">
        <v>0.1963</v>
      </c>
      <c r="D33" s="18">
        <f t="shared" si="5"/>
        <v>0.29444999999999999</v>
      </c>
      <c r="E33" s="18">
        <f t="shared" si="6"/>
        <v>2.1740103800155453E-2</v>
      </c>
      <c r="F33" s="43">
        <f t="shared" si="1"/>
        <v>7.1716230053064933E-4</v>
      </c>
      <c r="G33" s="29">
        <f t="shared" si="3"/>
        <v>22557857.908281378</v>
      </c>
      <c r="H33" s="26">
        <f t="shared" si="4"/>
        <v>31</v>
      </c>
      <c r="I33" s="22">
        <f t="shared" si="7"/>
        <v>501507.00344894384</v>
      </c>
    </row>
    <row r="34" spans="1:9">
      <c r="A34" s="16">
        <v>41791</v>
      </c>
      <c r="B34" s="16">
        <v>41820</v>
      </c>
      <c r="C34" s="2511">
        <v>0.1963</v>
      </c>
      <c r="D34" s="18">
        <f t="shared" si="5"/>
        <v>0.29444999999999999</v>
      </c>
      <c r="E34" s="18">
        <f t="shared" si="6"/>
        <v>2.1740103800155453E-2</v>
      </c>
      <c r="F34" s="43">
        <f t="shared" si="1"/>
        <v>7.1716230053064933E-4</v>
      </c>
      <c r="G34" s="29">
        <f t="shared" si="3"/>
        <v>23059364.911730323</v>
      </c>
      <c r="H34" s="26">
        <f t="shared" si="4"/>
        <v>30</v>
      </c>
      <c r="I34" s="22">
        <f t="shared" si="7"/>
        <v>496119.21566616755</v>
      </c>
    </row>
    <row r="35" spans="1:9">
      <c r="A35" s="16">
        <v>41821</v>
      </c>
      <c r="B35" s="16">
        <v>41851</v>
      </c>
      <c r="C35" s="2514">
        <v>0.1933</v>
      </c>
      <c r="D35" s="18">
        <f t="shared" si="5"/>
        <v>0.28994999999999999</v>
      </c>
      <c r="E35" s="18">
        <f t="shared" si="6"/>
        <v>2.1443634727683625E-2</v>
      </c>
      <c r="F35" s="43">
        <f t="shared" si="1"/>
        <v>7.0748197498637921E-4</v>
      </c>
      <c r="G35" s="29">
        <f t="shared" si="3"/>
        <v>23555484.12739649</v>
      </c>
      <c r="H35" s="26">
        <f t="shared" si="4"/>
        <v>31</v>
      </c>
      <c r="I35" s="22">
        <f t="shared" si="7"/>
        <v>516617.49339853408</v>
      </c>
    </row>
    <row r="36" spans="1:9">
      <c r="A36" s="16">
        <v>41852</v>
      </c>
      <c r="B36" s="16">
        <v>41882</v>
      </c>
      <c r="C36" s="2514">
        <v>0.1933</v>
      </c>
      <c r="D36" s="18">
        <f t="shared" si="5"/>
        <v>0.28994999999999999</v>
      </c>
      <c r="E36" s="18">
        <f t="shared" si="6"/>
        <v>2.1443634727683625E-2</v>
      </c>
      <c r="F36" s="43">
        <f t="shared" si="1"/>
        <v>7.0748197498637921E-4</v>
      </c>
      <c r="G36" s="29">
        <f t="shared" si="3"/>
        <v>24072101.620795023</v>
      </c>
      <c r="H36" s="26">
        <f t="shared" si="4"/>
        <v>31</v>
      </c>
      <c r="I36" s="22">
        <f t="shared" si="7"/>
        <v>527947.91789933934</v>
      </c>
    </row>
    <row r="37" spans="1:9">
      <c r="A37" s="16">
        <v>41883</v>
      </c>
      <c r="B37" s="16">
        <v>41912</v>
      </c>
      <c r="C37" s="2514">
        <v>0.1933</v>
      </c>
      <c r="D37" s="18">
        <f t="shared" si="5"/>
        <v>0.28994999999999999</v>
      </c>
      <c r="E37" s="18">
        <f t="shared" si="6"/>
        <v>2.1443634727683625E-2</v>
      </c>
      <c r="F37" s="43">
        <f t="shared" si="1"/>
        <v>7.0748197498637921E-4</v>
      </c>
      <c r="G37" s="29">
        <f>+G36+I36</f>
        <v>24600049.538694363</v>
      </c>
      <c r="H37" s="26">
        <f t="shared" si="4"/>
        <v>30</v>
      </c>
      <c r="I37" s="22">
        <f t="shared" si="7"/>
        <v>522122.7489719477</v>
      </c>
    </row>
    <row r="38" spans="1:9">
      <c r="A38" s="16">
        <v>41913</v>
      </c>
      <c r="B38" s="16">
        <v>41943</v>
      </c>
      <c r="C38" s="2514">
        <v>0.19170000000000001</v>
      </c>
      <c r="D38" s="18">
        <f t="shared" si="5"/>
        <v>0.28755000000000003</v>
      </c>
      <c r="E38" s="18">
        <f t="shared" si="6"/>
        <v>2.1285130025374244E-2</v>
      </c>
      <c r="F38" s="43">
        <f t="shared" si="1"/>
        <v>7.0230535587034737E-4</v>
      </c>
      <c r="G38" s="29">
        <f t="shared" si="3"/>
        <v>25122172.28766631</v>
      </c>
      <c r="H38" s="26">
        <f t="shared" si="4"/>
        <v>31</v>
      </c>
      <c r="I38" s="22">
        <f t="shared" si="7"/>
        <v>546946.52061049559</v>
      </c>
    </row>
    <row r="39" spans="1:9">
      <c r="A39" s="16">
        <v>41944</v>
      </c>
      <c r="B39" s="16">
        <v>41973</v>
      </c>
      <c r="C39" s="2514">
        <v>0.19170000000000001</v>
      </c>
      <c r="D39" s="18">
        <f t="shared" si="5"/>
        <v>0.28755000000000003</v>
      </c>
      <c r="E39" s="18">
        <f t="shared" si="6"/>
        <v>2.1285130025374244E-2</v>
      </c>
      <c r="F39" s="43">
        <f t="shared" si="1"/>
        <v>7.0230535587034737E-4</v>
      </c>
      <c r="G39" s="29">
        <f t="shared" si="3"/>
        <v>25669118.808276806</v>
      </c>
      <c r="H39" s="26">
        <f t="shared" si="4"/>
        <v>30</v>
      </c>
      <c r="I39" s="22">
        <f t="shared" si="7"/>
        <v>540826.78858575202</v>
      </c>
    </row>
    <row r="40" spans="1:9">
      <c r="A40" s="16">
        <v>41974</v>
      </c>
      <c r="B40" s="16">
        <v>42004</v>
      </c>
      <c r="C40" s="2514">
        <v>0.19170000000000001</v>
      </c>
      <c r="D40" s="18">
        <f t="shared" si="5"/>
        <v>0.28755000000000003</v>
      </c>
      <c r="E40" s="18">
        <f t="shared" si="6"/>
        <v>2.1285130025374244E-2</v>
      </c>
      <c r="F40" s="43">
        <f t="shared" si="1"/>
        <v>7.0230535587034737E-4</v>
      </c>
      <c r="G40" s="29">
        <f t="shared" si="3"/>
        <v>26209945.596862558</v>
      </c>
      <c r="H40" s="26">
        <f t="shared" si="4"/>
        <v>31</v>
      </c>
      <c r="I40" s="22">
        <f t="shared" si="7"/>
        <v>570628.940262157</v>
      </c>
    </row>
    <row r="41" spans="1:9">
      <c r="A41" s="16">
        <v>42005</v>
      </c>
      <c r="B41" s="16">
        <v>42035</v>
      </c>
      <c r="C41" s="2511">
        <v>0.19209999999999999</v>
      </c>
      <c r="D41" s="18">
        <f t="shared" si="5"/>
        <v>0.28815000000000002</v>
      </c>
      <c r="E41" s="18">
        <f t="shared" si="6"/>
        <v>2.1324781575405183E-2</v>
      </c>
      <c r="F41" s="43">
        <f t="shared" si="1"/>
        <v>7.0360041219297287E-4</v>
      </c>
      <c r="G41" s="29">
        <f t="shared" si="3"/>
        <v>26780574.537124716</v>
      </c>
      <c r="H41" s="26">
        <f t="shared" si="4"/>
        <v>31</v>
      </c>
      <c r="I41" s="22">
        <f t="shared" si="7"/>
        <v>584127.52177565312</v>
      </c>
    </row>
    <row r="42" spans="1:9">
      <c r="A42" s="16">
        <v>42036</v>
      </c>
      <c r="B42" s="16">
        <v>42063</v>
      </c>
      <c r="C42" s="2511">
        <v>0.19209999999999999</v>
      </c>
      <c r="D42" s="18">
        <f t="shared" si="5"/>
        <v>0.28815000000000002</v>
      </c>
      <c r="E42" s="18">
        <f t="shared" si="6"/>
        <v>2.1324781575405183E-2</v>
      </c>
      <c r="F42" s="43">
        <f t="shared" si="1"/>
        <v>7.0360041219297287E-4</v>
      </c>
      <c r="G42" s="29">
        <f t="shared" si="3"/>
        <v>27364702.058900367</v>
      </c>
      <c r="H42" s="26">
        <f t="shared" si="4"/>
        <v>28</v>
      </c>
      <c r="I42" s="22">
        <f t="shared" si="7"/>
        <v>539106.83814904536</v>
      </c>
    </row>
    <row r="43" spans="1:9">
      <c r="A43" s="16">
        <v>42064</v>
      </c>
      <c r="B43" s="16">
        <v>42094</v>
      </c>
      <c r="C43" s="2511">
        <v>0.19209999999999999</v>
      </c>
      <c r="D43" s="18">
        <f t="shared" si="5"/>
        <v>0.28815000000000002</v>
      </c>
      <c r="E43" s="18">
        <f t="shared" si="6"/>
        <v>2.1324781575405183E-2</v>
      </c>
      <c r="F43" s="43">
        <f t="shared" si="1"/>
        <v>7.0360041219297287E-4</v>
      </c>
      <c r="G43" s="29">
        <f t="shared" si="3"/>
        <v>27903808.897049412</v>
      </c>
      <c r="H43" s="26">
        <f t="shared" si="4"/>
        <v>31</v>
      </c>
      <c r="I43" s="22">
        <f t="shared" si="7"/>
        <v>608627.07469325513</v>
      </c>
    </row>
    <row r="44" spans="1:9">
      <c r="A44" s="16">
        <v>42095</v>
      </c>
      <c r="B44" s="16">
        <v>42124</v>
      </c>
      <c r="C44" s="2511">
        <v>0.19370000000000001</v>
      </c>
      <c r="D44" s="18">
        <f t="shared" si="5"/>
        <v>0.29055000000000003</v>
      </c>
      <c r="E44" s="18">
        <f t="shared" si="6"/>
        <v>2.1483218662772696E-2</v>
      </c>
      <c r="F44" s="43">
        <f t="shared" si="1"/>
        <v>7.0877462905394317E-4</v>
      </c>
      <c r="G44" s="29">
        <f t="shared" si="3"/>
        <v>28512435.971742667</v>
      </c>
      <c r="H44" s="26">
        <f t="shared" si="4"/>
        <v>30</v>
      </c>
      <c r="I44" s="22">
        <f t="shared" si="7"/>
        <v>606266.73687888647</v>
      </c>
    </row>
    <row r="45" spans="1:9">
      <c r="A45" s="16">
        <v>42125</v>
      </c>
      <c r="B45" s="16">
        <v>42155</v>
      </c>
      <c r="C45" s="2511">
        <v>0.19370000000000001</v>
      </c>
      <c r="D45" s="18">
        <f t="shared" si="5"/>
        <v>0.29055000000000003</v>
      </c>
      <c r="E45" s="18">
        <f t="shared" si="6"/>
        <v>2.1483218662772696E-2</v>
      </c>
      <c r="F45" s="43">
        <f t="shared" si="1"/>
        <v>7.0877462905394317E-4</v>
      </c>
      <c r="G45" s="29">
        <f t="shared" si="3"/>
        <v>29118702.708621554</v>
      </c>
      <c r="H45" s="26">
        <f t="shared" si="4"/>
        <v>31</v>
      </c>
      <c r="I45" s="22">
        <f t="shared" si="7"/>
        <v>639796.52903589408</v>
      </c>
    </row>
    <row r="46" spans="1:9">
      <c r="A46" s="16">
        <v>42156</v>
      </c>
      <c r="B46" s="16">
        <v>42185</v>
      </c>
      <c r="C46" s="2511">
        <v>0.19370000000000001</v>
      </c>
      <c r="D46" s="18">
        <f t="shared" si="5"/>
        <v>0.29055000000000003</v>
      </c>
      <c r="E46" s="18">
        <f t="shared" si="6"/>
        <v>2.1483218662772696E-2</v>
      </c>
      <c r="F46" s="43">
        <f t="shared" si="1"/>
        <v>7.0877462905394317E-4</v>
      </c>
      <c r="G46" s="29">
        <f>+G45+I45</f>
        <v>29758499.237657446</v>
      </c>
      <c r="H46" s="26">
        <f t="shared" si="4"/>
        <v>30</v>
      </c>
      <c r="I46" s="22">
        <f t="shared" si="7"/>
        <v>632762.0777511812</v>
      </c>
    </row>
    <row r="47" spans="1:9">
      <c r="A47" s="16">
        <v>42186</v>
      </c>
      <c r="B47" s="16">
        <v>42216</v>
      </c>
      <c r="C47" s="2511">
        <v>0.19259999999999999</v>
      </c>
      <c r="D47" s="18">
        <f t="shared" si="5"/>
        <v>0.28889999999999999</v>
      </c>
      <c r="E47" s="18">
        <f t="shared" si="6"/>
        <v>2.1374322212011299E-2</v>
      </c>
      <c r="F47" s="43">
        <f t="shared" si="1"/>
        <v>7.0521838694070915E-4</v>
      </c>
      <c r="G47" s="29">
        <f t="shared" si="3"/>
        <v>30391261.315408628</v>
      </c>
      <c r="H47" s="26">
        <f t="shared" si="4"/>
        <v>31</v>
      </c>
      <c r="I47" s="22">
        <f t="shared" si="7"/>
        <v>664406.76474032749</v>
      </c>
    </row>
    <row r="48" spans="1:9">
      <c r="A48" s="16">
        <v>42217</v>
      </c>
      <c r="B48" s="16">
        <v>42247</v>
      </c>
      <c r="C48" s="2511">
        <v>0.19259999999999999</v>
      </c>
      <c r="D48" s="18">
        <f t="shared" si="5"/>
        <v>0.28889999999999999</v>
      </c>
      <c r="E48" s="18">
        <f t="shared" si="6"/>
        <v>2.1374322212011299E-2</v>
      </c>
      <c r="F48" s="43">
        <f t="shared" si="1"/>
        <v>7.0521838694070915E-4</v>
      </c>
      <c r="G48" s="29">
        <f>+G47+I47</f>
        <v>31055668.080148958</v>
      </c>
      <c r="H48" s="26">
        <f t="shared" si="4"/>
        <v>31</v>
      </c>
      <c r="I48" s="22">
        <f t="shared" si="7"/>
        <v>678931.87261431024</v>
      </c>
    </row>
    <row r="49" spans="1:9">
      <c r="A49" s="16">
        <v>42248</v>
      </c>
      <c r="B49" s="16">
        <v>42277</v>
      </c>
      <c r="C49" s="2511">
        <v>0.19259999999999999</v>
      </c>
      <c r="D49" s="18">
        <f t="shared" si="5"/>
        <v>0.28889999999999999</v>
      </c>
      <c r="E49" s="18">
        <f t="shared" si="6"/>
        <v>2.1374322212011299E-2</v>
      </c>
      <c r="F49" s="43">
        <f t="shared" si="1"/>
        <v>7.0521838694070915E-4</v>
      </c>
      <c r="G49" s="29">
        <f t="shared" si="3"/>
        <v>31734599.952763267</v>
      </c>
      <c r="H49" s="26">
        <f t="shared" si="4"/>
        <v>30</v>
      </c>
      <c r="I49" s="22">
        <f t="shared" si="7"/>
        <v>671394.70166689251</v>
      </c>
    </row>
    <row r="50" spans="1:9">
      <c r="A50" s="16">
        <v>42278</v>
      </c>
      <c r="B50" s="16">
        <v>42308</v>
      </c>
      <c r="C50" s="2511">
        <v>0.1933</v>
      </c>
      <c r="D50" s="18">
        <f t="shared" si="5"/>
        <v>0.28994999999999999</v>
      </c>
      <c r="E50" s="18">
        <f t="shared" si="6"/>
        <v>2.1443634727683625E-2</v>
      </c>
      <c r="F50" s="43">
        <f t="shared" si="1"/>
        <v>7.0748197498637921E-4</v>
      </c>
      <c r="G50" s="29">
        <f t="shared" si="3"/>
        <v>32405994.654430158</v>
      </c>
      <c r="H50" s="26">
        <f t="shared" si="4"/>
        <v>31</v>
      </c>
      <c r="I50" s="22">
        <f t="shared" si="7"/>
        <v>710726.37008494325</v>
      </c>
    </row>
    <row r="51" spans="1:9">
      <c r="A51" s="16">
        <v>42309</v>
      </c>
      <c r="B51" s="16">
        <v>42338</v>
      </c>
      <c r="C51" s="2511">
        <v>0.1933</v>
      </c>
      <c r="D51" s="18">
        <f t="shared" si="5"/>
        <v>0.28994999999999999</v>
      </c>
      <c r="E51" s="18">
        <f t="shared" si="6"/>
        <v>2.1443634727683625E-2</v>
      </c>
      <c r="F51" s="43">
        <f t="shared" si="1"/>
        <v>7.0748197498637921E-4</v>
      </c>
      <c r="G51" s="29">
        <f t="shared" si="3"/>
        <v>33116721.0245151</v>
      </c>
      <c r="H51" s="26">
        <f t="shared" si="4"/>
        <v>30</v>
      </c>
      <c r="I51" s="22">
        <f t="shared" si="7"/>
        <v>702884.4958649067</v>
      </c>
    </row>
    <row r="52" spans="1:9">
      <c r="A52" s="16">
        <v>42339</v>
      </c>
      <c r="B52" s="16">
        <v>42369</v>
      </c>
      <c r="C52" s="2511">
        <v>0.1933</v>
      </c>
      <c r="D52" s="18">
        <f t="shared" si="5"/>
        <v>0.28994999999999999</v>
      </c>
      <c r="E52" s="18">
        <f t="shared" si="6"/>
        <v>2.1443634727683625E-2</v>
      </c>
      <c r="F52" s="43">
        <f t="shared" si="1"/>
        <v>7.0748197498637921E-4</v>
      </c>
      <c r="G52" s="29">
        <f t="shared" si="3"/>
        <v>33819605.520380005</v>
      </c>
      <c r="H52" s="26">
        <f t="shared" si="4"/>
        <v>31</v>
      </c>
      <c r="I52" s="22">
        <f t="shared" si="7"/>
        <v>741729.60051137966</v>
      </c>
    </row>
    <row r="53" spans="1:9">
      <c r="A53" s="16">
        <v>42370</v>
      </c>
      <c r="B53" s="16">
        <v>42400</v>
      </c>
      <c r="C53" s="2511">
        <v>0.1968</v>
      </c>
      <c r="D53" s="18">
        <f t="shared" si="5"/>
        <v>0.29520000000000002</v>
      </c>
      <c r="E53" s="18">
        <f t="shared" si="6"/>
        <v>2.1789423437557742E-2</v>
      </c>
      <c r="F53" s="43">
        <f t="shared" si="1"/>
        <v>7.1877242479989611E-4</v>
      </c>
      <c r="G53" s="29">
        <f t="shared" si="3"/>
        <v>34561335.120891385</v>
      </c>
      <c r="H53" s="26">
        <f t="shared" si="4"/>
        <v>31</v>
      </c>
      <c r="I53" s="22">
        <f t="shared" si="7"/>
        <v>770093.77412411221</v>
      </c>
    </row>
    <row r="54" spans="1:9">
      <c r="A54" s="16">
        <v>42401</v>
      </c>
      <c r="B54" s="16">
        <v>42429</v>
      </c>
      <c r="C54" s="2511">
        <v>0.1968</v>
      </c>
      <c r="D54" s="18">
        <f t="shared" si="5"/>
        <v>0.29520000000000002</v>
      </c>
      <c r="E54" s="18">
        <f t="shared" si="6"/>
        <v>2.1789423437557742E-2</v>
      </c>
      <c r="F54" s="43">
        <f t="shared" si="1"/>
        <v>7.1877242479989611E-4</v>
      </c>
      <c r="G54" s="29">
        <f t="shared" si="3"/>
        <v>35331428.8950155</v>
      </c>
      <c r="H54" s="26">
        <f t="shared" si="4"/>
        <v>29</v>
      </c>
      <c r="I54" s="22">
        <f t="shared" si="7"/>
        <v>736462.44773694675</v>
      </c>
    </row>
    <row r="55" spans="1:9">
      <c r="A55" s="16">
        <v>42430</v>
      </c>
      <c r="B55" s="16">
        <v>42460</v>
      </c>
      <c r="C55" s="2511">
        <v>0.1968</v>
      </c>
      <c r="D55" s="18">
        <f t="shared" si="5"/>
        <v>0.29520000000000002</v>
      </c>
      <c r="E55" s="18">
        <f t="shared" si="6"/>
        <v>2.1789423437557742E-2</v>
      </c>
      <c r="F55" s="43">
        <f t="shared" si="1"/>
        <v>7.1877242479989611E-4</v>
      </c>
      <c r="G55" s="29">
        <f t="shared" si="3"/>
        <v>36067891.342752449</v>
      </c>
      <c r="H55" s="26">
        <f t="shared" si="4"/>
        <v>31</v>
      </c>
      <c r="I55" s="22">
        <f t="shared" si="7"/>
        <v>803662.7772533301</v>
      </c>
    </row>
    <row r="56" spans="1:9">
      <c r="A56" s="16">
        <v>42461</v>
      </c>
      <c r="B56" s="16">
        <v>42490</v>
      </c>
      <c r="C56" s="2515">
        <v>0.2054</v>
      </c>
      <c r="D56" s="18">
        <f t="shared" si="5"/>
        <v>0.30809999999999998</v>
      </c>
      <c r="E56" s="18">
        <f t="shared" si="6"/>
        <v>2.2633649099822239E-2</v>
      </c>
      <c r="F56" s="43">
        <f t="shared" si="1"/>
        <v>7.4632197840363013E-4</v>
      </c>
      <c r="G56" s="29">
        <f t="shared" si="3"/>
        <v>36871554.120005779</v>
      </c>
      <c r="H56" s="26">
        <f t="shared" si="4"/>
        <v>30</v>
      </c>
      <c r="I56" s="22">
        <f t="shared" si="7"/>
        <v>825541.53652977687</v>
      </c>
    </row>
    <row r="57" spans="1:9">
      <c r="A57" s="16">
        <v>42491</v>
      </c>
      <c r="B57" s="16">
        <v>42521</v>
      </c>
      <c r="C57" s="2515">
        <v>0.2054</v>
      </c>
      <c r="D57" s="18">
        <f t="shared" si="5"/>
        <v>0.30809999999999998</v>
      </c>
      <c r="E57" s="18">
        <f t="shared" si="6"/>
        <v>2.2633649099822239E-2</v>
      </c>
      <c r="F57" s="43">
        <f t="shared" si="1"/>
        <v>7.4632197840363013E-4</v>
      </c>
      <c r="G57" s="29">
        <f>+G56+I56</f>
        <v>37697095.656535558</v>
      </c>
      <c r="H57" s="26">
        <f t="shared" si="4"/>
        <v>31</v>
      </c>
      <c r="I57" s="22">
        <f t="shared" si="7"/>
        <v>872159.30132415181</v>
      </c>
    </row>
    <row r="58" spans="1:9">
      <c r="A58" s="16">
        <v>42522</v>
      </c>
      <c r="B58" s="16">
        <v>42551</v>
      </c>
      <c r="C58" s="2515">
        <v>0.2054</v>
      </c>
      <c r="D58" s="18">
        <f t="shared" si="5"/>
        <v>0.30809999999999998</v>
      </c>
      <c r="E58" s="18">
        <f t="shared" si="6"/>
        <v>2.2633649099822239E-2</v>
      </c>
      <c r="F58" s="43">
        <f t="shared" si="1"/>
        <v>7.4632197840363013E-4</v>
      </c>
      <c r="G58" s="29">
        <f t="shared" si="3"/>
        <v>38569254.95785971</v>
      </c>
      <c r="H58" s="26">
        <f t="shared" si="4"/>
        <v>30</v>
      </c>
      <c r="I58" s="22">
        <f t="shared" si="7"/>
        <v>863552.47997111629</v>
      </c>
    </row>
    <row r="59" spans="1:9">
      <c r="A59" s="16">
        <v>42552</v>
      </c>
      <c r="B59" s="16">
        <v>42582</v>
      </c>
      <c r="C59" s="2511">
        <v>0.21340000000000001</v>
      </c>
      <c r="D59" s="18">
        <f t="shared" si="5"/>
        <v>0.3201</v>
      </c>
      <c r="E59" s="18">
        <f t="shared" si="6"/>
        <v>2.3412151466478903E-2</v>
      </c>
      <c r="F59" s="43">
        <f t="shared" si="1"/>
        <v>7.7170731105158374E-4</v>
      </c>
      <c r="G59" s="29">
        <f t="shared" si="3"/>
        <v>39432807.437830828</v>
      </c>
      <c r="H59" s="26">
        <f t="shared" si="4"/>
        <v>31</v>
      </c>
      <c r="I59" s="22">
        <f t="shared" si="7"/>
        <v>943348.159646963</v>
      </c>
    </row>
    <row r="60" spans="1:9">
      <c r="A60" s="16">
        <v>42583</v>
      </c>
      <c r="B60" s="16">
        <v>42613</v>
      </c>
      <c r="C60" s="2511">
        <v>0.21340000000000001</v>
      </c>
      <c r="D60" s="18">
        <f t="shared" si="5"/>
        <v>0.3201</v>
      </c>
      <c r="E60" s="18">
        <f t="shared" si="6"/>
        <v>2.3412151466478903E-2</v>
      </c>
      <c r="F60" s="43">
        <f t="shared" si="1"/>
        <v>7.7170731105158374E-4</v>
      </c>
      <c r="G60" s="29">
        <f>+G59+I59</f>
        <v>40376155.597477794</v>
      </c>
      <c r="H60" s="26">
        <f t="shared" si="4"/>
        <v>31</v>
      </c>
      <c r="I60" s="22">
        <f t="shared" si="7"/>
        <v>965915.80846862821</v>
      </c>
    </row>
    <row r="61" spans="1:9">
      <c r="A61" s="16">
        <v>42614</v>
      </c>
      <c r="B61" s="16">
        <v>42643</v>
      </c>
      <c r="C61" s="2511">
        <v>0.21340000000000001</v>
      </c>
      <c r="D61" s="18">
        <f t="shared" si="5"/>
        <v>0.3201</v>
      </c>
      <c r="E61" s="18">
        <f t="shared" si="6"/>
        <v>2.3412151466478903E-2</v>
      </c>
      <c r="F61" s="43">
        <f t="shared" si="1"/>
        <v>7.7170731105158374E-4</v>
      </c>
      <c r="G61" s="29">
        <f t="shared" si="3"/>
        <v>41342071.405946419</v>
      </c>
      <c r="H61" s="26">
        <f t="shared" si="4"/>
        <v>30</v>
      </c>
      <c r="I61" s="22">
        <f t="shared" si="7"/>
        <v>957119.36273956439</v>
      </c>
    </row>
    <row r="62" spans="1:9">
      <c r="A62" s="16">
        <v>42644</v>
      </c>
      <c r="B62" s="16">
        <v>42674</v>
      </c>
      <c r="C62" s="2512">
        <v>0.21990000000000001</v>
      </c>
      <c r="D62" s="18">
        <f t="shared" si="5"/>
        <v>0.32985000000000003</v>
      </c>
      <c r="E62" s="18">
        <f t="shared" si="6"/>
        <v>2.4039922656450941E-2</v>
      </c>
      <c r="F62" s="43">
        <f t="shared" si="1"/>
        <v>7.9216402386927953E-4</v>
      </c>
      <c r="G62" s="29">
        <f t="shared" si="3"/>
        <v>42299190.768685982</v>
      </c>
      <c r="H62" s="26">
        <f t="shared" si="4"/>
        <v>31</v>
      </c>
      <c r="I62" s="22">
        <f t="shared" si="7"/>
        <v>1038744.8121378337</v>
      </c>
    </row>
    <row r="63" spans="1:9">
      <c r="A63" s="16">
        <v>42675</v>
      </c>
      <c r="B63" s="16">
        <v>42704</v>
      </c>
      <c r="C63" s="2512">
        <v>0.21990000000000001</v>
      </c>
      <c r="D63" s="18">
        <f t="shared" si="5"/>
        <v>0.32985000000000003</v>
      </c>
      <c r="E63" s="18">
        <f t="shared" si="6"/>
        <v>2.4039922656450941E-2</v>
      </c>
      <c r="F63" s="43">
        <f t="shared" si="1"/>
        <v>7.9216402386927953E-4</v>
      </c>
      <c r="G63" s="29">
        <f t="shared" si="3"/>
        <v>43337935.580823816</v>
      </c>
      <c r="H63" s="26">
        <f t="shared" si="4"/>
        <v>30</v>
      </c>
      <c r="I63" s="22">
        <f t="shared" si="7"/>
        <v>1029922.6030767905</v>
      </c>
    </row>
    <row r="64" spans="1:9">
      <c r="A64" s="16">
        <v>42705</v>
      </c>
      <c r="B64" s="16">
        <v>42735</v>
      </c>
      <c r="C64" s="2512">
        <v>0.21990000000000001</v>
      </c>
      <c r="D64" s="18">
        <f t="shared" si="5"/>
        <v>0.32985000000000003</v>
      </c>
      <c r="E64" s="18">
        <f t="shared" si="6"/>
        <v>2.4039922656450941E-2</v>
      </c>
      <c r="F64" s="43">
        <f t="shared" si="1"/>
        <v>7.9216402386927953E-4</v>
      </c>
      <c r="G64" s="29">
        <f t="shared" si="3"/>
        <v>44367858.18390061</v>
      </c>
      <c r="H64" s="26">
        <f t="shared" si="4"/>
        <v>31</v>
      </c>
      <c r="I64" s="22">
        <f t="shared" si="7"/>
        <v>1089545.2531520277</v>
      </c>
    </row>
    <row r="65" spans="1:9">
      <c r="A65" s="16">
        <v>42736</v>
      </c>
      <c r="B65" s="16">
        <v>42766</v>
      </c>
      <c r="C65" s="2511">
        <v>0.22339999999999999</v>
      </c>
      <c r="D65" s="18">
        <f t="shared" si="5"/>
        <v>0.33509999999999995</v>
      </c>
      <c r="E65" s="18">
        <f t="shared" si="6"/>
        <v>2.4376207843189057E-2</v>
      </c>
      <c r="F65" s="43">
        <f t="shared" si="1"/>
        <v>8.0311731340487746E-4</v>
      </c>
      <c r="G65" s="29">
        <f t="shared" si="3"/>
        <v>45457403.437052637</v>
      </c>
      <c r="H65" s="26">
        <f t="shared" si="4"/>
        <v>31</v>
      </c>
      <c r="I65" s="22">
        <f t="shared" si="7"/>
        <v>1131736.4594045482</v>
      </c>
    </row>
    <row r="66" spans="1:9">
      <c r="A66" s="16">
        <v>42767</v>
      </c>
      <c r="B66" s="16">
        <v>42794</v>
      </c>
      <c r="C66" s="2511">
        <v>0.22339999999999999</v>
      </c>
      <c r="D66" s="18">
        <f t="shared" si="5"/>
        <v>0.33509999999999995</v>
      </c>
      <c r="E66" s="18">
        <f t="shared" si="6"/>
        <v>2.4376207843189057E-2</v>
      </c>
      <c r="F66" s="43">
        <f t="shared" si="1"/>
        <v>8.0311731340487746E-4</v>
      </c>
      <c r="G66" s="29">
        <f t="shared" si="3"/>
        <v>46589139.896457188</v>
      </c>
      <c r="H66" s="26">
        <f t="shared" si="4"/>
        <v>28</v>
      </c>
      <c r="I66" s="22">
        <f t="shared" si="7"/>
        <v>1047663.2562896272</v>
      </c>
    </row>
    <row r="67" spans="1:9">
      <c r="A67" s="16">
        <v>42795</v>
      </c>
      <c r="B67" s="16">
        <v>42825</v>
      </c>
      <c r="C67" s="2511">
        <v>0.22339999999999999</v>
      </c>
      <c r="D67" s="18">
        <f t="shared" si="5"/>
        <v>0.33509999999999995</v>
      </c>
      <c r="E67" s="18">
        <f t="shared" si="6"/>
        <v>2.4376207843189057E-2</v>
      </c>
      <c r="F67" s="43">
        <f t="shared" si="1"/>
        <v>8.0311731340487746E-4</v>
      </c>
      <c r="G67" s="29">
        <f t="shared" si="3"/>
        <v>47636803.152746812</v>
      </c>
      <c r="H67" s="26">
        <f t="shared" si="4"/>
        <v>31</v>
      </c>
      <c r="I67" s="22">
        <f t="shared" si="7"/>
        <v>1185996.1823841615</v>
      </c>
    </row>
    <row r="68" spans="1:9">
      <c r="A68" s="16">
        <v>42826</v>
      </c>
      <c r="B68" s="16">
        <v>42855</v>
      </c>
      <c r="C68" s="2511">
        <v>0.2233</v>
      </c>
      <c r="D68" s="18">
        <f t="shared" si="5"/>
        <v>0.33494999999999997</v>
      </c>
      <c r="E68" s="18">
        <f t="shared" si="6"/>
        <v>2.4366616530168139E-2</v>
      </c>
      <c r="F68" s="43">
        <f t="shared" si="1"/>
        <v>8.0280495877915747E-4</v>
      </c>
      <c r="G68" s="29">
        <f t="shared" si="3"/>
        <v>48822799.335130975</v>
      </c>
      <c r="H68" s="26">
        <f t="shared" si="4"/>
        <v>30</v>
      </c>
      <c r="I68" s="22">
        <f t="shared" si="7"/>
        <v>1175855.5622316869</v>
      </c>
    </row>
    <row r="69" spans="1:9">
      <c r="A69" s="16">
        <v>42856</v>
      </c>
      <c r="B69" s="16">
        <v>42886</v>
      </c>
      <c r="C69" s="2511">
        <v>0.2233</v>
      </c>
      <c r="D69" s="18">
        <f t="shared" si="5"/>
        <v>0.33494999999999997</v>
      </c>
      <c r="E69" s="18">
        <f t="shared" si="6"/>
        <v>2.4366616530168139E-2</v>
      </c>
      <c r="F69" s="43">
        <f t="shared" si="1"/>
        <v>8.0280495877915747E-4</v>
      </c>
      <c r="G69" s="29">
        <f>+G68+I68</f>
        <v>49998654.897362664</v>
      </c>
      <c r="H69" s="26">
        <f t="shared" si="4"/>
        <v>31</v>
      </c>
      <c r="I69" s="22">
        <f t="shared" si="7"/>
        <v>1244314.2106006071</v>
      </c>
    </row>
    <row r="70" spans="1:9">
      <c r="A70" s="16">
        <v>42887</v>
      </c>
      <c r="B70" s="16">
        <v>42916</v>
      </c>
      <c r="C70" s="2511">
        <v>0.2233</v>
      </c>
      <c r="D70" s="18">
        <f t="shared" si="5"/>
        <v>0.33494999999999997</v>
      </c>
      <c r="E70" s="18">
        <f t="shared" si="6"/>
        <v>2.4366616530168139E-2</v>
      </c>
      <c r="F70" s="43">
        <f t="shared" si="1"/>
        <v>8.0280495877915747E-4</v>
      </c>
      <c r="G70" s="29">
        <f t="shared" si="3"/>
        <v>51242969.107963271</v>
      </c>
      <c r="H70" s="26">
        <f t="shared" si="4"/>
        <v>30</v>
      </c>
      <c r="I70" s="22">
        <f t="shared" si="7"/>
        <v>1234143.2910732029</v>
      </c>
    </row>
    <row r="71" spans="1:9">
      <c r="A71" s="16">
        <v>42917</v>
      </c>
      <c r="B71" s="16">
        <v>42947</v>
      </c>
      <c r="C71" s="2511">
        <v>0.2198</v>
      </c>
      <c r="D71" s="18">
        <f t="shared" si="5"/>
        <v>0.32969999999999999</v>
      </c>
      <c r="E71" s="18">
        <f t="shared" si="6"/>
        <v>2.4030296637850723E-2</v>
      </c>
      <c r="F71" s="43">
        <f t="shared" si="1"/>
        <v>7.9185043948837297E-4</v>
      </c>
      <c r="G71" s="29">
        <f t="shared" si="3"/>
        <v>52477112.399036475</v>
      </c>
      <c r="H71" s="26">
        <f t="shared" si="4"/>
        <v>31</v>
      </c>
      <c r="I71" s="22">
        <f t="shared" si="7"/>
        <v>1288174.7600039912</v>
      </c>
    </row>
    <row r="72" spans="1:9">
      <c r="A72" s="16">
        <v>42948</v>
      </c>
      <c r="B72" s="16">
        <v>42978</v>
      </c>
      <c r="C72" s="2511">
        <v>0.2198</v>
      </c>
      <c r="D72" s="18">
        <f t="shared" si="5"/>
        <v>0.32969999999999999</v>
      </c>
      <c r="E72" s="18">
        <f t="shared" si="6"/>
        <v>2.4030296637850723E-2</v>
      </c>
      <c r="F72" s="43">
        <f t="shared" si="1"/>
        <v>7.9185043948837297E-4</v>
      </c>
      <c r="G72" s="29">
        <f t="shared" si="3"/>
        <v>53765287.159040466</v>
      </c>
      <c r="H72" s="26">
        <f t="shared" si="4"/>
        <v>31</v>
      </c>
      <c r="I72" s="22">
        <f t="shared" si="7"/>
        <v>1319796.0542492478</v>
      </c>
    </row>
    <row r="73" spans="1:9">
      <c r="A73" s="16">
        <v>42979</v>
      </c>
      <c r="B73" s="16">
        <v>43008</v>
      </c>
      <c r="C73" s="2511">
        <v>0.21479999999999999</v>
      </c>
      <c r="D73" s="18">
        <f t="shared" si="5"/>
        <v>0.32219999999999999</v>
      </c>
      <c r="E73" s="18">
        <f t="shared" si="6"/>
        <v>2.3547722012123629E-2</v>
      </c>
      <c r="F73" s="43">
        <f t="shared" si="1"/>
        <v>7.7612607430821434E-4</v>
      </c>
      <c r="G73" s="29">
        <f t="shared" si="3"/>
        <v>55085083.213289715</v>
      </c>
      <c r="H73" s="26">
        <f t="shared" si="4"/>
        <v>30</v>
      </c>
      <c r="I73" s="22">
        <f t="shared" si="7"/>
        <v>1282589.0816181558</v>
      </c>
    </row>
    <row r="74" spans="1:9">
      <c r="A74" s="16">
        <v>43009</v>
      </c>
      <c r="B74" s="16">
        <v>43039</v>
      </c>
      <c r="C74" s="2511">
        <v>0.21149999999999999</v>
      </c>
      <c r="D74" s="18">
        <f t="shared" si="5"/>
        <v>0.31724999999999998</v>
      </c>
      <c r="E74" s="18">
        <f t="shared" si="6"/>
        <v>2.3227846316473233E-2</v>
      </c>
      <c r="F74" s="43">
        <f t="shared" si="1"/>
        <v>7.6569919281332943E-4</v>
      </c>
      <c r="G74" s="29">
        <f t="shared" si="3"/>
        <v>56367672.294907868</v>
      </c>
      <c r="H74" s="26">
        <f t="shared" si="4"/>
        <v>31</v>
      </c>
      <c r="I74" s="22">
        <f t="shared" si="7"/>
        <v>1337981.116486294</v>
      </c>
    </row>
    <row r="75" spans="1:9">
      <c r="A75" s="16">
        <v>43040</v>
      </c>
      <c r="B75" s="16">
        <v>43069</v>
      </c>
      <c r="C75" s="2512">
        <v>0.20960000000000001</v>
      </c>
      <c r="D75" s="18">
        <f t="shared" si="5"/>
        <v>0.31440000000000001</v>
      </c>
      <c r="E75" s="18">
        <f t="shared" si="6"/>
        <v>2.3043175271197036E-2</v>
      </c>
      <c r="F75" s="43">
        <f t="shared" si="1"/>
        <v>7.5967809751897875E-4</v>
      </c>
      <c r="G75" s="29">
        <f t="shared" si="3"/>
        <v>57705653.411394164</v>
      </c>
      <c r="H75" s="26">
        <f t="shared" si="4"/>
        <v>30</v>
      </c>
      <c r="I75" s="22">
        <f t="shared" si="7"/>
        <v>1315131.6299897244</v>
      </c>
    </row>
    <row r="76" spans="1:9">
      <c r="A76" s="16">
        <v>43070</v>
      </c>
      <c r="B76" s="16">
        <v>43100</v>
      </c>
      <c r="C76" s="2511">
        <v>0.2077</v>
      </c>
      <c r="D76" s="18">
        <f t="shared" ref="D76:D112" si="8">+C76*1.5</f>
        <v>0.31154999999999999</v>
      </c>
      <c r="E76" s="18">
        <f t="shared" ref="E76:E112" si="9">(1+D76)^(1/12)-1</f>
        <v>2.2858136808515228E-2</v>
      </c>
      <c r="F76" s="43">
        <f t="shared" ref="F76:F112" si="10">((1+E76)^(1/30)-1)</f>
        <v>7.5364396890975627E-4</v>
      </c>
      <c r="G76" s="29">
        <f t="shared" si="3"/>
        <v>59020785.041383885</v>
      </c>
      <c r="H76" s="26">
        <f t="shared" si="4"/>
        <v>31</v>
      </c>
      <c r="I76" s="22">
        <f t="shared" si="7"/>
        <v>1378900.4192895018</v>
      </c>
    </row>
    <row r="77" spans="1:9">
      <c r="A77" s="16">
        <v>43101</v>
      </c>
      <c r="B77" s="16">
        <v>43131</v>
      </c>
      <c r="C77" s="2511">
        <v>0.2069</v>
      </c>
      <c r="D77" s="18">
        <f t="shared" si="8"/>
        <v>0.31035000000000001</v>
      </c>
      <c r="E77" s="18">
        <f t="shared" si="9"/>
        <v>2.2780115587483163E-2</v>
      </c>
      <c r="F77" s="43">
        <f t="shared" si="10"/>
        <v>7.5109937035766627E-4</v>
      </c>
      <c r="G77" s="29">
        <f>+G76+I76</f>
        <v>60399685.460673384</v>
      </c>
      <c r="H77" s="26">
        <f t="shared" si="4"/>
        <v>31</v>
      </c>
      <c r="I77" s="22">
        <f t="shared" si="7"/>
        <v>1406351.137298699</v>
      </c>
    </row>
    <row r="78" spans="1:9">
      <c r="A78" s="16">
        <v>43132</v>
      </c>
      <c r="B78" s="16">
        <v>43159</v>
      </c>
      <c r="C78" s="2511">
        <v>0.21010000000000001</v>
      </c>
      <c r="D78" s="18">
        <f t="shared" si="8"/>
        <v>0.31515000000000004</v>
      </c>
      <c r="E78" s="18">
        <f t="shared" si="9"/>
        <v>2.3091808474569486E-2</v>
      </c>
      <c r="F78" s="43">
        <f t="shared" si="10"/>
        <v>7.612638575953401E-4</v>
      </c>
      <c r="G78" s="29">
        <f t="shared" ref="G78:G86" si="11">+G77+I77</f>
        <v>61806036.59797208</v>
      </c>
      <c r="H78" s="26">
        <f t="shared" ref="H78:H112" si="12">+_xlfn.DAYS(B78,A78)+1</f>
        <v>28</v>
      </c>
      <c r="I78" s="22">
        <f t="shared" si="7"/>
        <v>1317419.6516110278</v>
      </c>
    </row>
    <row r="79" spans="1:9">
      <c r="A79" s="16">
        <v>43160</v>
      </c>
      <c r="B79" s="16">
        <v>43190</v>
      </c>
      <c r="C79" s="2511">
        <v>0.20680000000000001</v>
      </c>
      <c r="D79" s="18">
        <f t="shared" si="8"/>
        <v>0.31020000000000003</v>
      </c>
      <c r="E79" s="18">
        <f t="shared" si="9"/>
        <v>2.2770358330055807E-2</v>
      </c>
      <c r="F79" s="43">
        <f t="shared" si="10"/>
        <v>7.5078113215654163E-4</v>
      </c>
      <c r="G79" s="29">
        <f t="shared" si="11"/>
        <v>63123456.24958311</v>
      </c>
      <c r="H79" s="26">
        <f t="shared" si="12"/>
        <v>31</v>
      </c>
      <c r="I79" s="22">
        <f t="shared" ref="I79:I112" si="13">(F79*G79)*H79</f>
        <v>1469148.8984095738</v>
      </c>
    </row>
    <row r="80" spans="1:9">
      <c r="A80" s="16">
        <v>43191</v>
      </c>
      <c r="B80" s="16">
        <v>43220</v>
      </c>
      <c r="C80" s="2514">
        <v>0.20480000000000001</v>
      </c>
      <c r="D80" s="18">
        <f t="shared" si="8"/>
        <v>0.30720000000000003</v>
      </c>
      <c r="E80" s="18">
        <f t="shared" si="9"/>
        <v>2.2574997834371668E-2</v>
      </c>
      <c r="F80" s="43">
        <f t="shared" si="10"/>
        <v>7.4440872675962666E-4</v>
      </c>
      <c r="G80" s="29">
        <f t="shared" si="11"/>
        <v>64592605.147992685</v>
      </c>
      <c r="H80" s="26">
        <f t="shared" si="12"/>
        <v>30</v>
      </c>
      <c r="I80" s="22">
        <f t="shared" si="13"/>
        <v>1442498.9686891362</v>
      </c>
    </row>
    <row r="81" spans="1:9">
      <c r="A81" s="16">
        <v>43221</v>
      </c>
      <c r="B81" s="16">
        <v>43251</v>
      </c>
      <c r="C81" s="2512">
        <v>0.2044</v>
      </c>
      <c r="D81" s="18">
        <f t="shared" si="8"/>
        <v>0.30659999999999998</v>
      </c>
      <c r="E81" s="18">
        <f t="shared" si="9"/>
        <v>2.2535876422826506E-2</v>
      </c>
      <c r="F81" s="43">
        <f t="shared" si="10"/>
        <v>7.4313249574453621E-4</v>
      </c>
      <c r="G81" s="29">
        <f t="shared" si="11"/>
        <v>66035104.116681822</v>
      </c>
      <c r="H81" s="26">
        <f t="shared" si="12"/>
        <v>31</v>
      </c>
      <c r="I81" s="22">
        <f t="shared" si="13"/>
        <v>1521257.783598382</v>
      </c>
    </row>
    <row r="82" spans="1:9">
      <c r="A82" s="16">
        <v>43252</v>
      </c>
      <c r="B82" s="16">
        <v>43281</v>
      </c>
      <c r="C82" s="2511">
        <v>0.20280000000000001</v>
      </c>
      <c r="D82" s="18">
        <f t="shared" si="8"/>
        <v>0.30420000000000003</v>
      </c>
      <c r="E82" s="18">
        <f t="shared" si="9"/>
        <v>2.2379225919199275E-2</v>
      </c>
      <c r="F82" s="43">
        <f t="shared" si="10"/>
        <v>7.3802172071268934E-4</v>
      </c>
      <c r="G82" s="29">
        <f t="shared" si="11"/>
        <v>67556361.900280207</v>
      </c>
      <c r="H82" s="26">
        <f t="shared" si="12"/>
        <v>30</v>
      </c>
      <c r="I82" s="22">
        <f t="shared" si="13"/>
        <v>1495741.873642019</v>
      </c>
    </row>
    <row r="83" spans="1:9">
      <c r="A83" s="16">
        <v>43282</v>
      </c>
      <c r="B83" s="16">
        <v>43312</v>
      </c>
      <c r="C83" s="2511">
        <v>0.20030000000000001</v>
      </c>
      <c r="D83" s="18">
        <f t="shared" si="8"/>
        <v>0.30044999999999999</v>
      </c>
      <c r="E83" s="18">
        <f t="shared" si="9"/>
        <v>2.2133929699163168E-2</v>
      </c>
      <c r="F83" s="43">
        <f t="shared" si="10"/>
        <v>7.3001732863997582E-4</v>
      </c>
      <c r="G83" s="29">
        <f t="shared" si="11"/>
        <v>69052103.77392222</v>
      </c>
      <c r="H83" s="26">
        <f t="shared" si="12"/>
        <v>31</v>
      </c>
      <c r="I83" s="22">
        <f t="shared" si="13"/>
        <v>1562686.2023542817</v>
      </c>
    </row>
    <row r="84" spans="1:9">
      <c r="A84" s="16">
        <v>43313</v>
      </c>
      <c r="B84" s="16">
        <v>43343</v>
      </c>
      <c r="C84" s="2512">
        <v>0.19939999999999999</v>
      </c>
      <c r="D84" s="18">
        <f t="shared" si="8"/>
        <v>0.29909999999999998</v>
      </c>
      <c r="E84" s="18">
        <f t="shared" si="9"/>
        <v>2.2045464310016527E-2</v>
      </c>
      <c r="F84" s="43">
        <f t="shared" si="10"/>
        <v>7.2713011163028085E-4</v>
      </c>
      <c r="G84" s="29">
        <f t="shared" si="11"/>
        <v>70614789.976276502</v>
      </c>
      <c r="H84" s="26">
        <f t="shared" si="12"/>
        <v>31</v>
      </c>
      <c r="I84" s="22">
        <f t="shared" si="13"/>
        <v>1591730.3436641619</v>
      </c>
    </row>
    <row r="85" spans="1:9">
      <c r="A85" s="16">
        <v>43344</v>
      </c>
      <c r="B85" s="16">
        <v>43373</v>
      </c>
      <c r="C85" s="2516">
        <v>0.1981</v>
      </c>
      <c r="D85" s="18">
        <f t="shared" si="8"/>
        <v>0.29715000000000003</v>
      </c>
      <c r="E85" s="18">
        <f t="shared" si="9"/>
        <v>2.1917532081249247E-2</v>
      </c>
      <c r="F85" s="43">
        <f t="shared" si="10"/>
        <v>7.2295440050984539E-4</v>
      </c>
      <c r="G85" s="29">
        <f>+G84+I84</f>
        <v>72206520.319940656</v>
      </c>
      <c r="H85" s="26">
        <f t="shared" si="12"/>
        <v>30</v>
      </c>
      <c r="I85" s="22">
        <f t="shared" si="13"/>
        <v>1566060.6483241399</v>
      </c>
    </row>
    <row r="86" spans="1:9">
      <c r="A86" s="16">
        <v>43374</v>
      </c>
      <c r="B86" s="16">
        <v>43404</v>
      </c>
      <c r="C86" s="2516">
        <v>0.1963</v>
      </c>
      <c r="D86" s="18">
        <f t="shared" si="8"/>
        <v>0.29444999999999999</v>
      </c>
      <c r="E86" s="18">
        <f t="shared" si="9"/>
        <v>2.1740103800155453E-2</v>
      </c>
      <c r="F86" s="43">
        <f t="shared" si="10"/>
        <v>7.1716230053064933E-4</v>
      </c>
      <c r="G86" s="29">
        <f t="shared" si="11"/>
        <v>73772580.968264803</v>
      </c>
      <c r="H86" s="26">
        <f t="shared" si="12"/>
        <v>31</v>
      </c>
      <c r="I86" s="22">
        <f t="shared" si="13"/>
        <v>1640114.3303818158</v>
      </c>
    </row>
    <row r="87" spans="1:9">
      <c r="A87" s="16">
        <v>43405</v>
      </c>
      <c r="B87" s="16">
        <v>43434</v>
      </c>
      <c r="C87" s="2516">
        <v>0.19489999999999999</v>
      </c>
      <c r="D87" s="18">
        <f t="shared" si="8"/>
        <v>0.29235</v>
      </c>
      <c r="E87" s="18">
        <f t="shared" si="9"/>
        <v>2.1601869331581591E-2</v>
      </c>
      <c r="F87" s="43">
        <f t="shared" si="10"/>
        <v>7.1264899845968621E-4</v>
      </c>
      <c r="G87" s="29">
        <f>+G86+I86</f>
        <v>75412695.298646614</v>
      </c>
      <c r="H87" s="26">
        <f t="shared" si="12"/>
        <v>30</v>
      </c>
      <c r="I87" s="22">
        <f t="shared" si="13"/>
        <v>1612283.4532717799</v>
      </c>
    </row>
    <row r="88" spans="1:9">
      <c r="A88" s="16">
        <v>43435</v>
      </c>
      <c r="B88" s="16">
        <v>43465</v>
      </c>
      <c r="C88" s="2516">
        <v>0.19400000000000001</v>
      </c>
      <c r="D88" s="18">
        <f t="shared" si="8"/>
        <v>0.29100000000000004</v>
      </c>
      <c r="E88" s="18">
        <f t="shared" si="9"/>
        <v>2.1512895544899102E-2</v>
      </c>
      <c r="F88" s="43">
        <f t="shared" si="10"/>
        <v>7.0974372636878336E-4</v>
      </c>
      <c r="G88" s="29">
        <f t="shared" ref="G88:G117" si="14">+G87+I87</f>
        <v>77024978.75191839</v>
      </c>
      <c r="H88" s="26">
        <f t="shared" si="12"/>
        <v>31</v>
      </c>
      <c r="I88" s="22">
        <f t="shared" si="13"/>
        <v>1694707.8587287506</v>
      </c>
    </row>
    <row r="89" spans="1:9">
      <c r="A89" s="16">
        <v>43466</v>
      </c>
      <c r="B89" s="16">
        <v>43496</v>
      </c>
      <c r="C89" s="2516">
        <v>0.19159999999999999</v>
      </c>
      <c r="D89" s="18">
        <f t="shared" si="8"/>
        <v>0.28739999999999999</v>
      </c>
      <c r="E89" s="18">
        <f t="shared" si="9"/>
        <v>2.127521449135017E-2</v>
      </c>
      <c r="F89" s="43">
        <f t="shared" si="10"/>
        <v>7.0198149775513308E-4</v>
      </c>
      <c r="G89" s="29">
        <f t="shared" si="14"/>
        <v>78719686.610647142</v>
      </c>
      <c r="H89" s="26">
        <f t="shared" si="12"/>
        <v>31</v>
      </c>
      <c r="I89" s="22">
        <f t="shared" si="13"/>
        <v>1713052.66880246</v>
      </c>
    </row>
    <row r="90" spans="1:9">
      <c r="A90" s="16">
        <v>43497</v>
      </c>
      <c r="B90" s="16">
        <v>43524</v>
      </c>
      <c r="C90" s="2516">
        <v>0.19700000000000001</v>
      </c>
      <c r="D90" s="18">
        <f t="shared" si="8"/>
        <v>0.29549999999999998</v>
      </c>
      <c r="E90" s="18">
        <f t="shared" si="9"/>
        <v>2.1809143962671307E-2</v>
      </c>
      <c r="F90" s="43">
        <f t="shared" si="10"/>
        <v>7.1941621418680768E-4</v>
      </c>
      <c r="G90" s="29">
        <f t="shared" si="14"/>
        <v>80432739.279449597</v>
      </c>
      <c r="H90" s="26">
        <f t="shared" si="12"/>
        <v>28</v>
      </c>
      <c r="I90" s="22">
        <f t="shared" si="13"/>
        <v>1620209.2700946929</v>
      </c>
    </row>
    <row r="91" spans="1:9">
      <c r="A91" s="16">
        <v>43525</v>
      </c>
      <c r="B91" s="16">
        <v>43555</v>
      </c>
      <c r="C91" s="2516">
        <v>0.19370000000000001</v>
      </c>
      <c r="D91" s="18">
        <f t="shared" si="8"/>
        <v>0.29055000000000003</v>
      </c>
      <c r="E91" s="18">
        <f t="shared" si="9"/>
        <v>2.1483218662772696E-2</v>
      </c>
      <c r="F91" s="43">
        <f t="shared" si="10"/>
        <v>7.0877462905394317E-4</v>
      </c>
      <c r="G91" s="29">
        <f t="shared" si="14"/>
        <v>82052948.54954429</v>
      </c>
      <c r="H91" s="26">
        <f t="shared" si="12"/>
        <v>31</v>
      </c>
      <c r="I91" s="22">
        <f t="shared" si="13"/>
        <v>1802868.4933005515</v>
      </c>
    </row>
    <row r="92" spans="1:9">
      <c r="A92" s="16">
        <v>43556</v>
      </c>
      <c r="B92" s="16">
        <v>43585</v>
      </c>
      <c r="C92" s="2516">
        <v>0.19320000000000001</v>
      </c>
      <c r="D92" s="18">
        <f t="shared" si="8"/>
        <v>0.2898</v>
      </c>
      <c r="E92" s="18">
        <f t="shared" si="9"/>
        <v>2.1433736106823309E-2</v>
      </c>
      <c r="F92" s="43">
        <f t="shared" si="10"/>
        <v>7.0715871778403994E-4</v>
      </c>
      <c r="G92" s="29">
        <f t="shared" si="14"/>
        <v>83855817.042844847</v>
      </c>
      <c r="H92" s="26">
        <f t="shared" si="12"/>
        <v>30</v>
      </c>
      <c r="I92" s="22">
        <f t="shared" si="13"/>
        <v>1778981.1617625363</v>
      </c>
    </row>
    <row r="93" spans="1:9">
      <c r="A93" s="16">
        <v>43586</v>
      </c>
      <c r="B93" s="16">
        <v>43616</v>
      </c>
      <c r="C93" s="2516">
        <v>0.19339999999999999</v>
      </c>
      <c r="D93" s="18">
        <f t="shared" si="8"/>
        <v>0.29009999999999997</v>
      </c>
      <c r="E93" s="18">
        <f t="shared" si="9"/>
        <v>2.1453532293473465E-2</v>
      </c>
      <c r="F93" s="43">
        <f t="shared" si="10"/>
        <v>7.0780519470603487E-4</v>
      </c>
      <c r="G93" s="29">
        <f t="shared" si="14"/>
        <v>85634798.204607382</v>
      </c>
      <c r="H93" s="26">
        <f t="shared" si="12"/>
        <v>31</v>
      </c>
      <c r="I93" s="22">
        <f t="shared" si="13"/>
        <v>1878995.4055215481</v>
      </c>
    </row>
    <row r="94" spans="1:9">
      <c r="A94" s="16">
        <v>43617</v>
      </c>
      <c r="B94" s="16">
        <v>43646</v>
      </c>
      <c r="C94" s="2516">
        <v>0.193</v>
      </c>
      <c r="D94" s="18">
        <f t="shared" si="8"/>
        <v>0.28949999999999998</v>
      </c>
      <c r="E94" s="18">
        <f t="shared" si="9"/>
        <v>2.1413935698951558E-2</v>
      </c>
      <c r="F94" s="43">
        <f t="shared" si="10"/>
        <v>7.0651209089578337E-4</v>
      </c>
      <c r="G94" s="29">
        <f t="shared" si="14"/>
        <v>87513793.610128924</v>
      </c>
      <c r="H94" s="26">
        <f t="shared" si="12"/>
        <v>30</v>
      </c>
      <c r="I94" s="22">
        <f t="shared" si="13"/>
        <v>1854886.5991714268</v>
      </c>
    </row>
    <row r="95" spans="1:9">
      <c r="A95" s="16">
        <v>43647</v>
      </c>
      <c r="B95" s="16">
        <v>43677</v>
      </c>
      <c r="C95" s="2516">
        <v>0.1928</v>
      </c>
      <c r="D95" s="18">
        <f t="shared" si="8"/>
        <v>0.28920000000000001</v>
      </c>
      <c r="E95" s="18">
        <f t="shared" si="9"/>
        <v>2.1394131067975497E-2</v>
      </c>
      <c r="F95" s="43">
        <f t="shared" si="10"/>
        <v>7.0586531397109908E-4</v>
      </c>
      <c r="G95" s="29">
        <f t="shared" si="14"/>
        <v>89368680.209300354</v>
      </c>
      <c r="H95" s="26">
        <f t="shared" si="12"/>
        <v>31</v>
      </c>
      <c r="I95" s="22">
        <f t="shared" si="13"/>
        <v>1955549.7969687369</v>
      </c>
    </row>
    <row r="96" spans="1:9">
      <c r="A96" s="16">
        <v>43678</v>
      </c>
      <c r="B96" s="16">
        <v>43708</v>
      </c>
      <c r="C96" s="2516">
        <v>0.19320000000000001</v>
      </c>
      <c r="D96" s="18">
        <f t="shared" si="8"/>
        <v>0.2898</v>
      </c>
      <c r="E96" s="18">
        <f t="shared" si="9"/>
        <v>2.1433736106823309E-2</v>
      </c>
      <c r="F96" s="43">
        <f t="shared" si="10"/>
        <v>7.0715871778403994E-4</v>
      </c>
      <c r="G96" s="29">
        <f>+G95+I95</f>
        <v>91324230.006269097</v>
      </c>
      <c r="H96" s="26">
        <f t="shared" si="12"/>
        <v>31</v>
      </c>
      <c r="I96" s="22">
        <f t="shared" si="13"/>
        <v>2002002.4872092879</v>
      </c>
    </row>
    <row r="97" spans="1:9">
      <c r="A97" s="16">
        <v>43709</v>
      </c>
      <c r="B97" s="16">
        <v>43738</v>
      </c>
      <c r="C97" s="2516">
        <v>0.19320000000000001</v>
      </c>
      <c r="D97" s="18">
        <f t="shared" si="8"/>
        <v>0.2898</v>
      </c>
      <c r="E97" s="18">
        <f t="shared" si="9"/>
        <v>2.1433736106823309E-2</v>
      </c>
      <c r="F97" s="43">
        <f t="shared" si="10"/>
        <v>7.0715871778403994E-4</v>
      </c>
      <c r="G97" s="29">
        <f t="shared" si="14"/>
        <v>93326232.493478388</v>
      </c>
      <c r="H97" s="26">
        <f t="shared" si="12"/>
        <v>30</v>
      </c>
      <c r="I97" s="22">
        <f t="shared" si="13"/>
        <v>1979893.7671711012</v>
      </c>
    </row>
    <row r="98" spans="1:9">
      <c r="A98" s="16">
        <v>43739</v>
      </c>
      <c r="B98" s="16">
        <v>43769</v>
      </c>
      <c r="C98" s="2516">
        <v>0.191</v>
      </c>
      <c r="D98" s="18">
        <f t="shared" si="8"/>
        <v>0.28649999999999998</v>
      </c>
      <c r="E98" s="18">
        <f t="shared" si="9"/>
        <v>2.1215699038257929E-2</v>
      </c>
      <c r="F98" s="43">
        <f t="shared" si="10"/>
        <v>7.0003755849890048E-4</v>
      </c>
      <c r="G98" s="29">
        <f t="shared" si="14"/>
        <v>95306126.260649487</v>
      </c>
      <c r="H98" s="26">
        <f t="shared" si="12"/>
        <v>31</v>
      </c>
      <c r="I98" s="22">
        <f t="shared" si="13"/>
        <v>2068253.9060622833</v>
      </c>
    </row>
    <row r="99" spans="1:9">
      <c r="A99" s="16">
        <v>43770</v>
      </c>
      <c r="B99" s="16">
        <v>43799</v>
      </c>
      <c r="C99" s="2516">
        <v>0.1903</v>
      </c>
      <c r="D99" s="18">
        <f t="shared" si="8"/>
        <v>0.28544999999999998</v>
      </c>
      <c r="E99" s="18">
        <f t="shared" si="9"/>
        <v>2.1146216086632474E-2</v>
      </c>
      <c r="F99" s="43">
        <f t="shared" si="10"/>
        <v>6.9776791461384491E-4</v>
      </c>
      <c r="G99" s="29">
        <f t="shared" si="14"/>
        <v>97374380.166711777</v>
      </c>
      <c r="H99" s="26">
        <f t="shared" si="12"/>
        <v>30</v>
      </c>
      <c r="I99" s="22">
        <f t="shared" si="13"/>
        <v>2038341.5455722664</v>
      </c>
    </row>
    <row r="100" spans="1:9">
      <c r="A100" s="16">
        <v>43800</v>
      </c>
      <c r="B100" s="16">
        <v>43830</v>
      </c>
      <c r="C100" s="2516">
        <v>0.18909999999999999</v>
      </c>
      <c r="D100" s="18">
        <f t="shared" si="8"/>
        <v>0.28364999999999996</v>
      </c>
      <c r="E100" s="18">
        <f t="shared" si="9"/>
        <v>2.102698132372427E-2</v>
      </c>
      <c r="F100" s="43">
        <f t="shared" si="10"/>
        <v>6.9387279187016482E-4</v>
      </c>
      <c r="G100" s="29">
        <f t="shared" si="14"/>
        <v>99412721.712284043</v>
      </c>
      <c r="H100" s="26">
        <f t="shared" si="12"/>
        <v>31</v>
      </c>
      <c r="I100" s="22">
        <f t="shared" si="13"/>
        <v>2138373.2656193427</v>
      </c>
    </row>
    <row r="101" spans="1:9">
      <c r="A101" s="16">
        <v>43831</v>
      </c>
      <c r="B101" s="16">
        <v>43861</v>
      </c>
      <c r="C101" s="2516">
        <v>0.18770000000000001</v>
      </c>
      <c r="D101" s="18">
        <f t="shared" si="8"/>
        <v>0.28155000000000002</v>
      </c>
      <c r="E101" s="18">
        <f t="shared" si="9"/>
        <v>2.0887680238021122E-2</v>
      </c>
      <c r="F101" s="43">
        <f t="shared" si="10"/>
        <v>6.8932159199941445E-4</v>
      </c>
      <c r="G101" s="29">
        <f t="shared" si="14"/>
        <v>101551094.97790338</v>
      </c>
      <c r="H101" s="26">
        <f t="shared" si="12"/>
        <v>31</v>
      </c>
      <c r="I101" s="22">
        <f t="shared" si="13"/>
        <v>2170042.2362430152</v>
      </c>
    </row>
    <row r="102" spans="1:9">
      <c r="A102" s="16">
        <v>43862</v>
      </c>
      <c r="B102" s="16">
        <v>43890</v>
      </c>
      <c r="C102" s="2517">
        <v>0.19059999999999999</v>
      </c>
      <c r="D102" s="18">
        <f t="shared" si="8"/>
        <v>0.28589999999999999</v>
      </c>
      <c r="E102" s="18">
        <f t="shared" si="9"/>
        <v>2.1176000862688671E-2</v>
      </c>
      <c r="F102" s="43">
        <f t="shared" si="10"/>
        <v>6.9874084543286585E-4</v>
      </c>
      <c r="G102" s="29">
        <f t="shared" si="14"/>
        <v>103721137.21414639</v>
      </c>
      <c r="H102" s="26">
        <f t="shared" si="12"/>
        <v>29</v>
      </c>
      <c r="I102" s="22">
        <f t="shared" si="13"/>
        <v>2101751.658081857</v>
      </c>
    </row>
    <row r="103" spans="1:9">
      <c r="A103" s="16">
        <v>43891</v>
      </c>
      <c r="B103" s="16">
        <v>43921</v>
      </c>
      <c r="C103" s="2518">
        <v>0.1895</v>
      </c>
      <c r="D103" s="39">
        <f t="shared" si="8"/>
        <v>0.28425</v>
      </c>
      <c r="E103" s="18">
        <f t="shared" si="9"/>
        <v>2.1066743264638976E-2</v>
      </c>
      <c r="F103" s="43">
        <f t="shared" si="10"/>
        <v>6.9517177098465943E-4</v>
      </c>
      <c r="G103" s="29">
        <f t="shared" si="14"/>
        <v>105822888.87222825</v>
      </c>
      <c r="H103" s="26">
        <f t="shared" si="12"/>
        <v>31</v>
      </c>
      <c r="I103" s="22">
        <f t="shared" si="13"/>
        <v>2280517.6371086114</v>
      </c>
    </row>
    <row r="104" spans="1:9">
      <c r="A104" s="16">
        <v>43922</v>
      </c>
      <c r="B104" s="16">
        <v>43951</v>
      </c>
      <c r="C104" s="2517">
        <v>0.18690000000000001</v>
      </c>
      <c r="D104" s="18">
        <f t="shared" si="8"/>
        <v>0.28034999999999999</v>
      </c>
      <c r="E104" s="18">
        <f t="shared" si="9"/>
        <v>2.0807985643612081E-2</v>
      </c>
      <c r="F104" s="43">
        <f t="shared" si="10"/>
        <v>6.8671756609983703E-4</v>
      </c>
      <c r="G104" s="29">
        <f>+G103+I103</f>
        <v>108103406.50933686</v>
      </c>
      <c r="H104" s="26">
        <f t="shared" si="12"/>
        <v>30</v>
      </c>
      <c r="I104" s="22">
        <f t="shared" si="13"/>
        <v>2227095.2461557924</v>
      </c>
    </row>
    <row r="105" spans="1:9">
      <c r="A105" s="16">
        <v>43952</v>
      </c>
      <c r="B105" s="16">
        <v>43982</v>
      </c>
      <c r="C105" s="28">
        <v>0.18190000000000001</v>
      </c>
      <c r="D105" s="18">
        <f t="shared" si="8"/>
        <v>0.27285000000000004</v>
      </c>
      <c r="E105" s="18">
        <f t="shared" si="9"/>
        <v>2.0308337615317473E-2</v>
      </c>
      <c r="F105" s="43">
        <f t="shared" si="10"/>
        <v>6.7038705552269207E-4</v>
      </c>
      <c r="G105" s="29">
        <f t="shared" si="14"/>
        <v>110330501.75549266</v>
      </c>
      <c r="H105" s="26">
        <f t="shared" si="12"/>
        <v>31</v>
      </c>
      <c r="I105" s="22">
        <f t="shared" si="13"/>
        <v>2292888.3463923838</v>
      </c>
    </row>
    <row r="106" spans="1:9">
      <c r="A106" s="16">
        <v>43983</v>
      </c>
      <c r="B106" s="16">
        <v>44012</v>
      </c>
      <c r="C106" s="28">
        <v>0.1812</v>
      </c>
      <c r="D106" s="18">
        <f t="shared" si="8"/>
        <v>0.27179999999999999</v>
      </c>
      <c r="E106" s="18">
        <f t="shared" si="9"/>
        <v>2.0238171647650516E-2</v>
      </c>
      <c r="F106" s="43">
        <f t="shared" si="10"/>
        <v>6.6809313000626425E-4</v>
      </c>
      <c r="G106" s="29">
        <f t="shared" si="14"/>
        <v>112623390.10188504</v>
      </c>
      <c r="H106" s="26">
        <f t="shared" si="12"/>
        <v>30</v>
      </c>
      <c r="I106" s="22">
        <f t="shared" si="13"/>
        <v>2257287.3961525471</v>
      </c>
    </row>
    <row r="107" spans="1:9">
      <c r="A107" s="16">
        <v>44013</v>
      </c>
      <c r="B107" s="16">
        <v>44043</v>
      </c>
      <c r="C107" s="28">
        <v>0.1812</v>
      </c>
      <c r="D107" s="18">
        <f t="shared" si="8"/>
        <v>0.27179999999999999</v>
      </c>
      <c r="E107" s="18">
        <f t="shared" si="9"/>
        <v>2.0238171647650516E-2</v>
      </c>
      <c r="F107" s="43">
        <f t="shared" si="10"/>
        <v>6.6809313000626425E-4</v>
      </c>
      <c r="G107" s="29">
        <f t="shared" si="14"/>
        <v>114880677.49803758</v>
      </c>
      <c r="H107" s="26">
        <f t="shared" si="12"/>
        <v>31</v>
      </c>
      <c r="I107" s="22">
        <f t="shared" si="13"/>
        <v>2379280.7336140284</v>
      </c>
    </row>
    <row r="108" spans="1:9">
      <c r="A108" s="16">
        <v>44044</v>
      </c>
      <c r="B108" s="16">
        <v>44074</v>
      </c>
      <c r="C108" s="28">
        <v>0.18290000000000001</v>
      </c>
      <c r="D108" s="18">
        <f t="shared" si="8"/>
        <v>0.27434999999999998</v>
      </c>
      <c r="E108" s="18">
        <f t="shared" si="9"/>
        <v>2.040848272831397E-2</v>
      </c>
      <c r="F108" s="43">
        <f t="shared" si="10"/>
        <v>6.7366082063591293E-4</v>
      </c>
      <c r="G108" s="29">
        <f t="shared" si="14"/>
        <v>117259958.2316516</v>
      </c>
      <c r="H108" s="26">
        <f t="shared" si="12"/>
        <v>31</v>
      </c>
      <c r="I108" s="22">
        <f t="shared" si="13"/>
        <v>2448796.6303920858</v>
      </c>
    </row>
    <row r="109" spans="1:9">
      <c r="A109" s="16">
        <v>44075</v>
      </c>
      <c r="B109" s="16">
        <v>44104</v>
      </c>
      <c r="C109" s="28">
        <v>0.1835</v>
      </c>
      <c r="D109" s="18">
        <f t="shared" si="8"/>
        <v>0.27524999999999999</v>
      </c>
      <c r="E109" s="18">
        <f t="shared" si="9"/>
        <v>2.0468517942215714E-2</v>
      </c>
      <c r="F109" s="43">
        <f t="shared" si="10"/>
        <v>6.7562323568859384E-4</v>
      </c>
      <c r="G109" s="29">
        <f t="shared" si="14"/>
        <v>119708754.86204369</v>
      </c>
      <c r="H109" s="26">
        <f t="shared" si="12"/>
        <v>30</v>
      </c>
      <c r="I109" s="22">
        <f t="shared" si="13"/>
        <v>2426340.4890043996</v>
      </c>
    </row>
    <row r="110" spans="1:9">
      <c r="A110" s="16">
        <v>44105</v>
      </c>
      <c r="B110" s="16">
        <v>44135</v>
      </c>
      <c r="C110" s="2517">
        <v>0.18090000000000001</v>
      </c>
      <c r="D110" s="18">
        <f t="shared" si="8"/>
        <v>0.27134999999999998</v>
      </c>
      <c r="E110" s="18">
        <f t="shared" si="9"/>
        <v>2.0208084261774895E-2</v>
      </c>
      <c r="F110" s="43">
        <f t="shared" si="10"/>
        <v>6.6710944086900703E-4</v>
      </c>
      <c r="G110" s="29">
        <f t="shared" si="14"/>
        <v>122135095.3510481</v>
      </c>
      <c r="H110" s="26">
        <f t="shared" si="12"/>
        <v>31</v>
      </c>
      <c r="I110" s="22">
        <f t="shared" si="13"/>
        <v>2525801.7302737371</v>
      </c>
    </row>
    <row r="111" spans="1:9">
      <c r="A111" s="16">
        <v>44136</v>
      </c>
      <c r="B111" s="16">
        <v>44165</v>
      </c>
      <c r="C111" s="28">
        <v>0.1784</v>
      </c>
      <c r="D111" s="18">
        <f t="shared" si="8"/>
        <v>0.2676</v>
      </c>
      <c r="E111" s="18">
        <f t="shared" si="9"/>
        <v>1.9956975716262315E-2</v>
      </c>
      <c r="F111" s="43">
        <f t="shared" si="10"/>
        <v>6.5889850285327789E-4</v>
      </c>
      <c r="G111" s="29">
        <f t="shared" si="14"/>
        <v>124660897.08132184</v>
      </c>
      <c r="H111" s="26">
        <f t="shared" si="12"/>
        <v>30</v>
      </c>
      <c r="I111" s="22">
        <f t="shared" si="13"/>
        <v>2464166.3535368852</v>
      </c>
    </row>
    <row r="112" spans="1:9" ht="11.25" customHeight="1">
      <c r="A112" s="16">
        <v>44166</v>
      </c>
      <c r="B112" s="16">
        <v>44196</v>
      </c>
      <c r="C112" s="28">
        <v>0.17460000000000001</v>
      </c>
      <c r="D112" s="18">
        <f t="shared" si="8"/>
        <v>0.26190000000000002</v>
      </c>
      <c r="E112" s="18">
        <f t="shared" si="9"/>
        <v>1.9573983490916769E-2</v>
      </c>
      <c r="F112" s="43">
        <f t="shared" si="10"/>
        <v>6.4637136821255048E-4</v>
      </c>
      <c r="G112" s="29">
        <f>+G111+I111</f>
        <v>127125063.43485872</v>
      </c>
      <c r="H112" s="26">
        <f t="shared" si="12"/>
        <v>31</v>
      </c>
      <c r="I112" s="22">
        <f t="shared" si="13"/>
        <v>2547270.0367814042</v>
      </c>
    </row>
    <row r="113" spans="1:9">
      <c r="A113" s="16">
        <v>44197</v>
      </c>
      <c r="B113" s="16">
        <v>44227</v>
      </c>
      <c r="C113" s="28">
        <v>0.17319999999999999</v>
      </c>
      <c r="D113" s="18">
        <f t="shared" ref="D113:D122" si="15">+C113*1.5</f>
        <v>0.25979999999999998</v>
      </c>
      <c r="E113" s="18">
        <f t="shared" ref="E113:E122" si="16">(1+D113)^(1/12)-1</f>
        <v>1.9432481245112987E-2</v>
      </c>
      <c r="F113" s="43">
        <f t="shared" ref="F113:F122" si="17">((1+E113)^(1/30)-1)</f>
        <v>6.4174187883647704E-4</v>
      </c>
      <c r="G113" s="29">
        <f t="shared" si="14"/>
        <v>129672333.47164012</v>
      </c>
      <c r="H113" s="26">
        <f t="shared" ref="H113:H122" si="18">+_xlfn.DAYS(B113,A113)+1</f>
        <v>31</v>
      </c>
      <c r="I113" s="22">
        <f t="shared" ref="I113:I122" si="19">(F113*G113)*H113</f>
        <v>2579701.174371216</v>
      </c>
    </row>
    <row r="114" spans="1:9">
      <c r="A114" s="16">
        <v>44228</v>
      </c>
      <c r="B114" s="16">
        <v>44255</v>
      </c>
      <c r="C114" s="28">
        <v>0.1754</v>
      </c>
      <c r="D114" s="18">
        <f t="shared" si="15"/>
        <v>0.2631</v>
      </c>
      <c r="E114" s="18">
        <f t="shared" si="16"/>
        <v>1.9654745030757592E-2</v>
      </c>
      <c r="F114" s="43">
        <f t="shared" si="17"/>
        <v>6.4901334251654674E-4</v>
      </c>
      <c r="G114" s="29">
        <f t="shared" si="14"/>
        <v>132252034.64601134</v>
      </c>
      <c r="H114" s="26">
        <f t="shared" si="18"/>
        <v>28</v>
      </c>
      <c r="I114" s="22">
        <f t="shared" si="19"/>
        <v>2403333.3816862148</v>
      </c>
    </row>
    <row r="115" spans="1:9">
      <c r="A115" s="16">
        <v>44256</v>
      </c>
      <c r="B115" s="16">
        <v>44286</v>
      </c>
      <c r="C115" s="28">
        <v>0.1741</v>
      </c>
      <c r="D115" s="18">
        <f t="shared" si="15"/>
        <v>0.26114999999999999</v>
      </c>
      <c r="E115" s="18">
        <f t="shared" si="16"/>
        <v>1.9523471771100809E-2</v>
      </c>
      <c r="F115" s="43">
        <f t="shared" si="17"/>
        <v>6.4471886169825687E-4</v>
      </c>
      <c r="G115" s="29">
        <f t="shared" si="14"/>
        <v>134655368.02769756</v>
      </c>
      <c r="H115" s="26">
        <f t="shared" si="18"/>
        <v>31</v>
      </c>
      <c r="I115" s="22">
        <f t="shared" si="19"/>
        <v>2691260.5234876876</v>
      </c>
    </row>
    <row r="116" spans="1:9">
      <c r="A116" s="16">
        <v>44287</v>
      </c>
      <c r="B116" s="16">
        <v>44316</v>
      </c>
      <c r="C116" s="28">
        <v>0.1731</v>
      </c>
      <c r="D116" s="18">
        <f t="shared" si="15"/>
        <v>0.25964999999999999</v>
      </c>
      <c r="E116" s="18">
        <f t="shared" si="16"/>
        <v>1.942236567004052E-2</v>
      </c>
      <c r="F116" s="43">
        <f t="shared" si="17"/>
        <v>6.4141090660796429E-4</v>
      </c>
      <c r="G116" s="29">
        <f t="shared" si="14"/>
        <v>137346628.55118525</v>
      </c>
      <c r="H116" s="26">
        <f t="shared" si="18"/>
        <v>30</v>
      </c>
      <c r="I116" s="22">
        <f t="shared" si="19"/>
        <v>2642868.7661568914</v>
      </c>
    </row>
    <row r="117" spans="1:9">
      <c r="A117" s="16">
        <v>44317</v>
      </c>
      <c r="B117" s="16">
        <v>44347</v>
      </c>
      <c r="C117" s="28">
        <v>0.17219999999999999</v>
      </c>
      <c r="D117" s="18">
        <f t="shared" si="15"/>
        <v>0.25829999999999997</v>
      </c>
      <c r="E117" s="18">
        <f t="shared" si="16"/>
        <v>1.9331275772907164E-2</v>
      </c>
      <c r="F117" s="43">
        <f t="shared" si="17"/>
        <v>6.3843038669131325E-4</v>
      </c>
      <c r="G117" s="29">
        <f t="shared" si="14"/>
        <v>139989497.31734213</v>
      </c>
      <c r="H117" s="26">
        <f t="shared" si="18"/>
        <v>31</v>
      </c>
      <c r="I117" s="22">
        <f t="shared" si="19"/>
        <v>2770580.0160560324</v>
      </c>
    </row>
    <row r="118" spans="1:9">
      <c r="A118" s="16">
        <v>44348</v>
      </c>
      <c r="B118" s="16">
        <v>44377</v>
      </c>
      <c r="C118" s="28">
        <v>0.1721</v>
      </c>
      <c r="D118" s="18">
        <f t="shared" si="15"/>
        <v>0.25814999999999999</v>
      </c>
      <c r="E118" s="18">
        <f t="shared" si="16"/>
        <v>1.9321149143988858E-2</v>
      </c>
      <c r="F118" s="43">
        <f t="shared" si="17"/>
        <v>6.3809902098910243E-4</v>
      </c>
      <c r="G118" s="29">
        <f>+G117+I117</f>
        <v>142760077.33339816</v>
      </c>
      <c r="H118" s="26">
        <f t="shared" si="18"/>
        <v>30</v>
      </c>
      <c r="I118" s="22">
        <f t="shared" si="19"/>
        <v>2732851.9674830977</v>
      </c>
    </row>
    <row r="119" spans="1:9">
      <c r="A119" s="16">
        <v>44378</v>
      </c>
      <c r="B119" s="16">
        <v>44408</v>
      </c>
      <c r="C119" s="28">
        <v>0.17180000000000001</v>
      </c>
      <c r="D119" s="18">
        <f t="shared" si="15"/>
        <v>0.25770000000000004</v>
      </c>
      <c r="E119" s="18">
        <f t="shared" si="16"/>
        <v>1.9290762615578938E-2</v>
      </c>
      <c r="F119" s="43">
        <f t="shared" si="17"/>
        <v>6.3710468745115101E-4</v>
      </c>
      <c r="G119" s="29">
        <f>+G118+I118</f>
        <v>145492929.30088127</v>
      </c>
      <c r="H119" s="26">
        <f t="shared" si="18"/>
        <v>31</v>
      </c>
      <c r="I119" s="22">
        <f t="shared" si="19"/>
        <v>2873521.0447063013</v>
      </c>
    </row>
    <row r="120" spans="1:9">
      <c r="A120" s="16">
        <v>44409</v>
      </c>
      <c r="B120" s="16">
        <v>44439</v>
      </c>
      <c r="C120" s="28">
        <v>0.1724</v>
      </c>
      <c r="D120" s="18">
        <f t="shared" si="15"/>
        <v>0.2586</v>
      </c>
      <c r="E120" s="18">
        <f t="shared" si="16"/>
        <v>1.9351525711433615E-2</v>
      </c>
      <c r="F120" s="43">
        <f t="shared" si="17"/>
        <v>6.3909299993669677E-4</v>
      </c>
      <c r="G120" s="29">
        <f>+G119+I119</f>
        <v>148366450.34558758</v>
      </c>
      <c r="H120" s="26">
        <f t="shared" si="18"/>
        <v>31</v>
      </c>
      <c r="I120" s="22">
        <f t="shared" si="19"/>
        <v>2939418.7550809365</v>
      </c>
    </row>
    <row r="121" spans="1:9">
      <c r="A121" s="16">
        <v>44440</v>
      </c>
      <c r="B121" s="16">
        <v>44469</v>
      </c>
      <c r="C121" s="28">
        <v>0.1719</v>
      </c>
      <c r="D121" s="18">
        <f t="shared" si="15"/>
        <v>0.25785000000000002</v>
      </c>
      <c r="E121" s="18">
        <f t="shared" si="16"/>
        <v>1.9300892565577765E-2</v>
      </c>
      <c r="F121" s="43">
        <f t="shared" si="17"/>
        <v>6.3743617137834718E-4</v>
      </c>
      <c r="G121" s="29">
        <f>+G120+I120</f>
        <v>151305869.10066852</v>
      </c>
      <c r="H121" s="26">
        <f t="shared" si="18"/>
        <v>30</v>
      </c>
      <c r="I121" s="22">
        <f t="shared" si="19"/>
        <v>2893435.0171981049</v>
      </c>
    </row>
    <row r="122" spans="1:9">
      <c r="A122" s="16">
        <v>44470</v>
      </c>
      <c r="B122" s="16">
        <v>44500</v>
      </c>
      <c r="C122" s="28">
        <v>0.17080000000000001</v>
      </c>
      <c r="D122" s="18">
        <f t="shared" si="15"/>
        <v>0.25619999999999998</v>
      </c>
      <c r="E122" s="18">
        <f t="shared" si="16"/>
        <v>1.9189402159464075E-2</v>
      </c>
      <c r="F122" s="43">
        <f t="shared" si="17"/>
        <v>6.3378767813970782E-4</v>
      </c>
      <c r="G122" s="29">
        <f>+G121+I121</f>
        <v>154199304.11786664</v>
      </c>
      <c r="H122" s="26">
        <f t="shared" si="18"/>
        <v>31</v>
      </c>
      <c r="I122" s="22">
        <f t="shared" si="19"/>
        <v>3029618.186756263</v>
      </c>
    </row>
    <row r="123" spans="1:9" ht="13.5" thickBot="1">
      <c r="C123" s="188"/>
      <c r="G123" s="55" t="s">
        <v>97</v>
      </c>
      <c r="H123" s="55"/>
      <c r="I123" s="56">
        <f>SUM(I11:I122)</f>
        <v>142406922.30462289</v>
      </c>
    </row>
    <row r="124" spans="1:9" ht="14.25" thickTop="1" thickBot="1">
      <c r="C124" s="188"/>
      <c r="G124" s="1" t="s">
        <v>130</v>
      </c>
      <c r="H124" s="1"/>
      <c r="I124" s="56">
        <v>3645530</v>
      </c>
    </row>
    <row r="125" spans="1:9" ht="16.5" thickTop="1" thickBot="1">
      <c r="C125" s="188"/>
      <c r="G125" s="2786" t="s">
        <v>97</v>
      </c>
      <c r="H125" s="2786"/>
      <c r="I125" s="77">
        <f>I123+I124+B5</f>
        <v>160874452.30462289</v>
      </c>
    </row>
    <row r="126" spans="1:9" ht="13.5" thickTop="1">
      <c r="C126" s="188"/>
    </row>
  </sheetData>
  <mergeCells count="2">
    <mergeCell ref="B9:H9"/>
    <mergeCell ref="G125:H125"/>
  </mergeCells>
  <pageMargins left="0.7" right="0.7" top="0.75" bottom="0.75" header="0.3" footer="0.3"/>
  <pageSetup orientation="portrait"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68"/>
  <dimension ref="A1:E23"/>
  <sheetViews>
    <sheetView workbookViewId="0">
      <selection activeCell="E26" sqref="E26"/>
    </sheetView>
  </sheetViews>
  <sheetFormatPr defaultColWidth="9.140625" defaultRowHeight="12.75"/>
  <cols>
    <col min="1" max="1" width="36.42578125" bestFit="1" customWidth="1"/>
    <col min="2" max="2" width="16.5703125" style="32" bestFit="1" customWidth="1"/>
    <col min="3" max="3" width="13.140625" style="32" customWidth="1"/>
    <col min="4" max="4" width="11.85546875" bestFit="1" customWidth="1"/>
    <col min="5" max="5" width="14.85546875" style="32" bestFit="1" customWidth="1"/>
    <col min="6" max="256" width="11.42578125" customWidth="1"/>
  </cols>
  <sheetData>
    <row r="1" spans="1:5">
      <c r="A1" t="s">
        <v>1352</v>
      </c>
    </row>
    <row r="2" spans="1:5">
      <c r="A2" t="s">
        <v>198</v>
      </c>
      <c r="B2" s="32">
        <v>1278924200</v>
      </c>
      <c r="C2" s="32">
        <f>+B2/2</f>
        <v>639462100</v>
      </c>
      <c r="E2" s="32">
        <v>307231050</v>
      </c>
    </row>
    <row r="3" spans="1:5">
      <c r="A3" t="s">
        <v>1353</v>
      </c>
      <c r="B3" s="32">
        <f>+B2*19%</f>
        <v>242995598</v>
      </c>
      <c r="E3" s="32">
        <v>921693150</v>
      </c>
    </row>
    <row r="4" spans="1:5">
      <c r="A4" t="s">
        <v>316</v>
      </c>
      <c r="B4" s="32">
        <f>+B2+B3</f>
        <v>1521919798</v>
      </c>
      <c r="E4" s="32">
        <v>153</v>
      </c>
    </row>
    <row r="5" spans="1:5">
      <c r="A5" s="92">
        <v>0.5</v>
      </c>
      <c r="B5" s="32">
        <f>+B4/2</f>
        <v>760959899</v>
      </c>
    </row>
    <row r="10" spans="1:5">
      <c r="A10" t="s">
        <v>1354</v>
      </c>
    </row>
    <row r="11" spans="1:5">
      <c r="A11" t="s">
        <v>1355</v>
      </c>
      <c r="B11" s="32">
        <v>0.5</v>
      </c>
      <c r="C11" s="32">
        <v>692768687</v>
      </c>
      <c r="D11" s="15">
        <f>+C11-B13</f>
        <v>-63441212</v>
      </c>
    </row>
    <row r="13" spans="1:5">
      <c r="B13" s="32">
        <v>756209899</v>
      </c>
    </row>
    <row r="14" spans="1:5">
      <c r="A14" t="s">
        <v>1356</v>
      </c>
      <c r="B14" s="32">
        <f>+B13*0.1</f>
        <v>75620989.900000006</v>
      </c>
    </row>
    <row r="15" spans="1:5">
      <c r="A15" t="s">
        <v>1357</v>
      </c>
      <c r="B15" s="32">
        <f>B13*0.00699</f>
        <v>5285907.1940099997</v>
      </c>
    </row>
    <row r="16" spans="1:5">
      <c r="A16" t="s">
        <v>1358</v>
      </c>
      <c r="B16" s="32">
        <f>+B13*0.02</f>
        <v>15124197.98</v>
      </c>
    </row>
    <row r="17" spans="1:3">
      <c r="B17" s="32">
        <f>+B13-B15-B16-B14</f>
        <v>660178803.92598999</v>
      </c>
      <c r="C17" s="32">
        <f>+B13+D11</f>
        <v>692768687</v>
      </c>
    </row>
    <row r="20" spans="1:3">
      <c r="A20" t="s">
        <v>1359</v>
      </c>
      <c r="B20" t="s">
        <v>1360</v>
      </c>
    </row>
    <row r="23" spans="1:3">
      <c r="A23" t="s">
        <v>1361</v>
      </c>
    </row>
  </sheetData>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9"/>
  <dimension ref="A2:L15"/>
  <sheetViews>
    <sheetView workbookViewId="0">
      <selection activeCell="G60" sqref="G60"/>
    </sheetView>
  </sheetViews>
  <sheetFormatPr defaultColWidth="9.140625" defaultRowHeight="12.75"/>
  <cols>
    <col min="1" max="1" width="11.42578125" customWidth="1"/>
    <col min="2" max="2" width="12.85546875" bestFit="1" customWidth="1"/>
    <col min="3" max="3" width="13" customWidth="1"/>
    <col min="4" max="4" width="13.85546875" bestFit="1" customWidth="1"/>
    <col min="5" max="256" width="11.42578125" customWidth="1"/>
  </cols>
  <sheetData>
    <row r="2" spans="1:12">
      <c r="A2" s="2787" t="s">
        <v>1362</v>
      </c>
      <c r="B2" s="2787"/>
      <c r="C2" s="2787"/>
      <c r="D2" s="2787"/>
      <c r="E2" s="2787"/>
      <c r="F2" s="2787"/>
      <c r="G2" s="2787"/>
    </row>
    <row r="3" spans="1:12">
      <c r="A3" s="2787" t="s">
        <v>1363</v>
      </c>
      <c r="B3" s="2787"/>
      <c r="C3" s="2787"/>
      <c r="D3" s="2787"/>
      <c r="E3" s="2787"/>
      <c r="F3" s="2787"/>
      <c r="G3" s="2787"/>
    </row>
    <row r="4" spans="1:12">
      <c r="A4" s="2787" t="s">
        <v>1364</v>
      </c>
      <c r="B4" s="2787"/>
      <c r="C4" s="2787"/>
      <c r="D4" s="2787"/>
      <c r="E4" s="2787"/>
      <c r="F4" s="2787"/>
      <c r="G4" s="2787"/>
    </row>
    <row r="6" spans="1:12">
      <c r="A6" t="s">
        <v>1365</v>
      </c>
    </row>
    <row r="7" spans="1:12">
      <c r="A7" t="s">
        <v>1366</v>
      </c>
    </row>
    <row r="9" spans="1:12">
      <c r="A9" s="147" t="s">
        <v>1367</v>
      </c>
      <c r="B9" s="188" t="s">
        <v>1368</v>
      </c>
      <c r="C9" s="188" t="s">
        <v>1369</v>
      </c>
      <c r="D9" s="188" t="s">
        <v>1370</v>
      </c>
      <c r="F9" s="188" t="s">
        <v>78</v>
      </c>
      <c r="G9" s="188" t="s">
        <v>1371</v>
      </c>
      <c r="H9" s="188" t="s">
        <v>1372</v>
      </c>
      <c r="I9" s="188" t="s">
        <v>1373</v>
      </c>
      <c r="J9" s="188" t="s">
        <v>1374</v>
      </c>
      <c r="K9" s="188" t="s">
        <v>1375</v>
      </c>
      <c r="L9" s="188" t="s">
        <v>1376</v>
      </c>
    </row>
    <row r="10" spans="1:12">
      <c r="A10" s="147" t="s">
        <v>551</v>
      </c>
      <c r="B10" s="32">
        <v>2311856</v>
      </c>
      <c r="C10" s="32">
        <v>580956</v>
      </c>
      <c r="D10" s="32">
        <f>+B10+C10</f>
        <v>2892812</v>
      </c>
      <c r="F10" s="32">
        <f>+$D$10*0.04</f>
        <v>115712.48</v>
      </c>
      <c r="G10" s="32">
        <f>+$D$10*0.04</f>
        <v>115712.48</v>
      </c>
      <c r="H10" s="32">
        <f>+$D$10*0.085</f>
        <v>245889.02000000002</v>
      </c>
      <c r="I10" s="32">
        <f>+$D$10*0.12</f>
        <v>347137.44</v>
      </c>
      <c r="J10" s="32">
        <f>+F10+H10</f>
        <v>361601.5</v>
      </c>
      <c r="K10" s="32">
        <f>+$D$10*0.04</f>
        <v>115712.48</v>
      </c>
      <c r="L10" s="32">
        <f>+$D$10*0.04</f>
        <v>115712.48</v>
      </c>
    </row>
    <row r="11" spans="1:12">
      <c r="A11" s="147" t="s">
        <v>552</v>
      </c>
      <c r="B11" s="32">
        <v>9907953</v>
      </c>
      <c r="C11" s="32">
        <v>2489813</v>
      </c>
      <c r="D11" s="32">
        <f>+B11+C11</f>
        <v>12397766</v>
      </c>
      <c r="F11" s="32">
        <f>+$D$11*0.04</f>
        <v>495910.64</v>
      </c>
      <c r="G11" s="32">
        <f>+$D$11*0.04</f>
        <v>495910.64</v>
      </c>
      <c r="H11" s="32">
        <f>+$D$11*0.012</f>
        <v>148773.19200000001</v>
      </c>
      <c r="I11" s="32">
        <f>+$D$11*0.12</f>
        <v>1487731.92</v>
      </c>
      <c r="J11" s="32">
        <f>+F11+I11</f>
        <v>1983642.56</v>
      </c>
      <c r="K11" s="32">
        <f>+$D$11*0.04</f>
        <v>495910.64</v>
      </c>
      <c r="L11" s="32">
        <f>+$D$11*0.04</f>
        <v>495910.64</v>
      </c>
    </row>
    <row r="12" spans="1:12">
      <c r="B12" s="32"/>
      <c r="C12" s="32"/>
      <c r="D12" s="32"/>
    </row>
    <row r="13" spans="1:12">
      <c r="A13" s="147" t="s">
        <v>96</v>
      </c>
      <c r="B13" s="32"/>
      <c r="C13" s="32"/>
      <c r="D13" s="32">
        <f>SUM(D10:D12)</f>
        <v>15290578</v>
      </c>
    </row>
    <row r="14" spans="1:12">
      <c r="A14" s="147" t="s">
        <v>98</v>
      </c>
      <c r="B14" s="32"/>
      <c r="C14" s="32"/>
      <c r="D14" s="32"/>
    </row>
    <row r="15" spans="1:12">
      <c r="B15" s="32"/>
      <c r="C15" s="32"/>
      <c r="D15" s="32"/>
    </row>
  </sheetData>
  <mergeCells count="3">
    <mergeCell ref="A4:G4"/>
    <mergeCell ref="A2:G2"/>
    <mergeCell ref="A3:G3"/>
  </mergeCell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71">
    <pageSetUpPr fitToPage="1"/>
  </sheetPr>
  <dimension ref="A1:H90"/>
  <sheetViews>
    <sheetView topLeftCell="A18" zoomScale="117" zoomScaleNormal="117" workbookViewId="0">
      <selection activeCell="H26" sqref="H26"/>
    </sheetView>
  </sheetViews>
  <sheetFormatPr defaultColWidth="9.140625" defaultRowHeight="12.75"/>
  <cols>
    <col min="1" max="1" width="24.28515625" customWidth="1"/>
    <col min="2" max="2" width="18.85546875" customWidth="1"/>
    <col min="3" max="3" width="10.28515625" customWidth="1"/>
    <col min="4" max="4" width="14.85546875" customWidth="1"/>
    <col min="5" max="5" width="13.28515625" customWidth="1"/>
    <col min="6" max="6" width="11.85546875" customWidth="1"/>
    <col min="7" max="7" width="11.42578125" customWidth="1"/>
    <col min="8" max="8" width="12.7109375" customWidth="1"/>
    <col min="9" max="257" width="11.42578125" customWidth="1"/>
  </cols>
  <sheetData>
    <row r="1" spans="1:8" hidden="1"/>
    <row r="2" spans="1:8" hidden="1">
      <c r="A2" s="378" t="s">
        <v>508</v>
      </c>
      <c r="B2" s="196" t="s">
        <v>1377</v>
      </c>
    </row>
    <row r="3" spans="1:8" hidden="1">
      <c r="A3" s="378" t="s">
        <v>1378</v>
      </c>
      <c r="B3" s="2" t="s">
        <v>1379</v>
      </c>
    </row>
    <row r="4" spans="1:8" hidden="1">
      <c r="A4" s="3" t="s">
        <v>67</v>
      </c>
      <c r="B4" s="2"/>
    </row>
    <row r="5" spans="1:8" ht="25.5" hidden="1">
      <c r="A5" s="152" t="s">
        <v>1132</v>
      </c>
      <c r="B5" s="158" t="s">
        <v>1380</v>
      </c>
    </row>
    <row r="6" spans="1:8" hidden="1">
      <c r="A6" s="3" t="s">
        <v>1381</v>
      </c>
      <c r="B6" s="157"/>
    </row>
    <row r="7" spans="1:8" hidden="1"/>
    <row r="8" spans="1:8" hidden="1"/>
    <row r="10" spans="1:8">
      <c r="A10" s="2790" t="s">
        <v>1382</v>
      </c>
      <c r="B10" s="2790"/>
      <c r="C10" s="479"/>
      <c r="D10" s="147"/>
      <c r="E10" s="147"/>
      <c r="F10" s="147"/>
      <c r="G10" s="147"/>
      <c r="H10" s="147"/>
    </row>
    <row r="11" spans="1:8">
      <c r="A11" s="161" t="s">
        <v>1383</v>
      </c>
      <c r="B11" s="147" t="str">
        <f>+B5</f>
        <v>13-001-33-33-005-2010-00176-00</v>
      </c>
      <c r="C11" s="147"/>
      <c r="D11" s="147"/>
      <c r="E11" s="147"/>
      <c r="F11" s="147"/>
      <c r="G11" s="147"/>
      <c r="H11" s="147"/>
    </row>
    <row r="12" spans="1:8">
      <c r="A12" s="161" t="s">
        <v>1384</v>
      </c>
      <c r="B12" s="147" t="s">
        <v>1385</v>
      </c>
      <c r="C12" s="147"/>
      <c r="D12" s="147"/>
      <c r="E12" s="147"/>
      <c r="F12" s="147"/>
      <c r="G12" s="147"/>
      <c r="H12" s="147"/>
    </row>
    <row r="13" spans="1:8">
      <c r="A13" s="161" t="s">
        <v>825</v>
      </c>
      <c r="B13" s="147" t="s">
        <v>1386</v>
      </c>
      <c r="C13" s="147"/>
      <c r="D13" s="147"/>
      <c r="E13" s="147"/>
      <c r="F13" s="147"/>
      <c r="G13" s="147"/>
      <c r="H13" s="147"/>
    </row>
    <row r="14" spans="1:8">
      <c r="A14" s="161" t="s">
        <v>1059</v>
      </c>
      <c r="B14" s="147" t="s">
        <v>1387</v>
      </c>
      <c r="C14" s="147"/>
      <c r="D14" s="147"/>
      <c r="E14" s="147"/>
      <c r="F14" s="147"/>
      <c r="G14" s="147"/>
      <c r="H14" s="147"/>
    </row>
    <row r="15" spans="1:8" ht="45">
      <c r="A15" s="480" t="s">
        <v>1388</v>
      </c>
      <c r="B15" s="481">
        <v>42604</v>
      </c>
      <c r="C15" s="147"/>
      <c r="D15" s="147"/>
      <c r="E15" s="147"/>
      <c r="F15" s="147"/>
      <c r="G15" s="147"/>
      <c r="H15" s="147"/>
    </row>
    <row r="16" spans="1:8">
      <c r="A16" s="482" t="s">
        <v>1389</v>
      </c>
      <c r="B16" s="483">
        <v>43032</v>
      </c>
      <c r="C16" s="147"/>
      <c r="D16" s="147"/>
      <c r="E16" s="147"/>
      <c r="F16" s="147"/>
      <c r="G16" s="147"/>
      <c r="H16" s="147"/>
    </row>
    <row r="17" spans="1:8">
      <c r="A17" s="68" t="s">
        <v>1390</v>
      </c>
      <c r="B17" s="484">
        <f>158000</f>
        <v>158000</v>
      </c>
      <c r="C17" s="147"/>
      <c r="D17" s="147"/>
      <c r="E17" s="147"/>
      <c r="F17" s="147"/>
      <c r="G17" s="147"/>
      <c r="H17" s="147"/>
    </row>
    <row r="18" spans="1:8" ht="22.5">
      <c r="A18" s="67" t="s">
        <v>1391</v>
      </c>
      <c r="B18" s="485">
        <v>589500</v>
      </c>
      <c r="C18" s="147"/>
      <c r="D18" s="147"/>
      <c r="E18" s="147"/>
      <c r="F18" s="147"/>
      <c r="G18" s="147"/>
      <c r="H18" s="147"/>
    </row>
    <row r="19" spans="1:8">
      <c r="A19" s="68" t="s">
        <v>316</v>
      </c>
      <c r="B19" s="484">
        <f>SUM(B17:B18)</f>
        <v>747500</v>
      </c>
      <c r="C19" s="147"/>
      <c r="D19" s="147"/>
      <c r="E19" s="147"/>
      <c r="F19" s="147"/>
      <c r="G19" s="147"/>
      <c r="H19" s="147"/>
    </row>
    <row r="20" spans="1:8" ht="23.25" thickBot="1">
      <c r="A20" s="486" t="s">
        <v>1392</v>
      </c>
      <c r="B20" s="487">
        <f>+B19/2</f>
        <v>373750</v>
      </c>
      <c r="C20" s="147"/>
      <c r="D20" s="147"/>
      <c r="E20" s="147"/>
      <c r="F20" s="147"/>
      <c r="G20" s="147"/>
      <c r="H20" s="147"/>
    </row>
    <row r="21" spans="1:8" ht="13.5" thickTop="1">
      <c r="A21" s="477" t="s">
        <v>198</v>
      </c>
      <c r="B21" s="436">
        <f>+B20</f>
        <v>373750</v>
      </c>
      <c r="C21" s="147"/>
      <c r="D21" s="488"/>
      <c r="E21" s="147"/>
      <c r="F21" s="147"/>
      <c r="G21" s="147"/>
      <c r="H21" s="147"/>
    </row>
    <row r="22" spans="1:8">
      <c r="A22" s="477"/>
      <c r="B22" s="436"/>
      <c r="C22" s="147"/>
      <c r="D22" s="488"/>
      <c r="E22" s="147"/>
      <c r="F22" s="147"/>
      <c r="G22" s="147"/>
      <c r="H22" s="147"/>
    </row>
    <row r="23" spans="1:8">
      <c r="A23" s="488"/>
      <c r="B23" s="488"/>
      <c r="C23" s="147"/>
      <c r="D23" s="488"/>
      <c r="E23" s="147"/>
      <c r="F23" s="147"/>
      <c r="G23" s="147"/>
      <c r="H23" s="147"/>
    </row>
    <row r="24" spans="1:8">
      <c r="A24" s="2560" t="s">
        <v>1393</v>
      </c>
      <c r="B24" s="2560"/>
      <c r="C24" s="2560"/>
      <c r="D24" s="2560"/>
      <c r="E24" s="2560"/>
      <c r="F24" s="2560"/>
      <c r="G24" s="2560"/>
      <c r="H24" s="2560"/>
    </row>
    <row r="25" spans="1:8" s="156" customFormat="1" ht="22.5">
      <c r="A25" s="477" t="s">
        <v>206</v>
      </c>
      <c r="B25" s="477" t="s">
        <v>10</v>
      </c>
      <c r="C25" s="478" t="s">
        <v>148</v>
      </c>
      <c r="D25" s="67" t="s">
        <v>149</v>
      </c>
      <c r="E25" s="477" t="s">
        <v>43</v>
      </c>
      <c r="F25" s="67" t="s">
        <v>129</v>
      </c>
      <c r="G25" s="67" t="s">
        <v>47</v>
      </c>
      <c r="H25" s="67" t="s">
        <v>48</v>
      </c>
    </row>
    <row r="26" spans="1:8">
      <c r="A26" s="16">
        <v>42605</v>
      </c>
      <c r="B26" s="16">
        <v>42613</v>
      </c>
      <c r="C26" s="489">
        <v>0.21340000000000001</v>
      </c>
      <c r="D26" s="489">
        <f>+C26*1.5</f>
        <v>0.3201</v>
      </c>
      <c r="E26" s="160">
        <f>((1+D26)^(1/365)-1)</f>
        <v>7.6113195596128058E-4</v>
      </c>
      <c r="F26" s="490">
        <f t="shared" ref="F26:F32" si="0">+$B$20</f>
        <v>373750</v>
      </c>
      <c r="G26" s="370">
        <f>+_xlfn.DAYS(B26,A26)+1</f>
        <v>9</v>
      </c>
      <c r="H26" s="266">
        <f>+F26*G26*E26</f>
        <v>2560.2576168647574</v>
      </c>
    </row>
    <row r="27" spans="1:8">
      <c r="A27" s="16">
        <v>42614</v>
      </c>
      <c r="B27" s="16">
        <v>42643</v>
      </c>
      <c r="C27" s="489">
        <v>0.21340000000000001</v>
      </c>
      <c r="D27" s="489">
        <f t="shared" ref="D27:D82" si="1">+C27*1.5</f>
        <v>0.3201</v>
      </c>
      <c r="E27" s="160">
        <f t="shared" ref="E27:E82" si="2">((1+D27)^(1/365)-1)</f>
        <v>7.6113195596128058E-4</v>
      </c>
      <c r="F27" s="490">
        <f t="shared" si="0"/>
        <v>373750</v>
      </c>
      <c r="G27" s="370">
        <f t="shared" ref="G27:G82" si="3">+_xlfn.DAYS(B27,A27)+1</f>
        <v>30</v>
      </c>
      <c r="H27" s="266">
        <f t="shared" ref="H27:H82" si="4">+F27*G27*E27</f>
        <v>8534.1920562158593</v>
      </c>
    </row>
    <row r="28" spans="1:8">
      <c r="A28" s="16">
        <v>42644</v>
      </c>
      <c r="B28" s="16">
        <v>42674</v>
      </c>
      <c r="C28" s="489">
        <v>0.21990000000000001</v>
      </c>
      <c r="D28" s="489">
        <f t="shared" si="1"/>
        <v>0.32985000000000003</v>
      </c>
      <c r="E28" s="160">
        <f t="shared" si="2"/>
        <v>7.8130822380240161E-4</v>
      </c>
      <c r="F28" s="490">
        <f t="shared" si="0"/>
        <v>373750</v>
      </c>
      <c r="G28" s="370">
        <f t="shared" si="3"/>
        <v>31</v>
      </c>
      <c r="H28" s="266">
        <f t="shared" si="4"/>
        <v>9052.432408030576</v>
      </c>
    </row>
    <row r="29" spans="1:8" ht="16.5" customHeight="1">
      <c r="A29" s="16">
        <v>42675</v>
      </c>
      <c r="B29" s="16">
        <v>42704</v>
      </c>
      <c r="C29" s="489">
        <v>0.21990000000000001</v>
      </c>
      <c r="D29" s="489">
        <f t="shared" si="1"/>
        <v>0.32985000000000003</v>
      </c>
      <c r="E29" s="160">
        <f t="shared" si="2"/>
        <v>7.8130822380240161E-4</v>
      </c>
      <c r="F29" s="490">
        <f t="shared" si="0"/>
        <v>373750</v>
      </c>
      <c r="G29" s="370">
        <f t="shared" si="3"/>
        <v>30</v>
      </c>
      <c r="H29" s="266">
        <f t="shared" si="4"/>
        <v>8760.4184593844275</v>
      </c>
    </row>
    <row r="30" spans="1:8" ht="14.25" customHeight="1">
      <c r="A30" s="16">
        <v>42705</v>
      </c>
      <c r="B30" s="16">
        <v>42735</v>
      </c>
      <c r="C30" s="489">
        <v>0.21990000000000001</v>
      </c>
      <c r="D30" s="489">
        <f t="shared" si="1"/>
        <v>0.32985000000000003</v>
      </c>
      <c r="E30" s="160">
        <f>((1+D30)^(1/365)-1)</f>
        <v>7.8130822380240161E-4</v>
      </c>
      <c r="F30" s="490">
        <f t="shared" si="0"/>
        <v>373750</v>
      </c>
      <c r="G30" s="370">
        <f>+_xlfn.DAYS(B30,A30)+1</f>
        <v>31</v>
      </c>
      <c r="H30" s="266">
        <f>+F30*G30*E30</f>
        <v>9052.432408030576</v>
      </c>
    </row>
    <row r="31" spans="1:8" ht="12" customHeight="1">
      <c r="A31" s="16">
        <v>42736</v>
      </c>
      <c r="B31" s="16">
        <v>42766</v>
      </c>
      <c r="C31" s="489">
        <v>0.22339999999999999</v>
      </c>
      <c r="D31" s="489">
        <f t="shared" si="1"/>
        <v>0.33509999999999995</v>
      </c>
      <c r="E31" s="160">
        <f>((1+D31)^(1/365)-1)</f>
        <v>7.9211135028089963E-4</v>
      </c>
      <c r="F31" s="490">
        <f t="shared" si="0"/>
        <v>373750</v>
      </c>
      <c r="G31" s="370">
        <f>+_xlfn.DAYS(B31,A31)+1</f>
        <v>31</v>
      </c>
      <c r="H31" s="266">
        <f>+F31*G31*E31</f>
        <v>9177.6001321920739</v>
      </c>
    </row>
    <row r="32" spans="1:8">
      <c r="A32" s="16">
        <v>42767</v>
      </c>
      <c r="B32" s="16">
        <v>42788</v>
      </c>
      <c r="C32" s="489">
        <v>0.22339999999999999</v>
      </c>
      <c r="D32" s="489">
        <f t="shared" si="1"/>
        <v>0.33509999999999995</v>
      </c>
      <c r="E32" s="160">
        <f>((1+D32)^(1/365)-1)</f>
        <v>7.9211135028089963E-4</v>
      </c>
      <c r="F32" s="490">
        <f t="shared" si="0"/>
        <v>373750</v>
      </c>
      <c r="G32" s="370">
        <f>+_xlfn.DAYS(B32,A32)+1</f>
        <v>22</v>
      </c>
      <c r="H32" s="266">
        <f>+F32*G32*E32</f>
        <v>6513.1355776846976</v>
      </c>
    </row>
    <row r="33" spans="1:8">
      <c r="A33" s="16"/>
      <c r="B33" s="16"/>
      <c r="C33" s="489"/>
      <c r="D33" s="489"/>
      <c r="E33" s="160"/>
      <c r="F33" s="490"/>
      <c r="G33" s="370"/>
      <c r="H33" s="266"/>
    </row>
    <row r="34" spans="1:8">
      <c r="A34" s="390" t="s">
        <v>1394</v>
      </c>
      <c r="B34" s="16"/>
      <c r="C34" s="489"/>
      <c r="D34" s="489"/>
      <c r="E34" s="160"/>
      <c r="F34" s="490"/>
      <c r="G34" s="370"/>
      <c r="H34" s="266">
        <f t="shared" si="4"/>
        <v>0</v>
      </c>
    </row>
    <row r="35" spans="1:8">
      <c r="A35" s="16">
        <v>43032</v>
      </c>
      <c r="B35" s="16">
        <v>43039</v>
      </c>
      <c r="C35" s="489">
        <v>0.21149999999999999</v>
      </c>
      <c r="D35" s="489">
        <f t="shared" si="1"/>
        <v>0.31724999999999998</v>
      </c>
      <c r="E35" s="160">
        <f t="shared" si="2"/>
        <v>7.5520620308799913E-4</v>
      </c>
      <c r="F35" s="490">
        <f t="shared" ref="F35:F82" si="5">+$B$20</f>
        <v>373750</v>
      </c>
      <c r="G35" s="370">
        <f>+_xlfn.DAYS(B35,A35)+1</f>
        <v>8</v>
      </c>
      <c r="H35" s="266">
        <f>+F35*G35*E35</f>
        <v>2258.0665472331175</v>
      </c>
    </row>
    <row r="36" spans="1:8">
      <c r="A36" s="16">
        <v>43040</v>
      </c>
      <c r="B36" s="16">
        <v>43069</v>
      </c>
      <c r="C36" s="489">
        <v>0.20960000000000001</v>
      </c>
      <c r="D36" s="489">
        <f t="shared" si="1"/>
        <v>0.31440000000000001</v>
      </c>
      <c r="E36" s="160">
        <f t="shared" si="2"/>
        <v>7.4926765057248268E-4</v>
      </c>
      <c r="F36" s="490">
        <f t="shared" si="5"/>
        <v>373750</v>
      </c>
      <c r="G36" s="370">
        <f t="shared" si="3"/>
        <v>30</v>
      </c>
      <c r="H36" s="266">
        <f t="shared" si="4"/>
        <v>8401.1635320439618</v>
      </c>
    </row>
    <row r="37" spans="1:8">
      <c r="A37" s="16">
        <v>43070</v>
      </c>
      <c r="B37" s="16">
        <v>43100</v>
      </c>
      <c r="C37" s="489">
        <v>0.2077</v>
      </c>
      <c r="D37" s="489">
        <f t="shared" si="1"/>
        <v>0.31154999999999999</v>
      </c>
      <c r="E37" s="160">
        <f t="shared" si="2"/>
        <v>7.4331624292400811E-4</v>
      </c>
      <c r="F37" s="490">
        <f t="shared" si="5"/>
        <v>373750</v>
      </c>
      <c r="G37" s="370">
        <f t="shared" si="3"/>
        <v>31</v>
      </c>
      <c r="H37" s="266">
        <f t="shared" si="4"/>
        <v>8612.2478195782896</v>
      </c>
    </row>
    <row r="38" spans="1:8">
      <c r="A38" s="16">
        <v>43101</v>
      </c>
      <c r="B38" s="16">
        <v>43131</v>
      </c>
      <c r="C38" s="489">
        <v>0.2069</v>
      </c>
      <c r="D38" s="489">
        <f t="shared" si="1"/>
        <v>0.31035000000000001</v>
      </c>
      <c r="E38" s="160">
        <f t="shared" si="2"/>
        <v>7.4080652774299871E-4</v>
      </c>
      <c r="F38" s="490">
        <f t="shared" si="5"/>
        <v>373750</v>
      </c>
      <c r="G38" s="370">
        <f t="shared" si="3"/>
        <v>31</v>
      </c>
      <c r="H38" s="266">
        <f t="shared" si="4"/>
        <v>8583.1696320623196</v>
      </c>
    </row>
    <row r="39" spans="1:8">
      <c r="A39" s="16">
        <v>43132</v>
      </c>
      <c r="B39" s="16">
        <v>43159</v>
      </c>
      <c r="C39" s="489">
        <v>0.21010000000000001</v>
      </c>
      <c r="D39" s="489">
        <f t="shared" si="1"/>
        <v>0.31515000000000004</v>
      </c>
      <c r="E39" s="160">
        <f t="shared" si="2"/>
        <v>7.5083167162115494E-4</v>
      </c>
      <c r="F39" s="490">
        <f t="shared" si="5"/>
        <v>373750</v>
      </c>
      <c r="G39" s="370">
        <f t="shared" si="3"/>
        <v>28</v>
      </c>
      <c r="H39" s="266">
        <f t="shared" si="4"/>
        <v>7857.4534435153864</v>
      </c>
    </row>
    <row r="40" spans="1:8">
      <c r="A40" s="16">
        <v>43160</v>
      </c>
      <c r="B40" s="16">
        <v>43190</v>
      </c>
      <c r="C40" s="489">
        <v>0.20680000000000001</v>
      </c>
      <c r="D40" s="489">
        <f t="shared" si="1"/>
        <v>0.31020000000000003</v>
      </c>
      <c r="E40" s="160">
        <f t="shared" si="2"/>
        <v>7.4049265219700011E-4</v>
      </c>
      <c r="F40" s="490">
        <f t="shared" si="5"/>
        <v>373750</v>
      </c>
      <c r="G40" s="370">
        <f t="shared" si="3"/>
        <v>31</v>
      </c>
      <c r="H40" s="266">
        <f t="shared" si="4"/>
        <v>8579.5329915174934</v>
      </c>
    </row>
    <row r="41" spans="1:8">
      <c r="A41" s="16">
        <v>43191</v>
      </c>
      <c r="B41" s="16">
        <v>43220</v>
      </c>
      <c r="C41" s="489">
        <v>0.20480000000000001</v>
      </c>
      <c r="D41" s="489">
        <f t="shared" si="1"/>
        <v>0.30720000000000003</v>
      </c>
      <c r="E41" s="160">
        <f t="shared" si="2"/>
        <v>7.34207604366377E-4</v>
      </c>
      <c r="F41" s="490">
        <f t="shared" si="5"/>
        <v>373750</v>
      </c>
      <c r="G41" s="370">
        <f t="shared" si="3"/>
        <v>30</v>
      </c>
      <c r="H41" s="266">
        <f t="shared" si="4"/>
        <v>8232.3027639580014</v>
      </c>
    </row>
    <row r="42" spans="1:8">
      <c r="A42" s="16">
        <v>43221</v>
      </c>
      <c r="B42" s="16">
        <v>43251</v>
      </c>
      <c r="C42" s="489">
        <v>0.2044</v>
      </c>
      <c r="D42" s="489">
        <f t="shared" si="1"/>
        <v>0.30659999999999998</v>
      </c>
      <c r="E42" s="160">
        <f t="shared" si="2"/>
        <v>7.3294886878794152E-4</v>
      </c>
      <c r="F42" s="490">
        <f t="shared" si="5"/>
        <v>373750</v>
      </c>
      <c r="G42" s="370">
        <f t="shared" si="3"/>
        <v>31</v>
      </c>
      <c r="H42" s="266">
        <f t="shared" si="4"/>
        <v>8492.1288309942865</v>
      </c>
    </row>
    <row r="43" spans="1:8">
      <c r="A43" s="16">
        <v>43252</v>
      </c>
      <c r="B43" s="16">
        <v>43281</v>
      </c>
      <c r="C43" s="489">
        <v>0.20280000000000001</v>
      </c>
      <c r="D43" s="489">
        <f t="shared" si="1"/>
        <v>0.30420000000000003</v>
      </c>
      <c r="E43" s="160">
        <f t="shared" si="2"/>
        <v>7.2790815549184096E-4</v>
      </c>
      <c r="F43" s="490">
        <f t="shared" si="5"/>
        <v>373750</v>
      </c>
      <c r="G43" s="370">
        <f t="shared" si="3"/>
        <v>30</v>
      </c>
      <c r="H43" s="266">
        <f t="shared" si="4"/>
        <v>8161.6701934522671</v>
      </c>
    </row>
    <row r="44" spans="1:8">
      <c r="A44" s="16">
        <v>43282</v>
      </c>
      <c r="B44" s="16">
        <v>43312</v>
      </c>
      <c r="C44" s="489">
        <v>0.20030000000000001</v>
      </c>
      <c r="D44" s="489">
        <f t="shared" si="1"/>
        <v>0.30044999999999999</v>
      </c>
      <c r="E44" s="160">
        <f t="shared" si="2"/>
        <v>7.2001349197825526E-4</v>
      </c>
      <c r="F44" s="490">
        <f t="shared" si="5"/>
        <v>373750</v>
      </c>
      <c r="G44" s="370">
        <f t="shared" si="3"/>
        <v>31</v>
      </c>
      <c r="H44" s="266">
        <f t="shared" si="4"/>
        <v>8342.2563214330603</v>
      </c>
    </row>
    <row r="45" spans="1:8">
      <c r="A45" s="16">
        <v>43313</v>
      </c>
      <c r="B45" s="16">
        <v>43343</v>
      </c>
      <c r="C45" s="489">
        <v>0.19939999999999999</v>
      </c>
      <c r="D45" s="489">
        <f t="shared" si="1"/>
        <v>0.29909999999999998</v>
      </c>
      <c r="E45" s="160">
        <f t="shared" si="2"/>
        <v>7.1716585429704161E-4</v>
      </c>
      <c r="F45" s="490">
        <f t="shared" si="5"/>
        <v>373750</v>
      </c>
      <c r="G45" s="370">
        <f t="shared" si="3"/>
        <v>31</v>
      </c>
      <c r="H45" s="266">
        <f t="shared" si="4"/>
        <v>8309.2628793490985</v>
      </c>
    </row>
    <row r="46" spans="1:8">
      <c r="A46" s="16">
        <v>43344</v>
      </c>
      <c r="B46" s="16">
        <v>43373</v>
      </c>
      <c r="C46" s="489">
        <v>0.1981</v>
      </c>
      <c r="D46" s="489">
        <f t="shared" si="1"/>
        <v>0.29715000000000003</v>
      </c>
      <c r="E46" s="160">
        <f t="shared" si="2"/>
        <v>7.1304738558919389E-4</v>
      </c>
      <c r="F46" s="490">
        <f t="shared" si="5"/>
        <v>373750</v>
      </c>
      <c r="G46" s="370">
        <f t="shared" si="3"/>
        <v>30</v>
      </c>
      <c r="H46" s="266">
        <f t="shared" si="4"/>
        <v>7995.0438109188362</v>
      </c>
    </row>
    <row r="47" spans="1:8">
      <c r="A47" s="16">
        <v>43374</v>
      </c>
      <c r="B47" s="16">
        <v>43404</v>
      </c>
      <c r="C47" s="489">
        <v>0.1963</v>
      </c>
      <c r="D47" s="489">
        <f t="shared" si="1"/>
        <v>0.29444999999999999</v>
      </c>
      <c r="E47" s="160">
        <f t="shared" si="2"/>
        <v>7.073346857742191E-4</v>
      </c>
      <c r="F47" s="490">
        <f t="shared" si="5"/>
        <v>373750</v>
      </c>
      <c r="G47" s="370">
        <f t="shared" si="3"/>
        <v>31</v>
      </c>
      <c r="H47" s="266">
        <f t="shared" si="4"/>
        <v>8195.3565030515456</v>
      </c>
    </row>
    <row r="48" spans="1:8">
      <c r="A48" s="16">
        <v>43405</v>
      </c>
      <c r="B48" s="16">
        <v>43434</v>
      </c>
      <c r="C48" s="489">
        <v>0.19489999999999999</v>
      </c>
      <c r="D48" s="489">
        <f t="shared" si="1"/>
        <v>0.29235</v>
      </c>
      <c r="E48" s="160">
        <f t="shared" si="2"/>
        <v>7.0288325333756063E-4</v>
      </c>
      <c r="F48" s="490">
        <f t="shared" si="5"/>
        <v>373750</v>
      </c>
      <c r="G48" s="370">
        <f t="shared" si="3"/>
        <v>30</v>
      </c>
      <c r="H48" s="266">
        <f t="shared" si="4"/>
        <v>7881.0784780473987</v>
      </c>
    </row>
    <row r="49" spans="1:8">
      <c r="A49" s="16">
        <v>43435</v>
      </c>
      <c r="B49" s="16">
        <v>43465</v>
      </c>
      <c r="C49" s="489">
        <v>0.19400000000000001</v>
      </c>
      <c r="D49" s="489">
        <f t="shared" si="1"/>
        <v>0.29100000000000004</v>
      </c>
      <c r="E49" s="160">
        <f t="shared" si="2"/>
        <v>7.0001780740103214E-4</v>
      </c>
      <c r="F49" s="490">
        <f t="shared" si="5"/>
        <v>373750</v>
      </c>
      <c r="G49" s="370">
        <f t="shared" si="3"/>
        <v>31</v>
      </c>
      <c r="H49" s="266">
        <f t="shared" si="4"/>
        <v>8110.5813210002088</v>
      </c>
    </row>
    <row r="50" spans="1:8">
      <c r="A50" s="16">
        <v>43466</v>
      </c>
      <c r="B50" s="16">
        <v>43496</v>
      </c>
      <c r="C50" s="489">
        <v>0.19159999999999999</v>
      </c>
      <c r="D50" s="489">
        <f t="shared" si="1"/>
        <v>0.28739999999999999</v>
      </c>
      <c r="E50" s="160">
        <f t="shared" si="2"/>
        <v>6.9236198468725085E-4</v>
      </c>
      <c r="F50" s="490">
        <f t="shared" si="5"/>
        <v>373750</v>
      </c>
      <c r="G50" s="370">
        <f t="shared" si="3"/>
        <v>31</v>
      </c>
      <c r="H50" s="266">
        <f t="shared" si="4"/>
        <v>8021.87904508266</v>
      </c>
    </row>
    <row r="51" spans="1:8">
      <c r="A51" s="16">
        <v>43497</v>
      </c>
      <c r="B51" s="16">
        <v>43524</v>
      </c>
      <c r="C51" s="489">
        <v>0.19700000000000001</v>
      </c>
      <c r="D51" s="489">
        <f t="shared" si="1"/>
        <v>0.29549999999999998</v>
      </c>
      <c r="E51" s="160">
        <f t="shared" si="2"/>
        <v>7.0955770203506852E-4</v>
      </c>
      <c r="F51" s="490">
        <f t="shared" si="5"/>
        <v>373750</v>
      </c>
      <c r="G51" s="370">
        <f t="shared" si="3"/>
        <v>28</v>
      </c>
      <c r="H51" s="266">
        <f t="shared" si="4"/>
        <v>7425.5213517969923</v>
      </c>
    </row>
    <row r="52" spans="1:8">
      <c r="A52" s="16">
        <v>43525</v>
      </c>
      <c r="B52" s="16">
        <v>43555</v>
      </c>
      <c r="C52" s="489">
        <v>0.19370000000000001</v>
      </c>
      <c r="D52" s="489">
        <f t="shared" si="1"/>
        <v>0.29055000000000003</v>
      </c>
      <c r="E52" s="160">
        <f t="shared" si="2"/>
        <v>6.9906199467517638E-4</v>
      </c>
      <c r="F52" s="490">
        <f t="shared" si="5"/>
        <v>373750</v>
      </c>
      <c r="G52" s="370">
        <f t="shared" si="3"/>
        <v>31</v>
      </c>
      <c r="H52" s="266">
        <f t="shared" si="4"/>
        <v>8099.5070358052626</v>
      </c>
    </row>
    <row r="53" spans="1:8">
      <c r="A53" s="16">
        <v>43556</v>
      </c>
      <c r="B53" s="16">
        <v>43585</v>
      </c>
      <c r="C53" s="489">
        <v>0.19320000000000001</v>
      </c>
      <c r="D53" s="489">
        <f t="shared" si="1"/>
        <v>0.2898</v>
      </c>
      <c r="E53" s="160">
        <f t="shared" si="2"/>
        <v>6.9746823462724095E-4</v>
      </c>
      <c r="F53" s="490">
        <f t="shared" si="5"/>
        <v>373750</v>
      </c>
      <c r="G53" s="370">
        <f t="shared" si="3"/>
        <v>30</v>
      </c>
      <c r="H53" s="266">
        <f t="shared" si="4"/>
        <v>7820.3625807579392</v>
      </c>
    </row>
    <row r="54" spans="1:8">
      <c r="A54" s="16">
        <v>43586</v>
      </c>
      <c r="B54" s="16">
        <v>43616</v>
      </c>
      <c r="C54" s="489">
        <v>0.19339999999999999</v>
      </c>
      <c r="D54" s="489">
        <f t="shared" si="1"/>
        <v>0.29009999999999997</v>
      </c>
      <c r="E54" s="160">
        <f t="shared" si="2"/>
        <v>6.9810584952367805E-4</v>
      </c>
      <c r="F54" s="490">
        <f t="shared" si="5"/>
        <v>373750</v>
      </c>
      <c r="G54" s="370">
        <f t="shared" si="3"/>
        <v>31</v>
      </c>
      <c r="H54" s="266">
        <f t="shared" si="4"/>
        <v>8088.4288990437144</v>
      </c>
    </row>
    <row r="55" spans="1:8">
      <c r="A55" s="16">
        <v>43617</v>
      </c>
      <c r="B55" s="16">
        <v>43646</v>
      </c>
      <c r="C55" s="489">
        <v>0.193</v>
      </c>
      <c r="D55" s="489">
        <f t="shared" si="1"/>
        <v>0.28949999999999998</v>
      </c>
      <c r="E55" s="160">
        <f t="shared" si="2"/>
        <v>6.9683047181468005E-4</v>
      </c>
      <c r="F55" s="490">
        <f t="shared" si="5"/>
        <v>373750</v>
      </c>
      <c r="G55" s="370">
        <f t="shared" si="3"/>
        <v>30</v>
      </c>
      <c r="H55" s="266">
        <f t="shared" si="4"/>
        <v>7813.2116652221002</v>
      </c>
    </row>
    <row r="56" spans="1:8">
      <c r="A56" s="16">
        <v>43647</v>
      </c>
      <c r="B56" s="16">
        <v>43677</v>
      </c>
      <c r="C56" s="489">
        <v>0.1928</v>
      </c>
      <c r="D56" s="489">
        <f t="shared" si="1"/>
        <v>0.28920000000000001</v>
      </c>
      <c r="E56" s="160">
        <f t="shared" si="2"/>
        <v>6.9619256101671745E-4</v>
      </c>
      <c r="F56" s="490">
        <f t="shared" si="5"/>
        <v>373750</v>
      </c>
      <c r="G56" s="370">
        <f t="shared" si="3"/>
        <v>31</v>
      </c>
      <c r="H56" s="266">
        <f t="shared" si="4"/>
        <v>8066.2610600799426</v>
      </c>
    </row>
    <row r="57" spans="1:8">
      <c r="A57" s="16">
        <v>43678</v>
      </c>
      <c r="B57" s="16">
        <v>43708</v>
      </c>
      <c r="C57" s="489">
        <v>0.19320000000000001</v>
      </c>
      <c r="D57" s="489">
        <f t="shared" si="1"/>
        <v>0.2898</v>
      </c>
      <c r="E57" s="160">
        <f t="shared" si="2"/>
        <v>6.9746823462724095E-4</v>
      </c>
      <c r="F57" s="490">
        <f t="shared" si="5"/>
        <v>373750</v>
      </c>
      <c r="G57" s="370">
        <f t="shared" si="3"/>
        <v>31</v>
      </c>
      <c r="H57" s="266">
        <f t="shared" si="4"/>
        <v>8081.0413334498708</v>
      </c>
    </row>
    <row r="58" spans="1:8">
      <c r="A58" s="16">
        <v>43709</v>
      </c>
      <c r="B58" s="16">
        <v>43738</v>
      </c>
      <c r="C58" s="489">
        <v>0.19320000000000001</v>
      </c>
      <c r="D58" s="489">
        <f t="shared" si="1"/>
        <v>0.2898</v>
      </c>
      <c r="E58" s="160">
        <f t="shared" si="2"/>
        <v>6.9746823462724095E-4</v>
      </c>
      <c r="F58" s="490">
        <f t="shared" si="5"/>
        <v>373750</v>
      </c>
      <c r="G58" s="370">
        <f t="shared" si="3"/>
        <v>30</v>
      </c>
      <c r="H58" s="266">
        <f t="shared" si="4"/>
        <v>7820.3625807579392</v>
      </c>
    </row>
    <row r="59" spans="1:8">
      <c r="A59" s="16">
        <v>43739</v>
      </c>
      <c r="B59" s="16">
        <v>43769</v>
      </c>
      <c r="C59" s="489">
        <v>0.191</v>
      </c>
      <c r="D59" s="489">
        <f t="shared" si="1"/>
        <v>0.28649999999999998</v>
      </c>
      <c r="E59" s="160">
        <f t="shared" si="2"/>
        <v>6.9044469314105683E-4</v>
      </c>
      <c r="F59" s="490">
        <f t="shared" si="5"/>
        <v>373750</v>
      </c>
      <c r="G59" s="370">
        <f t="shared" si="3"/>
        <v>31</v>
      </c>
      <c r="H59" s="266">
        <f t="shared" si="4"/>
        <v>7999.6648259055701</v>
      </c>
    </row>
    <row r="60" spans="1:8">
      <c r="A60" s="16">
        <v>43770</v>
      </c>
      <c r="B60" s="16">
        <v>43799</v>
      </c>
      <c r="C60" s="489">
        <v>0.1903</v>
      </c>
      <c r="D60" s="489">
        <f t="shared" si="1"/>
        <v>0.28544999999999998</v>
      </c>
      <c r="E60" s="160">
        <f t="shared" si="2"/>
        <v>6.8820616169262827E-4</v>
      </c>
      <c r="F60" s="490">
        <f t="shared" si="5"/>
        <v>373750</v>
      </c>
      <c r="G60" s="370">
        <f t="shared" si="3"/>
        <v>30</v>
      </c>
      <c r="H60" s="266">
        <f t="shared" si="4"/>
        <v>7716.5115879785944</v>
      </c>
    </row>
    <row r="61" spans="1:8">
      <c r="A61" s="16">
        <v>43800</v>
      </c>
      <c r="B61" s="16">
        <v>43830</v>
      </c>
      <c r="C61" s="489">
        <v>0.18909999999999999</v>
      </c>
      <c r="D61" s="489">
        <f t="shared" si="1"/>
        <v>0.28364999999999996</v>
      </c>
      <c r="E61" s="160">
        <f t="shared" si="2"/>
        <v>6.8436443340047504E-4</v>
      </c>
      <c r="F61" s="490">
        <f t="shared" si="5"/>
        <v>373750</v>
      </c>
      <c r="G61" s="370">
        <f t="shared" si="3"/>
        <v>31</v>
      </c>
      <c r="H61" s="266">
        <f t="shared" si="4"/>
        <v>7929.2174164862536</v>
      </c>
    </row>
    <row r="62" spans="1:8">
      <c r="A62" s="16">
        <v>43831</v>
      </c>
      <c r="B62" s="16">
        <v>43861</v>
      </c>
      <c r="C62" s="489">
        <v>0.18770000000000001</v>
      </c>
      <c r="D62" s="489">
        <f t="shared" si="1"/>
        <v>0.28155000000000002</v>
      </c>
      <c r="E62" s="160">
        <f t="shared" si="2"/>
        <v>6.7987562124560696E-4</v>
      </c>
      <c r="F62" s="490">
        <f t="shared" si="5"/>
        <v>373750</v>
      </c>
      <c r="G62" s="370">
        <f t="shared" si="3"/>
        <v>31</v>
      </c>
      <c r="H62" s="266">
        <f t="shared" si="4"/>
        <v>7877.208916656914</v>
      </c>
    </row>
    <row r="63" spans="1:8">
      <c r="A63" s="16">
        <v>43862</v>
      </c>
      <c r="B63" s="16">
        <v>43890</v>
      </c>
      <c r="C63" s="489">
        <v>0.19059999999999999</v>
      </c>
      <c r="D63" s="489">
        <f t="shared" si="1"/>
        <v>0.28589999999999999</v>
      </c>
      <c r="E63" s="160">
        <f t="shared" si="2"/>
        <v>6.8916575551658532E-4</v>
      </c>
      <c r="F63" s="490">
        <f t="shared" si="5"/>
        <v>373750</v>
      </c>
      <c r="G63" s="370">
        <f t="shared" si="3"/>
        <v>29</v>
      </c>
      <c r="H63" s="266">
        <f t="shared" si="4"/>
        <v>7469.695332605389</v>
      </c>
    </row>
    <row r="64" spans="1:8">
      <c r="A64" s="16">
        <v>43891</v>
      </c>
      <c r="B64" s="16">
        <v>43921</v>
      </c>
      <c r="C64" s="489">
        <v>0.1895</v>
      </c>
      <c r="D64" s="489">
        <f t="shared" si="1"/>
        <v>0.28425</v>
      </c>
      <c r="E64" s="160">
        <f t="shared" si="2"/>
        <v>6.8564560609574166E-4</v>
      </c>
      <c r="F64" s="490">
        <f t="shared" si="5"/>
        <v>373750</v>
      </c>
      <c r="G64" s="370">
        <f t="shared" si="3"/>
        <v>31</v>
      </c>
      <c r="H64" s="266">
        <f t="shared" si="4"/>
        <v>7944.0614036267871</v>
      </c>
    </row>
    <row r="65" spans="1:8">
      <c r="A65" s="16">
        <v>43922</v>
      </c>
      <c r="B65" s="16">
        <v>43951</v>
      </c>
      <c r="C65" s="489">
        <v>0.18690000000000001</v>
      </c>
      <c r="D65" s="489">
        <f t="shared" si="1"/>
        <v>0.28034999999999999</v>
      </c>
      <c r="E65" s="160">
        <f t="shared" si="2"/>
        <v>6.7730729113191224E-4</v>
      </c>
      <c r="F65" s="490">
        <f t="shared" si="5"/>
        <v>373750</v>
      </c>
      <c r="G65" s="370">
        <f t="shared" si="3"/>
        <v>30</v>
      </c>
      <c r="H65" s="266">
        <f t="shared" si="4"/>
        <v>7594.3080018165656</v>
      </c>
    </row>
    <row r="66" spans="1:8">
      <c r="A66" s="16">
        <v>43952</v>
      </c>
      <c r="B66" s="16">
        <v>43982</v>
      </c>
      <c r="C66" s="491">
        <v>0.18190000000000001</v>
      </c>
      <c r="D66" s="489">
        <f t="shared" si="1"/>
        <v>0.27285000000000004</v>
      </c>
      <c r="E66" s="160">
        <f t="shared" si="2"/>
        <v>6.6120063584418354E-4</v>
      </c>
      <c r="F66" s="490">
        <f t="shared" si="5"/>
        <v>373750</v>
      </c>
      <c r="G66" s="370">
        <f t="shared" si="3"/>
        <v>31</v>
      </c>
      <c r="H66" s="266">
        <f t="shared" si="4"/>
        <v>7660.8358670496718</v>
      </c>
    </row>
    <row r="67" spans="1:8">
      <c r="A67" s="16">
        <v>43983</v>
      </c>
      <c r="B67" s="16">
        <v>44012</v>
      </c>
      <c r="C67" s="491">
        <v>0.1812</v>
      </c>
      <c r="D67" s="489">
        <f t="shared" si="1"/>
        <v>0.27179999999999999</v>
      </c>
      <c r="E67" s="160">
        <f t="shared" si="2"/>
        <v>6.5893815469997286E-4</v>
      </c>
      <c r="F67" s="490">
        <f t="shared" si="5"/>
        <v>373750</v>
      </c>
      <c r="G67" s="370">
        <f t="shared" si="3"/>
        <v>30</v>
      </c>
      <c r="H67" s="266">
        <f t="shared" si="4"/>
        <v>7388.3440595734455</v>
      </c>
    </row>
    <row r="68" spans="1:8">
      <c r="A68" s="16">
        <v>44013</v>
      </c>
      <c r="B68" s="16">
        <v>44043</v>
      </c>
      <c r="C68" s="491">
        <v>0.1812</v>
      </c>
      <c r="D68" s="489">
        <f t="shared" si="1"/>
        <v>0.27179999999999999</v>
      </c>
      <c r="E68" s="160">
        <f t="shared" si="2"/>
        <v>6.5893815469997286E-4</v>
      </c>
      <c r="F68" s="490">
        <f t="shared" si="5"/>
        <v>373750</v>
      </c>
      <c r="G68" s="370">
        <f t="shared" si="3"/>
        <v>31</v>
      </c>
      <c r="H68" s="266">
        <f t="shared" si="4"/>
        <v>7634.6221948925604</v>
      </c>
    </row>
    <row r="69" spans="1:8">
      <c r="A69" s="16">
        <v>44044</v>
      </c>
      <c r="B69" s="16">
        <v>44074</v>
      </c>
      <c r="C69" s="491">
        <v>0.18290000000000001</v>
      </c>
      <c r="D69" s="489">
        <f t="shared" si="1"/>
        <v>0.27434999999999998</v>
      </c>
      <c r="E69" s="160">
        <f t="shared" si="2"/>
        <v>6.6442952514544906E-4</v>
      </c>
      <c r="F69" s="490">
        <f t="shared" si="5"/>
        <v>373750</v>
      </c>
      <c r="G69" s="370">
        <f t="shared" si="3"/>
        <v>31</v>
      </c>
      <c r="H69" s="266">
        <f t="shared" si="4"/>
        <v>7698.2465857164589</v>
      </c>
    </row>
    <row r="70" spans="1:8">
      <c r="A70" s="16">
        <v>44075</v>
      </c>
      <c r="B70" s="16">
        <v>44104</v>
      </c>
      <c r="C70" s="491">
        <v>0.1835</v>
      </c>
      <c r="D70" s="489">
        <f t="shared" si="1"/>
        <v>0.27524999999999999</v>
      </c>
      <c r="E70" s="160">
        <f t="shared" si="2"/>
        <v>6.6636503991857055E-4</v>
      </c>
      <c r="F70" s="490">
        <f t="shared" si="5"/>
        <v>373750</v>
      </c>
      <c r="G70" s="370">
        <f t="shared" si="3"/>
        <v>30</v>
      </c>
      <c r="H70" s="266">
        <f t="shared" si="4"/>
        <v>7471.6180100869724</v>
      </c>
    </row>
    <row r="71" spans="1:8">
      <c r="A71" s="16">
        <v>44105</v>
      </c>
      <c r="B71" s="16">
        <v>44135</v>
      </c>
      <c r="C71" s="489">
        <v>0.18090000000000001</v>
      </c>
      <c r="D71" s="489">
        <f t="shared" si="1"/>
        <v>0.27134999999999998</v>
      </c>
      <c r="E71" s="160">
        <f t="shared" si="2"/>
        <v>6.5796794962613703E-4</v>
      </c>
      <c r="F71" s="490">
        <f t="shared" si="5"/>
        <v>373750</v>
      </c>
      <c r="G71" s="370">
        <f t="shared" si="3"/>
        <v>31</v>
      </c>
      <c r="H71" s="266">
        <f t="shared" si="4"/>
        <v>7623.3811563558302</v>
      </c>
    </row>
    <row r="72" spans="1:8">
      <c r="A72" s="16">
        <v>44136</v>
      </c>
      <c r="B72" s="16">
        <v>44165</v>
      </c>
      <c r="C72" s="491">
        <v>0.1784</v>
      </c>
      <c r="D72" s="489">
        <f t="shared" si="1"/>
        <v>0.2676</v>
      </c>
      <c r="E72" s="160">
        <f t="shared" si="2"/>
        <v>6.4986956374091243E-4</v>
      </c>
      <c r="F72" s="490">
        <f t="shared" si="5"/>
        <v>373750</v>
      </c>
      <c r="G72" s="370">
        <f t="shared" si="3"/>
        <v>30</v>
      </c>
      <c r="H72" s="266">
        <f t="shared" si="4"/>
        <v>7286.6624834449804</v>
      </c>
    </row>
    <row r="73" spans="1:8">
      <c r="A73" s="16">
        <v>44166</v>
      </c>
      <c r="B73" s="16">
        <v>44196</v>
      </c>
      <c r="C73" s="491">
        <v>0.17460000000000001</v>
      </c>
      <c r="D73" s="489">
        <f t="shared" si="1"/>
        <v>0.26190000000000002</v>
      </c>
      <c r="E73" s="160">
        <f t="shared" si="2"/>
        <v>6.3751414410861962E-4</v>
      </c>
      <c r="F73" s="490">
        <f t="shared" si="5"/>
        <v>373750</v>
      </c>
      <c r="G73" s="370">
        <f t="shared" si="3"/>
        <v>31</v>
      </c>
      <c r="H73" s="266">
        <f t="shared" si="4"/>
        <v>7386.3982521784937</v>
      </c>
    </row>
    <row r="74" spans="1:8">
      <c r="A74" s="16">
        <v>44197</v>
      </c>
      <c r="B74" s="16">
        <v>44227</v>
      </c>
      <c r="C74" s="491">
        <v>0.17319999999999999</v>
      </c>
      <c r="D74" s="489">
        <f t="shared" si="1"/>
        <v>0.25979999999999998</v>
      </c>
      <c r="E74" s="160">
        <f t="shared" si="2"/>
        <v>6.3294811266723094E-4</v>
      </c>
      <c r="F74" s="490">
        <f t="shared" si="5"/>
        <v>373750</v>
      </c>
      <c r="G74" s="370">
        <f t="shared" si="3"/>
        <v>31</v>
      </c>
      <c r="H74" s="266">
        <f t="shared" si="4"/>
        <v>7333.4950703907043</v>
      </c>
    </row>
    <row r="75" spans="1:8">
      <c r="A75" s="16">
        <v>44228</v>
      </c>
      <c r="B75" s="16">
        <v>44255</v>
      </c>
      <c r="C75" s="491">
        <v>0.1754</v>
      </c>
      <c r="D75" s="489">
        <f t="shared" si="1"/>
        <v>0.2631</v>
      </c>
      <c r="E75" s="160">
        <f t="shared" si="2"/>
        <v>6.4011990387169426E-4</v>
      </c>
      <c r="F75" s="490">
        <f t="shared" si="5"/>
        <v>373750</v>
      </c>
      <c r="G75" s="370">
        <f t="shared" si="3"/>
        <v>28</v>
      </c>
      <c r="H75" s="266">
        <f t="shared" si="4"/>
        <v>6698.8547940172803</v>
      </c>
    </row>
    <row r="76" spans="1:8">
      <c r="A76" s="16">
        <v>44256</v>
      </c>
      <c r="B76" s="16">
        <v>44286</v>
      </c>
      <c r="C76" s="491">
        <v>0.1741</v>
      </c>
      <c r="D76" s="489">
        <f t="shared" si="1"/>
        <v>0.26114999999999999</v>
      </c>
      <c r="E76" s="160">
        <f t="shared" si="2"/>
        <v>6.3588428907812578E-4</v>
      </c>
      <c r="F76" s="490">
        <f t="shared" si="5"/>
        <v>373750</v>
      </c>
      <c r="G76" s="370">
        <f t="shared" si="3"/>
        <v>31</v>
      </c>
      <c r="H76" s="266">
        <f t="shared" si="4"/>
        <v>7367.5143443314346</v>
      </c>
    </row>
    <row r="77" spans="1:8">
      <c r="A77" s="16">
        <v>44287</v>
      </c>
      <c r="B77" s="16">
        <v>44316</v>
      </c>
      <c r="C77" s="491">
        <v>0.1731</v>
      </c>
      <c r="D77" s="489">
        <f t="shared" si="1"/>
        <v>0.25964999999999999</v>
      </c>
      <c r="E77" s="160">
        <f t="shared" si="2"/>
        <v>6.326216771728177E-4</v>
      </c>
      <c r="F77" s="490">
        <f t="shared" si="5"/>
        <v>373750</v>
      </c>
      <c r="G77" s="370">
        <f t="shared" si="3"/>
        <v>30</v>
      </c>
      <c r="H77" s="266">
        <f t="shared" si="4"/>
        <v>7093.2705553002188</v>
      </c>
    </row>
    <row r="78" spans="1:8">
      <c r="A78" s="16">
        <v>44317</v>
      </c>
      <c r="B78" s="16">
        <v>44347</v>
      </c>
      <c r="C78" s="491">
        <v>0.17219999999999999</v>
      </c>
      <c r="D78" s="489">
        <f t="shared" si="1"/>
        <v>0.25829999999999997</v>
      </c>
      <c r="E78" s="160">
        <f t="shared" si="2"/>
        <v>6.2968201205726437E-4</v>
      </c>
      <c r="F78" s="490">
        <f t="shared" si="5"/>
        <v>373750</v>
      </c>
      <c r="G78" s="370">
        <f t="shared" si="3"/>
        <v>31</v>
      </c>
      <c r="H78" s="266">
        <f t="shared" si="4"/>
        <v>7295.6532121984792</v>
      </c>
    </row>
    <row r="79" spans="1:8">
      <c r="A79" s="16">
        <v>44348</v>
      </c>
      <c r="B79" s="16">
        <v>44377</v>
      </c>
      <c r="C79" s="491">
        <v>0.1721</v>
      </c>
      <c r="D79" s="489">
        <f t="shared" si="1"/>
        <v>0.25814999999999999</v>
      </c>
      <c r="E79" s="160">
        <f t="shared" si="2"/>
        <v>6.2935518846773952E-4</v>
      </c>
      <c r="F79" s="490">
        <f t="shared" si="5"/>
        <v>373750</v>
      </c>
      <c r="G79" s="370">
        <f t="shared" si="3"/>
        <v>30</v>
      </c>
      <c r="H79" s="266">
        <f t="shared" si="4"/>
        <v>7056.6450506945293</v>
      </c>
    </row>
    <row r="80" spans="1:8">
      <c r="A80" s="16">
        <v>44378</v>
      </c>
      <c r="B80" s="16">
        <v>44408</v>
      </c>
      <c r="C80" s="491">
        <v>0.17180000000000001</v>
      </c>
      <c r="D80" s="489">
        <f t="shared" si="1"/>
        <v>0.25770000000000004</v>
      </c>
      <c r="E80" s="160">
        <f t="shared" si="2"/>
        <v>6.2837448450037137E-4</v>
      </c>
      <c r="F80" s="490">
        <f t="shared" si="5"/>
        <v>373750</v>
      </c>
      <c r="G80" s="370">
        <f t="shared" si="3"/>
        <v>31</v>
      </c>
      <c r="H80" s="266">
        <f t="shared" si="4"/>
        <v>7280.5038710424278</v>
      </c>
    </row>
    <row r="81" spans="1:8">
      <c r="A81" s="16">
        <v>44409</v>
      </c>
      <c r="B81" s="16">
        <v>44439</v>
      </c>
      <c r="C81" s="491">
        <v>0.1724</v>
      </c>
      <c r="D81" s="489">
        <f t="shared" si="1"/>
        <v>0.2586</v>
      </c>
      <c r="E81" s="160">
        <f t="shared" si="2"/>
        <v>6.3033554269220637E-4</v>
      </c>
      <c r="F81" s="490">
        <f t="shared" si="5"/>
        <v>373750</v>
      </c>
      <c r="G81" s="370">
        <f t="shared" si="3"/>
        <v>31</v>
      </c>
      <c r="H81" s="266">
        <f t="shared" si="4"/>
        <v>7303.2251815175759</v>
      </c>
    </row>
    <row r="82" spans="1:8">
      <c r="A82" s="16">
        <v>44440</v>
      </c>
      <c r="B82" s="16">
        <v>44469</v>
      </c>
      <c r="C82" s="489">
        <v>0.1719</v>
      </c>
      <c r="D82" s="489">
        <f t="shared" si="1"/>
        <v>0.25785000000000002</v>
      </c>
      <c r="E82" s="160">
        <f t="shared" si="2"/>
        <v>6.2870142469861889E-4</v>
      </c>
      <c r="F82" s="490">
        <f t="shared" si="5"/>
        <v>373750</v>
      </c>
      <c r="G82" s="370">
        <f t="shared" si="3"/>
        <v>30</v>
      </c>
      <c r="H82" s="266">
        <f t="shared" si="4"/>
        <v>7049.314724433264</v>
      </c>
    </row>
    <row r="83" spans="1:8">
      <c r="A83" s="147"/>
      <c r="B83" s="147"/>
      <c r="C83" s="147"/>
      <c r="D83" s="147"/>
      <c r="E83" s="147"/>
      <c r="F83" s="68" t="s">
        <v>162</v>
      </c>
      <c r="G83" s="68"/>
      <c r="H83" s="494">
        <f>SUM(H26:H82)</f>
        <v>422057.61217685509</v>
      </c>
    </row>
    <row r="84" spans="1:8" ht="15" customHeight="1" thickBot="1">
      <c r="B84" s="147"/>
      <c r="C84" s="147"/>
      <c r="D84" s="147"/>
      <c r="E84" s="147"/>
      <c r="F84" s="2788" t="s">
        <v>129</v>
      </c>
      <c r="G84" s="2788"/>
      <c r="H84" s="492">
        <f>+B21</f>
        <v>373750</v>
      </c>
    </row>
    <row r="85" spans="1:8" ht="14.25" thickTop="1" thickBot="1">
      <c r="A85" s="476" t="s">
        <v>63</v>
      </c>
      <c r="B85" s="147"/>
      <c r="C85" s="147"/>
      <c r="D85" s="147"/>
      <c r="E85" s="147"/>
      <c r="F85" s="2789" t="s">
        <v>61</v>
      </c>
      <c r="G85" s="2789"/>
      <c r="H85" s="493">
        <f>SUM(H83:H84)</f>
        <v>795807.61217685509</v>
      </c>
    </row>
    <row r="86" spans="1:8" ht="13.5" thickTop="1">
      <c r="A86" s="476" t="s">
        <v>1395</v>
      </c>
      <c r="B86" s="147"/>
      <c r="C86" s="147"/>
      <c r="D86" s="147"/>
      <c r="E86" s="147"/>
      <c r="F86" s="147"/>
      <c r="G86" s="147"/>
      <c r="H86" s="147"/>
    </row>
    <row r="87" spans="1:8">
      <c r="B87" s="147"/>
      <c r="C87" s="147"/>
      <c r="D87" s="147"/>
      <c r="E87" s="147"/>
      <c r="F87" s="147"/>
      <c r="G87" s="147"/>
      <c r="H87" s="147"/>
    </row>
    <row r="88" spans="1:8">
      <c r="A88" s="147"/>
      <c r="B88" s="147"/>
      <c r="C88" s="147"/>
      <c r="D88" s="147"/>
      <c r="E88" s="147"/>
      <c r="F88" s="147"/>
      <c r="G88" s="147"/>
      <c r="H88" s="147"/>
    </row>
    <row r="89" spans="1:8">
      <c r="A89" s="147"/>
      <c r="B89" s="147"/>
      <c r="C89" s="147"/>
      <c r="D89" s="147"/>
      <c r="E89" s="147"/>
      <c r="F89" s="147"/>
      <c r="G89" s="147"/>
      <c r="H89" s="147"/>
    </row>
    <row r="90" spans="1:8">
      <c r="B90" s="156"/>
      <c r="C90" s="156"/>
      <c r="D90" s="156"/>
      <c r="E90" s="156"/>
      <c r="F90" s="156"/>
      <c r="G90" s="156"/>
      <c r="H90" s="156"/>
    </row>
  </sheetData>
  <mergeCells count="4">
    <mergeCell ref="F84:G84"/>
    <mergeCell ref="F85:G85"/>
    <mergeCell ref="A10:B10"/>
    <mergeCell ref="A24:H24"/>
  </mergeCells>
  <pageMargins left="0.25" right="0.25" top="0.75" bottom="0.75" header="0.3" footer="0.3"/>
  <pageSetup paperSize="9" fitToHeight="0" orientation="landscape" r:id="rId1"/>
  <rowBreaks count="2" manualBreakCount="2">
    <brk id="42" max="7" man="1"/>
    <brk id="75" max="7" man="1"/>
  </row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0C6C9-9611-4EAA-93F8-C22F1D68DEEA}">
  <sheetPr codeName="Hoja74"/>
  <dimension ref="A2:K41"/>
  <sheetViews>
    <sheetView workbookViewId="0">
      <selection activeCell="J39" sqref="J39"/>
    </sheetView>
  </sheetViews>
  <sheetFormatPr defaultColWidth="11.42578125" defaultRowHeight="12.75"/>
  <cols>
    <col min="1" max="1" width="3.28515625" customWidth="1"/>
    <col min="2" max="2" width="11.28515625" customWidth="1"/>
    <col min="3" max="3" width="16.85546875" customWidth="1"/>
    <col min="8" max="8" width="21.7109375" bestFit="1" customWidth="1"/>
    <col min="10" max="10" width="17.5703125" bestFit="1" customWidth="1"/>
  </cols>
  <sheetData>
    <row r="2" spans="1:11" ht="22.5">
      <c r="B2" s="148" t="s">
        <v>1056</v>
      </c>
      <c r="C2" s="192" t="s">
        <v>1396</v>
      </c>
    </row>
    <row r="3" spans="1:11" ht="22.5">
      <c r="B3" s="148" t="s">
        <v>825</v>
      </c>
      <c r="C3" s="192" t="s">
        <v>1397</v>
      </c>
    </row>
    <row r="4" spans="1:11" ht="22.5">
      <c r="B4" s="148" t="s">
        <v>1059</v>
      </c>
      <c r="C4" s="192" t="s">
        <v>1129</v>
      </c>
    </row>
    <row r="5" spans="1:11" ht="22.5">
      <c r="B5" s="148" t="s">
        <v>1130</v>
      </c>
      <c r="C5" s="192" t="s">
        <v>1398</v>
      </c>
    </row>
    <row r="6" spans="1:11" ht="22.5">
      <c r="B6" s="148" t="s">
        <v>287</v>
      </c>
      <c r="C6" s="192"/>
    </row>
    <row r="7" spans="1:11" ht="22.5">
      <c r="B7" s="148" t="s">
        <v>1132</v>
      </c>
      <c r="C7" s="192" t="s">
        <v>1399</v>
      </c>
      <c r="K7" s="32"/>
    </row>
    <row r="8" spans="1:11" ht="22.5">
      <c r="B8" s="148" t="s">
        <v>1400</v>
      </c>
      <c r="C8" s="192"/>
      <c r="K8" s="32"/>
    </row>
    <row r="9" spans="1:11">
      <c r="B9" s="148" t="s">
        <v>164</v>
      </c>
      <c r="C9" s="194">
        <v>5096617418</v>
      </c>
      <c r="K9" s="32"/>
    </row>
    <row r="10" spans="1:11" ht="34.5" customHeight="1">
      <c r="B10" s="2791" t="s">
        <v>367</v>
      </c>
      <c r="C10" s="2792"/>
      <c r="D10" s="57" t="s">
        <v>148</v>
      </c>
      <c r="E10" s="49" t="s">
        <v>149</v>
      </c>
      <c r="F10" s="57" t="s">
        <v>1342</v>
      </c>
      <c r="G10" s="94" t="s">
        <v>43</v>
      </c>
      <c r="H10" s="94" t="s">
        <v>129</v>
      </c>
      <c r="I10" s="94" t="s">
        <v>47</v>
      </c>
      <c r="J10" s="193" t="s">
        <v>823</v>
      </c>
    </row>
    <row r="11" spans="1:11">
      <c r="A11">
        <v>1</v>
      </c>
      <c r="B11" s="16">
        <v>43678</v>
      </c>
      <c r="C11" s="16">
        <v>43708</v>
      </c>
      <c r="D11" s="18">
        <v>0.19320000000000001</v>
      </c>
      <c r="E11" s="2"/>
      <c r="F11" s="18">
        <f>(1+D11)^(1/12)-1</f>
        <v>1.4828769035783118E-2</v>
      </c>
      <c r="G11" s="43">
        <f>((1+F11)^(1/30)-1)</f>
        <v>4.907836550700484E-4</v>
      </c>
      <c r="H11" s="29">
        <f>+$C$9</f>
        <v>5096617418</v>
      </c>
      <c r="I11" s="26">
        <f>(C11-B11)+1</f>
        <v>31</v>
      </c>
      <c r="J11" s="176">
        <f>H11*(((1+G11)^I11)-1)</f>
        <v>78114990.8217704</v>
      </c>
    </row>
    <row r="12" spans="1:11">
      <c r="A12">
        <v>2</v>
      </c>
      <c r="B12" s="16">
        <v>43709</v>
      </c>
      <c r="C12" s="16">
        <v>43738</v>
      </c>
      <c r="D12" s="18">
        <v>0.19320000000000001</v>
      </c>
      <c r="E12" s="2"/>
      <c r="F12" s="18">
        <f t="shared" ref="F12:F18" si="0">(1+D12)^(1/12)-1</f>
        <v>1.4828769035783118E-2</v>
      </c>
      <c r="G12" s="43">
        <f t="shared" ref="G12:G34" si="1">((1+F12)^(1/30)-1)</f>
        <v>4.907836550700484E-4</v>
      </c>
      <c r="H12" s="29">
        <f t="shared" ref="H12:H20" si="2">+H11+J11</f>
        <v>5174732408.8217707</v>
      </c>
      <c r="I12" s="26">
        <f t="shared" ref="I12:I34" si="3">(C12-B12)+1</f>
        <v>30</v>
      </c>
      <c r="J12" s="176">
        <f t="shared" ref="J12:J34" si="4">H12*(((1+G12)^I12)-1)</f>
        <v>76734911.712390468</v>
      </c>
    </row>
    <row r="13" spans="1:11">
      <c r="A13">
        <v>3</v>
      </c>
      <c r="B13" s="16">
        <v>43739</v>
      </c>
      <c r="C13" s="16">
        <v>43769</v>
      </c>
      <c r="D13" s="18">
        <v>0.191</v>
      </c>
      <c r="E13" s="2"/>
      <c r="F13" s="18">
        <f t="shared" si="0"/>
        <v>1.4672710242028764E-2</v>
      </c>
      <c r="G13" s="43">
        <f t="shared" si="1"/>
        <v>4.8565480983198128E-4</v>
      </c>
      <c r="H13" s="29">
        <f t="shared" si="2"/>
        <v>5251467320.5341616</v>
      </c>
      <c r="I13" s="26">
        <f t="shared" si="3"/>
        <v>31</v>
      </c>
      <c r="J13" s="176">
        <f t="shared" si="4"/>
        <v>79641079.988095775</v>
      </c>
    </row>
    <row r="14" spans="1:11">
      <c r="A14">
        <v>4</v>
      </c>
      <c r="B14" s="16">
        <v>43770</v>
      </c>
      <c r="C14" s="16">
        <v>43799</v>
      </c>
      <c r="D14" s="18">
        <v>0.1903</v>
      </c>
      <c r="E14" s="2"/>
      <c r="F14" s="18">
        <f t="shared" si="0"/>
        <v>1.4622999753443056E-2</v>
      </c>
      <c r="G14" s="43">
        <f t="shared" si="1"/>
        <v>4.840209230971837E-4</v>
      </c>
      <c r="H14" s="29">
        <f t="shared" si="2"/>
        <v>5331108400.5222578</v>
      </c>
      <c r="I14" s="26">
        <f t="shared" si="3"/>
        <v>30</v>
      </c>
      <c r="J14" s="176">
        <f t="shared" si="4"/>
        <v>77956796.826408073</v>
      </c>
    </row>
    <row r="15" spans="1:11">
      <c r="A15">
        <v>5</v>
      </c>
      <c r="B15" s="16">
        <v>43800</v>
      </c>
      <c r="C15" s="16">
        <v>43830</v>
      </c>
      <c r="D15" s="18">
        <v>0.18909999999999999</v>
      </c>
      <c r="E15" s="2"/>
      <c r="F15" s="18">
        <f t="shared" si="0"/>
        <v>1.4537719393268755E-2</v>
      </c>
      <c r="G15" s="43">
        <f t="shared" si="1"/>
        <v>4.812177438526799E-4</v>
      </c>
      <c r="H15" s="29">
        <f t="shared" si="2"/>
        <v>5409065197.3486662</v>
      </c>
      <c r="I15" s="26">
        <f t="shared" si="3"/>
        <v>31</v>
      </c>
      <c r="J15" s="176">
        <f t="shared" si="4"/>
        <v>81276250.953992844</v>
      </c>
    </row>
    <row r="16" spans="1:11">
      <c r="A16">
        <v>6</v>
      </c>
      <c r="B16" s="16">
        <v>43831</v>
      </c>
      <c r="C16" s="16">
        <v>43861</v>
      </c>
      <c r="D16" s="18">
        <v>0.18770000000000001</v>
      </c>
      <c r="E16" s="2"/>
      <c r="F16" s="18">
        <f t="shared" si="0"/>
        <v>1.4438125874335572E-2</v>
      </c>
      <c r="G16" s="43">
        <f t="shared" si="1"/>
        <v>4.7794380042032181E-4</v>
      </c>
      <c r="H16" s="29">
        <f t="shared" si="2"/>
        <v>5490341448.302659</v>
      </c>
      <c r="I16" s="26">
        <f t="shared" si="3"/>
        <v>31</v>
      </c>
      <c r="J16" s="176">
        <f t="shared" si="4"/>
        <v>81932202.301297858</v>
      </c>
    </row>
    <row r="17" spans="1:10">
      <c r="A17">
        <v>7</v>
      </c>
      <c r="B17" s="16">
        <v>43862</v>
      </c>
      <c r="C17" s="16">
        <v>43890</v>
      </c>
      <c r="D17" s="18">
        <v>0.19059999999999999</v>
      </c>
      <c r="E17" s="2"/>
      <c r="F17" s="18">
        <f t="shared" si="0"/>
        <v>1.4644307529052547E-2</v>
      </c>
      <c r="G17" s="43">
        <f t="shared" si="1"/>
        <v>4.8472127756848948E-4</v>
      </c>
      <c r="H17" s="29">
        <f t="shared" si="2"/>
        <v>5572273650.6039572</v>
      </c>
      <c r="I17" s="26">
        <f t="shared" si="3"/>
        <v>29</v>
      </c>
      <c r="J17" s="176">
        <f t="shared" si="4"/>
        <v>78862862.864967003</v>
      </c>
    </row>
    <row r="18" spans="1:10">
      <c r="A18">
        <v>8</v>
      </c>
      <c r="B18" s="16">
        <v>43891</v>
      </c>
      <c r="C18" s="16">
        <v>43921</v>
      </c>
      <c r="D18" s="18">
        <v>0.1895</v>
      </c>
      <c r="E18" s="2"/>
      <c r="F18" s="18">
        <f t="shared" si="0"/>
        <v>1.4566154942097675E-2</v>
      </c>
      <c r="G18" s="43">
        <f t="shared" si="1"/>
        <v>4.8215245025762243E-4</v>
      </c>
      <c r="H18" s="29">
        <f t="shared" si="2"/>
        <v>5651136513.4689245</v>
      </c>
      <c r="I18" s="26">
        <f t="shared" si="3"/>
        <v>31</v>
      </c>
      <c r="J18" s="176">
        <f t="shared" si="4"/>
        <v>85079727.908936545</v>
      </c>
    </row>
    <row r="19" spans="1:10">
      <c r="A19">
        <v>9</v>
      </c>
      <c r="B19" s="16">
        <v>43922</v>
      </c>
      <c r="C19" s="16">
        <v>43951</v>
      </c>
      <c r="D19" s="18">
        <v>0.18690000000000001</v>
      </c>
      <c r="E19" s="2"/>
      <c r="F19" s="18">
        <f>(1+D19)^(1/12)-1</f>
        <v>1.4381166965633296E-2</v>
      </c>
      <c r="G19" s="43">
        <f t="shared" si="1"/>
        <v>4.7607124729709405E-4</v>
      </c>
      <c r="H19" s="29">
        <f t="shared" si="2"/>
        <v>5736216241.377861</v>
      </c>
      <c r="I19" s="26">
        <f t="shared" si="3"/>
        <v>30</v>
      </c>
      <c r="J19" s="176">
        <f t="shared" si="4"/>
        <v>82493483.518233761</v>
      </c>
    </row>
    <row r="20" spans="1:10">
      <c r="A20">
        <v>10</v>
      </c>
      <c r="B20" s="16">
        <v>43952</v>
      </c>
      <c r="C20" s="16">
        <v>43982</v>
      </c>
      <c r="D20" s="18">
        <v>0.18190000000000001</v>
      </c>
      <c r="E20" s="2"/>
      <c r="F20" s="18">
        <f t="shared" ref="F20:F27" si="5">(1+D20)^(1/12)-1</f>
        <v>1.4024374403139195E-2</v>
      </c>
      <c r="G20" s="43">
        <f t="shared" si="1"/>
        <v>4.6433919718458228E-4</v>
      </c>
      <c r="H20" s="29">
        <f t="shared" si="2"/>
        <v>5818709724.8960943</v>
      </c>
      <c r="I20" s="26">
        <f t="shared" si="3"/>
        <v>31</v>
      </c>
      <c r="J20" s="176">
        <f t="shared" si="4"/>
        <v>84343510.553571209</v>
      </c>
    </row>
    <row r="21" spans="1:10">
      <c r="A21">
        <v>11</v>
      </c>
      <c r="B21" s="16">
        <v>43983</v>
      </c>
      <c r="C21" s="16">
        <v>44012</v>
      </c>
      <c r="D21" s="18">
        <v>0.1812</v>
      </c>
      <c r="E21" s="2"/>
      <c r="F21" s="18">
        <f t="shared" si="5"/>
        <v>1.3974313074007094E-2</v>
      </c>
      <c r="G21" s="43">
        <f t="shared" si="1"/>
        <v>4.6269276175459062E-4</v>
      </c>
      <c r="H21" s="29">
        <f t="shared" ref="H21:H34" si="6">+H20+J20</f>
        <v>5903053235.4496651</v>
      </c>
      <c r="I21" s="26">
        <f t="shared" si="3"/>
        <v>30</v>
      </c>
      <c r="J21" s="176">
        <f t="shared" si="4"/>
        <v>82491114.004723787</v>
      </c>
    </row>
    <row r="22" spans="1:10">
      <c r="A22">
        <v>12</v>
      </c>
      <c r="B22" s="16">
        <v>44013</v>
      </c>
      <c r="C22" s="16">
        <v>44043</v>
      </c>
      <c r="D22" s="18">
        <v>0.1812</v>
      </c>
      <c r="E22" s="2"/>
      <c r="F22" s="18">
        <f t="shared" si="5"/>
        <v>1.3974313074007094E-2</v>
      </c>
      <c r="G22" s="43">
        <f t="shared" si="1"/>
        <v>4.6269276175459062E-4</v>
      </c>
      <c r="H22" s="29">
        <f t="shared" si="6"/>
        <v>5985544349.4543886</v>
      </c>
      <c r="I22" s="26">
        <f t="shared" si="3"/>
        <v>31</v>
      </c>
      <c r="J22" s="176">
        <f t="shared" si="4"/>
        <v>86452040.116821021</v>
      </c>
    </row>
    <row r="23" spans="1:10">
      <c r="A23">
        <v>13</v>
      </c>
      <c r="B23" s="16">
        <v>44044</v>
      </c>
      <c r="C23" s="16">
        <v>44074</v>
      </c>
      <c r="D23" s="18">
        <v>0.18290000000000001</v>
      </c>
      <c r="E23" s="2"/>
      <c r="F23" s="18">
        <f t="shared" si="5"/>
        <v>1.4095843461055191E-2</v>
      </c>
      <c r="G23" s="43">
        <f t="shared" si="1"/>
        <v>4.6668956173046006E-4</v>
      </c>
      <c r="H23" s="29">
        <f t="shared" si="6"/>
        <v>6071996389.5712099</v>
      </c>
      <c r="I23" s="26">
        <f t="shared" si="3"/>
        <v>31</v>
      </c>
      <c r="J23" s="176">
        <f t="shared" si="4"/>
        <v>88463591.855236366</v>
      </c>
    </row>
    <row r="24" spans="1:10">
      <c r="A24">
        <v>14</v>
      </c>
      <c r="B24" s="16">
        <v>44075</v>
      </c>
      <c r="C24" s="16">
        <v>44104</v>
      </c>
      <c r="D24" s="18">
        <v>0.1835</v>
      </c>
      <c r="E24" s="2"/>
      <c r="F24" s="18">
        <f t="shared" si="5"/>
        <v>1.4138698316213505E-2</v>
      </c>
      <c r="G24" s="43">
        <f t="shared" si="1"/>
        <v>4.6809882955711757E-4</v>
      </c>
      <c r="H24" s="29">
        <f t="shared" si="6"/>
        <v>6160459981.426446</v>
      </c>
      <c r="I24" s="26">
        <f t="shared" si="3"/>
        <v>30</v>
      </c>
      <c r="J24" s="176">
        <f t="shared" si="4"/>
        <v>87100885.166478351</v>
      </c>
    </row>
    <row r="25" spans="1:10">
      <c r="A25">
        <v>15</v>
      </c>
      <c r="B25" s="16">
        <v>44105</v>
      </c>
      <c r="C25" s="16">
        <v>44135</v>
      </c>
      <c r="D25" s="18">
        <v>0.18090000000000001</v>
      </c>
      <c r="E25" s="2"/>
      <c r="F25" s="18">
        <f t="shared" si="5"/>
        <v>1.3952849893216657E-2</v>
      </c>
      <c r="G25" s="43">
        <f t="shared" si="1"/>
        <v>4.6198684869325213E-4</v>
      </c>
      <c r="H25" s="29">
        <f t="shared" si="6"/>
        <v>6247560866.5929241</v>
      </c>
      <c r="I25" s="26">
        <f t="shared" si="3"/>
        <v>31</v>
      </c>
      <c r="J25" s="176">
        <f t="shared" si="4"/>
        <v>90097841.911557987</v>
      </c>
    </row>
    <row r="26" spans="1:10">
      <c r="A26">
        <v>16</v>
      </c>
      <c r="B26" s="16">
        <v>44136</v>
      </c>
      <c r="C26" s="16">
        <v>44165</v>
      </c>
      <c r="D26" s="18">
        <v>0.1784</v>
      </c>
      <c r="E26" s="2"/>
      <c r="F26" s="18">
        <f t="shared" si="5"/>
        <v>1.3773795424467439E-2</v>
      </c>
      <c r="G26" s="43">
        <f t="shared" si="1"/>
        <v>4.560972756531001E-4</v>
      </c>
      <c r="H26" s="29">
        <f t="shared" si="6"/>
        <v>6337658708.5044823</v>
      </c>
      <c r="I26" s="26">
        <f t="shared" si="3"/>
        <v>30</v>
      </c>
      <c r="J26" s="176">
        <f t="shared" si="4"/>
        <v>87293614.521033853</v>
      </c>
    </row>
    <row r="27" spans="1:10">
      <c r="A27">
        <v>17</v>
      </c>
      <c r="B27" s="16">
        <v>44166</v>
      </c>
      <c r="C27" s="16">
        <v>44196</v>
      </c>
      <c r="D27" s="18">
        <v>0.17460000000000001</v>
      </c>
      <c r="E27" s="2"/>
      <c r="F27" s="18">
        <f t="shared" si="5"/>
        <v>1.3500964614900468E-2</v>
      </c>
      <c r="G27" s="43">
        <f t="shared" si="1"/>
        <v>4.4712121809009631E-4</v>
      </c>
      <c r="H27" s="29">
        <f t="shared" si="6"/>
        <v>6424952323.0255165</v>
      </c>
      <c r="I27" s="26">
        <f t="shared" si="3"/>
        <v>31</v>
      </c>
      <c r="J27" s="176">
        <f t="shared" si="4"/>
        <v>89654571.134378403</v>
      </c>
    </row>
    <row r="28" spans="1:10">
      <c r="A28">
        <v>18</v>
      </c>
      <c r="B28" s="16">
        <v>44197</v>
      </c>
      <c r="C28" s="16">
        <v>44227</v>
      </c>
      <c r="D28" s="18">
        <v>0.17319999999999999</v>
      </c>
      <c r="E28" s="18"/>
      <c r="F28" s="18">
        <f>(1+D28)^(1/12)-1</f>
        <v>1.3400244010289386E-2</v>
      </c>
      <c r="G28" s="43">
        <f t="shared" si="1"/>
        <v>4.4380694795620457E-4</v>
      </c>
      <c r="H28" s="29">
        <f t="shared" si="6"/>
        <v>6514606894.1598949</v>
      </c>
      <c r="I28" s="26">
        <f t="shared" si="3"/>
        <v>31</v>
      </c>
      <c r="J28" s="176">
        <f t="shared" si="4"/>
        <v>90227292.973751843</v>
      </c>
    </row>
    <row r="29" spans="1:10">
      <c r="A29">
        <v>19</v>
      </c>
      <c r="B29" s="16">
        <v>44228</v>
      </c>
      <c r="C29" s="16">
        <v>44255</v>
      </c>
      <c r="D29" s="18">
        <v>0.1754</v>
      </c>
      <c r="E29" s="18">
        <f t="shared" ref="E29:E37" si="7">+D29*1.5</f>
        <v>0.2631</v>
      </c>
      <c r="F29" s="18">
        <f t="shared" ref="F29:F37" si="8">(1+E29)^(1/12)-1</f>
        <v>1.9654745030757592E-2</v>
      </c>
      <c r="G29" s="43">
        <f t="shared" si="1"/>
        <v>6.4901334251654674E-4</v>
      </c>
      <c r="H29" s="29">
        <f t="shared" si="6"/>
        <v>6604834187.133647</v>
      </c>
      <c r="I29" s="26">
        <f t="shared" si="3"/>
        <v>28</v>
      </c>
      <c r="J29" s="176">
        <f t="shared" si="4"/>
        <v>121083078.74653128</v>
      </c>
    </row>
    <row r="30" spans="1:10">
      <c r="A30">
        <v>20</v>
      </c>
      <c r="B30" s="16">
        <v>44256</v>
      </c>
      <c r="C30" s="16">
        <v>44286</v>
      </c>
      <c r="D30" s="18">
        <v>0.1741</v>
      </c>
      <c r="E30" s="18">
        <f t="shared" si="7"/>
        <v>0.26114999999999999</v>
      </c>
      <c r="F30" s="18">
        <f t="shared" si="8"/>
        <v>1.9523471771100809E-2</v>
      </c>
      <c r="G30" s="43">
        <f t="shared" si="1"/>
        <v>6.4471886169825687E-4</v>
      </c>
      <c r="H30" s="29">
        <f t="shared" si="6"/>
        <v>6725917265.8801785</v>
      </c>
      <c r="I30" s="26">
        <f t="shared" si="3"/>
        <v>31</v>
      </c>
      <c r="J30" s="176">
        <f t="shared" si="4"/>
        <v>135734241.73157415</v>
      </c>
    </row>
    <row r="31" spans="1:10">
      <c r="A31">
        <v>21</v>
      </c>
      <c r="B31" s="16">
        <v>44287</v>
      </c>
      <c r="C31" s="16">
        <v>44316</v>
      </c>
      <c r="D31" s="18">
        <v>0.1731</v>
      </c>
      <c r="E31" s="18">
        <f t="shared" si="7"/>
        <v>0.25964999999999999</v>
      </c>
      <c r="F31" s="18">
        <f t="shared" si="8"/>
        <v>1.942236567004052E-2</v>
      </c>
      <c r="G31" s="43">
        <f t="shared" si="1"/>
        <v>6.4141090660796429E-4</v>
      </c>
      <c r="H31" s="29">
        <f t="shared" si="6"/>
        <v>6861651507.6117525</v>
      </c>
      <c r="I31" s="26">
        <f t="shared" si="3"/>
        <v>30</v>
      </c>
      <c r="J31" s="176">
        <f t="shared" si="4"/>
        <v>133269504.68122028</v>
      </c>
    </row>
    <row r="32" spans="1:10">
      <c r="A32">
        <v>22</v>
      </c>
      <c r="B32" s="16">
        <v>44317</v>
      </c>
      <c r="C32" s="16">
        <v>44347</v>
      </c>
      <c r="D32" s="18">
        <v>0.17219999999999999</v>
      </c>
      <c r="E32" s="18">
        <f t="shared" si="7"/>
        <v>0.25829999999999997</v>
      </c>
      <c r="F32" s="18">
        <f t="shared" si="8"/>
        <v>1.9331275772907164E-2</v>
      </c>
      <c r="G32" s="43">
        <f t="shared" si="1"/>
        <v>6.3843038669131325E-4</v>
      </c>
      <c r="H32" s="29">
        <f t="shared" si="6"/>
        <v>6994921012.2929726</v>
      </c>
      <c r="I32" s="26">
        <f t="shared" si="3"/>
        <v>31</v>
      </c>
      <c r="J32" s="176">
        <f t="shared" si="4"/>
        <v>139772846.25893456</v>
      </c>
    </row>
    <row r="33" spans="1:10">
      <c r="A33">
        <v>23</v>
      </c>
      <c r="B33" s="16">
        <v>44348</v>
      </c>
      <c r="C33" s="16">
        <v>44377</v>
      </c>
      <c r="D33" s="18">
        <v>0.1721</v>
      </c>
      <c r="E33" s="18">
        <f t="shared" si="7"/>
        <v>0.25814999999999999</v>
      </c>
      <c r="F33" s="18">
        <f t="shared" si="8"/>
        <v>1.9321149143988858E-2</v>
      </c>
      <c r="G33" s="43">
        <f t="shared" si="1"/>
        <v>6.3809902098910243E-4</v>
      </c>
      <c r="H33" s="29">
        <f t="shared" si="6"/>
        <v>7134693858.5519075</v>
      </c>
      <c r="I33" s="26">
        <f t="shared" si="3"/>
        <v>30</v>
      </c>
      <c r="J33" s="176">
        <f t="shared" si="4"/>
        <v>137850484.13779384</v>
      </c>
    </row>
    <row r="34" spans="1:10">
      <c r="A34">
        <v>24</v>
      </c>
      <c r="B34" s="16">
        <v>44378</v>
      </c>
      <c r="C34" s="16">
        <v>44408</v>
      </c>
      <c r="D34" s="18">
        <v>0.17180000000000001</v>
      </c>
      <c r="E34" s="18">
        <f t="shared" si="7"/>
        <v>0.25770000000000004</v>
      </c>
      <c r="F34" s="18">
        <f t="shared" si="8"/>
        <v>1.9290762615578938E-2</v>
      </c>
      <c r="G34" s="43">
        <f t="shared" si="1"/>
        <v>6.3710468745115101E-4</v>
      </c>
      <c r="H34" s="29">
        <f t="shared" si="6"/>
        <v>7272544342.6897011</v>
      </c>
      <c r="I34" s="26">
        <f t="shared" si="3"/>
        <v>31</v>
      </c>
      <c r="J34" s="176">
        <f t="shared" si="4"/>
        <v>145015679.89762962</v>
      </c>
    </row>
    <row r="35" spans="1:10">
      <c r="A35">
        <v>25</v>
      </c>
      <c r="B35" s="16">
        <v>44409</v>
      </c>
      <c r="C35" s="16">
        <v>44439</v>
      </c>
      <c r="D35" s="18">
        <v>0.1724</v>
      </c>
      <c r="E35" s="18">
        <f t="shared" si="7"/>
        <v>0.2586</v>
      </c>
      <c r="F35" s="18">
        <f t="shared" si="8"/>
        <v>1.9351525711433615E-2</v>
      </c>
      <c r="G35" s="43">
        <f>((1+F35)^(1/30)-1)</f>
        <v>6.3909299993669677E-4</v>
      </c>
      <c r="H35" s="29">
        <f>+H34+J34</f>
        <v>7417560022.5873308</v>
      </c>
      <c r="I35" s="26">
        <f>(C35-B35)+1</f>
        <v>31</v>
      </c>
      <c r="J35" s="176">
        <f>H35*(((1+G35)^I35)-1)</f>
        <v>148373350.29467362</v>
      </c>
    </row>
    <row r="36" spans="1:10">
      <c r="A36">
        <v>26</v>
      </c>
      <c r="B36" s="16">
        <v>44440</v>
      </c>
      <c r="C36" s="16">
        <v>44469</v>
      </c>
      <c r="D36" s="18">
        <v>0.1719</v>
      </c>
      <c r="E36" s="18">
        <f t="shared" si="7"/>
        <v>0.25785000000000002</v>
      </c>
      <c r="F36" s="18">
        <f t="shared" si="8"/>
        <v>1.9300892565577765E-2</v>
      </c>
      <c r="G36" s="43">
        <f>((1+F36)^(1/30)-1)</f>
        <v>6.3743617137834718E-4</v>
      </c>
      <c r="H36" s="29">
        <f>+H35+J35</f>
        <v>7565933372.8820047</v>
      </c>
      <c r="I36" s="26">
        <f>(C36-B36)+1</f>
        <v>30</v>
      </c>
      <c r="J36" s="176">
        <f>H36*(((1+G36)^I36)-1)</f>
        <v>146029267.18832508</v>
      </c>
    </row>
    <row r="37" spans="1:10">
      <c r="A37">
        <v>27</v>
      </c>
      <c r="B37" s="16">
        <v>44470</v>
      </c>
      <c r="C37" s="16">
        <v>44500</v>
      </c>
      <c r="D37" s="18">
        <v>0.17080000000000001</v>
      </c>
      <c r="E37" s="18">
        <f t="shared" si="7"/>
        <v>0.25619999999999998</v>
      </c>
      <c r="F37" s="18">
        <f t="shared" si="8"/>
        <v>1.9189402159464075E-2</v>
      </c>
      <c r="G37" s="43">
        <f>((1+F37)^(1/30)-1)</f>
        <v>6.3378767813970782E-4</v>
      </c>
      <c r="H37" s="29">
        <f>+H36+J36</f>
        <v>7711962640.0703297</v>
      </c>
      <c r="I37" s="26">
        <f>(C37-B37)+1</f>
        <v>31</v>
      </c>
      <c r="J37" s="176">
        <f>H37*(((1+G37)^I37)-1)</f>
        <v>152969492.37542567</v>
      </c>
    </row>
    <row r="38" spans="1:10" ht="13.5" thickBot="1">
      <c r="B38" s="79"/>
      <c r="C38" s="79"/>
      <c r="H38" s="55" t="s">
        <v>97</v>
      </c>
      <c r="I38" s="55"/>
      <c r="J38" s="195">
        <f>SUM(J11:J37)</f>
        <v>2768314714.4457531</v>
      </c>
    </row>
    <row r="39" spans="1:10" ht="14.25" thickTop="1" thickBot="1">
      <c r="H39" s="1" t="s">
        <v>130</v>
      </c>
      <c r="I39" s="1"/>
      <c r="J39" s="56"/>
    </row>
    <row r="40" spans="1:10" ht="16.5" thickTop="1" thickBot="1">
      <c r="H40" s="185" t="s">
        <v>97</v>
      </c>
      <c r="I40" s="185"/>
      <c r="J40" s="77">
        <f>C9+J38+J39</f>
        <v>7864932132.4457531</v>
      </c>
    </row>
    <row r="41" spans="1:10" ht="13.5" thickTop="1">
      <c r="J41" s="32"/>
    </row>
  </sheetData>
  <mergeCells count="1">
    <mergeCell ref="B10:C10"/>
  </mergeCells>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071B5-8A18-4FE2-8C81-762DF896E515}">
  <sheetPr codeName="Hoja94"/>
  <dimension ref="A2:L142"/>
  <sheetViews>
    <sheetView zoomScale="101" workbookViewId="0">
      <selection activeCell="D96" sqref="D96"/>
    </sheetView>
  </sheetViews>
  <sheetFormatPr defaultColWidth="11.42578125" defaultRowHeight="12.75"/>
  <cols>
    <col min="1" max="1" width="2.85546875" style="814" customWidth="1"/>
    <col min="2" max="2" width="17.85546875" style="814" customWidth="1"/>
    <col min="3" max="3" width="21.28515625" style="814" customWidth="1"/>
    <col min="4" max="4" width="12.140625" style="814" bestFit="1" customWidth="1"/>
    <col min="5" max="5" width="8.28515625" style="814" customWidth="1"/>
    <col min="6" max="6" width="11.42578125" style="814"/>
    <col min="7" max="7" width="13.7109375" style="814" customWidth="1"/>
    <col min="8" max="8" width="6.28515625" style="1213" customWidth="1"/>
    <col min="9" max="9" width="16.5703125" style="814" bestFit="1" customWidth="1"/>
    <col min="10" max="16384" width="11.42578125" style="814"/>
  </cols>
  <sheetData>
    <row r="2" spans="1:9">
      <c r="B2" s="1201" t="s">
        <v>825</v>
      </c>
      <c r="C2" s="741" t="s">
        <v>1401</v>
      </c>
    </row>
    <row r="3" spans="1:9">
      <c r="B3" s="726" t="s">
        <v>67</v>
      </c>
      <c r="C3" s="929">
        <v>285675005</v>
      </c>
    </row>
    <row r="4" spans="1:9">
      <c r="B4" s="726" t="s">
        <v>1318</v>
      </c>
      <c r="C4" s="1065">
        <v>43843</v>
      </c>
    </row>
    <row r="5" spans="1:9">
      <c r="B5" s="726" t="s">
        <v>291</v>
      </c>
      <c r="C5" s="741" t="s">
        <v>1402</v>
      </c>
    </row>
    <row r="6" spans="1:9" ht="63.75" customHeight="1">
      <c r="B6" s="924" t="s">
        <v>2</v>
      </c>
      <c r="C6" s="1190" t="s">
        <v>1403</v>
      </c>
    </row>
    <row r="7" spans="1:9">
      <c r="B7" s="814" t="s">
        <v>1404</v>
      </c>
    </row>
    <row r="8" spans="1:9">
      <c r="B8" s="814" t="s">
        <v>1405</v>
      </c>
    </row>
    <row r="10" spans="1:9">
      <c r="B10" s="2591" t="s">
        <v>1406</v>
      </c>
      <c r="C10" s="2591"/>
      <c r="D10" s="2591"/>
      <c r="E10" s="2591"/>
      <c r="F10" s="2591"/>
      <c r="G10" s="2591"/>
      <c r="H10" s="2591"/>
      <c r="I10" s="2591"/>
    </row>
    <row r="11" spans="1:9" ht="25.5">
      <c r="B11" s="2133" t="s">
        <v>206</v>
      </c>
      <c r="C11" s="970" t="s">
        <v>10</v>
      </c>
      <c r="D11" s="923" t="s">
        <v>148</v>
      </c>
      <c r="E11" s="970" t="s">
        <v>149</v>
      </c>
      <c r="F11" s="923" t="s">
        <v>43</v>
      </c>
      <c r="G11" s="970" t="s">
        <v>129</v>
      </c>
      <c r="H11" s="1119" t="s">
        <v>706</v>
      </c>
      <c r="I11" s="970" t="s">
        <v>48</v>
      </c>
    </row>
    <row r="12" spans="1:9">
      <c r="A12" s="741">
        <v>1</v>
      </c>
      <c r="B12" s="1073">
        <v>41296</v>
      </c>
      <c r="C12" s="1073">
        <v>41305</v>
      </c>
      <c r="D12" s="1344">
        <v>0.20749999999999999</v>
      </c>
      <c r="E12" s="1344">
        <v>0</v>
      </c>
      <c r="F12" s="909">
        <f>((1+D12)^(1/365)-1)</f>
        <v>5.1671456482282885E-4</v>
      </c>
      <c r="G12" s="1121">
        <f t="shared" ref="G12:G43" si="0">+$C$3</f>
        <v>285675005</v>
      </c>
      <c r="H12" s="1131">
        <f t="shared" ref="H12:H75" si="1">_xlfn.DAYS(C12,B12)+1</f>
        <v>10</v>
      </c>
      <c r="I12" s="1356">
        <f>ROUND($F$12*G12*H12,2)</f>
        <v>1476124.36</v>
      </c>
    </row>
    <row r="13" spans="1:9">
      <c r="A13" s="741">
        <v>2</v>
      </c>
      <c r="B13" s="1073">
        <v>41306</v>
      </c>
      <c r="C13" s="1073">
        <v>41333</v>
      </c>
      <c r="D13" s="1344">
        <v>0.20749999999999999</v>
      </c>
      <c r="E13" s="1344">
        <v>0</v>
      </c>
      <c r="F13" s="909">
        <f t="shared" ref="F13:F75" si="2">((1+D13)^(1/365)-1)</f>
        <v>5.1671456482282885E-4</v>
      </c>
      <c r="G13" s="1121">
        <f t="shared" si="0"/>
        <v>285675005</v>
      </c>
      <c r="H13" s="1131">
        <f t="shared" si="1"/>
        <v>28</v>
      </c>
      <c r="I13" s="1356">
        <f t="shared" ref="I13:I76" si="3">ROUND($F$12*G13*H13,2)</f>
        <v>4133148.2</v>
      </c>
    </row>
    <row r="14" spans="1:9">
      <c r="A14" s="741">
        <v>3</v>
      </c>
      <c r="B14" s="1073">
        <v>41334</v>
      </c>
      <c r="C14" s="1073">
        <v>41364</v>
      </c>
      <c r="D14" s="1344">
        <v>0.20749999999999999</v>
      </c>
      <c r="E14" s="1344">
        <v>0</v>
      </c>
      <c r="F14" s="909">
        <f t="shared" si="2"/>
        <v>5.1671456482282885E-4</v>
      </c>
      <c r="G14" s="1121">
        <f t="shared" si="0"/>
        <v>285675005</v>
      </c>
      <c r="H14" s="1131">
        <f t="shared" si="1"/>
        <v>31</v>
      </c>
      <c r="I14" s="1356">
        <f t="shared" si="3"/>
        <v>4575985.51</v>
      </c>
    </row>
    <row r="15" spans="1:9">
      <c r="A15" s="741">
        <v>4</v>
      </c>
      <c r="B15" s="1073">
        <v>41365</v>
      </c>
      <c r="C15" s="1073">
        <v>41394</v>
      </c>
      <c r="D15" s="1344">
        <v>0.20830000000000001</v>
      </c>
      <c r="E15" s="1344">
        <v>0</v>
      </c>
      <c r="F15" s="909">
        <f t="shared" si="2"/>
        <v>5.1853004244239997E-4</v>
      </c>
      <c r="G15" s="1121">
        <f t="shared" si="0"/>
        <v>285675005</v>
      </c>
      <c r="H15" s="1131">
        <f t="shared" si="1"/>
        <v>30</v>
      </c>
      <c r="I15" s="1356">
        <f t="shared" si="3"/>
        <v>4428373.08</v>
      </c>
    </row>
    <row r="16" spans="1:9">
      <c r="A16" s="741">
        <v>5</v>
      </c>
      <c r="B16" s="1073">
        <v>41395</v>
      </c>
      <c r="C16" s="1073">
        <v>41425</v>
      </c>
      <c r="D16" s="1344">
        <v>0.20830000000000001</v>
      </c>
      <c r="E16" s="1344">
        <v>0</v>
      </c>
      <c r="F16" s="909">
        <f t="shared" si="2"/>
        <v>5.1853004244239997E-4</v>
      </c>
      <c r="G16" s="1121">
        <f t="shared" si="0"/>
        <v>285675005</v>
      </c>
      <c r="H16" s="1131">
        <f t="shared" si="1"/>
        <v>31</v>
      </c>
      <c r="I16" s="1356">
        <f t="shared" si="3"/>
        <v>4575985.51</v>
      </c>
    </row>
    <row r="17" spans="1:9">
      <c r="A17" s="741">
        <v>6</v>
      </c>
      <c r="B17" s="1073">
        <v>41426</v>
      </c>
      <c r="C17" s="1073">
        <v>41455</v>
      </c>
      <c r="D17" s="1344">
        <v>0.20830000000000001</v>
      </c>
      <c r="E17" s="1344">
        <v>0</v>
      </c>
      <c r="F17" s="909">
        <f t="shared" si="2"/>
        <v>5.1853004244239997E-4</v>
      </c>
      <c r="G17" s="1121">
        <f t="shared" si="0"/>
        <v>285675005</v>
      </c>
      <c r="H17" s="1131">
        <f t="shared" si="1"/>
        <v>30</v>
      </c>
      <c r="I17" s="1356">
        <f t="shared" si="3"/>
        <v>4428373.08</v>
      </c>
    </row>
    <row r="18" spans="1:9">
      <c r="A18" s="741">
        <v>7</v>
      </c>
      <c r="B18" s="1073">
        <v>41456</v>
      </c>
      <c r="C18" s="1073">
        <v>41486</v>
      </c>
      <c r="D18" s="1344">
        <v>0.2034</v>
      </c>
      <c r="E18" s="1344">
        <v>0</v>
      </c>
      <c r="F18" s="909">
        <f t="shared" si="2"/>
        <v>5.0739137483191143E-4</v>
      </c>
      <c r="G18" s="1121">
        <f t="shared" si="0"/>
        <v>285675005</v>
      </c>
      <c r="H18" s="1131">
        <f t="shared" si="1"/>
        <v>31</v>
      </c>
      <c r="I18" s="1356">
        <f t="shared" si="3"/>
        <v>4575985.51</v>
      </c>
    </row>
    <row r="19" spans="1:9">
      <c r="A19" s="741">
        <v>8</v>
      </c>
      <c r="B19" s="1073">
        <v>41487</v>
      </c>
      <c r="C19" s="1073">
        <v>41517</v>
      </c>
      <c r="D19" s="1344">
        <v>0.2034</v>
      </c>
      <c r="E19" s="1344">
        <v>0</v>
      </c>
      <c r="F19" s="909">
        <f t="shared" si="2"/>
        <v>5.0739137483191143E-4</v>
      </c>
      <c r="G19" s="1121">
        <f t="shared" si="0"/>
        <v>285675005</v>
      </c>
      <c r="H19" s="1131">
        <f t="shared" si="1"/>
        <v>31</v>
      </c>
      <c r="I19" s="1356">
        <f t="shared" si="3"/>
        <v>4575985.51</v>
      </c>
    </row>
    <row r="20" spans="1:9">
      <c r="A20" s="741">
        <v>9</v>
      </c>
      <c r="B20" s="1073">
        <v>41518</v>
      </c>
      <c r="C20" s="1073">
        <v>41547</v>
      </c>
      <c r="D20" s="1344">
        <v>0.2034</v>
      </c>
      <c r="E20" s="1344">
        <v>0</v>
      </c>
      <c r="F20" s="909">
        <f t="shared" si="2"/>
        <v>5.0739137483191143E-4</v>
      </c>
      <c r="G20" s="1121">
        <f t="shared" si="0"/>
        <v>285675005</v>
      </c>
      <c r="H20" s="1131">
        <f t="shared" si="1"/>
        <v>30</v>
      </c>
      <c r="I20" s="1356">
        <f t="shared" si="3"/>
        <v>4428373.08</v>
      </c>
    </row>
    <row r="21" spans="1:9">
      <c r="A21" s="741">
        <v>10</v>
      </c>
      <c r="B21" s="1073">
        <v>41548</v>
      </c>
      <c r="C21" s="1073">
        <v>41578</v>
      </c>
      <c r="D21" s="1344">
        <v>0.19850000000000001</v>
      </c>
      <c r="E21" s="1344">
        <v>0</v>
      </c>
      <c r="F21" s="909">
        <f t="shared" si="2"/>
        <v>4.9620738494726702E-4</v>
      </c>
      <c r="G21" s="1121">
        <f t="shared" si="0"/>
        <v>285675005</v>
      </c>
      <c r="H21" s="1131">
        <f t="shared" si="1"/>
        <v>31</v>
      </c>
      <c r="I21" s="1356">
        <f t="shared" si="3"/>
        <v>4575985.51</v>
      </c>
    </row>
    <row r="22" spans="1:9">
      <c r="A22" s="741">
        <v>11</v>
      </c>
      <c r="B22" s="1073">
        <v>41579</v>
      </c>
      <c r="C22" s="1073">
        <v>41608</v>
      </c>
      <c r="D22" s="1344">
        <v>0.19850000000000001</v>
      </c>
      <c r="E22" s="1344">
        <v>0</v>
      </c>
      <c r="F22" s="909">
        <f t="shared" si="2"/>
        <v>4.9620738494726702E-4</v>
      </c>
      <c r="G22" s="1121">
        <f t="shared" si="0"/>
        <v>285675005</v>
      </c>
      <c r="H22" s="1131">
        <f t="shared" si="1"/>
        <v>30</v>
      </c>
      <c r="I22" s="1356">
        <f t="shared" si="3"/>
        <v>4428373.08</v>
      </c>
    </row>
    <row r="23" spans="1:9">
      <c r="A23" s="741">
        <v>12</v>
      </c>
      <c r="B23" s="1073">
        <v>41609</v>
      </c>
      <c r="C23" s="1073">
        <v>41639</v>
      </c>
      <c r="D23" s="1344">
        <v>0.19850000000000001</v>
      </c>
      <c r="E23" s="1344">
        <v>0</v>
      </c>
      <c r="F23" s="909">
        <f t="shared" si="2"/>
        <v>4.9620738494726702E-4</v>
      </c>
      <c r="G23" s="1121">
        <f t="shared" si="0"/>
        <v>285675005</v>
      </c>
      <c r="H23" s="1131">
        <f t="shared" si="1"/>
        <v>31</v>
      </c>
      <c r="I23" s="1356">
        <f t="shared" si="3"/>
        <v>4575985.51</v>
      </c>
    </row>
    <row r="24" spans="1:9">
      <c r="A24" s="741">
        <v>13</v>
      </c>
      <c r="B24" s="1073">
        <v>41640</v>
      </c>
      <c r="C24" s="1073">
        <v>41670</v>
      </c>
      <c r="D24" s="1344">
        <v>0.19650000000000001</v>
      </c>
      <c r="E24" s="1344">
        <v>0</v>
      </c>
      <c r="F24" s="909">
        <f t="shared" si="2"/>
        <v>4.9162938099645004E-4</v>
      </c>
      <c r="G24" s="1121">
        <f t="shared" si="0"/>
        <v>285675005</v>
      </c>
      <c r="H24" s="1131">
        <f t="shared" si="1"/>
        <v>31</v>
      </c>
      <c r="I24" s="1356">
        <f t="shared" si="3"/>
        <v>4575985.51</v>
      </c>
    </row>
    <row r="25" spans="1:9">
      <c r="A25" s="741">
        <v>14</v>
      </c>
      <c r="B25" s="1073">
        <v>41671</v>
      </c>
      <c r="C25" s="1073">
        <v>41698</v>
      </c>
      <c r="D25" s="1344">
        <v>0.19650000000000001</v>
      </c>
      <c r="E25" s="1344">
        <v>0</v>
      </c>
      <c r="F25" s="909">
        <f t="shared" si="2"/>
        <v>4.9162938099645004E-4</v>
      </c>
      <c r="G25" s="1121">
        <f t="shared" si="0"/>
        <v>285675005</v>
      </c>
      <c r="H25" s="1131">
        <f t="shared" si="1"/>
        <v>28</v>
      </c>
      <c r="I25" s="1356">
        <f t="shared" si="3"/>
        <v>4133148.2</v>
      </c>
    </row>
    <row r="26" spans="1:9">
      <c r="A26" s="741">
        <v>15</v>
      </c>
      <c r="B26" s="1073">
        <v>41699</v>
      </c>
      <c r="C26" s="1073">
        <v>41729</v>
      </c>
      <c r="D26" s="1344">
        <v>0.19650000000000001</v>
      </c>
      <c r="E26" s="1344">
        <v>0</v>
      </c>
      <c r="F26" s="909">
        <f t="shared" si="2"/>
        <v>4.9162938099645004E-4</v>
      </c>
      <c r="G26" s="1121">
        <f t="shared" si="0"/>
        <v>285675005</v>
      </c>
      <c r="H26" s="1131">
        <f t="shared" si="1"/>
        <v>31</v>
      </c>
      <c r="I26" s="1356">
        <f t="shared" si="3"/>
        <v>4575985.51</v>
      </c>
    </row>
    <row r="27" spans="1:9">
      <c r="A27" s="741">
        <v>16</v>
      </c>
      <c r="B27" s="1073">
        <v>41730</v>
      </c>
      <c r="C27" s="1073">
        <v>41759</v>
      </c>
      <c r="D27" s="1344">
        <v>0.1963</v>
      </c>
      <c r="E27" s="1344">
        <v>0</v>
      </c>
      <c r="F27" s="909">
        <f t="shared" si="2"/>
        <v>4.9117116094699043E-4</v>
      </c>
      <c r="G27" s="1121">
        <f t="shared" si="0"/>
        <v>285675005</v>
      </c>
      <c r="H27" s="1131">
        <f t="shared" si="1"/>
        <v>30</v>
      </c>
      <c r="I27" s="1356">
        <f t="shared" si="3"/>
        <v>4428373.08</v>
      </c>
    </row>
    <row r="28" spans="1:9">
      <c r="A28" s="741">
        <v>17</v>
      </c>
      <c r="B28" s="1073">
        <v>41760</v>
      </c>
      <c r="C28" s="1073">
        <v>41790</v>
      </c>
      <c r="D28" s="1344">
        <v>0.1963</v>
      </c>
      <c r="E28" s="1344">
        <v>0</v>
      </c>
      <c r="F28" s="909">
        <f t="shared" si="2"/>
        <v>4.9117116094699043E-4</v>
      </c>
      <c r="G28" s="1121">
        <f t="shared" si="0"/>
        <v>285675005</v>
      </c>
      <c r="H28" s="1131">
        <f t="shared" si="1"/>
        <v>31</v>
      </c>
      <c r="I28" s="1356">
        <f t="shared" si="3"/>
        <v>4575985.51</v>
      </c>
    </row>
    <row r="29" spans="1:9">
      <c r="A29" s="741">
        <v>18</v>
      </c>
      <c r="B29" s="1073">
        <v>41791</v>
      </c>
      <c r="C29" s="1073">
        <v>41820</v>
      </c>
      <c r="D29" s="1344">
        <v>0.1963</v>
      </c>
      <c r="E29" s="1344">
        <v>0</v>
      </c>
      <c r="F29" s="909">
        <f t="shared" si="2"/>
        <v>4.9117116094699043E-4</v>
      </c>
      <c r="G29" s="1121">
        <f t="shared" si="0"/>
        <v>285675005</v>
      </c>
      <c r="H29" s="1131">
        <f t="shared" si="1"/>
        <v>30</v>
      </c>
      <c r="I29" s="1356">
        <f t="shared" si="3"/>
        <v>4428373.08</v>
      </c>
    </row>
    <row r="30" spans="1:9">
      <c r="A30" s="741">
        <v>19</v>
      </c>
      <c r="B30" s="1073">
        <v>41821</v>
      </c>
      <c r="C30" s="1073">
        <v>41851</v>
      </c>
      <c r="D30" s="1344">
        <v>0.1933</v>
      </c>
      <c r="E30" s="1344">
        <v>0</v>
      </c>
      <c r="F30" s="909">
        <f t="shared" si="2"/>
        <v>4.8428867756777905E-4</v>
      </c>
      <c r="G30" s="1121">
        <f t="shared" si="0"/>
        <v>285675005</v>
      </c>
      <c r="H30" s="1131">
        <f t="shared" si="1"/>
        <v>31</v>
      </c>
      <c r="I30" s="1356">
        <f t="shared" si="3"/>
        <v>4575985.51</v>
      </c>
    </row>
    <row r="31" spans="1:9">
      <c r="A31" s="741">
        <v>20</v>
      </c>
      <c r="B31" s="1073">
        <v>41852</v>
      </c>
      <c r="C31" s="1073">
        <v>41882</v>
      </c>
      <c r="D31" s="1344">
        <v>0.1933</v>
      </c>
      <c r="E31" s="1344">
        <v>0</v>
      </c>
      <c r="F31" s="909">
        <f t="shared" si="2"/>
        <v>4.8428867756777905E-4</v>
      </c>
      <c r="G31" s="1121">
        <f t="shared" si="0"/>
        <v>285675005</v>
      </c>
      <c r="H31" s="1131">
        <f t="shared" si="1"/>
        <v>31</v>
      </c>
      <c r="I31" s="1356">
        <f t="shared" si="3"/>
        <v>4575985.51</v>
      </c>
    </row>
    <row r="32" spans="1:9">
      <c r="A32" s="741">
        <v>21</v>
      </c>
      <c r="B32" s="1073">
        <v>41883</v>
      </c>
      <c r="C32" s="1073">
        <v>41912</v>
      </c>
      <c r="D32" s="1344">
        <v>0.1933</v>
      </c>
      <c r="E32" s="1344">
        <v>0</v>
      </c>
      <c r="F32" s="909">
        <f t="shared" si="2"/>
        <v>4.8428867756777905E-4</v>
      </c>
      <c r="G32" s="1121">
        <f t="shared" si="0"/>
        <v>285675005</v>
      </c>
      <c r="H32" s="1131">
        <f t="shared" si="1"/>
        <v>30</v>
      </c>
      <c r="I32" s="1356">
        <f t="shared" si="3"/>
        <v>4428373.08</v>
      </c>
    </row>
    <row r="33" spans="1:9">
      <c r="A33" s="741">
        <v>22</v>
      </c>
      <c r="B33" s="1073">
        <v>41913</v>
      </c>
      <c r="C33" s="1073">
        <v>41943</v>
      </c>
      <c r="D33" s="1344">
        <v>0.19170000000000001</v>
      </c>
      <c r="E33" s="1344">
        <v>0</v>
      </c>
      <c r="F33" s="909">
        <f t="shared" si="2"/>
        <v>4.8061096087992361E-4</v>
      </c>
      <c r="G33" s="1121">
        <f t="shared" si="0"/>
        <v>285675005</v>
      </c>
      <c r="H33" s="1131">
        <f t="shared" si="1"/>
        <v>31</v>
      </c>
      <c r="I33" s="1356">
        <f t="shared" si="3"/>
        <v>4575985.51</v>
      </c>
    </row>
    <row r="34" spans="1:9">
      <c r="A34" s="741">
        <v>23</v>
      </c>
      <c r="B34" s="1073">
        <v>41944</v>
      </c>
      <c r="C34" s="1073">
        <v>41973</v>
      </c>
      <c r="D34" s="1344">
        <v>0.19170000000000001</v>
      </c>
      <c r="E34" s="1344">
        <v>0</v>
      </c>
      <c r="F34" s="909">
        <f t="shared" si="2"/>
        <v>4.8061096087992361E-4</v>
      </c>
      <c r="G34" s="1121">
        <f t="shared" si="0"/>
        <v>285675005</v>
      </c>
      <c r="H34" s="1131">
        <f t="shared" si="1"/>
        <v>30</v>
      </c>
      <c r="I34" s="1356">
        <f t="shared" si="3"/>
        <v>4428373.08</v>
      </c>
    </row>
    <row r="35" spans="1:9">
      <c r="A35" s="741">
        <v>24</v>
      </c>
      <c r="B35" s="1073">
        <v>41974</v>
      </c>
      <c r="C35" s="1073">
        <v>42004</v>
      </c>
      <c r="D35" s="1344">
        <v>0.19170000000000001</v>
      </c>
      <c r="E35" s="1344">
        <v>0</v>
      </c>
      <c r="F35" s="909">
        <f t="shared" si="2"/>
        <v>4.8061096087992361E-4</v>
      </c>
      <c r="G35" s="1121">
        <f t="shared" si="0"/>
        <v>285675005</v>
      </c>
      <c r="H35" s="1131">
        <f t="shared" si="1"/>
        <v>31</v>
      </c>
      <c r="I35" s="1356">
        <f t="shared" si="3"/>
        <v>4575985.51</v>
      </c>
    </row>
    <row r="36" spans="1:9">
      <c r="A36" s="741">
        <v>25</v>
      </c>
      <c r="B36" s="1073">
        <v>42005</v>
      </c>
      <c r="C36" s="1073">
        <v>42035</v>
      </c>
      <c r="D36" s="1344">
        <v>0.19209999999999999</v>
      </c>
      <c r="E36" s="1344">
        <v>0</v>
      </c>
      <c r="F36" s="909">
        <f t="shared" si="2"/>
        <v>4.8153085149338359E-4</v>
      </c>
      <c r="G36" s="1121">
        <f t="shared" si="0"/>
        <v>285675005</v>
      </c>
      <c r="H36" s="1131">
        <f t="shared" si="1"/>
        <v>31</v>
      </c>
      <c r="I36" s="1356">
        <f t="shared" si="3"/>
        <v>4575985.51</v>
      </c>
    </row>
    <row r="37" spans="1:9">
      <c r="A37" s="741">
        <v>26</v>
      </c>
      <c r="B37" s="1073">
        <v>42036</v>
      </c>
      <c r="C37" s="1073">
        <v>42063</v>
      </c>
      <c r="D37" s="1344">
        <v>0.19209999999999999</v>
      </c>
      <c r="E37" s="1344">
        <v>0</v>
      </c>
      <c r="F37" s="909">
        <f t="shared" si="2"/>
        <v>4.8153085149338359E-4</v>
      </c>
      <c r="G37" s="1121">
        <f t="shared" si="0"/>
        <v>285675005</v>
      </c>
      <c r="H37" s="1131">
        <f t="shared" si="1"/>
        <v>28</v>
      </c>
      <c r="I37" s="1356">
        <f t="shared" si="3"/>
        <v>4133148.2</v>
      </c>
    </row>
    <row r="38" spans="1:9">
      <c r="A38" s="741">
        <v>27</v>
      </c>
      <c r="B38" s="1073">
        <v>42064</v>
      </c>
      <c r="C38" s="1073">
        <v>42094</v>
      </c>
      <c r="D38" s="1344">
        <v>0.19209999999999999</v>
      </c>
      <c r="E38" s="1344">
        <v>0</v>
      </c>
      <c r="F38" s="909">
        <f t="shared" si="2"/>
        <v>4.8153085149338359E-4</v>
      </c>
      <c r="G38" s="1121">
        <f t="shared" si="0"/>
        <v>285675005</v>
      </c>
      <c r="H38" s="1131">
        <f t="shared" si="1"/>
        <v>31</v>
      </c>
      <c r="I38" s="1356">
        <f t="shared" si="3"/>
        <v>4575985.51</v>
      </c>
    </row>
    <row r="39" spans="1:9">
      <c r="A39" s="741">
        <v>28</v>
      </c>
      <c r="B39" s="1073">
        <v>42095</v>
      </c>
      <c r="C39" s="1073">
        <v>42124</v>
      </c>
      <c r="D39" s="1344">
        <v>0.19370000000000001</v>
      </c>
      <c r="E39" s="1344">
        <v>0</v>
      </c>
      <c r="F39" s="909">
        <f t="shared" si="2"/>
        <v>4.8520733835699659E-4</v>
      </c>
      <c r="G39" s="1121">
        <f t="shared" si="0"/>
        <v>285675005</v>
      </c>
      <c r="H39" s="1131">
        <f t="shared" si="1"/>
        <v>30</v>
      </c>
      <c r="I39" s="1356">
        <f t="shared" si="3"/>
        <v>4428373.08</v>
      </c>
    </row>
    <row r="40" spans="1:9">
      <c r="A40" s="741">
        <v>29</v>
      </c>
      <c r="B40" s="1073">
        <v>42125</v>
      </c>
      <c r="C40" s="1073">
        <v>42155</v>
      </c>
      <c r="D40" s="1344">
        <v>0.19370000000000001</v>
      </c>
      <c r="E40" s="1344">
        <v>0</v>
      </c>
      <c r="F40" s="909">
        <f t="shared" si="2"/>
        <v>4.8520733835699659E-4</v>
      </c>
      <c r="G40" s="1121">
        <f t="shared" si="0"/>
        <v>285675005</v>
      </c>
      <c r="H40" s="1131">
        <f t="shared" si="1"/>
        <v>31</v>
      </c>
      <c r="I40" s="1356">
        <f t="shared" si="3"/>
        <v>4575985.51</v>
      </c>
    </row>
    <row r="41" spans="1:9">
      <c r="A41" s="741">
        <v>30</v>
      </c>
      <c r="B41" s="1073">
        <v>42156</v>
      </c>
      <c r="C41" s="1073">
        <v>42185</v>
      </c>
      <c r="D41" s="1120">
        <v>0.19370000000000001</v>
      </c>
      <c r="E41" s="1344">
        <v>0</v>
      </c>
      <c r="F41" s="909">
        <f t="shared" si="2"/>
        <v>4.8520733835699659E-4</v>
      </c>
      <c r="G41" s="1121">
        <f t="shared" si="0"/>
        <v>285675005</v>
      </c>
      <c r="H41" s="1131">
        <f t="shared" si="1"/>
        <v>30</v>
      </c>
      <c r="I41" s="1356">
        <f t="shared" si="3"/>
        <v>4428373.08</v>
      </c>
    </row>
    <row r="42" spans="1:9">
      <c r="A42" s="741">
        <v>31</v>
      </c>
      <c r="B42" s="1073">
        <v>42186</v>
      </c>
      <c r="C42" s="1073">
        <v>42216</v>
      </c>
      <c r="D42" s="1120">
        <v>0.19259999999999999</v>
      </c>
      <c r="E42" s="1344">
        <v>0</v>
      </c>
      <c r="F42" s="909">
        <f t="shared" si="2"/>
        <v>4.8268028198972246E-4</v>
      </c>
      <c r="G42" s="1121">
        <f t="shared" si="0"/>
        <v>285675005</v>
      </c>
      <c r="H42" s="1131">
        <f t="shared" si="1"/>
        <v>31</v>
      </c>
      <c r="I42" s="1356">
        <f t="shared" si="3"/>
        <v>4575985.51</v>
      </c>
    </row>
    <row r="43" spans="1:9">
      <c r="A43" s="741">
        <v>32</v>
      </c>
      <c r="B43" s="1073">
        <v>42217</v>
      </c>
      <c r="C43" s="1073">
        <v>42247</v>
      </c>
      <c r="D43" s="1120">
        <v>0.19259999999999999</v>
      </c>
      <c r="E43" s="1344">
        <v>0</v>
      </c>
      <c r="F43" s="909">
        <f t="shared" si="2"/>
        <v>4.8268028198972246E-4</v>
      </c>
      <c r="G43" s="1121">
        <f t="shared" si="0"/>
        <v>285675005</v>
      </c>
      <c r="H43" s="1131">
        <f t="shared" si="1"/>
        <v>31</v>
      </c>
      <c r="I43" s="1356">
        <f t="shared" si="3"/>
        <v>4575985.51</v>
      </c>
    </row>
    <row r="44" spans="1:9">
      <c r="A44" s="741">
        <v>33</v>
      </c>
      <c r="B44" s="1073">
        <v>42248</v>
      </c>
      <c r="C44" s="1073">
        <v>42277</v>
      </c>
      <c r="D44" s="1120">
        <v>0.19259999999999999</v>
      </c>
      <c r="E44" s="1344">
        <v>0</v>
      </c>
      <c r="F44" s="909">
        <f t="shared" si="2"/>
        <v>4.8268028198972246E-4</v>
      </c>
      <c r="G44" s="1121">
        <f t="shared" ref="G44:G75" si="4">+$C$3</f>
        <v>285675005</v>
      </c>
      <c r="H44" s="1131">
        <f t="shared" si="1"/>
        <v>30</v>
      </c>
      <c r="I44" s="1356">
        <f t="shared" si="3"/>
        <v>4428373.08</v>
      </c>
    </row>
    <row r="45" spans="1:9">
      <c r="A45" s="741">
        <v>34</v>
      </c>
      <c r="B45" s="1073">
        <v>42278</v>
      </c>
      <c r="C45" s="1073">
        <v>42308</v>
      </c>
      <c r="D45" s="1120">
        <v>0.1933</v>
      </c>
      <c r="E45" s="1344">
        <v>0</v>
      </c>
      <c r="F45" s="909">
        <f t="shared" si="2"/>
        <v>4.8428867756777905E-4</v>
      </c>
      <c r="G45" s="1121">
        <f t="shared" si="4"/>
        <v>285675005</v>
      </c>
      <c r="H45" s="1131">
        <f t="shared" si="1"/>
        <v>31</v>
      </c>
      <c r="I45" s="1356">
        <f t="shared" si="3"/>
        <v>4575985.51</v>
      </c>
    </row>
    <row r="46" spans="1:9">
      <c r="A46" s="741">
        <v>35</v>
      </c>
      <c r="B46" s="1073">
        <v>42309</v>
      </c>
      <c r="C46" s="1073">
        <v>42338</v>
      </c>
      <c r="D46" s="1120">
        <v>0.1933</v>
      </c>
      <c r="E46" s="1344">
        <v>0</v>
      </c>
      <c r="F46" s="909">
        <f t="shared" si="2"/>
        <v>4.8428867756777905E-4</v>
      </c>
      <c r="G46" s="1121">
        <f t="shared" si="4"/>
        <v>285675005</v>
      </c>
      <c r="H46" s="1131">
        <f t="shared" si="1"/>
        <v>30</v>
      </c>
      <c r="I46" s="1356">
        <f t="shared" si="3"/>
        <v>4428373.08</v>
      </c>
    </row>
    <row r="47" spans="1:9">
      <c r="A47" s="741">
        <v>36</v>
      </c>
      <c r="B47" s="1073">
        <v>42339</v>
      </c>
      <c r="C47" s="1073">
        <v>42369</v>
      </c>
      <c r="D47" s="1120">
        <v>0.1933</v>
      </c>
      <c r="E47" s="1344">
        <v>0</v>
      </c>
      <c r="F47" s="909">
        <f t="shared" si="2"/>
        <v>4.8428867756777905E-4</v>
      </c>
      <c r="G47" s="1121">
        <f t="shared" si="4"/>
        <v>285675005</v>
      </c>
      <c r="H47" s="1131">
        <f t="shared" si="1"/>
        <v>31</v>
      </c>
      <c r="I47" s="1356">
        <f t="shared" si="3"/>
        <v>4575985.51</v>
      </c>
    </row>
    <row r="48" spans="1:9">
      <c r="A48" s="741">
        <v>37</v>
      </c>
      <c r="B48" s="1073">
        <v>42370</v>
      </c>
      <c r="C48" s="1073">
        <v>42400</v>
      </c>
      <c r="D48" s="1120">
        <v>0.1968</v>
      </c>
      <c r="E48" s="1344">
        <v>0</v>
      </c>
      <c r="F48" s="909">
        <f t="shared" si="2"/>
        <v>4.9231656787140921E-4</v>
      </c>
      <c r="G48" s="1121">
        <f t="shared" si="4"/>
        <v>285675005</v>
      </c>
      <c r="H48" s="1131">
        <f t="shared" si="1"/>
        <v>31</v>
      </c>
      <c r="I48" s="1356">
        <f t="shared" si="3"/>
        <v>4575985.51</v>
      </c>
    </row>
    <row r="49" spans="1:9">
      <c r="A49" s="741">
        <v>38</v>
      </c>
      <c r="B49" s="1073">
        <v>42401</v>
      </c>
      <c r="C49" s="1073">
        <v>42429</v>
      </c>
      <c r="D49" s="1120">
        <v>0.1968</v>
      </c>
      <c r="E49" s="1344">
        <v>0</v>
      </c>
      <c r="F49" s="909">
        <f t="shared" si="2"/>
        <v>4.9231656787140921E-4</v>
      </c>
      <c r="G49" s="1121">
        <f t="shared" si="4"/>
        <v>285675005</v>
      </c>
      <c r="H49" s="1131">
        <f t="shared" si="1"/>
        <v>29</v>
      </c>
      <c r="I49" s="1356">
        <f t="shared" si="3"/>
        <v>4280760.6399999997</v>
      </c>
    </row>
    <row r="50" spans="1:9">
      <c r="A50" s="741">
        <v>39</v>
      </c>
      <c r="B50" s="1073">
        <v>42430</v>
      </c>
      <c r="C50" s="1073">
        <v>42460</v>
      </c>
      <c r="D50" s="1120">
        <v>0.1968</v>
      </c>
      <c r="E50" s="1344">
        <v>0</v>
      </c>
      <c r="F50" s="909">
        <f t="shared" si="2"/>
        <v>4.9231656787140921E-4</v>
      </c>
      <c r="G50" s="1121">
        <f t="shared" si="4"/>
        <v>285675005</v>
      </c>
      <c r="H50" s="1131">
        <f t="shared" si="1"/>
        <v>31</v>
      </c>
      <c r="I50" s="1356">
        <f t="shared" si="3"/>
        <v>4575985.51</v>
      </c>
    </row>
    <row r="51" spans="1:9">
      <c r="A51" s="741">
        <v>40</v>
      </c>
      <c r="B51" s="1073">
        <v>42461</v>
      </c>
      <c r="C51" s="1073">
        <v>42490</v>
      </c>
      <c r="D51" s="1120">
        <v>0.2054</v>
      </c>
      <c r="E51" s="1344">
        <v>0</v>
      </c>
      <c r="F51" s="909">
        <f t="shared" si="2"/>
        <v>5.1194322306513662E-4</v>
      </c>
      <c r="G51" s="1121">
        <f t="shared" si="4"/>
        <v>285675005</v>
      </c>
      <c r="H51" s="1131">
        <f t="shared" si="1"/>
        <v>30</v>
      </c>
      <c r="I51" s="1356">
        <f t="shared" si="3"/>
        <v>4428373.08</v>
      </c>
    </row>
    <row r="52" spans="1:9">
      <c r="A52" s="741">
        <v>41</v>
      </c>
      <c r="B52" s="1073">
        <v>42491</v>
      </c>
      <c r="C52" s="1073">
        <v>42521</v>
      </c>
      <c r="D52" s="1120">
        <v>0.2054</v>
      </c>
      <c r="E52" s="1344">
        <v>0</v>
      </c>
      <c r="F52" s="909">
        <f t="shared" si="2"/>
        <v>5.1194322306513662E-4</v>
      </c>
      <c r="G52" s="1121">
        <f t="shared" si="4"/>
        <v>285675005</v>
      </c>
      <c r="H52" s="1131">
        <f t="shared" si="1"/>
        <v>31</v>
      </c>
      <c r="I52" s="1356">
        <f t="shared" si="3"/>
        <v>4575985.51</v>
      </c>
    </row>
    <row r="53" spans="1:9">
      <c r="A53" s="741">
        <v>42</v>
      </c>
      <c r="B53" s="1073">
        <v>42522</v>
      </c>
      <c r="C53" s="1073">
        <v>42551</v>
      </c>
      <c r="D53" s="1120">
        <v>0.2054</v>
      </c>
      <c r="E53" s="1344">
        <v>0</v>
      </c>
      <c r="F53" s="909">
        <f t="shared" si="2"/>
        <v>5.1194322306513662E-4</v>
      </c>
      <c r="G53" s="1121">
        <f t="shared" si="4"/>
        <v>285675005</v>
      </c>
      <c r="H53" s="1131">
        <f t="shared" si="1"/>
        <v>30</v>
      </c>
      <c r="I53" s="1356">
        <f t="shared" si="3"/>
        <v>4428373.08</v>
      </c>
    </row>
    <row r="54" spans="1:9">
      <c r="A54" s="741">
        <v>43</v>
      </c>
      <c r="B54" s="1073">
        <v>42552</v>
      </c>
      <c r="C54" s="1073">
        <v>42582</v>
      </c>
      <c r="D54" s="1120">
        <v>0.21340000000000001</v>
      </c>
      <c r="E54" s="1344">
        <v>0</v>
      </c>
      <c r="F54" s="909">
        <f t="shared" si="2"/>
        <v>5.3007560901296991E-4</v>
      </c>
      <c r="G54" s="1121">
        <f t="shared" si="4"/>
        <v>285675005</v>
      </c>
      <c r="H54" s="1131">
        <f t="shared" si="1"/>
        <v>31</v>
      </c>
      <c r="I54" s="1356">
        <f t="shared" si="3"/>
        <v>4575985.51</v>
      </c>
    </row>
    <row r="55" spans="1:9">
      <c r="A55" s="741">
        <v>44</v>
      </c>
      <c r="B55" s="1073">
        <v>42583</v>
      </c>
      <c r="C55" s="1073">
        <v>42613</v>
      </c>
      <c r="D55" s="1120">
        <v>0.21340000000000001</v>
      </c>
      <c r="E55" s="1344">
        <v>0</v>
      </c>
      <c r="F55" s="909">
        <f t="shared" si="2"/>
        <v>5.3007560901296991E-4</v>
      </c>
      <c r="G55" s="1121">
        <f t="shared" si="4"/>
        <v>285675005</v>
      </c>
      <c r="H55" s="1131">
        <f t="shared" si="1"/>
        <v>31</v>
      </c>
      <c r="I55" s="1356">
        <f t="shared" si="3"/>
        <v>4575985.51</v>
      </c>
    </row>
    <row r="56" spans="1:9">
      <c r="A56" s="741">
        <v>45</v>
      </c>
      <c r="B56" s="1073">
        <v>42614</v>
      </c>
      <c r="C56" s="1073">
        <v>42643</v>
      </c>
      <c r="D56" s="1120">
        <v>0.21340000000000001</v>
      </c>
      <c r="E56" s="1344">
        <v>0</v>
      </c>
      <c r="F56" s="909">
        <f t="shared" si="2"/>
        <v>5.3007560901296991E-4</v>
      </c>
      <c r="G56" s="1121">
        <f t="shared" si="4"/>
        <v>285675005</v>
      </c>
      <c r="H56" s="1131">
        <f t="shared" si="1"/>
        <v>30</v>
      </c>
      <c r="I56" s="1356">
        <f t="shared" si="3"/>
        <v>4428373.08</v>
      </c>
    </row>
    <row r="57" spans="1:9">
      <c r="A57" s="741">
        <v>46</v>
      </c>
      <c r="B57" s="1073">
        <v>42644</v>
      </c>
      <c r="C57" s="1073">
        <v>42674</v>
      </c>
      <c r="D57" s="1120">
        <v>0.21990000000000001</v>
      </c>
      <c r="E57" s="1344">
        <v>0</v>
      </c>
      <c r="F57" s="909">
        <f t="shared" si="2"/>
        <v>5.4472060277621637E-4</v>
      </c>
      <c r="G57" s="1121">
        <f t="shared" si="4"/>
        <v>285675005</v>
      </c>
      <c r="H57" s="1131">
        <f t="shared" si="1"/>
        <v>31</v>
      </c>
      <c r="I57" s="1356">
        <f t="shared" si="3"/>
        <v>4575985.51</v>
      </c>
    </row>
    <row r="58" spans="1:9">
      <c r="A58" s="741">
        <v>47</v>
      </c>
      <c r="B58" s="1073">
        <v>42675</v>
      </c>
      <c r="C58" s="1073">
        <v>42704</v>
      </c>
      <c r="D58" s="1120">
        <v>0.21990000000000001</v>
      </c>
      <c r="E58" s="1344">
        <v>0</v>
      </c>
      <c r="F58" s="909">
        <f t="shared" si="2"/>
        <v>5.4472060277621637E-4</v>
      </c>
      <c r="G58" s="1121">
        <f t="shared" si="4"/>
        <v>285675005</v>
      </c>
      <c r="H58" s="1131">
        <f t="shared" si="1"/>
        <v>30</v>
      </c>
      <c r="I58" s="1356">
        <f t="shared" si="3"/>
        <v>4428373.08</v>
      </c>
    </row>
    <row r="59" spans="1:9">
      <c r="A59" s="741">
        <v>48</v>
      </c>
      <c r="B59" s="1073">
        <v>42705</v>
      </c>
      <c r="C59" s="1073">
        <v>42735</v>
      </c>
      <c r="D59" s="1120">
        <v>0.21990000000000001</v>
      </c>
      <c r="E59" s="1344">
        <v>0</v>
      </c>
      <c r="F59" s="909">
        <f t="shared" si="2"/>
        <v>5.4472060277621637E-4</v>
      </c>
      <c r="G59" s="1121">
        <f t="shared" si="4"/>
        <v>285675005</v>
      </c>
      <c r="H59" s="1131">
        <f t="shared" si="1"/>
        <v>31</v>
      </c>
      <c r="I59" s="1356">
        <f t="shared" si="3"/>
        <v>4575985.51</v>
      </c>
    </row>
    <row r="60" spans="1:9">
      <c r="A60" s="741">
        <v>49</v>
      </c>
      <c r="B60" s="1073">
        <v>42736</v>
      </c>
      <c r="C60" s="1073">
        <v>42766</v>
      </c>
      <c r="D60" s="1120">
        <v>0.22339999999999999</v>
      </c>
      <c r="E60" s="1344">
        <v>0</v>
      </c>
      <c r="F60" s="909">
        <f t="shared" si="2"/>
        <v>5.5257416857701358E-4</v>
      </c>
      <c r="G60" s="1121">
        <f t="shared" si="4"/>
        <v>285675005</v>
      </c>
      <c r="H60" s="1131">
        <f t="shared" si="1"/>
        <v>31</v>
      </c>
      <c r="I60" s="1356">
        <f t="shared" si="3"/>
        <v>4575985.51</v>
      </c>
    </row>
    <row r="61" spans="1:9">
      <c r="A61" s="741">
        <v>50</v>
      </c>
      <c r="B61" s="1073">
        <v>42767</v>
      </c>
      <c r="C61" s="1073">
        <v>42794</v>
      </c>
      <c r="D61" s="1120">
        <v>0.22339999999999999</v>
      </c>
      <c r="E61" s="1344">
        <v>0</v>
      </c>
      <c r="F61" s="909">
        <f t="shared" si="2"/>
        <v>5.5257416857701358E-4</v>
      </c>
      <c r="G61" s="1121">
        <f t="shared" si="4"/>
        <v>285675005</v>
      </c>
      <c r="H61" s="1131">
        <f t="shared" si="1"/>
        <v>28</v>
      </c>
      <c r="I61" s="1356">
        <f t="shared" si="3"/>
        <v>4133148.2</v>
      </c>
    </row>
    <row r="62" spans="1:9">
      <c r="A62" s="741">
        <v>51</v>
      </c>
      <c r="B62" s="1073">
        <v>42795</v>
      </c>
      <c r="C62" s="1073">
        <v>42825</v>
      </c>
      <c r="D62" s="1120">
        <v>0.22339999999999999</v>
      </c>
      <c r="E62" s="1344">
        <v>0</v>
      </c>
      <c r="F62" s="909">
        <f t="shared" si="2"/>
        <v>5.5257416857701358E-4</v>
      </c>
      <c r="G62" s="1121">
        <f t="shared" si="4"/>
        <v>285675005</v>
      </c>
      <c r="H62" s="1131">
        <f t="shared" si="1"/>
        <v>31</v>
      </c>
      <c r="I62" s="1356">
        <f t="shared" si="3"/>
        <v>4575985.51</v>
      </c>
    </row>
    <row r="63" spans="1:9">
      <c r="A63" s="741">
        <v>52</v>
      </c>
      <c r="B63" s="1073">
        <v>42826</v>
      </c>
      <c r="C63" s="1073">
        <v>42855</v>
      </c>
      <c r="D63" s="1120">
        <v>0.2233</v>
      </c>
      <c r="E63" s="1344">
        <v>0</v>
      </c>
      <c r="F63" s="909">
        <f t="shared" si="2"/>
        <v>5.5235009209653185E-4</v>
      </c>
      <c r="G63" s="1121">
        <f t="shared" si="4"/>
        <v>285675005</v>
      </c>
      <c r="H63" s="1131">
        <f t="shared" si="1"/>
        <v>30</v>
      </c>
      <c r="I63" s="1356">
        <f t="shared" si="3"/>
        <v>4428373.08</v>
      </c>
    </row>
    <row r="64" spans="1:9">
      <c r="A64" s="741">
        <v>53</v>
      </c>
      <c r="B64" s="1073">
        <v>42856</v>
      </c>
      <c r="C64" s="1073">
        <v>42886</v>
      </c>
      <c r="D64" s="1120">
        <v>0.2233</v>
      </c>
      <c r="E64" s="1344">
        <v>0</v>
      </c>
      <c r="F64" s="909">
        <f t="shared" si="2"/>
        <v>5.5235009209653185E-4</v>
      </c>
      <c r="G64" s="1121">
        <f t="shared" si="4"/>
        <v>285675005</v>
      </c>
      <c r="H64" s="1131">
        <f t="shared" si="1"/>
        <v>31</v>
      </c>
      <c r="I64" s="1356">
        <f t="shared" si="3"/>
        <v>4575985.51</v>
      </c>
    </row>
    <row r="65" spans="1:9">
      <c r="A65" s="741">
        <v>54</v>
      </c>
      <c r="B65" s="1073">
        <v>42887</v>
      </c>
      <c r="C65" s="1073">
        <v>42916</v>
      </c>
      <c r="D65" s="1120">
        <v>0.2233</v>
      </c>
      <c r="E65" s="1344">
        <v>0</v>
      </c>
      <c r="F65" s="909">
        <f t="shared" si="2"/>
        <v>5.5235009209653185E-4</v>
      </c>
      <c r="G65" s="1121">
        <f t="shared" si="4"/>
        <v>285675005</v>
      </c>
      <c r="H65" s="1131">
        <f t="shared" si="1"/>
        <v>30</v>
      </c>
      <c r="I65" s="1356">
        <f t="shared" si="3"/>
        <v>4428373.08</v>
      </c>
    </row>
    <row r="66" spans="1:9">
      <c r="A66" s="741">
        <v>55</v>
      </c>
      <c r="B66" s="1073">
        <v>42917</v>
      </c>
      <c r="C66" s="1073">
        <v>42947</v>
      </c>
      <c r="D66" s="1120">
        <v>0.2198</v>
      </c>
      <c r="E66" s="1344">
        <v>0</v>
      </c>
      <c r="F66" s="909">
        <f t="shared" si="2"/>
        <v>5.4449588513816316E-4</v>
      </c>
      <c r="G66" s="1121">
        <f t="shared" si="4"/>
        <v>285675005</v>
      </c>
      <c r="H66" s="1131">
        <f t="shared" si="1"/>
        <v>31</v>
      </c>
      <c r="I66" s="1356">
        <f t="shared" si="3"/>
        <v>4575985.51</v>
      </c>
    </row>
    <row r="67" spans="1:9">
      <c r="A67" s="741">
        <v>56</v>
      </c>
      <c r="B67" s="1073">
        <v>42948</v>
      </c>
      <c r="C67" s="1073">
        <v>42978</v>
      </c>
      <c r="D67" s="1120">
        <v>0.2198</v>
      </c>
      <c r="E67" s="1344">
        <v>0</v>
      </c>
      <c r="F67" s="909">
        <f t="shared" si="2"/>
        <v>5.4449588513816316E-4</v>
      </c>
      <c r="G67" s="1121">
        <f t="shared" si="4"/>
        <v>285675005</v>
      </c>
      <c r="H67" s="1131">
        <f t="shared" si="1"/>
        <v>31</v>
      </c>
      <c r="I67" s="1356">
        <f t="shared" si="3"/>
        <v>4575985.51</v>
      </c>
    </row>
    <row r="68" spans="1:9">
      <c r="A68" s="741">
        <v>57</v>
      </c>
      <c r="B68" s="1073">
        <v>42979</v>
      </c>
      <c r="C68" s="1073">
        <v>43008</v>
      </c>
      <c r="D68" s="1120">
        <v>0.21479999999999999</v>
      </c>
      <c r="E68" s="1344">
        <v>0</v>
      </c>
      <c r="F68" s="909">
        <f t="shared" si="2"/>
        <v>5.3323651511005821E-4</v>
      </c>
      <c r="G68" s="1121">
        <f t="shared" si="4"/>
        <v>285675005</v>
      </c>
      <c r="H68" s="1131">
        <f t="shared" si="1"/>
        <v>30</v>
      </c>
      <c r="I68" s="1356">
        <f t="shared" si="3"/>
        <v>4428373.08</v>
      </c>
    </row>
    <row r="69" spans="1:9">
      <c r="A69" s="741">
        <v>58</v>
      </c>
      <c r="B69" s="1073">
        <v>43009</v>
      </c>
      <c r="C69" s="1073">
        <v>43039</v>
      </c>
      <c r="D69" s="1120">
        <v>0.21149999999999999</v>
      </c>
      <c r="E69" s="1344">
        <v>0</v>
      </c>
      <c r="F69" s="909">
        <f t="shared" si="2"/>
        <v>5.2577998557690186E-4</v>
      </c>
      <c r="G69" s="1121">
        <f t="shared" si="4"/>
        <v>285675005</v>
      </c>
      <c r="H69" s="1131">
        <f t="shared" si="1"/>
        <v>31</v>
      </c>
      <c r="I69" s="1356">
        <f t="shared" si="3"/>
        <v>4575985.51</v>
      </c>
    </row>
    <row r="70" spans="1:9">
      <c r="A70" s="741">
        <v>59</v>
      </c>
      <c r="B70" s="1073">
        <v>43040</v>
      </c>
      <c r="C70" s="1073">
        <v>43069</v>
      </c>
      <c r="D70" s="1120">
        <v>0.20960000000000001</v>
      </c>
      <c r="E70" s="1344">
        <v>0</v>
      </c>
      <c r="F70" s="909">
        <f t="shared" si="2"/>
        <v>5.2147763849474948E-4</v>
      </c>
      <c r="G70" s="1121">
        <f t="shared" si="4"/>
        <v>285675005</v>
      </c>
      <c r="H70" s="1131">
        <f t="shared" si="1"/>
        <v>30</v>
      </c>
      <c r="I70" s="1356">
        <f t="shared" si="3"/>
        <v>4428373.08</v>
      </c>
    </row>
    <row r="71" spans="1:9">
      <c r="A71" s="741">
        <v>60</v>
      </c>
      <c r="B71" s="1073">
        <v>43070</v>
      </c>
      <c r="C71" s="1073">
        <v>43100</v>
      </c>
      <c r="D71" s="1120">
        <v>0.2077</v>
      </c>
      <c r="E71" s="1344">
        <v>0</v>
      </c>
      <c r="F71" s="909">
        <f t="shared" si="2"/>
        <v>5.1716854665651013E-4</v>
      </c>
      <c r="G71" s="1121">
        <f t="shared" si="4"/>
        <v>285675005</v>
      </c>
      <c r="H71" s="1131">
        <f t="shared" si="1"/>
        <v>31</v>
      </c>
      <c r="I71" s="1356">
        <f t="shared" si="3"/>
        <v>4575985.51</v>
      </c>
    </row>
    <row r="72" spans="1:9">
      <c r="A72" s="741">
        <v>61</v>
      </c>
      <c r="B72" s="1073">
        <v>43101</v>
      </c>
      <c r="C72" s="1073">
        <v>43131</v>
      </c>
      <c r="D72" s="1120">
        <v>0.2069</v>
      </c>
      <c r="E72" s="1344">
        <v>0</v>
      </c>
      <c r="F72" s="909">
        <f t="shared" si="2"/>
        <v>5.1535216925935323E-4</v>
      </c>
      <c r="G72" s="1121">
        <f t="shared" si="4"/>
        <v>285675005</v>
      </c>
      <c r="H72" s="1131">
        <f t="shared" si="1"/>
        <v>31</v>
      </c>
      <c r="I72" s="1356">
        <f t="shared" si="3"/>
        <v>4575985.51</v>
      </c>
    </row>
    <row r="73" spans="1:9">
      <c r="A73" s="741">
        <v>62</v>
      </c>
      <c r="B73" s="1073">
        <v>43132</v>
      </c>
      <c r="C73" s="1073">
        <v>43159</v>
      </c>
      <c r="D73" s="1120">
        <v>0.21010000000000001</v>
      </c>
      <c r="E73" s="1344">
        <v>0</v>
      </c>
      <c r="F73" s="909">
        <f t="shared" si="2"/>
        <v>5.2261048815549493E-4</v>
      </c>
      <c r="G73" s="1121">
        <f t="shared" si="4"/>
        <v>285675005</v>
      </c>
      <c r="H73" s="1131">
        <f t="shared" si="1"/>
        <v>28</v>
      </c>
      <c r="I73" s="1356">
        <f t="shared" si="3"/>
        <v>4133148.2</v>
      </c>
    </row>
    <row r="74" spans="1:9">
      <c r="A74" s="741">
        <v>63</v>
      </c>
      <c r="B74" s="1073">
        <v>43160</v>
      </c>
      <c r="C74" s="1073">
        <v>43190</v>
      </c>
      <c r="D74" s="1120">
        <v>0.20680000000000001</v>
      </c>
      <c r="E74" s="1344">
        <v>0</v>
      </c>
      <c r="F74" s="909">
        <f t="shared" si="2"/>
        <v>5.1512503766537598E-4</v>
      </c>
      <c r="G74" s="1121">
        <f t="shared" si="4"/>
        <v>285675005</v>
      </c>
      <c r="H74" s="1131">
        <f t="shared" si="1"/>
        <v>31</v>
      </c>
      <c r="I74" s="1356">
        <f t="shared" si="3"/>
        <v>4575985.51</v>
      </c>
    </row>
    <row r="75" spans="1:9">
      <c r="A75" s="741">
        <v>64</v>
      </c>
      <c r="B75" s="1073">
        <v>43191</v>
      </c>
      <c r="C75" s="1073">
        <v>43220</v>
      </c>
      <c r="D75" s="1120">
        <v>0.20480000000000001</v>
      </c>
      <c r="E75" s="1344">
        <v>0</v>
      </c>
      <c r="F75" s="909">
        <f t="shared" si="2"/>
        <v>5.1057845990931661E-4</v>
      </c>
      <c r="G75" s="1121">
        <f t="shared" si="4"/>
        <v>285675005</v>
      </c>
      <c r="H75" s="1131">
        <f t="shared" si="1"/>
        <v>30</v>
      </c>
      <c r="I75" s="1356">
        <f t="shared" si="3"/>
        <v>4428373.08</v>
      </c>
    </row>
    <row r="76" spans="1:9">
      <c r="A76" s="741">
        <v>65</v>
      </c>
      <c r="B76" s="1073">
        <v>43221</v>
      </c>
      <c r="C76" s="1073">
        <v>43251</v>
      </c>
      <c r="D76" s="1120">
        <v>0.2044</v>
      </c>
      <c r="E76" s="1344">
        <v>0</v>
      </c>
      <c r="F76" s="909">
        <f t="shared" ref="F76:F96" si="5">((1+D76)^(1/365)-1)</f>
        <v>5.0966824119735854E-4</v>
      </c>
      <c r="G76" s="1121">
        <f t="shared" ref="G76:G107" si="6">+$C$3</f>
        <v>285675005</v>
      </c>
      <c r="H76" s="1131">
        <f t="shared" ref="H76:H121" si="7">_xlfn.DAYS(C76,B76)+1</f>
        <v>31</v>
      </c>
      <c r="I76" s="1356">
        <f t="shared" si="3"/>
        <v>4575985.51</v>
      </c>
    </row>
    <row r="77" spans="1:9">
      <c r="A77" s="741">
        <v>66</v>
      </c>
      <c r="B77" s="1073">
        <v>43252</v>
      </c>
      <c r="C77" s="1073">
        <v>43281</v>
      </c>
      <c r="D77" s="1120">
        <v>0.20280000000000001</v>
      </c>
      <c r="E77" s="1344">
        <v>0</v>
      </c>
      <c r="F77" s="909">
        <f t="shared" si="5"/>
        <v>5.0602434915258954E-4</v>
      </c>
      <c r="G77" s="1121">
        <f t="shared" si="6"/>
        <v>285675005</v>
      </c>
      <c r="H77" s="1131">
        <f t="shared" si="7"/>
        <v>30</v>
      </c>
      <c r="I77" s="1356">
        <f t="shared" ref="I77:I130" si="8">ROUND($F$12*G77*H77,2)</f>
        <v>4428373.08</v>
      </c>
    </row>
    <row r="78" spans="1:9">
      <c r="A78" s="741">
        <v>67</v>
      </c>
      <c r="B78" s="1073">
        <v>43282</v>
      </c>
      <c r="C78" s="1073">
        <v>43312</v>
      </c>
      <c r="D78" s="1120">
        <v>0.20030000000000001</v>
      </c>
      <c r="E78" s="1344">
        <v>0</v>
      </c>
      <c r="F78" s="909">
        <f t="shared" si="5"/>
        <v>5.0032107926845093E-4</v>
      </c>
      <c r="G78" s="1121">
        <f t="shared" si="6"/>
        <v>285675005</v>
      </c>
      <c r="H78" s="1131">
        <f t="shared" si="7"/>
        <v>31</v>
      </c>
      <c r="I78" s="1356">
        <f t="shared" si="8"/>
        <v>4575985.51</v>
      </c>
    </row>
    <row r="79" spans="1:9">
      <c r="A79" s="741">
        <v>68</v>
      </c>
      <c r="B79" s="1073">
        <v>43313</v>
      </c>
      <c r="C79" s="1073">
        <v>43343</v>
      </c>
      <c r="D79" s="1120">
        <v>0.19939999999999999</v>
      </c>
      <c r="E79" s="1344">
        <v>0</v>
      </c>
      <c r="F79" s="909">
        <f t="shared" si="5"/>
        <v>4.9826500169736221E-4</v>
      </c>
      <c r="G79" s="1121">
        <f t="shared" si="6"/>
        <v>285675005</v>
      </c>
      <c r="H79" s="1131">
        <f t="shared" si="7"/>
        <v>31</v>
      </c>
      <c r="I79" s="1356">
        <f t="shared" si="8"/>
        <v>4575985.51</v>
      </c>
    </row>
    <row r="80" spans="1:9">
      <c r="A80" s="741">
        <v>69</v>
      </c>
      <c r="B80" s="1073">
        <v>43344</v>
      </c>
      <c r="C80" s="1073">
        <v>43373</v>
      </c>
      <c r="D80" s="1120">
        <v>0.1981</v>
      </c>
      <c r="E80" s="1344">
        <v>0</v>
      </c>
      <c r="F80" s="909">
        <f t="shared" si="5"/>
        <v>4.9529239395273983E-4</v>
      </c>
      <c r="G80" s="1121">
        <f t="shared" si="6"/>
        <v>285675005</v>
      </c>
      <c r="H80" s="1131">
        <f t="shared" si="7"/>
        <v>30</v>
      </c>
      <c r="I80" s="1356">
        <f t="shared" si="8"/>
        <v>4428373.08</v>
      </c>
    </row>
    <row r="81" spans="1:9">
      <c r="A81" s="741">
        <v>70</v>
      </c>
      <c r="B81" s="1073">
        <v>43374</v>
      </c>
      <c r="C81" s="1073">
        <v>43404</v>
      </c>
      <c r="D81" s="1120">
        <v>0.1963</v>
      </c>
      <c r="E81" s="1344">
        <v>0</v>
      </c>
      <c r="F81" s="909">
        <f t="shared" si="5"/>
        <v>4.9117116094699043E-4</v>
      </c>
      <c r="G81" s="1121">
        <f t="shared" si="6"/>
        <v>285675005</v>
      </c>
      <c r="H81" s="1131">
        <f t="shared" si="7"/>
        <v>31</v>
      </c>
      <c r="I81" s="1356">
        <f t="shared" si="8"/>
        <v>4575985.51</v>
      </c>
    </row>
    <row r="82" spans="1:9">
      <c r="A82" s="741">
        <v>71</v>
      </c>
      <c r="B82" s="1073">
        <v>43405</v>
      </c>
      <c r="C82" s="1073">
        <v>43434</v>
      </c>
      <c r="D82" s="1120">
        <v>0.19489999999999999</v>
      </c>
      <c r="E82" s="1344">
        <v>0</v>
      </c>
      <c r="F82" s="909">
        <f t="shared" si="5"/>
        <v>4.8796147989516037E-4</v>
      </c>
      <c r="G82" s="1121">
        <f t="shared" si="6"/>
        <v>285675005</v>
      </c>
      <c r="H82" s="1131">
        <f t="shared" si="7"/>
        <v>30</v>
      </c>
      <c r="I82" s="1356">
        <f t="shared" si="8"/>
        <v>4428373.08</v>
      </c>
    </row>
    <row r="83" spans="1:9">
      <c r="A83" s="741">
        <v>72</v>
      </c>
      <c r="B83" s="1073">
        <v>43435</v>
      </c>
      <c r="C83" s="1073">
        <v>43465</v>
      </c>
      <c r="D83" s="1120">
        <v>0.19400000000000001</v>
      </c>
      <c r="E83" s="1344">
        <v>0</v>
      </c>
      <c r="F83" s="909">
        <f t="shared" si="5"/>
        <v>4.8589613250715757E-4</v>
      </c>
      <c r="G83" s="1121">
        <f t="shared" si="6"/>
        <v>285675005</v>
      </c>
      <c r="H83" s="1131">
        <f t="shared" si="7"/>
        <v>31</v>
      </c>
      <c r="I83" s="1356">
        <f t="shared" si="8"/>
        <v>4575985.51</v>
      </c>
    </row>
    <row r="84" spans="1:9">
      <c r="A84" s="741">
        <v>73</v>
      </c>
      <c r="B84" s="1073">
        <v>43466</v>
      </c>
      <c r="C84" s="1073">
        <v>43496</v>
      </c>
      <c r="D84" s="1120">
        <v>0.19159999999999999</v>
      </c>
      <c r="E84" s="1344">
        <v>0</v>
      </c>
      <c r="F84" s="909">
        <f t="shared" si="5"/>
        <v>4.8038094011393362E-4</v>
      </c>
      <c r="G84" s="1121">
        <f t="shared" si="6"/>
        <v>285675005</v>
      </c>
      <c r="H84" s="1131">
        <f t="shared" si="7"/>
        <v>31</v>
      </c>
      <c r="I84" s="1356">
        <f t="shared" si="8"/>
        <v>4575985.51</v>
      </c>
    </row>
    <row r="85" spans="1:9">
      <c r="A85" s="741">
        <v>74</v>
      </c>
      <c r="B85" s="1073">
        <v>43497</v>
      </c>
      <c r="C85" s="1073">
        <v>43524</v>
      </c>
      <c r="D85" s="1120">
        <v>0.19700000000000001</v>
      </c>
      <c r="E85" s="1344">
        <v>0</v>
      </c>
      <c r="F85" s="909">
        <f t="shared" si="5"/>
        <v>4.9277459702556925E-4</v>
      </c>
      <c r="G85" s="1121">
        <f t="shared" si="6"/>
        <v>285675005</v>
      </c>
      <c r="H85" s="1131">
        <f t="shared" si="7"/>
        <v>28</v>
      </c>
      <c r="I85" s="1356">
        <f t="shared" si="8"/>
        <v>4133148.2</v>
      </c>
    </row>
    <row r="86" spans="1:9">
      <c r="A86" s="741">
        <v>75</v>
      </c>
      <c r="B86" s="1073">
        <v>43525</v>
      </c>
      <c r="C86" s="1073">
        <v>43555</v>
      </c>
      <c r="D86" s="1120">
        <v>0.19370000000000001</v>
      </c>
      <c r="E86" s="1344">
        <v>0</v>
      </c>
      <c r="F86" s="909">
        <f t="shared" si="5"/>
        <v>4.8520733835699659E-4</v>
      </c>
      <c r="G86" s="1121">
        <f t="shared" si="6"/>
        <v>285675005</v>
      </c>
      <c r="H86" s="1131">
        <f t="shared" si="7"/>
        <v>31</v>
      </c>
      <c r="I86" s="1356">
        <f t="shared" si="8"/>
        <v>4575985.51</v>
      </c>
    </row>
    <row r="87" spans="1:9">
      <c r="A87" s="741">
        <v>76</v>
      </c>
      <c r="B87" s="1073">
        <v>43556</v>
      </c>
      <c r="C87" s="1073">
        <v>43585</v>
      </c>
      <c r="D87" s="1120">
        <v>0.19320000000000001</v>
      </c>
      <c r="E87" s="1344">
        <v>0</v>
      </c>
      <c r="F87" s="909">
        <f t="shared" si="5"/>
        <v>4.8405896438663554E-4</v>
      </c>
      <c r="G87" s="1121">
        <f t="shared" si="6"/>
        <v>285675005</v>
      </c>
      <c r="H87" s="1131">
        <f t="shared" si="7"/>
        <v>30</v>
      </c>
      <c r="I87" s="1356">
        <f t="shared" si="8"/>
        <v>4428373.08</v>
      </c>
    </row>
    <row r="88" spans="1:9">
      <c r="A88" s="741">
        <v>77</v>
      </c>
      <c r="B88" s="1073">
        <v>43586</v>
      </c>
      <c r="C88" s="1073">
        <v>43616</v>
      </c>
      <c r="D88" s="1120">
        <v>0.19339999999999999</v>
      </c>
      <c r="E88" s="1344">
        <v>0</v>
      </c>
      <c r="F88" s="909">
        <f t="shared" si="5"/>
        <v>4.8451837155205624E-4</v>
      </c>
      <c r="G88" s="1121">
        <f t="shared" si="6"/>
        <v>285675005</v>
      </c>
      <c r="H88" s="1131">
        <f t="shared" si="7"/>
        <v>31</v>
      </c>
      <c r="I88" s="1356">
        <f t="shared" si="8"/>
        <v>4575985.51</v>
      </c>
    </row>
    <row r="89" spans="1:9">
      <c r="A89" s="741">
        <v>78</v>
      </c>
      <c r="B89" s="1073">
        <v>43617</v>
      </c>
      <c r="C89" s="1073">
        <v>43646</v>
      </c>
      <c r="D89" s="1120">
        <v>0.193</v>
      </c>
      <c r="E89" s="1344">
        <v>0</v>
      </c>
      <c r="F89" s="909">
        <f t="shared" si="5"/>
        <v>4.8359948042175915E-4</v>
      </c>
      <c r="G89" s="1121">
        <f t="shared" si="6"/>
        <v>285675005</v>
      </c>
      <c r="H89" s="1131">
        <f t="shared" si="7"/>
        <v>30</v>
      </c>
      <c r="I89" s="1356">
        <f t="shared" si="8"/>
        <v>4428373.08</v>
      </c>
    </row>
    <row r="90" spans="1:9">
      <c r="A90" s="741">
        <v>79</v>
      </c>
      <c r="B90" s="1073">
        <v>43647</v>
      </c>
      <c r="C90" s="1073">
        <v>43677</v>
      </c>
      <c r="D90" s="1120">
        <v>0.1928</v>
      </c>
      <c r="E90" s="1344">
        <v>0</v>
      </c>
      <c r="F90" s="909">
        <f t="shared" si="5"/>
        <v>4.8313991963122582E-4</v>
      </c>
      <c r="G90" s="1121">
        <f t="shared" si="6"/>
        <v>285675005</v>
      </c>
      <c r="H90" s="1131">
        <f t="shared" si="7"/>
        <v>31</v>
      </c>
      <c r="I90" s="1356">
        <f t="shared" si="8"/>
        <v>4575985.51</v>
      </c>
    </row>
    <row r="91" spans="1:9">
      <c r="A91" s="741">
        <v>80</v>
      </c>
      <c r="B91" s="1073">
        <v>43678</v>
      </c>
      <c r="C91" s="1073">
        <v>43708</v>
      </c>
      <c r="D91" s="1120">
        <v>0.19320000000000001</v>
      </c>
      <c r="E91" s="1344">
        <v>0</v>
      </c>
      <c r="F91" s="909">
        <f t="shared" si="5"/>
        <v>4.8405896438663554E-4</v>
      </c>
      <c r="G91" s="1121">
        <f t="shared" si="6"/>
        <v>285675005</v>
      </c>
      <c r="H91" s="1131">
        <f t="shared" si="7"/>
        <v>31</v>
      </c>
      <c r="I91" s="1356">
        <f t="shared" si="8"/>
        <v>4575985.51</v>
      </c>
    </row>
    <row r="92" spans="1:9">
      <c r="A92" s="741">
        <v>81</v>
      </c>
      <c r="B92" s="1073">
        <v>43709</v>
      </c>
      <c r="C92" s="1073">
        <v>43738</v>
      </c>
      <c r="D92" s="1120">
        <v>0.19320000000000001</v>
      </c>
      <c r="E92" s="1344">
        <v>0</v>
      </c>
      <c r="F92" s="909">
        <f t="shared" si="5"/>
        <v>4.8405896438663554E-4</v>
      </c>
      <c r="G92" s="1121">
        <f t="shared" si="6"/>
        <v>285675005</v>
      </c>
      <c r="H92" s="1131">
        <f t="shared" si="7"/>
        <v>30</v>
      </c>
      <c r="I92" s="1356">
        <f t="shared" si="8"/>
        <v>4428373.08</v>
      </c>
    </row>
    <row r="93" spans="1:9">
      <c r="A93" s="741">
        <v>82</v>
      </c>
      <c r="B93" s="1073">
        <v>43739</v>
      </c>
      <c r="C93" s="1073">
        <v>43769</v>
      </c>
      <c r="D93" s="1120">
        <v>0.191</v>
      </c>
      <c r="E93" s="1344">
        <v>0</v>
      </c>
      <c r="F93" s="909">
        <f t="shared" si="5"/>
        <v>4.7900041112569625E-4</v>
      </c>
      <c r="G93" s="1121">
        <f t="shared" si="6"/>
        <v>285675005</v>
      </c>
      <c r="H93" s="1131">
        <f t="shared" si="7"/>
        <v>31</v>
      </c>
      <c r="I93" s="1356">
        <f t="shared" si="8"/>
        <v>4575985.51</v>
      </c>
    </row>
    <row r="94" spans="1:9">
      <c r="A94" s="741">
        <v>83</v>
      </c>
      <c r="B94" s="1073">
        <v>43770</v>
      </c>
      <c r="C94" s="1073">
        <v>43799</v>
      </c>
      <c r="D94" s="1120">
        <v>0.1903</v>
      </c>
      <c r="E94" s="1344">
        <v>0</v>
      </c>
      <c r="F94" s="909">
        <f t="shared" si="5"/>
        <v>4.7738891710125131E-4</v>
      </c>
      <c r="G94" s="1121">
        <f t="shared" si="6"/>
        <v>285675005</v>
      </c>
      <c r="H94" s="1131">
        <f t="shared" si="7"/>
        <v>30</v>
      </c>
      <c r="I94" s="1356">
        <f t="shared" si="8"/>
        <v>4428373.08</v>
      </c>
    </row>
    <row r="95" spans="1:9">
      <c r="A95" s="741">
        <v>84</v>
      </c>
      <c r="B95" s="1073">
        <v>43800</v>
      </c>
      <c r="C95" s="1073">
        <v>43830</v>
      </c>
      <c r="D95" s="1120">
        <v>0.18909999999999999</v>
      </c>
      <c r="E95" s="1344">
        <v>0</v>
      </c>
      <c r="F95" s="909">
        <f t="shared" si="5"/>
        <v>4.7462415584664797E-4</v>
      </c>
      <c r="G95" s="1121">
        <f t="shared" si="6"/>
        <v>285675005</v>
      </c>
      <c r="H95" s="1131">
        <f t="shared" si="7"/>
        <v>31</v>
      </c>
      <c r="I95" s="1356">
        <f t="shared" si="8"/>
        <v>4575985.51</v>
      </c>
    </row>
    <row r="96" spans="1:9">
      <c r="A96" s="741">
        <v>85</v>
      </c>
      <c r="B96" s="2138">
        <v>43831</v>
      </c>
      <c r="C96" s="1073">
        <v>43843</v>
      </c>
      <c r="D96" s="1120">
        <v>0.18770000000000001</v>
      </c>
      <c r="E96" s="1344">
        <v>0</v>
      </c>
      <c r="F96" s="909">
        <f t="shared" si="5"/>
        <v>4.7139508216287318E-4</v>
      </c>
      <c r="G96" s="1121">
        <f t="shared" si="6"/>
        <v>285675005</v>
      </c>
      <c r="H96" s="1131">
        <f t="shared" si="7"/>
        <v>13</v>
      </c>
      <c r="I96" s="1356">
        <f t="shared" si="8"/>
        <v>1918961.67</v>
      </c>
    </row>
    <row r="97" spans="1:9">
      <c r="A97" s="741">
        <v>86</v>
      </c>
      <c r="B97" s="1073">
        <v>43844</v>
      </c>
      <c r="C97" s="1073">
        <v>43861</v>
      </c>
      <c r="D97" s="1120">
        <v>0.18770000000000001</v>
      </c>
      <c r="E97" s="1344">
        <f t="shared" ref="E97:E121" si="9">+D97*1.5</f>
        <v>0.28155000000000002</v>
      </c>
      <c r="F97" s="909">
        <f t="shared" ref="F97:F121" si="10">((1+E97)^(1/365)-1)</f>
        <v>6.7987562124560696E-4</v>
      </c>
      <c r="G97" s="1121">
        <f t="shared" si="6"/>
        <v>285675005</v>
      </c>
      <c r="H97" s="1131">
        <f t="shared" si="7"/>
        <v>18</v>
      </c>
      <c r="I97" s="1356">
        <f t="shared" si="8"/>
        <v>2657023.85</v>
      </c>
    </row>
    <row r="98" spans="1:9">
      <c r="A98" s="741">
        <v>87</v>
      </c>
      <c r="B98" s="1073">
        <v>43862</v>
      </c>
      <c r="C98" s="1073">
        <v>43890</v>
      </c>
      <c r="D98" s="1120">
        <v>0.19059999999999999</v>
      </c>
      <c r="E98" s="1344">
        <f t="shared" si="9"/>
        <v>0.28589999999999999</v>
      </c>
      <c r="F98" s="909">
        <f t="shared" si="10"/>
        <v>6.8916575551658532E-4</v>
      </c>
      <c r="G98" s="1121">
        <f t="shared" si="6"/>
        <v>285675005</v>
      </c>
      <c r="H98" s="1131">
        <f t="shared" si="7"/>
        <v>29</v>
      </c>
      <c r="I98" s="1356">
        <f t="shared" si="8"/>
        <v>4280760.6399999997</v>
      </c>
    </row>
    <row r="99" spans="1:9">
      <c r="A99" s="741">
        <v>88</v>
      </c>
      <c r="B99" s="1073">
        <v>43891</v>
      </c>
      <c r="C99" s="1073">
        <v>43921</v>
      </c>
      <c r="D99" s="1120">
        <v>0.1895</v>
      </c>
      <c r="E99" s="1344">
        <f t="shared" si="9"/>
        <v>0.28425</v>
      </c>
      <c r="F99" s="909">
        <f t="shared" si="10"/>
        <v>6.8564560609574166E-4</v>
      </c>
      <c r="G99" s="1121">
        <f t="shared" si="6"/>
        <v>285675005</v>
      </c>
      <c r="H99" s="1131">
        <f t="shared" si="7"/>
        <v>31</v>
      </c>
      <c r="I99" s="1356">
        <f t="shared" si="8"/>
        <v>4575985.51</v>
      </c>
    </row>
    <row r="100" spans="1:9">
      <c r="A100" s="741">
        <v>89</v>
      </c>
      <c r="B100" s="1073">
        <v>43922</v>
      </c>
      <c r="C100" s="1073">
        <v>43951</v>
      </c>
      <c r="D100" s="1120">
        <v>0.18690000000000001</v>
      </c>
      <c r="E100" s="1344">
        <f t="shared" si="9"/>
        <v>0.28034999999999999</v>
      </c>
      <c r="F100" s="909">
        <f t="shared" si="10"/>
        <v>6.7730729113191224E-4</v>
      </c>
      <c r="G100" s="1121">
        <f t="shared" si="6"/>
        <v>285675005</v>
      </c>
      <c r="H100" s="1131">
        <f t="shared" si="7"/>
        <v>30</v>
      </c>
      <c r="I100" s="1356">
        <f t="shared" si="8"/>
        <v>4428373.08</v>
      </c>
    </row>
    <row r="101" spans="1:9">
      <c r="A101" s="741">
        <v>90</v>
      </c>
      <c r="B101" s="1073">
        <v>43952</v>
      </c>
      <c r="C101" s="1073">
        <v>43982</v>
      </c>
      <c r="D101" s="1120">
        <v>0.18190000000000001</v>
      </c>
      <c r="E101" s="1344">
        <f t="shared" si="9"/>
        <v>0.27285000000000004</v>
      </c>
      <c r="F101" s="909">
        <f t="shared" si="10"/>
        <v>6.6120063584418354E-4</v>
      </c>
      <c r="G101" s="1121">
        <f t="shared" si="6"/>
        <v>285675005</v>
      </c>
      <c r="H101" s="1131">
        <f t="shared" si="7"/>
        <v>31</v>
      </c>
      <c r="I101" s="1356">
        <f t="shared" si="8"/>
        <v>4575985.51</v>
      </c>
    </row>
    <row r="102" spans="1:9">
      <c r="A102" s="741">
        <v>91</v>
      </c>
      <c r="B102" s="1073">
        <v>43983</v>
      </c>
      <c r="C102" s="1073">
        <v>44012</v>
      </c>
      <c r="D102" s="1120">
        <v>0.1812</v>
      </c>
      <c r="E102" s="1344">
        <f t="shared" si="9"/>
        <v>0.27179999999999999</v>
      </c>
      <c r="F102" s="909">
        <f t="shared" si="10"/>
        <v>6.5893815469997286E-4</v>
      </c>
      <c r="G102" s="1121">
        <f t="shared" si="6"/>
        <v>285675005</v>
      </c>
      <c r="H102" s="1131">
        <f t="shared" si="7"/>
        <v>30</v>
      </c>
      <c r="I102" s="1356">
        <f t="shared" si="8"/>
        <v>4428373.08</v>
      </c>
    </row>
    <row r="103" spans="1:9">
      <c r="A103" s="741">
        <v>92</v>
      </c>
      <c r="B103" s="1073">
        <v>44013</v>
      </c>
      <c r="C103" s="1073">
        <v>44043</v>
      </c>
      <c r="D103" s="1220">
        <v>0.1812</v>
      </c>
      <c r="E103" s="1344">
        <f t="shared" si="9"/>
        <v>0.27179999999999999</v>
      </c>
      <c r="F103" s="909">
        <f t="shared" si="10"/>
        <v>6.5893815469997286E-4</v>
      </c>
      <c r="G103" s="1121">
        <f t="shared" si="6"/>
        <v>285675005</v>
      </c>
      <c r="H103" s="1131">
        <f t="shared" si="7"/>
        <v>31</v>
      </c>
      <c r="I103" s="1356">
        <f t="shared" si="8"/>
        <v>4575985.51</v>
      </c>
    </row>
    <row r="104" spans="1:9">
      <c r="A104" s="741">
        <v>93</v>
      </c>
      <c r="B104" s="1073">
        <v>44044</v>
      </c>
      <c r="C104" s="1073">
        <v>44074</v>
      </c>
      <c r="D104" s="1120">
        <v>0.18290000000000001</v>
      </c>
      <c r="E104" s="1344">
        <f t="shared" si="9"/>
        <v>0.27434999999999998</v>
      </c>
      <c r="F104" s="909">
        <f t="shared" si="10"/>
        <v>6.6442952514544906E-4</v>
      </c>
      <c r="G104" s="1121">
        <f t="shared" si="6"/>
        <v>285675005</v>
      </c>
      <c r="H104" s="1131">
        <f t="shared" si="7"/>
        <v>31</v>
      </c>
      <c r="I104" s="1356">
        <f t="shared" si="8"/>
        <v>4575985.51</v>
      </c>
    </row>
    <row r="105" spans="1:9">
      <c r="A105" s="741">
        <v>94</v>
      </c>
      <c r="B105" s="1073">
        <v>44075</v>
      </c>
      <c r="C105" s="1073">
        <v>44104</v>
      </c>
      <c r="D105" s="1120">
        <v>0.1835</v>
      </c>
      <c r="E105" s="1344">
        <f t="shared" si="9"/>
        <v>0.27524999999999999</v>
      </c>
      <c r="F105" s="909">
        <f t="shared" si="10"/>
        <v>6.6636503991857055E-4</v>
      </c>
      <c r="G105" s="1121">
        <f t="shared" si="6"/>
        <v>285675005</v>
      </c>
      <c r="H105" s="1131">
        <f t="shared" si="7"/>
        <v>30</v>
      </c>
      <c r="I105" s="1356">
        <f t="shared" si="8"/>
        <v>4428373.08</v>
      </c>
    </row>
    <row r="106" spans="1:9">
      <c r="A106" s="741">
        <v>95</v>
      </c>
      <c r="B106" s="1073">
        <v>44105</v>
      </c>
      <c r="C106" s="1073">
        <v>44135</v>
      </c>
      <c r="D106" s="1120">
        <v>0.18090000000000001</v>
      </c>
      <c r="E106" s="1344">
        <f t="shared" si="9"/>
        <v>0.27134999999999998</v>
      </c>
      <c r="F106" s="909">
        <f t="shared" si="10"/>
        <v>6.5796794962613703E-4</v>
      </c>
      <c r="G106" s="1121">
        <f t="shared" si="6"/>
        <v>285675005</v>
      </c>
      <c r="H106" s="1131">
        <f t="shared" si="7"/>
        <v>31</v>
      </c>
      <c r="I106" s="1356">
        <f t="shared" si="8"/>
        <v>4575985.51</v>
      </c>
    </row>
    <row r="107" spans="1:9">
      <c r="A107" s="741">
        <v>96</v>
      </c>
      <c r="B107" s="1073">
        <v>44136</v>
      </c>
      <c r="C107" s="1073">
        <v>44165</v>
      </c>
      <c r="D107" s="1120">
        <v>0.1784</v>
      </c>
      <c r="E107" s="1344">
        <f t="shared" si="9"/>
        <v>0.2676</v>
      </c>
      <c r="F107" s="909">
        <f t="shared" si="10"/>
        <v>6.4986956374091243E-4</v>
      </c>
      <c r="G107" s="1121">
        <f t="shared" si="6"/>
        <v>285675005</v>
      </c>
      <c r="H107" s="1131">
        <f t="shared" si="7"/>
        <v>30</v>
      </c>
      <c r="I107" s="1356">
        <f t="shared" si="8"/>
        <v>4428373.08</v>
      </c>
    </row>
    <row r="108" spans="1:9">
      <c r="A108" s="741">
        <v>97</v>
      </c>
      <c r="B108" s="1073">
        <v>44166</v>
      </c>
      <c r="C108" s="1073">
        <v>44196</v>
      </c>
      <c r="D108" s="1120">
        <v>0.17460000000000001</v>
      </c>
      <c r="E108" s="1344">
        <f t="shared" si="9"/>
        <v>0.26190000000000002</v>
      </c>
      <c r="F108" s="909">
        <f t="shared" si="10"/>
        <v>6.3751414410861962E-4</v>
      </c>
      <c r="G108" s="1121">
        <f t="shared" ref="G108:G130" si="11">+$C$3</f>
        <v>285675005</v>
      </c>
      <c r="H108" s="1131">
        <f t="shared" si="7"/>
        <v>31</v>
      </c>
      <c r="I108" s="1356">
        <f t="shared" si="8"/>
        <v>4575985.51</v>
      </c>
    </row>
    <row r="109" spans="1:9">
      <c r="A109" s="741">
        <v>98</v>
      </c>
      <c r="B109" s="1073">
        <v>44197</v>
      </c>
      <c r="C109" s="1073">
        <v>44227</v>
      </c>
      <c r="D109" s="1120">
        <v>0.17319999999999999</v>
      </c>
      <c r="E109" s="1344">
        <f t="shared" si="9"/>
        <v>0.25979999999999998</v>
      </c>
      <c r="F109" s="909">
        <f t="shared" si="10"/>
        <v>6.3294811266723094E-4</v>
      </c>
      <c r="G109" s="1121">
        <f t="shared" si="11"/>
        <v>285675005</v>
      </c>
      <c r="H109" s="1131">
        <f t="shared" si="7"/>
        <v>31</v>
      </c>
      <c r="I109" s="1356">
        <f t="shared" si="8"/>
        <v>4575985.51</v>
      </c>
    </row>
    <row r="110" spans="1:9">
      <c r="A110" s="741">
        <v>99</v>
      </c>
      <c r="B110" s="1073">
        <v>44228</v>
      </c>
      <c r="C110" s="1073">
        <v>44255</v>
      </c>
      <c r="D110" s="1120">
        <v>0.1754</v>
      </c>
      <c r="E110" s="1344">
        <f t="shared" si="9"/>
        <v>0.2631</v>
      </c>
      <c r="F110" s="909">
        <f t="shared" si="10"/>
        <v>6.4011990387169426E-4</v>
      </c>
      <c r="G110" s="1121">
        <f t="shared" si="11"/>
        <v>285675005</v>
      </c>
      <c r="H110" s="1131">
        <f t="shared" si="7"/>
        <v>28</v>
      </c>
      <c r="I110" s="1356">
        <f t="shared" si="8"/>
        <v>4133148.2</v>
      </c>
    </row>
    <row r="111" spans="1:9">
      <c r="A111" s="741">
        <v>100</v>
      </c>
      <c r="B111" s="1073">
        <v>44256</v>
      </c>
      <c r="C111" s="1073">
        <v>44286</v>
      </c>
      <c r="D111" s="1120">
        <v>0.1741</v>
      </c>
      <c r="E111" s="1344">
        <f t="shared" si="9"/>
        <v>0.26114999999999999</v>
      </c>
      <c r="F111" s="909">
        <f t="shared" si="10"/>
        <v>6.3588428907812578E-4</v>
      </c>
      <c r="G111" s="1121">
        <f t="shared" si="11"/>
        <v>285675005</v>
      </c>
      <c r="H111" s="1131">
        <f t="shared" si="7"/>
        <v>31</v>
      </c>
      <c r="I111" s="1356">
        <f t="shared" si="8"/>
        <v>4575985.51</v>
      </c>
    </row>
    <row r="112" spans="1:9">
      <c r="A112" s="741">
        <v>101</v>
      </c>
      <c r="B112" s="1073">
        <v>44287</v>
      </c>
      <c r="C112" s="1073">
        <v>44316</v>
      </c>
      <c r="D112" s="1120">
        <v>0.1731</v>
      </c>
      <c r="E112" s="1344">
        <f t="shared" si="9"/>
        <v>0.25964999999999999</v>
      </c>
      <c r="F112" s="909">
        <f t="shared" si="10"/>
        <v>6.326216771728177E-4</v>
      </c>
      <c r="G112" s="1121">
        <f t="shared" si="11"/>
        <v>285675005</v>
      </c>
      <c r="H112" s="1131">
        <f t="shared" si="7"/>
        <v>30</v>
      </c>
      <c r="I112" s="1356">
        <f t="shared" si="8"/>
        <v>4428373.08</v>
      </c>
    </row>
    <row r="113" spans="1:12">
      <c r="A113" s="741">
        <v>102</v>
      </c>
      <c r="B113" s="1073">
        <v>44317</v>
      </c>
      <c r="C113" s="1073">
        <v>44347</v>
      </c>
      <c r="D113" s="1120">
        <v>0.17219999999999999</v>
      </c>
      <c r="E113" s="1344">
        <f t="shared" si="9"/>
        <v>0.25829999999999997</v>
      </c>
      <c r="F113" s="909">
        <f t="shared" si="10"/>
        <v>6.2968201205726437E-4</v>
      </c>
      <c r="G113" s="1121">
        <f t="shared" si="11"/>
        <v>285675005</v>
      </c>
      <c r="H113" s="1131">
        <f t="shared" si="7"/>
        <v>31</v>
      </c>
      <c r="I113" s="1356">
        <f t="shared" si="8"/>
        <v>4575985.51</v>
      </c>
    </row>
    <row r="114" spans="1:12">
      <c r="A114" s="741">
        <v>103</v>
      </c>
      <c r="B114" s="1073">
        <v>44348</v>
      </c>
      <c r="C114" s="1073">
        <v>44377</v>
      </c>
      <c r="D114" s="1120">
        <v>0.1721</v>
      </c>
      <c r="E114" s="1344">
        <f t="shared" si="9"/>
        <v>0.25814999999999999</v>
      </c>
      <c r="F114" s="909">
        <f t="shared" si="10"/>
        <v>6.2935518846773952E-4</v>
      </c>
      <c r="G114" s="1121">
        <f t="shared" si="11"/>
        <v>285675005</v>
      </c>
      <c r="H114" s="1131">
        <f t="shared" si="7"/>
        <v>30</v>
      </c>
      <c r="I114" s="1356">
        <f t="shared" si="8"/>
        <v>4428373.08</v>
      </c>
    </row>
    <row r="115" spans="1:12">
      <c r="A115" s="741">
        <v>104</v>
      </c>
      <c r="B115" s="1073">
        <v>44378</v>
      </c>
      <c r="C115" s="1073">
        <v>44408</v>
      </c>
      <c r="D115" s="1120">
        <v>0.17180000000000001</v>
      </c>
      <c r="E115" s="1344">
        <f t="shared" si="9"/>
        <v>0.25770000000000004</v>
      </c>
      <c r="F115" s="909">
        <f t="shared" si="10"/>
        <v>6.2837448450037137E-4</v>
      </c>
      <c r="G115" s="1121">
        <f t="shared" si="11"/>
        <v>285675005</v>
      </c>
      <c r="H115" s="1131">
        <f t="shared" si="7"/>
        <v>31</v>
      </c>
      <c r="I115" s="1356">
        <f t="shared" si="8"/>
        <v>4575985.51</v>
      </c>
    </row>
    <row r="116" spans="1:12">
      <c r="A116" s="741">
        <v>105</v>
      </c>
      <c r="B116" s="1073">
        <v>44409</v>
      </c>
      <c r="C116" s="1073">
        <v>44439</v>
      </c>
      <c r="D116" s="1120">
        <v>0.1724</v>
      </c>
      <c r="E116" s="1120">
        <f t="shared" si="9"/>
        <v>0.2586</v>
      </c>
      <c r="F116" s="909">
        <f t="shared" si="10"/>
        <v>6.3033554269220637E-4</v>
      </c>
      <c r="G116" s="1121">
        <f t="shared" si="11"/>
        <v>285675005</v>
      </c>
      <c r="H116" s="1131">
        <f t="shared" si="7"/>
        <v>31</v>
      </c>
      <c r="I116" s="1356">
        <f t="shared" si="8"/>
        <v>4575985.51</v>
      </c>
    </row>
    <row r="117" spans="1:12">
      <c r="A117" s="741">
        <v>106</v>
      </c>
      <c r="B117" s="1073">
        <v>44440</v>
      </c>
      <c r="C117" s="1073">
        <v>44469</v>
      </c>
      <c r="D117" s="1120">
        <v>0.1719</v>
      </c>
      <c r="E117" s="1344">
        <f t="shared" si="9"/>
        <v>0.25785000000000002</v>
      </c>
      <c r="F117" s="909">
        <f t="shared" si="10"/>
        <v>6.2870142469861889E-4</v>
      </c>
      <c r="G117" s="1121">
        <f t="shared" si="11"/>
        <v>285675005</v>
      </c>
      <c r="H117" s="1131">
        <f t="shared" si="7"/>
        <v>30</v>
      </c>
      <c r="I117" s="1356">
        <f t="shared" si="8"/>
        <v>4428373.08</v>
      </c>
    </row>
    <row r="118" spans="1:12">
      <c r="A118" s="741">
        <v>107</v>
      </c>
      <c r="B118" s="1073">
        <v>44470</v>
      </c>
      <c r="C118" s="1073">
        <v>44500</v>
      </c>
      <c r="D118" s="1120">
        <v>0.17080000000000001</v>
      </c>
      <c r="E118" s="1120">
        <f t="shared" si="9"/>
        <v>0.25619999999999998</v>
      </c>
      <c r="F118" s="909">
        <f t="shared" si="10"/>
        <v>6.2510294214179751E-4</v>
      </c>
      <c r="G118" s="1121">
        <f t="shared" si="11"/>
        <v>285675005</v>
      </c>
      <c r="H118" s="1131">
        <f t="shared" si="7"/>
        <v>31</v>
      </c>
      <c r="I118" s="1356">
        <f t="shared" si="8"/>
        <v>4575985.51</v>
      </c>
    </row>
    <row r="119" spans="1:12">
      <c r="A119" s="741">
        <v>108</v>
      </c>
      <c r="B119" s="1073">
        <v>44501</v>
      </c>
      <c r="C119" s="1073">
        <v>44530</v>
      </c>
      <c r="D119" s="1120">
        <v>0.17269999999999999</v>
      </c>
      <c r="E119" s="1344">
        <f t="shared" si="9"/>
        <v>0.25905</v>
      </c>
      <c r="F119" s="909">
        <f t="shared" si="10"/>
        <v>6.3131554742335005E-4</v>
      </c>
      <c r="G119" s="1121">
        <f t="shared" si="11"/>
        <v>285675005</v>
      </c>
      <c r="H119" s="1131">
        <f t="shared" si="7"/>
        <v>30</v>
      </c>
      <c r="I119" s="1356">
        <f t="shared" si="8"/>
        <v>4428373.08</v>
      </c>
    </row>
    <row r="120" spans="1:12">
      <c r="A120" s="741">
        <v>109</v>
      </c>
      <c r="B120" s="1073">
        <v>44531</v>
      </c>
      <c r="C120" s="1073">
        <v>44561</v>
      </c>
      <c r="D120" s="1120">
        <v>0.17460000000000001</v>
      </c>
      <c r="E120" s="1120">
        <f t="shared" si="9"/>
        <v>0.26190000000000002</v>
      </c>
      <c r="F120" s="909">
        <f t="shared" si="10"/>
        <v>6.3751414410861962E-4</v>
      </c>
      <c r="G120" s="1121">
        <f t="shared" si="11"/>
        <v>285675005</v>
      </c>
      <c r="H120" s="1131">
        <f t="shared" si="7"/>
        <v>31</v>
      </c>
      <c r="I120" s="1356">
        <f t="shared" si="8"/>
        <v>4575985.51</v>
      </c>
    </row>
    <row r="121" spans="1:12">
      <c r="A121" s="741">
        <v>110</v>
      </c>
      <c r="B121" s="1073">
        <v>44562</v>
      </c>
      <c r="C121" s="1073">
        <v>44592</v>
      </c>
      <c r="D121" s="1120">
        <v>0.17660000000000001</v>
      </c>
      <c r="E121" s="1344">
        <f t="shared" si="9"/>
        <v>0.26490000000000002</v>
      </c>
      <c r="F121" s="909">
        <f t="shared" si="10"/>
        <v>6.4402391816376081E-4</v>
      </c>
      <c r="G121" s="1121">
        <f t="shared" si="11"/>
        <v>285675005</v>
      </c>
      <c r="H121" s="1131">
        <f t="shared" si="7"/>
        <v>31</v>
      </c>
      <c r="I121" s="1356">
        <f t="shared" si="8"/>
        <v>4575985.51</v>
      </c>
    </row>
    <row r="122" spans="1:12">
      <c r="A122" s="741">
        <v>111</v>
      </c>
      <c r="B122" s="1073">
        <v>44593</v>
      </c>
      <c r="C122" s="1073">
        <v>44620</v>
      </c>
      <c r="D122" s="1120">
        <v>0.183</v>
      </c>
      <c r="E122" s="1120">
        <f t="shared" ref="E122:E130" si="12">+D122*1.5</f>
        <v>0.27449999999999997</v>
      </c>
      <c r="F122" s="909">
        <f t="shared" ref="F122:F130" si="13">((1+E122)^(1/365)-1)</f>
        <v>6.6475220558892545E-4</v>
      </c>
      <c r="G122" s="1121">
        <f t="shared" si="11"/>
        <v>285675005</v>
      </c>
      <c r="H122" s="1131">
        <f t="shared" ref="H122:H130" si="14">_xlfn.DAYS(C122,B122)+1</f>
        <v>28</v>
      </c>
      <c r="I122" s="1356">
        <f t="shared" si="8"/>
        <v>4133148.2</v>
      </c>
    </row>
    <row r="123" spans="1:12">
      <c r="A123" s="741">
        <v>112</v>
      </c>
      <c r="B123" s="1073">
        <v>44621</v>
      </c>
      <c r="C123" s="1073">
        <v>44651</v>
      </c>
      <c r="D123" s="1120">
        <v>0.1847</v>
      </c>
      <c r="E123" s="1344">
        <f t="shared" si="12"/>
        <v>0.27705000000000002</v>
      </c>
      <c r="F123" s="909">
        <f t="shared" si="13"/>
        <v>6.7023198611315671E-4</v>
      </c>
      <c r="G123" s="1121">
        <f t="shared" si="11"/>
        <v>285675005</v>
      </c>
      <c r="H123" s="1131">
        <f t="shared" si="14"/>
        <v>31</v>
      </c>
      <c r="I123" s="1356">
        <f t="shared" si="8"/>
        <v>4575985.51</v>
      </c>
    </row>
    <row r="124" spans="1:12">
      <c r="A124" s="741">
        <v>113</v>
      </c>
      <c r="B124" s="1073">
        <v>44652</v>
      </c>
      <c r="C124" s="1073">
        <v>44681</v>
      </c>
      <c r="D124" s="1120">
        <v>0.1905</v>
      </c>
      <c r="E124" s="1120">
        <f t="shared" si="12"/>
        <v>0.28575</v>
      </c>
      <c r="F124" s="909">
        <f t="shared" si="13"/>
        <v>6.8884592812357148E-4</v>
      </c>
      <c r="G124" s="1121">
        <f t="shared" si="11"/>
        <v>285675005</v>
      </c>
      <c r="H124" s="1131">
        <f t="shared" si="14"/>
        <v>30</v>
      </c>
      <c r="I124" s="1356">
        <f t="shared" si="8"/>
        <v>4428373.08</v>
      </c>
    </row>
    <row r="125" spans="1:12">
      <c r="A125" s="741">
        <v>114</v>
      </c>
      <c r="B125" s="1073">
        <v>44682</v>
      </c>
      <c r="C125" s="1073">
        <v>44712</v>
      </c>
      <c r="D125" s="1120">
        <v>0.1971</v>
      </c>
      <c r="E125" s="1344">
        <f t="shared" si="12"/>
        <v>0.29564999999999997</v>
      </c>
      <c r="F125" s="909">
        <f t="shared" si="13"/>
        <v>7.0987512909947981E-4</v>
      </c>
      <c r="G125" s="1121">
        <f t="shared" si="11"/>
        <v>285675005</v>
      </c>
      <c r="H125" s="1131">
        <f t="shared" si="14"/>
        <v>31</v>
      </c>
      <c r="I125" s="1356">
        <f t="shared" si="8"/>
        <v>4575985.51</v>
      </c>
      <c r="L125" s="925"/>
    </row>
    <row r="126" spans="1:12">
      <c r="A126" s="741">
        <v>115</v>
      </c>
      <c r="B126" s="1073">
        <v>44713</v>
      </c>
      <c r="C126" s="1073">
        <v>44742</v>
      </c>
      <c r="D126" s="1120">
        <v>0.20399999999999999</v>
      </c>
      <c r="E126" s="1120">
        <f t="shared" si="12"/>
        <v>0.30599999999999999</v>
      </c>
      <c r="F126" s="909">
        <f t="shared" si="13"/>
        <v>7.3168955664093538E-4</v>
      </c>
      <c r="G126" s="1121">
        <f t="shared" si="11"/>
        <v>285675005</v>
      </c>
      <c r="H126" s="1131">
        <f t="shared" si="14"/>
        <v>30</v>
      </c>
      <c r="I126" s="1356">
        <f t="shared" si="8"/>
        <v>4428373.08</v>
      </c>
      <c r="L126" s="925">
        <v>748423215</v>
      </c>
    </row>
    <row r="127" spans="1:12">
      <c r="A127" s="741">
        <v>116</v>
      </c>
      <c r="B127" s="1073">
        <v>44743</v>
      </c>
      <c r="C127" s="1073">
        <v>44773</v>
      </c>
      <c r="D127" s="1120">
        <v>0.21279999999999999</v>
      </c>
      <c r="E127" s="1344">
        <f t="shared" si="12"/>
        <v>0.31919999999999998</v>
      </c>
      <c r="F127" s="909">
        <f t="shared" si="13"/>
        <v>7.5926204501630679E-4</v>
      </c>
      <c r="G127" s="1121">
        <f t="shared" si="11"/>
        <v>285675005</v>
      </c>
      <c r="H127" s="1131">
        <f t="shared" si="14"/>
        <v>31</v>
      </c>
      <c r="I127" s="1356">
        <f t="shared" si="8"/>
        <v>4575985.51</v>
      </c>
      <c r="L127" s="925">
        <v>64228186.049999997</v>
      </c>
    </row>
    <row r="128" spans="1:12">
      <c r="A128" s="741">
        <v>117</v>
      </c>
      <c r="B128" s="1073">
        <v>44774</v>
      </c>
      <c r="C128" s="1073">
        <v>44804</v>
      </c>
      <c r="D128" s="1120">
        <v>0.22209999999999999</v>
      </c>
      <c r="E128" s="1120">
        <f t="shared" si="12"/>
        <v>0.33315</v>
      </c>
      <c r="F128" s="909">
        <f t="shared" si="13"/>
        <v>7.8810371394433254E-4</v>
      </c>
      <c r="G128" s="1121">
        <f t="shared" si="11"/>
        <v>285675005</v>
      </c>
      <c r="H128" s="1131">
        <f t="shared" si="14"/>
        <v>31</v>
      </c>
      <c r="I128" s="1356">
        <f t="shared" si="8"/>
        <v>4575985.51</v>
      </c>
      <c r="L128" s="925">
        <f>+L126+L127</f>
        <v>812651401.04999995</v>
      </c>
    </row>
    <row r="129" spans="1:12">
      <c r="A129" s="741">
        <v>118</v>
      </c>
      <c r="B129" s="1073">
        <v>44805</v>
      </c>
      <c r="C129" s="1073">
        <v>44834</v>
      </c>
      <c r="D129" s="1120">
        <v>0.23499999999999999</v>
      </c>
      <c r="E129" s="1344">
        <f t="shared" si="12"/>
        <v>0.35249999999999998</v>
      </c>
      <c r="F129" s="909">
        <f t="shared" si="13"/>
        <v>8.2761552252574866E-4</v>
      </c>
      <c r="G129" s="1121">
        <f t="shared" si="11"/>
        <v>285675005</v>
      </c>
      <c r="H129" s="1131">
        <f t="shared" si="14"/>
        <v>30</v>
      </c>
      <c r="I129" s="1356">
        <f t="shared" si="8"/>
        <v>4428373.08</v>
      </c>
      <c r="L129" s="925"/>
    </row>
    <row r="130" spans="1:12">
      <c r="A130" s="741">
        <v>119</v>
      </c>
      <c r="B130" s="1073">
        <v>44835</v>
      </c>
      <c r="C130" s="1073">
        <v>44865</v>
      </c>
      <c r="D130" s="1120">
        <v>0.24610000000000001</v>
      </c>
      <c r="E130" s="1120">
        <f t="shared" si="12"/>
        <v>0.36915000000000003</v>
      </c>
      <c r="F130" s="909">
        <f t="shared" si="13"/>
        <v>8.611654102768096E-4</v>
      </c>
      <c r="G130" s="1121">
        <f t="shared" si="11"/>
        <v>285675005</v>
      </c>
      <c r="H130" s="1131">
        <f t="shared" si="14"/>
        <v>31</v>
      </c>
      <c r="I130" s="1356">
        <f t="shared" si="8"/>
        <v>4575985.51</v>
      </c>
      <c r="L130" s="925"/>
    </row>
    <row r="131" spans="1:12">
      <c r="G131" s="2793" t="s">
        <v>951</v>
      </c>
      <c r="H131" s="2793"/>
      <c r="I131" s="2139">
        <f>ROUND(SUM(I12:I130),2)</f>
        <v>526976396.05000001</v>
      </c>
    </row>
    <row r="132" spans="1:12">
      <c r="G132" s="900"/>
      <c r="I132" s="1402"/>
    </row>
    <row r="133" spans="1:12">
      <c r="B133" s="2591" t="s">
        <v>55</v>
      </c>
      <c r="C133" s="2591"/>
      <c r="D133" s="2591"/>
    </row>
    <row r="134" spans="1:12">
      <c r="B134" s="2583" t="s">
        <v>1041</v>
      </c>
      <c r="C134" s="2584"/>
      <c r="D134" s="2091">
        <f>+C3</f>
        <v>285675005</v>
      </c>
    </row>
    <row r="135" spans="1:12">
      <c r="B135" s="2583" t="s">
        <v>1042</v>
      </c>
      <c r="C135" s="2584"/>
      <c r="D135" s="1616">
        <f>+I131</f>
        <v>526976396.05000001</v>
      </c>
    </row>
    <row r="136" spans="1:12">
      <c r="B136" s="741" t="s">
        <v>1043</v>
      </c>
      <c r="C136" s="741"/>
      <c r="D136" s="1616">
        <f>SUM(D134:D135)</f>
        <v>812651401.04999995</v>
      </c>
      <c r="E136" s="1960"/>
    </row>
    <row r="137" spans="1:12">
      <c r="B137" s="1618" t="s">
        <v>62</v>
      </c>
    </row>
    <row r="138" spans="1:12">
      <c r="B138" s="911"/>
    </row>
    <row r="139" spans="1:12">
      <c r="B139" s="911"/>
    </row>
    <row r="140" spans="1:12">
      <c r="B140" s="1618" t="s">
        <v>63</v>
      </c>
    </row>
    <row r="141" spans="1:12">
      <c r="B141" s="1618" t="s">
        <v>64</v>
      </c>
    </row>
    <row r="142" spans="1:12">
      <c r="B142" s="1618" t="s">
        <v>65</v>
      </c>
    </row>
  </sheetData>
  <mergeCells count="5">
    <mergeCell ref="G131:H131"/>
    <mergeCell ref="B133:D133"/>
    <mergeCell ref="B134:C134"/>
    <mergeCell ref="B135:C135"/>
    <mergeCell ref="B10:I10"/>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B2FAF-5D56-4CC1-814E-118CA766FF71}">
  <sheetPr codeName="Hoja7"/>
  <dimension ref="A1:S188"/>
  <sheetViews>
    <sheetView zoomScaleNormal="100" workbookViewId="0">
      <selection activeCell="I23" sqref="I23"/>
    </sheetView>
  </sheetViews>
  <sheetFormatPr defaultColWidth="11.42578125" defaultRowHeight="12.75"/>
  <cols>
    <col min="1" max="1" width="3.7109375" style="217" customWidth="1"/>
    <col min="2" max="2" width="22.42578125" style="217" customWidth="1"/>
    <col min="3" max="3" width="13.5703125" style="217" customWidth="1"/>
    <col min="4" max="4" width="11.42578125" style="217"/>
    <col min="5" max="5" width="12.28515625" style="217" customWidth="1"/>
    <col min="6" max="6" width="11.85546875" style="217" customWidth="1"/>
    <col min="7" max="7" width="9.42578125" style="217" customWidth="1"/>
    <col min="8" max="8" width="3.28515625" style="217" customWidth="1"/>
    <col min="9" max="9" width="11.28515625" style="217" customWidth="1"/>
    <col min="10" max="10" width="9.42578125" style="217" customWidth="1"/>
    <col min="11" max="11" width="14" style="217" customWidth="1"/>
    <col min="12" max="13" width="11.42578125" style="217"/>
    <col min="14" max="14" width="16" style="217" customWidth="1"/>
    <col min="15" max="15" width="13.7109375" style="217" customWidth="1"/>
    <col min="16" max="17" width="11.42578125" style="217"/>
    <col min="18" max="18" width="8.85546875" style="217" customWidth="1"/>
    <col min="19" max="19" width="11.42578125" style="217"/>
    <col min="20" max="20" width="13.42578125" style="217" customWidth="1"/>
    <col min="21" max="16384" width="11.42578125" style="217"/>
  </cols>
  <sheetData>
    <row r="1" spans="2:17">
      <c r="F1" s="348"/>
      <c r="K1" s="348"/>
      <c r="L1" s="348"/>
      <c r="M1" s="348"/>
      <c r="N1" s="348"/>
      <c r="O1" s="348"/>
      <c r="P1" s="348"/>
    </row>
    <row r="2" spans="2:17">
      <c r="B2" s="1248" t="s">
        <v>175</v>
      </c>
      <c r="C2" s="347" t="s">
        <v>176</v>
      </c>
      <c r="F2" s="348"/>
      <c r="K2" s="348"/>
      <c r="L2" s="348"/>
      <c r="M2" s="348"/>
      <c r="N2" s="348"/>
      <c r="O2" s="348"/>
      <c r="P2" s="348"/>
    </row>
    <row r="3" spans="2:17">
      <c r="B3" s="219" t="s">
        <v>177</v>
      </c>
      <c r="C3" s="216">
        <v>73572424</v>
      </c>
      <c r="F3" s="348"/>
      <c r="K3" s="348"/>
      <c r="L3" s="348"/>
      <c r="M3" s="348"/>
      <c r="N3" s="348"/>
      <c r="O3" s="348"/>
      <c r="P3" s="348"/>
    </row>
    <row r="4" spans="2:17">
      <c r="B4" s="1248" t="s">
        <v>178</v>
      </c>
      <c r="C4" s="531">
        <v>40697</v>
      </c>
      <c r="F4" s="348"/>
      <c r="K4" s="348"/>
      <c r="L4" s="348"/>
      <c r="M4" s="348"/>
      <c r="N4" s="348"/>
      <c r="O4" s="348"/>
      <c r="P4" s="348"/>
    </row>
    <row r="5" spans="2:17">
      <c r="B5" s="1248" t="s">
        <v>179</v>
      </c>
      <c r="C5" s="531">
        <v>41073</v>
      </c>
      <c r="F5" s="348"/>
      <c r="K5" s="348"/>
      <c r="L5" s="348"/>
      <c r="M5" s="348"/>
      <c r="N5" s="348"/>
      <c r="O5" s="348"/>
      <c r="P5" s="348"/>
    </row>
    <row r="6" spans="2:17">
      <c r="B6" s="1248" t="s">
        <v>180</v>
      </c>
      <c r="C6" s="531">
        <v>42514</v>
      </c>
      <c r="F6" s="348"/>
      <c r="K6" s="348"/>
      <c r="L6" s="348"/>
      <c r="M6" s="348"/>
      <c r="N6" s="348"/>
      <c r="O6" s="348"/>
      <c r="P6" s="348"/>
    </row>
    <row r="7" spans="2:17">
      <c r="B7" s="1248" t="s">
        <v>181</v>
      </c>
      <c r="C7" s="531">
        <v>42635</v>
      </c>
      <c r="F7" s="348"/>
      <c r="K7" s="348"/>
      <c r="L7" s="348"/>
      <c r="M7" s="348"/>
      <c r="N7" s="348"/>
      <c r="O7" s="348"/>
      <c r="P7" s="348"/>
    </row>
    <row r="8" spans="2:17">
      <c r="B8" s="403" t="s">
        <v>182</v>
      </c>
      <c r="C8" s="229"/>
      <c r="D8" s="350" t="s">
        <v>76</v>
      </c>
      <c r="E8" s="349"/>
      <c r="F8" s="225"/>
      <c r="G8" s="349"/>
      <c r="H8" s="349"/>
      <c r="I8" s="349"/>
      <c r="J8" s="349"/>
      <c r="K8" s="348"/>
      <c r="L8" s="235"/>
      <c r="M8" s="235"/>
      <c r="N8" s="235"/>
      <c r="O8" s="235"/>
      <c r="P8" s="235"/>
    </row>
    <row r="9" spans="2:17" ht="13.5" customHeight="1">
      <c r="B9" s="2561" t="s">
        <v>183</v>
      </c>
      <c r="C9" s="2562"/>
      <c r="D9" s="227">
        <v>92.1</v>
      </c>
      <c r="F9" s="348"/>
      <c r="K9" s="2563" t="s">
        <v>184</v>
      </c>
      <c r="L9" s="2563"/>
      <c r="M9" s="2563"/>
      <c r="N9" s="2563"/>
      <c r="O9" s="2563"/>
      <c r="P9" s="2563"/>
      <c r="Q9" s="2563"/>
    </row>
    <row r="10" spans="2:17" ht="13.5">
      <c r="B10" s="228" t="s">
        <v>11</v>
      </c>
      <c r="C10" s="351" t="s">
        <v>113</v>
      </c>
      <c r="D10" s="228" t="s">
        <v>76</v>
      </c>
      <c r="E10" s="228" t="s">
        <v>77</v>
      </c>
      <c r="F10" s="229" t="s">
        <v>57</v>
      </c>
      <c r="G10" s="349"/>
      <c r="H10" s="349"/>
      <c r="I10" s="349"/>
      <c r="J10" s="349"/>
      <c r="K10" s="734" t="s">
        <v>185</v>
      </c>
      <c r="L10" s="734" t="s">
        <v>78</v>
      </c>
      <c r="M10" s="734" t="s">
        <v>79</v>
      </c>
      <c r="N10" s="734" t="s">
        <v>186</v>
      </c>
      <c r="O10" s="734" t="s">
        <v>187</v>
      </c>
      <c r="P10" s="734" t="s">
        <v>82</v>
      </c>
      <c r="Q10" s="734" t="s">
        <v>83</v>
      </c>
    </row>
    <row r="11" spans="2:17" ht="13.5">
      <c r="B11" s="216"/>
      <c r="C11" s="352">
        <v>2374785</v>
      </c>
      <c r="D11" s="216"/>
      <c r="E11" s="216"/>
      <c r="F11" s="230"/>
      <c r="K11" s="216"/>
      <c r="L11" s="734"/>
      <c r="M11" s="734"/>
      <c r="N11" s="734"/>
      <c r="O11" s="734"/>
      <c r="P11" s="734"/>
      <c r="Q11" s="734"/>
    </row>
    <row r="12" spans="2:17" ht="13.5">
      <c r="B12" s="233" t="s">
        <v>25</v>
      </c>
      <c r="C12" s="353">
        <f>+(2374785/30)*27</f>
        <v>2137306.5</v>
      </c>
      <c r="D12" s="232">
        <v>75.31</v>
      </c>
      <c r="E12" s="233">
        <f>$D$9/D12</f>
        <v>1.2229451600053112</v>
      </c>
      <c r="F12" s="231">
        <f>INT(C12*E12)</f>
        <v>2613808</v>
      </c>
      <c r="K12" s="1261">
        <v>41426</v>
      </c>
      <c r="L12" s="734">
        <f t="shared" ref="L12:L18" si="0">+C12*0.04</f>
        <v>85492.26</v>
      </c>
      <c r="M12" s="734">
        <f t="shared" ref="M12:M18" si="1">+C12*0.04</f>
        <v>85492.26</v>
      </c>
      <c r="N12" s="734">
        <f t="shared" ref="N12:N18" si="2">+C12*0.085</f>
        <v>181671.05250000002</v>
      </c>
      <c r="O12" s="734">
        <f t="shared" ref="O12:O18" si="3">+C12*0.12</f>
        <v>256476.78</v>
      </c>
      <c r="P12" s="736">
        <f>SUM(L12+N12)</f>
        <v>267163.3125</v>
      </c>
      <c r="Q12" s="736">
        <f>SUM(M12+O12)</f>
        <v>341969.04</v>
      </c>
    </row>
    <row r="13" spans="2:17" ht="13.5">
      <c r="B13" s="233" t="s">
        <v>27</v>
      </c>
      <c r="C13" s="353">
        <f t="shared" ref="C13:C18" si="4">+$C$11</f>
        <v>2374785</v>
      </c>
      <c r="D13" s="232">
        <v>75.42</v>
      </c>
      <c r="E13" s="233">
        <f t="shared" ref="E13:E22" si="5">$D$9/D13</f>
        <v>1.2211614956245027</v>
      </c>
      <c r="F13" s="231">
        <f t="shared" ref="F13:F24" si="6">INT(C13*E13)</f>
        <v>2899996</v>
      </c>
      <c r="K13" s="1261">
        <v>41456</v>
      </c>
      <c r="L13" s="734">
        <f t="shared" si="0"/>
        <v>94991.400000000009</v>
      </c>
      <c r="M13" s="734">
        <f t="shared" si="1"/>
        <v>94991.400000000009</v>
      </c>
      <c r="N13" s="734">
        <f t="shared" si="2"/>
        <v>201856.72500000001</v>
      </c>
      <c r="O13" s="734">
        <f t="shared" si="3"/>
        <v>284974.2</v>
      </c>
      <c r="P13" s="736">
        <f>SUM(L13+N13)</f>
        <v>296848.125</v>
      </c>
      <c r="Q13" s="736">
        <f t="shared" ref="P13:Q18" si="7">SUM(M13+O13)</f>
        <v>379965.60000000003</v>
      </c>
    </row>
    <row r="14" spans="2:17" ht="13.5">
      <c r="B14" s="233" t="s">
        <v>29</v>
      </c>
      <c r="C14" s="353">
        <f t="shared" si="4"/>
        <v>2374785</v>
      </c>
      <c r="D14" s="232">
        <v>75.39</v>
      </c>
      <c r="E14" s="233">
        <f t="shared" si="5"/>
        <v>1.2216474333465976</v>
      </c>
      <c r="F14" s="231">
        <f t="shared" si="6"/>
        <v>2901150</v>
      </c>
      <c r="G14" s="234"/>
      <c r="H14" s="234"/>
      <c r="I14" s="234"/>
      <c r="J14" s="234"/>
      <c r="K14" s="1261">
        <v>41487</v>
      </c>
      <c r="L14" s="734">
        <f t="shared" si="0"/>
        <v>94991.400000000009</v>
      </c>
      <c r="M14" s="734">
        <f t="shared" si="1"/>
        <v>94991.400000000009</v>
      </c>
      <c r="N14" s="734">
        <f t="shared" si="2"/>
        <v>201856.72500000001</v>
      </c>
      <c r="O14" s="734">
        <f t="shared" si="3"/>
        <v>284974.2</v>
      </c>
      <c r="P14" s="736">
        <f t="shared" si="7"/>
        <v>296848.125</v>
      </c>
      <c r="Q14" s="736">
        <f t="shared" si="7"/>
        <v>379965.60000000003</v>
      </c>
    </row>
    <row r="15" spans="2:17" ht="13.5">
      <c r="B15" s="233" t="s">
        <v>31</v>
      </c>
      <c r="C15" s="353">
        <f t="shared" si="4"/>
        <v>2374785</v>
      </c>
      <c r="D15" s="232">
        <v>75.62</v>
      </c>
      <c r="E15" s="233">
        <f t="shared" si="5"/>
        <v>1.2179317640835756</v>
      </c>
      <c r="F15" s="231">
        <f t="shared" si="6"/>
        <v>2892326</v>
      </c>
      <c r="G15" s="234"/>
      <c r="H15" s="234"/>
      <c r="I15" s="234"/>
      <c r="J15" s="234"/>
      <c r="K15" s="1261">
        <v>41518</v>
      </c>
      <c r="L15" s="734">
        <f t="shared" si="0"/>
        <v>94991.400000000009</v>
      </c>
      <c r="M15" s="734">
        <f t="shared" si="1"/>
        <v>94991.400000000009</v>
      </c>
      <c r="N15" s="734">
        <f t="shared" si="2"/>
        <v>201856.72500000001</v>
      </c>
      <c r="O15" s="734">
        <f t="shared" si="3"/>
        <v>284974.2</v>
      </c>
      <c r="P15" s="736">
        <f t="shared" si="7"/>
        <v>296848.125</v>
      </c>
      <c r="Q15" s="736">
        <f t="shared" si="7"/>
        <v>379965.60000000003</v>
      </c>
    </row>
    <row r="16" spans="2:17" ht="13.5">
      <c r="B16" s="233" t="s">
        <v>33</v>
      </c>
      <c r="C16" s="353">
        <f t="shared" si="4"/>
        <v>2374785</v>
      </c>
      <c r="D16" s="232">
        <v>75.77</v>
      </c>
      <c r="E16" s="233">
        <f t="shared" si="5"/>
        <v>1.2155206546126436</v>
      </c>
      <c r="F16" s="231">
        <f t="shared" si="6"/>
        <v>2886600</v>
      </c>
      <c r="G16" s="234"/>
      <c r="H16" s="234"/>
      <c r="I16" s="234"/>
      <c r="J16" s="234"/>
      <c r="K16" s="1261">
        <v>41548</v>
      </c>
      <c r="L16" s="734">
        <f t="shared" si="0"/>
        <v>94991.400000000009</v>
      </c>
      <c r="M16" s="734">
        <f t="shared" si="1"/>
        <v>94991.400000000009</v>
      </c>
      <c r="N16" s="734">
        <f t="shared" si="2"/>
        <v>201856.72500000001</v>
      </c>
      <c r="O16" s="734">
        <f t="shared" si="3"/>
        <v>284974.2</v>
      </c>
      <c r="P16" s="736">
        <f t="shared" si="7"/>
        <v>296848.125</v>
      </c>
      <c r="Q16" s="736">
        <f t="shared" si="7"/>
        <v>379965.60000000003</v>
      </c>
    </row>
    <row r="17" spans="2:17" ht="13.5">
      <c r="B17" s="233" t="s">
        <v>34</v>
      </c>
      <c r="C17" s="353">
        <f t="shared" si="4"/>
        <v>2374785</v>
      </c>
      <c r="D17" s="232">
        <v>75.87</v>
      </c>
      <c r="E17" s="233">
        <f t="shared" si="5"/>
        <v>1.2139185448793988</v>
      </c>
      <c r="F17" s="231">
        <f t="shared" si="6"/>
        <v>2882795</v>
      </c>
      <c r="G17" s="234"/>
      <c r="H17" s="234"/>
      <c r="I17" s="234"/>
      <c r="J17" s="234"/>
      <c r="K17" s="1261">
        <v>41579</v>
      </c>
      <c r="L17" s="734">
        <f t="shared" si="0"/>
        <v>94991.400000000009</v>
      </c>
      <c r="M17" s="734">
        <f t="shared" si="1"/>
        <v>94991.400000000009</v>
      </c>
      <c r="N17" s="734">
        <f t="shared" si="2"/>
        <v>201856.72500000001</v>
      </c>
      <c r="O17" s="734">
        <f t="shared" si="3"/>
        <v>284974.2</v>
      </c>
      <c r="P17" s="736">
        <f t="shared" si="7"/>
        <v>296848.125</v>
      </c>
      <c r="Q17" s="736">
        <f t="shared" si="7"/>
        <v>379965.60000000003</v>
      </c>
    </row>
    <row r="18" spans="2:17" ht="13.5">
      <c r="B18" s="233" t="s">
        <v>35</v>
      </c>
      <c r="C18" s="353">
        <f t="shared" si="4"/>
        <v>2374785</v>
      </c>
      <c r="D18" s="232">
        <v>76.19</v>
      </c>
      <c r="E18" s="233">
        <f t="shared" si="5"/>
        <v>1.2088200551253445</v>
      </c>
      <c r="F18" s="231">
        <f t="shared" si="6"/>
        <v>2870687</v>
      </c>
      <c r="G18" s="234"/>
      <c r="H18" s="234"/>
      <c r="I18" s="234"/>
      <c r="J18" s="234"/>
      <c r="K18" s="1261">
        <v>41609</v>
      </c>
      <c r="L18" s="734">
        <f t="shared" si="0"/>
        <v>94991.400000000009</v>
      </c>
      <c r="M18" s="734">
        <f t="shared" si="1"/>
        <v>94991.400000000009</v>
      </c>
      <c r="N18" s="734">
        <f t="shared" si="2"/>
        <v>201856.72500000001</v>
      </c>
      <c r="O18" s="734">
        <f t="shared" si="3"/>
        <v>284974.2</v>
      </c>
      <c r="P18" s="736">
        <f>SUM(L18+N18)</f>
        <v>296848.125</v>
      </c>
      <c r="Q18" s="736">
        <f t="shared" si="7"/>
        <v>379965.60000000003</v>
      </c>
    </row>
    <row r="19" spans="2:17" ht="13.5">
      <c r="B19" s="233" t="s">
        <v>101</v>
      </c>
      <c r="C19" s="231">
        <v>799207</v>
      </c>
      <c r="D19" s="232">
        <f>+D13</f>
        <v>75.42</v>
      </c>
      <c r="E19" s="233">
        <f t="shared" si="5"/>
        <v>1.2211614956245027</v>
      </c>
      <c r="F19" s="231">
        <f t="shared" si="6"/>
        <v>975960</v>
      </c>
      <c r="G19" s="234"/>
      <c r="H19" s="234"/>
      <c r="I19" s="234"/>
      <c r="J19" s="234"/>
      <c r="K19" s="216"/>
      <c r="L19" s="1036"/>
      <c r="M19" s="736"/>
      <c r="N19" s="736"/>
      <c r="O19" s="736"/>
      <c r="P19" s="736"/>
      <c r="Q19" s="736"/>
    </row>
    <row r="20" spans="2:17" ht="13.5">
      <c r="B20" s="233" t="s">
        <v>102</v>
      </c>
      <c r="C20" s="231">
        <v>1223985</v>
      </c>
      <c r="D20" s="232">
        <f>+D18</f>
        <v>76.19</v>
      </c>
      <c r="E20" s="233">
        <f t="shared" si="5"/>
        <v>1.2088200551253445</v>
      </c>
      <c r="F20" s="231">
        <f t="shared" si="6"/>
        <v>1479577</v>
      </c>
      <c r="G20" s="234"/>
      <c r="H20" s="234"/>
      <c r="I20" s="234"/>
      <c r="J20" s="234"/>
      <c r="K20" s="216"/>
      <c r="L20" s="1036"/>
      <c r="M20" s="736"/>
      <c r="N20" s="736"/>
      <c r="O20" s="736"/>
      <c r="P20" s="736"/>
      <c r="Q20" s="736"/>
    </row>
    <row r="21" spans="2:17" ht="13.5">
      <c r="B21" s="233" t="s">
        <v>103</v>
      </c>
      <c r="C21" s="231">
        <v>37212</v>
      </c>
      <c r="D21" s="232">
        <f>+D13</f>
        <v>75.42</v>
      </c>
      <c r="E21" s="233">
        <f t="shared" si="5"/>
        <v>1.2211614956245027</v>
      </c>
      <c r="F21" s="231">
        <f t="shared" si="6"/>
        <v>45441</v>
      </c>
      <c r="G21" s="234"/>
      <c r="H21" s="234"/>
      <c r="I21" s="234"/>
      <c r="J21" s="234"/>
      <c r="K21" s="216"/>
      <c r="L21" s="1036"/>
      <c r="M21" s="736"/>
      <c r="N21" s="736"/>
      <c r="O21" s="736"/>
      <c r="P21" s="736"/>
      <c r="Q21" s="736"/>
    </row>
    <row r="22" spans="2:17" ht="13.5">
      <c r="B22" s="233" t="s">
        <v>188</v>
      </c>
      <c r="C22" s="231">
        <v>152230</v>
      </c>
      <c r="D22" s="232">
        <f>+D13</f>
        <v>75.42</v>
      </c>
      <c r="E22" s="233">
        <f t="shared" si="5"/>
        <v>1.2211614956245027</v>
      </c>
      <c r="F22" s="231">
        <f t="shared" si="6"/>
        <v>185897</v>
      </c>
      <c r="G22" s="234"/>
      <c r="H22" s="234"/>
      <c r="I22" s="234"/>
      <c r="J22" s="234"/>
      <c r="K22" s="216"/>
      <c r="L22" s="1036"/>
      <c r="M22" s="736"/>
      <c r="N22" s="736"/>
      <c r="O22" s="736"/>
      <c r="P22" s="736"/>
      <c r="Q22" s="736"/>
    </row>
    <row r="23" spans="2:17" ht="13.5">
      <c r="B23" s="233" t="s">
        <v>104</v>
      </c>
      <c r="C23" s="231">
        <v>1121646</v>
      </c>
      <c r="D23" s="232">
        <f>+D18</f>
        <v>76.19</v>
      </c>
      <c r="E23" s="233">
        <f>$D$9/D23</f>
        <v>1.2088200551253445</v>
      </c>
      <c r="F23" s="231">
        <f t="shared" si="6"/>
        <v>1355868</v>
      </c>
      <c r="G23" s="234"/>
      <c r="H23" s="234"/>
      <c r="I23" s="234"/>
      <c r="J23" s="234"/>
      <c r="K23" s="216"/>
      <c r="L23" s="1036"/>
      <c r="M23" s="736"/>
      <c r="N23" s="736"/>
      <c r="O23" s="736"/>
      <c r="P23" s="736"/>
      <c r="Q23" s="736"/>
    </row>
    <row r="24" spans="2:17" ht="13.5">
      <c r="B24" s="233" t="s">
        <v>95</v>
      </c>
      <c r="C24" s="231">
        <v>1274984</v>
      </c>
      <c r="D24" s="232">
        <f>+D18</f>
        <v>76.19</v>
      </c>
      <c r="E24" s="233">
        <f>$D$9/D24</f>
        <v>1.2088200551253445</v>
      </c>
      <c r="F24" s="231">
        <f t="shared" si="6"/>
        <v>1541226</v>
      </c>
      <c r="G24" s="234"/>
      <c r="H24" s="234"/>
      <c r="I24" s="234"/>
      <c r="J24" s="234"/>
      <c r="K24" s="216"/>
      <c r="L24" s="1036"/>
      <c r="M24" s="736"/>
      <c r="N24" s="736"/>
      <c r="O24" s="736"/>
      <c r="P24" s="736"/>
      <c r="Q24" s="736"/>
    </row>
    <row r="25" spans="2:17" ht="13.5">
      <c r="B25" s="233" t="s">
        <v>189</v>
      </c>
      <c r="C25" s="231"/>
      <c r="E25" s="233"/>
      <c r="F25" s="231"/>
      <c r="G25" s="234"/>
      <c r="H25" s="234"/>
      <c r="I25" s="234"/>
      <c r="J25" s="234"/>
      <c r="K25" s="216"/>
      <c r="L25" s="1036"/>
      <c r="M25" s="736"/>
      <c r="N25" s="736"/>
      <c r="O25" s="736"/>
      <c r="P25" s="736"/>
      <c r="Q25" s="736"/>
    </row>
    <row r="26" spans="2:17" ht="13.5">
      <c r="B26" s="233" t="s">
        <v>96</v>
      </c>
      <c r="C26" s="231"/>
      <c r="D26" s="232"/>
      <c r="E26" s="233"/>
      <c r="F26" s="231">
        <f>SUM(F12:F24)</f>
        <v>25531331</v>
      </c>
      <c r="G26" s="234"/>
      <c r="H26" s="234"/>
      <c r="I26" s="234"/>
      <c r="J26" s="234"/>
      <c r="K26" s="734" t="s">
        <v>190</v>
      </c>
      <c r="L26" s="1036">
        <f t="shared" ref="L26:Q26" si="8">SUM(L12:L25)</f>
        <v>655440.66</v>
      </c>
      <c r="M26" s="1036">
        <f t="shared" si="8"/>
        <v>655440.66</v>
      </c>
      <c r="N26" s="1036">
        <f t="shared" si="8"/>
        <v>1392811.4025000001</v>
      </c>
      <c r="O26" s="1036">
        <f t="shared" si="8"/>
        <v>1966321.9799999997</v>
      </c>
      <c r="P26" s="1036">
        <f t="shared" si="8"/>
        <v>2048252.0625</v>
      </c>
      <c r="Q26" s="1036">
        <f t="shared" si="8"/>
        <v>2621762.64</v>
      </c>
    </row>
    <row r="27" spans="2:17">
      <c r="B27" s="233" t="s">
        <v>98</v>
      </c>
      <c r="C27" s="231"/>
      <c r="D27" s="232"/>
      <c r="E27" s="233"/>
      <c r="F27" s="231">
        <f>SUM(L26+M26)</f>
        <v>1310881.32</v>
      </c>
      <c r="G27" s="234"/>
      <c r="H27" s="234"/>
      <c r="I27" s="234"/>
      <c r="J27" s="234"/>
    </row>
    <row r="28" spans="2:17">
      <c r="B28" s="233" t="s">
        <v>99</v>
      </c>
      <c r="C28" s="231"/>
      <c r="D28" s="232"/>
      <c r="E28" s="233"/>
      <c r="F28" s="231">
        <f>(F26-F27)</f>
        <v>24220449.68</v>
      </c>
      <c r="G28" s="234"/>
      <c r="H28" s="234"/>
      <c r="I28" s="234"/>
      <c r="J28" s="234"/>
      <c r="K28" s="235"/>
      <c r="L28" s="235"/>
      <c r="M28" s="235"/>
      <c r="N28" s="235"/>
      <c r="O28" s="235"/>
      <c r="P28" s="235"/>
    </row>
    <row r="30" spans="2:17">
      <c r="B30" s="2564" t="str">
        <f>+B9</f>
        <v>Ipc Fecha Ejecutoria 24 mayo 2016</v>
      </c>
      <c r="C30" s="2565"/>
      <c r="D30" s="227">
        <v>92.1</v>
      </c>
      <c r="F30" s="348"/>
      <c r="K30" s="2566" t="s">
        <v>184</v>
      </c>
      <c r="L30" s="2567"/>
      <c r="M30" s="2567"/>
      <c r="N30" s="2567"/>
      <c r="O30" s="2567"/>
      <c r="P30" s="2567"/>
      <c r="Q30" s="2568"/>
    </row>
    <row r="31" spans="2:17" ht="13.5">
      <c r="B31" s="228" t="s">
        <v>11</v>
      </c>
      <c r="C31" s="351" t="s">
        <v>114</v>
      </c>
      <c r="D31" s="228" t="s">
        <v>76</v>
      </c>
      <c r="E31" s="228" t="s">
        <v>77</v>
      </c>
      <c r="F31" s="229" t="s">
        <v>57</v>
      </c>
      <c r="G31" s="349"/>
      <c r="H31" s="349"/>
      <c r="I31" s="349"/>
      <c r="J31" s="349"/>
      <c r="K31" s="734" t="s">
        <v>185</v>
      </c>
      <c r="L31" s="229" t="s">
        <v>78</v>
      </c>
      <c r="M31" s="229" t="s">
        <v>79</v>
      </c>
      <c r="N31" s="229" t="s">
        <v>186</v>
      </c>
      <c r="O31" s="229" t="s">
        <v>187</v>
      </c>
      <c r="P31" s="229" t="s">
        <v>82</v>
      </c>
      <c r="Q31" s="229" t="s">
        <v>83</v>
      </c>
    </row>
    <row r="32" spans="2:17">
      <c r="B32" s="216"/>
      <c r="C32" s="353">
        <v>2493524</v>
      </c>
      <c r="D32" s="216"/>
      <c r="E32" s="216"/>
      <c r="F32" s="230"/>
      <c r="K32" s="216"/>
      <c r="L32" s="229"/>
      <c r="M32" s="229"/>
      <c r="N32" s="229"/>
      <c r="O32" s="229"/>
      <c r="P32" s="229"/>
      <c r="Q32" s="229"/>
    </row>
    <row r="33" spans="2:17">
      <c r="B33" s="233" t="s">
        <v>191</v>
      </c>
      <c r="C33" s="353">
        <v>2493524</v>
      </c>
      <c r="D33" s="232">
        <v>76.75</v>
      </c>
      <c r="E33" s="233">
        <f t="shared" ref="E33:E38" si="9">$D$30/D33</f>
        <v>1.2</v>
      </c>
      <c r="F33" s="231">
        <f t="shared" ref="F33:F38" si="10">INT(C33*E33)</f>
        <v>2992228</v>
      </c>
      <c r="K33" s="1261">
        <v>40909</v>
      </c>
      <c r="L33" s="229">
        <f t="shared" ref="L33:L38" si="11">+C33*0.04</f>
        <v>99740.96</v>
      </c>
      <c r="M33" s="229">
        <f t="shared" ref="M33:M38" si="12">+C33*0.04</f>
        <v>99740.96</v>
      </c>
      <c r="N33" s="229">
        <f t="shared" ref="N33:N38" si="13">+C33*0.085</f>
        <v>211949.54</v>
      </c>
      <c r="O33" s="229">
        <f t="shared" ref="O33:O38" si="14">+C33*0.12</f>
        <v>299222.88</v>
      </c>
      <c r="P33" s="353">
        <f t="shared" ref="P33:Q38" si="15">SUM(L33+N33)</f>
        <v>311690.5</v>
      </c>
      <c r="Q33" s="353">
        <f t="shared" si="15"/>
        <v>398963.84</v>
      </c>
    </row>
    <row r="34" spans="2:17">
      <c r="B34" s="233" t="s">
        <v>17</v>
      </c>
      <c r="C34" s="353">
        <v>2493524</v>
      </c>
      <c r="D34" s="232">
        <v>77.22</v>
      </c>
      <c r="E34" s="233">
        <f t="shared" si="9"/>
        <v>1.1926961926961925</v>
      </c>
      <c r="F34" s="231">
        <f t="shared" si="10"/>
        <v>2974016</v>
      </c>
      <c r="K34" s="1261">
        <v>40940</v>
      </c>
      <c r="L34" s="229">
        <f t="shared" si="11"/>
        <v>99740.96</v>
      </c>
      <c r="M34" s="229">
        <f t="shared" si="12"/>
        <v>99740.96</v>
      </c>
      <c r="N34" s="229">
        <f t="shared" si="13"/>
        <v>211949.54</v>
      </c>
      <c r="O34" s="229">
        <f t="shared" si="14"/>
        <v>299222.88</v>
      </c>
      <c r="P34" s="353">
        <f t="shared" si="15"/>
        <v>311690.5</v>
      </c>
      <c r="Q34" s="353">
        <f t="shared" si="15"/>
        <v>398963.84</v>
      </c>
    </row>
    <row r="35" spans="2:17">
      <c r="B35" s="233" t="s">
        <v>19</v>
      </c>
      <c r="C35" s="353">
        <v>2493524</v>
      </c>
      <c r="D35" s="232">
        <v>77.31</v>
      </c>
      <c r="E35" s="233">
        <f t="shared" si="9"/>
        <v>1.1913077221575474</v>
      </c>
      <c r="F35" s="231">
        <f t="shared" si="10"/>
        <v>2970554</v>
      </c>
      <c r="K35" s="1261">
        <v>40969</v>
      </c>
      <c r="L35" s="229">
        <f t="shared" si="11"/>
        <v>99740.96</v>
      </c>
      <c r="M35" s="229">
        <f t="shared" si="12"/>
        <v>99740.96</v>
      </c>
      <c r="N35" s="229">
        <f t="shared" si="13"/>
        <v>211949.54</v>
      </c>
      <c r="O35" s="229">
        <f t="shared" si="14"/>
        <v>299222.88</v>
      </c>
      <c r="P35" s="353">
        <f t="shared" si="15"/>
        <v>311690.5</v>
      </c>
      <c r="Q35" s="353">
        <f t="shared" si="15"/>
        <v>398963.84</v>
      </c>
    </row>
    <row r="36" spans="2:17">
      <c r="B36" s="233" t="s">
        <v>21</v>
      </c>
      <c r="C36" s="353">
        <v>2493524</v>
      </c>
      <c r="D36" s="232">
        <v>77.42</v>
      </c>
      <c r="E36" s="233">
        <f t="shared" si="9"/>
        <v>1.1896150865409454</v>
      </c>
      <c r="F36" s="231">
        <f t="shared" si="10"/>
        <v>2966333</v>
      </c>
      <c r="K36" s="1261">
        <v>41000</v>
      </c>
      <c r="L36" s="229">
        <f t="shared" si="11"/>
        <v>99740.96</v>
      </c>
      <c r="M36" s="229">
        <f t="shared" si="12"/>
        <v>99740.96</v>
      </c>
      <c r="N36" s="229">
        <f t="shared" si="13"/>
        <v>211949.54</v>
      </c>
      <c r="O36" s="229">
        <f t="shared" si="14"/>
        <v>299222.88</v>
      </c>
      <c r="P36" s="353">
        <f t="shared" si="15"/>
        <v>311690.5</v>
      </c>
      <c r="Q36" s="353">
        <f t="shared" si="15"/>
        <v>398963.84</v>
      </c>
    </row>
    <row r="37" spans="2:17">
      <c r="B37" s="233" t="s">
        <v>23</v>
      </c>
      <c r="C37" s="353">
        <v>2493524</v>
      </c>
      <c r="D37" s="232">
        <v>77.66</v>
      </c>
      <c r="E37" s="233">
        <f t="shared" si="9"/>
        <v>1.1859387071851661</v>
      </c>
      <c r="F37" s="231">
        <f t="shared" si="10"/>
        <v>2957166</v>
      </c>
      <c r="K37" s="1261">
        <v>41030</v>
      </c>
      <c r="L37" s="229">
        <f t="shared" si="11"/>
        <v>99740.96</v>
      </c>
      <c r="M37" s="229">
        <f t="shared" si="12"/>
        <v>99740.96</v>
      </c>
      <c r="N37" s="229">
        <f t="shared" si="13"/>
        <v>211949.54</v>
      </c>
      <c r="O37" s="229">
        <f t="shared" si="14"/>
        <v>299222.88</v>
      </c>
      <c r="P37" s="353">
        <f t="shared" si="15"/>
        <v>311690.5</v>
      </c>
      <c r="Q37" s="353">
        <f t="shared" si="15"/>
        <v>398963.84</v>
      </c>
    </row>
    <row r="38" spans="2:17">
      <c r="B38" s="233" t="s">
        <v>25</v>
      </c>
      <c r="C38" s="353">
        <f>+(C32/30)*13</f>
        <v>1080527.0666666667</v>
      </c>
      <c r="D38" s="232">
        <v>77.72</v>
      </c>
      <c r="E38" s="233">
        <f t="shared" si="9"/>
        <v>1.18502316006176</v>
      </c>
      <c r="F38" s="231">
        <f t="shared" si="10"/>
        <v>1280449</v>
      </c>
      <c r="K38" s="1261">
        <v>41061</v>
      </c>
      <c r="L38" s="229">
        <f t="shared" si="11"/>
        <v>43221.082666666669</v>
      </c>
      <c r="M38" s="229">
        <f t="shared" si="12"/>
        <v>43221.082666666669</v>
      </c>
      <c r="N38" s="229">
        <f t="shared" si="13"/>
        <v>91844.800666666677</v>
      </c>
      <c r="O38" s="229">
        <f t="shared" si="14"/>
        <v>129663.24799999999</v>
      </c>
      <c r="P38" s="353">
        <f t="shared" si="15"/>
        <v>135065.88333333336</v>
      </c>
      <c r="Q38" s="353">
        <f t="shared" si="15"/>
        <v>172884.33066666668</v>
      </c>
    </row>
    <row r="39" spans="2:17">
      <c r="B39" s="233" t="s">
        <v>101</v>
      </c>
      <c r="C39" s="231"/>
      <c r="D39" s="232"/>
      <c r="E39" s="233"/>
      <c r="F39" s="231"/>
      <c r="G39" s="234"/>
      <c r="H39" s="234"/>
      <c r="I39" s="234"/>
      <c r="J39" s="234"/>
      <c r="K39" s="1261"/>
      <c r="L39" s="231"/>
      <c r="M39" s="353"/>
      <c r="N39" s="353"/>
      <c r="O39" s="353"/>
      <c r="P39" s="353"/>
      <c r="Q39" s="353"/>
    </row>
    <row r="40" spans="2:17">
      <c r="B40" s="233" t="s">
        <v>102</v>
      </c>
      <c r="C40" s="231"/>
      <c r="D40" s="232"/>
      <c r="E40" s="233"/>
      <c r="F40" s="231"/>
      <c r="G40" s="234"/>
      <c r="H40" s="234"/>
      <c r="I40" s="234"/>
      <c r="J40" s="234"/>
      <c r="K40" s="1261"/>
      <c r="L40" s="231"/>
      <c r="M40" s="353"/>
      <c r="N40" s="353"/>
      <c r="O40" s="353"/>
      <c r="P40" s="353"/>
      <c r="Q40" s="353"/>
    </row>
    <row r="41" spans="2:17">
      <c r="B41" s="233" t="s">
        <v>103</v>
      </c>
      <c r="C41" s="231"/>
      <c r="D41" s="232"/>
      <c r="E41" s="233"/>
      <c r="F41" s="231"/>
      <c r="G41" s="234"/>
      <c r="H41" s="234"/>
      <c r="I41" s="234"/>
      <c r="J41" s="234"/>
      <c r="K41" s="1261"/>
      <c r="L41" s="231"/>
      <c r="M41" s="353"/>
      <c r="N41" s="353"/>
      <c r="O41" s="353"/>
      <c r="P41" s="353"/>
      <c r="Q41" s="353"/>
    </row>
    <row r="42" spans="2:17">
      <c r="B42" s="233" t="s">
        <v>188</v>
      </c>
      <c r="C42" s="231"/>
      <c r="D42" s="232"/>
      <c r="E42" s="233"/>
      <c r="F42" s="231"/>
      <c r="G42" s="234"/>
      <c r="H42" s="234"/>
      <c r="I42" s="234"/>
      <c r="J42" s="234"/>
      <c r="K42" s="1261"/>
      <c r="L42" s="231"/>
      <c r="M42" s="353"/>
      <c r="N42" s="353"/>
      <c r="O42" s="353"/>
      <c r="P42" s="353"/>
      <c r="Q42" s="353"/>
    </row>
    <row r="43" spans="2:17">
      <c r="B43" s="233" t="s">
        <v>104</v>
      </c>
      <c r="C43" s="231"/>
      <c r="D43" s="232"/>
      <c r="E43" s="233"/>
      <c r="F43" s="231"/>
      <c r="G43" s="234"/>
      <c r="H43" s="234"/>
      <c r="I43" s="234"/>
      <c r="J43" s="234"/>
      <c r="K43" s="1261"/>
      <c r="L43" s="231"/>
      <c r="M43" s="353"/>
      <c r="N43" s="353"/>
      <c r="O43" s="353"/>
      <c r="P43" s="353"/>
      <c r="Q43" s="353"/>
    </row>
    <row r="44" spans="2:17">
      <c r="B44" s="233" t="s">
        <v>95</v>
      </c>
      <c r="C44" s="231"/>
      <c r="D44" s="232"/>
      <c r="E44" s="233"/>
      <c r="F44" s="231"/>
      <c r="G44" s="234"/>
      <c r="H44" s="234"/>
      <c r="I44" s="234"/>
      <c r="J44" s="234"/>
      <c r="K44" s="1261"/>
      <c r="L44" s="231"/>
      <c r="M44" s="353"/>
      <c r="N44" s="353"/>
      <c r="O44" s="353"/>
      <c r="P44" s="353"/>
      <c r="Q44" s="353"/>
    </row>
    <row r="45" spans="2:17">
      <c r="B45" s="233" t="s">
        <v>189</v>
      </c>
      <c r="C45" s="231"/>
      <c r="E45" s="233"/>
      <c r="F45" s="231"/>
      <c r="G45" s="234"/>
      <c r="H45" s="234"/>
      <c r="I45" s="234"/>
      <c r="J45" s="234"/>
      <c r="K45" s="216"/>
      <c r="L45" s="231"/>
      <c r="M45" s="353"/>
      <c r="N45" s="353"/>
      <c r="O45" s="353"/>
      <c r="P45" s="353"/>
      <c r="Q45" s="353"/>
    </row>
    <row r="46" spans="2:17" ht="13.5">
      <c r="B46" s="233" t="s">
        <v>96</v>
      </c>
      <c r="C46" s="231"/>
      <c r="D46" s="232"/>
      <c r="E46" s="233"/>
      <c r="F46" s="231">
        <f>SUM(F33:F45)</f>
        <v>16140746</v>
      </c>
      <c r="G46" s="234"/>
      <c r="H46" s="234"/>
      <c r="I46" s="234"/>
      <c r="J46" s="234"/>
      <c r="K46" s="734" t="s">
        <v>190</v>
      </c>
      <c r="L46" s="231">
        <f>SUM(L33:L45)</f>
        <v>541925.88266666676</v>
      </c>
      <c r="M46" s="231">
        <f>SUM(M33:M45)</f>
        <v>541925.88266666676</v>
      </c>
      <c r="N46" s="231">
        <f>SUM(N33:N45)</f>
        <v>1151592.5006666665</v>
      </c>
      <c r="O46" s="231">
        <f>SUM(O33:O45)</f>
        <v>1625777.6479999998</v>
      </c>
      <c r="P46" s="231">
        <f>SUM(P38:P45)</f>
        <v>135065.88333333336</v>
      </c>
      <c r="Q46" s="231">
        <f>SUM(Q38:Q45)</f>
        <v>172884.33066666668</v>
      </c>
    </row>
    <row r="47" spans="2:17">
      <c r="B47" s="233" t="s">
        <v>98</v>
      </c>
      <c r="C47" s="231"/>
      <c r="D47" s="232"/>
      <c r="E47" s="233"/>
      <c r="F47" s="231">
        <f>SUM(L46+M46)</f>
        <v>1083851.7653333335</v>
      </c>
      <c r="G47" s="234"/>
      <c r="H47" s="234"/>
      <c r="I47" s="234"/>
      <c r="J47" s="234"/>
    </row>
    <row r="48" spans="2:17">
      <c r="B48" s="233" t="s">
        <v>99</v>
      </c>
      <c r="C48" s="231"/>
      <c r="D48" s="232"/>
      <c r="E48" s="233"/>
      <c r="F48" s="231">
        <f>(F46-F47)</f>
        <v>15056894.234666666</v>
      </c>
      <c r="G48" s="234"/>
      <c r="H48" s="234"/>
      <c r="I48" s="234"/>
      <c r="J48" s="234"/>
      <c r="K48" s="235"/>
      <c r="L48" s="235"/>
      <c r="M48" s="235"/>
      <c r="N48" s="235"/>
      <c r="O48" s="235"/>
      <c r="P48" s="235"/>
    </row>
    <row r="49" spans="1:19">
      <c r="F49" s="348"/>
    </row>
    <row r="51" spans="1:19">
      <c r="B51" s="354" t="s">
        <v>192</v>
      </c>
      <c r="C51" s="356"/>
      <c r="D51" s="354"/>
      <c r="E51" s="354"/>
      <c r="F51" s="356">
        <f>+F26+F46</f>
        <v>41672077</v>
      </c>
    </row>
    <row r="52" spans="1:19">
      <c r="B52" s="354" t="s">
        <v>193</v>
      </c>
      <c r="C52" s="356"/>
      <c r="D52" s="354"/>
      <c r="E52" s="354"/>
      <c r="F52" s="356">
        <f>+F27+F47</f>
        <v>2394733.0853333334</v>
      </c>
    </row>
    <row r="53" spans="1:19">
      <c r="B53" s="354" t="s">
        <v>194</v>
      </c>
      <c r="C53" s="356"/>
      <c r="D53" s="354"/>
      <c r="E53" s="354"/>
      <c r="F53" s="1791">
        <f>+F51-F52+Q135+Q145</f>
        <v>42304361.084849142</v>
      </c>
    </row>
    <row r="54" spans="1:19">
      <c r="B54" s="354" t="s">
        <v>195</v>
      </c>
      <c r="C54" s="354"/>
      <c r="D54" s="354"/>
      <c r="E54" s="354"/>
      <c r="F54" s="1791">
        <f>+Q135+Q145</f>
        <v>3027017.1701824772</v>
      </c>
      <c r="P54" s="348"/>
    </row>
    <row r="55" spans="1:19" ht="15">
      <c r="B55" s="354" t="s">
        <v>196</v>
      </c>
      <c r="C55" s="354"/>
      <c r="D55" s="354"/>
      <c r="E55" s="354"/>
      <c r="F55" s="356">
        <f>+F53+F54</f>
        <v>45331378.255031615</v>
      </c>
      <c r="N55" s="1262"/>
      <c r="O55" s="1262"/>
      <c r="P55" s="348"/>
    </row>
    <row r="56" spans="1:19" ht="30.75" thickBot="1">
      <c r="B56" s="1262"/>
      <c r="C56" s="1262" t="s">
        <v>197</v>
      </c>
      <c r="D56" s="1262"/>
      <c r="M56" s="1445" t="s">
        <v>198</v>
      </c>
      <c r="N56" s="1263">
        <f>+F55</f>
        <v>45331378.255031615</v>
      </c>
    </row>
    <row r="57" spans="1:19" ht="52.5" customHeight="1" thickBot="1">
      <c r="B57" s="630" t="s">
        <v>199</v>
      </c>
      <c r="C57" s="357" t="s">
        <v>200</v>
      </c>
      <c r="D57" s="357" t="s">
        <v>201</v>
      </c>
      <c r="E57" s="357" t="s">
        <v>202</v>
      </c>
      <c r="F57" s="358" t="s">
        <v>203</v>
      </c>
      <c r="G57" s="359" t="s">
        <v>204</v>
      </c>
      <c r="H57" s="359"/>
      <c r="I57" s="359" t="s">
        <v>205</v>
      </c>
      <c r="J57" s="359"/>
      <c r="M57" s="1138" t="s">
        <v>206</v>
      </c>
      <c r="N57" s="1139" t="s">
        <v>10</v>
      </c>
      <c r="O57" s="1128" t="s">
        <v>201</v>
      </c>
      <c r="P57" s="1128" t="s">
        <v>202</v>
      </c>
      <c r="Q57" s="1140" t="s">
        <v>86</v>
      </c>
      <c r="R57" s="1139" t="s">
        <v>204</v>
      </c>
      <c r="S57" s="1139" t="s">
        <v>205</v>
      </c>
    </row>
    <row r="58" spans="1:19" ht="13.5">
      <c r="A58" s="216">
        <v>1</v>
      </c>
      <c r="B58" s="237">
        <v>42514</v>
      </c>
      <c r="C58" s="243">
        <v>42521</v>
      </c>
      <c r="D58" s="360">
        <v>0.2054</v>
      </c>
      <c r="E58" s="239">
        <f>+F53</f>
        <v>42304361.084849142</v>
      </c>
      <c r="F58" s="240">
        <f>_xlfn.DAYS(C58,B58)+1</f>
        <v>8</v>
      </c>
      <c r="G58" s="241">
        <f>((1+D58)^(1/365))-1</f>
        <v>5.1194322306513662E-4</v>
      </c>
      <c r="H58" s="241"/>
      <c r="I58" s="242">
        <f t="shared" ref="I58:I89" si="16">E58*(((1+G58)^F58)-1)</f>
        <v>173570.21227367164</v>
      </c>
      <c r="J58" s="241"/>
      <c r="M58" s="800">
        <v>42515</v>
      </c>
      <c r="N58" s="1073">
        <v>42521</v>
      </c>
      <c r="O58" s="1129">
        <v>0.2054</v>
      </c>
      <c r="P58" s="1130">
        <f t="shared" ref="P58:P89" si="17">+$N$56</f>
        <v>45331378.255031615</v>
      </c>
      <c r="Q58" s="1131">
        <f>_xlfn.DAYS(N58,M58)+1</f>
        <v>7</v>
      </c>
      <c r="R58" s="909">
        <f>((1+O58)^(1/365))-1</f>
        <v>5.1194322306513662E-4</v>
      </c>
      <c r="S58" s="812">
        <f>+P58*Q58*R58</f>
        <v>162449.64322906017</v>
      </c>
    </row>
    <row r="59" spans="1:19" ht="13.5">
      <c r="A59" s="216">
        <v>2</v>
      </c>
      <c r="B59" s="237">
        <v>42522</v>
      </c>
      <c r="C59" s="237">
        <v>42551</v>
      </c>
      <c r="D59" s="360">
        <v>0.2054</v>
      </c>
      <c r="E59" s="239">
        <f t="shared" ref="E59:E90" si="18">+E58+I58</f>
        <v>42477931.297122814</v>
      </c>
      <c r="F59" s="240">
        <f t="shared" ref="F59:F120" si="19">_xlfn.DAYS(C59,B59)+1</f>
        <v>30</v>
      </c>
      <c r="G59" s="241">
        <f>((1+D59)^(1/365))-1</f>
        <v>5.1194322306513662E-4</v>
      </c>
      <c r="H59" s="241"/>
      <c r="I59" s="242">
        <f t="shared" si="16"/>
        <v>657254.68784959929</v>
      </c>
      <c r="J59" s="241"/>
      <c r="M59" s="800">
        <v>42522</v>
      </c>
      <c r="N59" s="800">
        <v>42551</v>
      </c>
      <c r="O59" s="1129">
        <v>0.2054</v>
      </c>
      <c r="P59" s="1130">
        <f t="shared" si="17"/>
        <v>45331378.255031615</v>
      </c>
      <c r="Q59" s="1131">
        <f t="shared" ref="Q59:Q122" si="20">_xlfn.DAYS(N59,M59)+1</f>
        <v>30</v>
      </c>
      <c r="R59" s="909">
        <f>((1+O59)^(1/365))-1</f>
        <v>5.1194322306513662E-4</v>
      </c>
      <c r="S59" s="812">
        <f t="shared" ref="S59:S121" si="21">+P59*Q59*R59</f>
        <v>696212.75669597206</v>
      </c>
    </row>
    <row r="60" spans="1:19" ht="13.5">
      <c r="A60" s="216">
        <v>3</v>
      </c>
      <c r="B60" s="237">
        <v>42552</v>
      </c>
      <c r="C60" s="237">
        <v>42582</v>
      </c>
      <c r="D60" s="360">
        <v>0.21340000000000001</v>
      </c>
      <c r="E60" s="239">
        <f t="shared" si="18"/>
        <v>43135185.98497241</v>
      </c>
      <c r="F60" s="240">
        <f t="shared" si="19"/>
        <v>31</v>
      </c>
      <c r="G60" s="241">
        <f t="shared" ref="G60:G120" si="22">((1+D60)^(1/365))-1</f>
        <v>5.3007560901296991E-4</v>
      </c>
      <c r="H60" s="241"/>
      <c r="I60" s="242">
        <f t="shared" si="16"/>
        <v>714477.0563361767</v>
      </c>
      <c r="J60" s="241"/>
      <c r="M60" s="800">
        <v>42552</v>
      </c>
      <c r="N60" s="800">
        <v>42582</v>
      </c>
      <c r="O60" s="1129">
        <v>0.21340000000000001</v>
      </c>
      <c r="P60" s="1130">
        <f t="shared" si="17"/>
        <v>45331378.255031615</v>
      </c>
      <c r="Q60" s="1131">
        <f t="shared" si="20"/>
        <v>31</v>
      </c>
      <c r="R60" s="909">
        <f t="shared" ref="R60:R122" si="23">((1+O60)^(1/365))-1</f>
        <v>5.3007560901296991E-4</v>
      </c>
      <c r="S60" s="812">
        <f t="shared" si="21"/>
        <v>744900.79601392872</v>
      </c>
    </row>
    <row r="61" spans="1:19" ht="13.5">
      <c r="A61" s="216">
        <v>4</v>
      </c>
      <c r="B61" s="237">
        <v>42583</v>
      </c>
      <c r="C61" s="237">
        <v>42613</v>
      </c>
      <c r="D61" s="360">
        <v>0.21340000000000001</v>
      </c>
      <c r="E61" s="239">
        <f t="shared" si="18"/>
        <v>43849663.041308589</v>
      </c>
      <c r="F61" s="240">
        <f t="shared" si="19"/>
        <v>31</v>
      </c>
      <c r="G61" s="241">
        <f t="shared" si="22"/>
        <v>5.3007560901296991E-4</v>
      </c>
      <c r="H61" s="241"/>
      <c r="I61" s="242">
        <f t="shared" si="16"/>
        <v>726311.41968420194</v>
      </c>
      <c r="J61" s="241"/>
      <c r="M61" s="800">
        <v>42583</v>
      </c>
      <c r="N61" s="800">
        <v>42613</v>
      </c>
      <c r="O61" s="1129">
        <v>0.21340000000000001</v>
      </c>
      <c r="P61" s="1130">
        <f t="shared" si="17"/>
        <v>45331378.255031615</v>
      </c>
      <c r="Q61" s="1131">
        <f t="shared" si="20"/>
        <v>31</v>
      </c>
      <c r="R61" s="909">
        <f t="shared" si="23"/>
        <v>5.3007560901296991E-4</v>
      </c>
      <c r="S61" s="812">
        <f t="shared" si="21"/>
        <v>744900.79601392872</v>
      </c>
    </row>
    <row r="62" spans="1:19" ht="13.5">
      <c r="A62" s="216">
        <v>5</v>
      </c>
      <c r="B62" s="237">
        <v>42614</v>
      </c>
      <c r="C62" s="237">
        <v>42643</v>
      </c>
      <c r="D62" s="360">
        <v>0.21340000000000001</v>
      </c>
      <c r="E62" s="239">
        <f t="shared" si="18"/>
        <v>44575974.460992791</v>
      </c>
      <c r="F62" s="240">
        <f t="shared" si="19"/>
        <v>30</v>
      </c>
      <c r="G62" s="241">
        <f t="shared" si="22"/>
        <v>5.3007560901296991E-4</v>
      </c>
      <c r="H62" s="241"/>
      <c r="I62" s="242">
        <f t="shared" si="16"/>
        <v>714334.51542761235</v>
      </c>
      <c r="J62" s="241"/>
      <c r="M62" s="800">
        <v>42614</v>
      </c>
      <c r="N62" s="800">
        <v>42643</v>
      </c>
      <c r="O62" s="1129">
        <v>0.21340000000000001</v>
      </c>
      <c r="P62" s="1130">
        <f t="shared" si="17"/>
        <v>45331378.255031615</v>
      </c>
      <c r="Q62" s="1131">
        <f t="shared" si="20"/>
        <v>30</v>
      </c>
      <c r="R62" s="909">
        <f t="shared" si="23"/>
        <v>5.3007560901296991E-4</v>
      </c>
      <c r="S62" s="812">
        <f t="shared" si="21"/>
        <v>720871.7380779956</v>
      </c>
    </row>
    <row r="63" spans="1:19" ht="13.5">
      <c r="A63" s="216">
        <v>6</v>
      </c>
      <c r="B63" s="237">
        <v>42644</v>
      </c>
      <c r="C63" s="237">
        <v>42674</v>
      </c>
      <c r="D63" s="360">
        <v>0.21990000000000001</v>
      </c>
      <c r="E63" s="239">
        <f t="shared" si="18"/>
        <v>45290308.976420403</v>
      </c>
      <c r="F63" s="240">
        <f t="shared" si="19"/>
        <v>31</v>
      </c>
      <c r="G63" s="241">
        <f t="shared" si="22"/>
        <v>5.4472060277621637E-4</v>
      </c>
      <c r="H63" s="241"/>
      <c r="I63" s="242">
        <f t="shared" si="16"/>
        <v>771069.45958320121</v>
      </c>
      <c r="J63" s="241"/>
      <c r="M63" s="800">
        <v>42644</v>
      </c>
      <c r="N63" s="800">
        <v>42674</v>
      </c>
      <c r="O63" s="1129">
        <v>0.21990000000000001</v>
      </c>
      <c r="P63" s="1130">
        <f t="shared" si="17"/>
        <v>45331378.255031615</v>
      </c>
      <c r="Q63" s="1131">
        <f t="shared" si="20"/>
        <v>31</v>
      </c>
      <c r="R63" s="909">
        <f t="shared" si="23"/>
        <v>5.4472060277621637E-4</v>
      </c>
      <c r="S63" s="812">
        <f t="shared" si="21"/>
        <v>765481.00632048212</v>
      </c>
    </row>
    <row r="64" spans="1:19" ht="13.5">
      <c r="A64" s="216">
        <v>7</v>
      </c>
      <c r="B64" s="237">
        <v>42675</v>
      </c>
      <c r="C64" s="237">
        <v>42704</v>
      </c>
      <c r="D64" s="360">
        <v>0.21990000000000001</v>
      </c>
      <c r="E64" s="239">
        <f t="shared" si="18"/>
        <v>46061378.436003603</v>
      </c>
      <c r="F64" s="240">
        <f t="shared" si="19"/>
        <v>30</v>
      </c>
      <c r="G64" s="241">
        <f t="shared" si="22"/>
        <v>5.4472060277621637E-4</v>
      </c>
      <c r="H64" s="241"/>
      <c r="I64" s="242">
        <f t="shared" si="16"/>
        <v>758693.09273367433</v>
      </c>
      <c r="J64" s="241"/>
      <c r="M64" s="800">
        <v>42675</v>
      </c>
      <c r="N64" s="800">
        <v>42704</v>
      </c>
      <c r="O64" s="1129">
        <v>0.21990000000000001</v>
      </c>
      <c r="P64" s="1130">
        <f t="shared" si="17"/>
        <v>45331378.255031615</v>
      </c>
      <c r="Q64" s="1131">
        <f t="shared" si="20"/>
        <v>30</v>
      </c>
      <c r="R64" s="909">
        <f t="shared" si="23"/>
        <v>5.4472060277621637E-4</v>
      </c>
      <c r="S64" s="812">
        <f t="shared" si="21"/>
        <v>740788.07063272467</v>
      </c>
    </row>
    <row r="65" spans="1:19" ht="13.5">
      <c r="A65" s="216">
        <v>8</v>
      </c>
      <c r="B65" s="237">
        <v>42705</v>
      </c>
      <c r="C65" s="237">
        <v>42735</v>
      </c>
      <c r="D65" s="360">
        <v>0.21990000000000001</v>
      </c>
      <c r="E65" s="239">
        <f t="shared" si="18"/>
        <v>46820071.528737277</v>
      </c>
      <c r="F65" s="240">
        <f t="shared" si="19"/>
        <v>31</v>
      </c>
      <c r="G65" s="241">
        <f t="shared" si="22"/>
        <v>5.4472060277621637E-4</v>
      </c>
      <c r="H65" s="241"/>
      <c r="I65" s="242">
        <f t="shared" si="16"/>
        <v>797113.73287618544</v>
      </c>
      <c r="J65" s="241"/>
      <c r="M65" s="800">
        <v>42705</v>
      </c>
      <c r="N65" s="800">
        <v>42735</v>
      </c>
      <c r="O65" s="1129">
        <v>0.21990000000000001</v>
      </c>
      <c r="P65" s="1130">
        <f t="shared" si="17"/>
        <v>45331378.255031615</v>
      </c>
      <c r="Q65" s="1131">
        <f t="shared" si="20"/>
        <v>31</v>
      </c>
      <c r="R65" s="909">
        <f t="shared" si="23"/>
        <v>5.4472060277621637E-4</v>
      </c>
      <c r="S65" s="812">
        <f t="shared" si="21"/>
        <v>765481.00632048212</v>
      </c>
    </row>
    <row r="66" spans="1:19" ht="13.5">
      <c r="A66" s="216">
        <v>9</v>
      </c>
      <c r="B66" s="237">
        <v>42736</v>
      </c>
      <c r="C66" s="237">
        <v>42766</v>
      </c>
      <c r="D66" s="360">
        <v>0.22339999999999999</v>
      </c>
      <c r="E66" s="239">
        <f t="shared" si="18"/>
        <v>47617185.261613466</v>
      </c>
      <c r="F66" s="240">
        <f t="shared" si="19"/>
        <v>31</v>
      </c>
      <c r="G66" s="241">
        <f t="shared" si="22"/>
        <v>5.5257416857701358E-4</v>
      </c>
      <c r="H66" s="241"/>
      <c r="I66" s="242">
        <f t="shared" si="16"/>
        <v>822469.87245119351</v>
      </c>
      <c r="J66" s="241"/>
      <c r="M66" s="800">
        <v>42736</v>
      </c>
      <c r="N66" s="800">
        <v>42766</v>
      </c>
      <c r="O66" s="1129">
        <v>0.22339999999999999</v>
      </c>
      <c r="P66" s="1130">
        <f t="shared" si="17"/>
        <v>45331378.255031615</v>
      </c>
      <c r="Q66" s="1131">
        <f t="shared" si="20"/>
        <v>31</v>
      </c>
      <c r="R66" s="909">
        <f t="shared" si="23"/>
        <v>5.5257416857701358E-4</v>
      </c>
      <c r="S66" s="812">
        <f t="shared" si="21"/>
        <v>776517.40814145049</v>
      </c>
    </row>
    <row r="67" spans="1:19" ht="13.5">
      <c r="A67" s="216">
        <v>10</v>
      </c>
      <c r="B67" s="237">
        <v>42767</v>
      </c>
      <c r="C67" s="237">
        <v>42794</v>
      </c>
      <c r="D67" s="360">
        <v>0.22339999999999999</v>
      </c>
      <c r="E67" s="239">
        <f t="shared" si="18"/>
        <v>48439655.134064659</v>
      </c>
      <c r="F67" s="240">
        <f t="shared" si="19"/>
        <v>28</v>
      </c>
      <c r="G67" s="241">
        <f t="shared" si="22"/>
        <v>5.5257416857701358E-4</v>
      </c>
      <c r="H67" s="241"/>
      <c r="I67" s="242">
        <f t="shared" si="16"/>
        <v>755079.72801774496</v>
      </c>
      <c r="J67" s="241"/>
      <c r="M67" s="800">
        <v>42767</v>
      </c>
      <c r="N67" s="800">
        <v>42794</v>
      </c>
      <c r="O67" s="1129">
        <v>0.22339999999999999</v>
      </c>
      <c r="P67" s="1130">
        <f t="shared" si="17"/>
        <v>45331378.255031615</v>
      </c>
      <c r="Q67" s="1131">
        <f t="shared" si="20"/>
        <v>28</v>
      </c>
      <c r="R67" s="909">
        <f t="shared" si="23"/>
        <v>5.5257416857701358E-4</v>
      </c>
      <c r="S67" s="812">
        <f t="shared" si="21"/>
        <v>701370.56219227787</v>
      </c>
    </row>
    <row r="68" spans="1:19" ht="13.5">
      <c r="A68" s="216">
        <v>11</v>
      </c>
      <c r="B68" s="237">
        <v>42795</v>
      </c>
      <c r="C68" s="237">
        <v>42825</v>
      </c>
      <c r="D68" s="360">
        <v>0.22339999999999999</v>
      </c>
      <c r="E68" s="239">
        <f t="shared" si="18"/>
        <v>49194734.862082407</v>
      </c>
      <c r="F68" s="240">
        <f t="shared" si="19"/>
        <v>31</v>
      </c>
      <c r="G68" s="241">
        <f t="shared" si="22"/>
        <v>5.5257416857701358E-4</v>
      </c>
      <c r="H68" s="241"/>
      <c r="I68" s="242">
        <f t="shared" si="16"/>
        <v>849718.16551082314</v>
      </c>
      <c r="J68" s="241"/>
      <c r="M68" s="800">
        <v>42795</v>
      </c>
      <c r="N68" s="800">
        <v>42825</v>
      </c>
      <c r="O68" s="1129">
        <v>0.22339999999999999</v>
      </c>
      <c r="P68" s="1130">
        <f t="shared" si="17"/>
        <v>45331378.255031615</v>
      </c>
      <c r="Q68" s="1131">
        <f t="shared" si="20"/>
        <v>31</v>
      </c>
      <c r="R68" s="909">
        <f t="shared" si="23"/>
        <v>5.5257416857701358E-4</v>
      </c>
      <c r="S68" s="812">
        <f t="shared" si="21"/>
        <v>776517.40814145049</v>
      </c>
    </row>
    <row r="69" spans="1:19" ht="13.5">
      <c r="A69" s="216">
        <v>12</v>
      </c>
      <c r="B69" s="237">
        <v>42826</v>
      </c>
      <c r="C69" s="237">
        <v>42855</v>
      </c>
      <c r="D69" s="360">
        <v>0.2233</v>
      </c>
      <c r="E69" s="239">
        <f t="shared" si="18"/>
        <v>50044453.027593233</v>
      </c>
      <c r="F69" s="240">
        <f t="shared" si="19"/>
        <v>30</v>
      </c>
      <c r="G69" s="241">
        <f t="shared" si="22"/>
        <v>5.5235009209653185E-4</v>
      </c>
      <c r="H69" s="241"/>
      <c r="I69" s="242">
        <f t="shared" si="16"/>
        <v>835937.73515177972</v>
      </c>
      <c r="J69" s="241"/>
      <c r="M69" s="800">
        <v>42826</v>
      </c>
      <c r="N69" s="800">
        <v>42855</v>
      </c>
      <c r="O69" s="1129">
        <v>0.2233</v>
      </c>
      <c r="P69" s="1130">
        <f t="shared" si="17"/>
        <v>45331378.255031615</v>
      </c>
      <c r="Q69" s="1131">
        <f t="shared" si="20"/>
        <v>30</v>
      </c>
      <c r="R69" s="909">
        <f t="shared" si="23"/>
        <v>5.5235009209653185E-4</v>
      </c>
      <c r="S69" s="812">
        <f t="shared" si="21"/>
        <v>751163.72862088308</v>
      </c>
    </row>
    <row r="70" spans="1:19" ht="13.5">
      <c r="A70" s="216">
        <v>13</v>
      </c>
      <c r="B70" s="237">
        <v>42856</v>
      </c>
      <c r="C70" s="237">
        <v>42886</v>
      </c>
      <c r="D70" s="360">
        <v>0.2233</v>
      </c>
      <c r="E70" s="239">
        <f t="shared" si="18"/>
        <v>50880390.762745015</v>
      </c>
      <c r="F70" s="240">
        <f t="shared" si="19"/>
        <v>31</v>
      </c>
      <c r="G70" s="241">
        <f t="shared" si="22"/>
        <v>5.5235009209653185E-4</v>
      </c>
      <c r="H70" s="241"/>
      <c r="I70" s="242">
        <f t="shared" si="16"/>
        <v>878474.39027072373</v>
      </c>
      <c r="J70" s="241"/>
      <c r="M70" s="800">
        <v>42856</v>
      </c>
      <c r="N70" s="800">
        <v>42886</v>
      </c>
      <c r="O70" s="1129">
        <v>0.2233</v>
      </c>
      <c r="P70" s="1130">
        <f t="shared" si="17"/>
        <v>45331378.255031615</v>
      </c>
      <c r="Q70" s="1131">
        <f t="shared" si="20"/>
        <v>31</v>
      </c>
      <c r="R70" s="909">
        <f t="shared" si="23"/>
        <v>5.5235009209653185E-4</v>
      </c>
      <c r="S70" s="812">
        <f t="shared" si="21"/>
        <v>776202.5195749125</v>
      </c>
    </row>
    <row r="71" spans="1:19" ht="13.5">
      <c r="A71" s="216">
        <v>14</v>
      </c>
      <c r="B71" s="237">
        <v>42887</v>
      </c>
      <c r="C71" s="237">
        <v>42916</v>
      </c>
      <c r="D71" s="360">
        <v>0.2233</v>
      </c>
      <c r="E71" s="239">
        <f t="shared" si="18"/>
        <v>51758865.15301574</v>
      </c>
      <c r="F71" s="240">
        <f t="shared" si="19"/>
        <v>30</v>
      </c>
      <c r="G71" s="241">
        <f t="shared" si="22"/>
        <v>5.5235009209653185E-4</v>
      </c>
      <c r="H71" s="241"/>
      <c r="I71" s="242">
        <f t="shared" si="16"/>
        <v>864575.1105758301</v>
      </c>
      <c r="J71" s="241"/>
      <c r="M71" s="800">
        <v>42887</v>
      </c>
      <c r="N71" s="800">
        <v>42916</v>
      </c>
      <c r="O71" s="1129">
        <v>0.2233</v>
      </c>
      <c r="P71" s="1130">
        <f t="shared" si="17"/>
        <v>45331378.255031615</v>
      </c>
      <c r="Q71" s="1131">
        <f t="shared" si="20"/>
        <v>30</v>
      </c>
      <c r="R71" s="909">
        <f t="shared" si="23"/>
        <v>5.5235009209653185E-4</v>
      </c>
      <c r="S71" s="812">
        <f t="shared" si="21"/>
        <v>751163.72862088308</v>
      </c>
    </row>
    <row r="72" spans="1:19" ht="13.5">
      <c r="A72" s="216">
        <v>15</v>
      </c>
      <c r="B72" s="237">
        <v>42917</v>
      </c>
      <c r="C72" s="237">
        <v>42947</v>
      </c>
      <c r="D72" s="360">
        <v>0.2198</v>
      </c>
      <c r="E72" s="239">
        <f t="shared" si="18"/>
        <v>52623440.263591573</v>
      </c>
      <c r="F72" s="240">
        <f t="shared" si="19"/>
        <v>31</v>
      </c>
      <c r="G72" s="241">
        <f t="shared" si="22"/>
        <v>5.4449588513816316E-4</v>
      </c>
      <c r="H72" s="241"/>
      <c r="I72" s="242">
        <f t="shared" si="16"/>
        <v>895543.71054640471</v>
      </c>
      <c r="J72" s="241"/>
      <c r="M72" s="800">
        <v>42917</v>
      </c>
      <c r="N72" s="800">
        <v>42947</v>
      </c>
      <c r="O72" s="1129">
        <v>0.2198</v>
      </c>
      <c r="P72" s="1130">
        <f t="shared" si="17"/>
        <v>45331378.255031615</v>
      </c>
      <c r="Q72" s="1131">
        <f t="shared" si="20"/>
        <v>31</v>
      </c>
      <c r="R72" s="909">
        <f t="shared" si="23"/>
        <v>5.4449588513816316E-4</v>
      </c>
      <c r="S72" s="812">
        <f t="shared" si="21"/>
        <v>765165.21675269597</v>
      </c>
    </row>
    <row r="73" spans="1:19" ht="13.5">
      <c r="A73" s="216">
        <v>16</v>
      </c>
      <c r="B73" s="237">
        <v>42948</v>
      </c>
      <c r="C73" s="237">
        <v>42978</v>
      </c>
      <c r="D73" s="360">
        <v>0.2198</v>
      </c>
      <c r="E73" s="239">
        <f t="shared" si="18"/>
        <v>53518983.974137977</v>
      </c>
      <c r="F73" s="240">
        <f t="shared" si="19"/>
        <v>31</v>
      </c>
      <c r="G73" s="241">
        <f t="shared" si="22"/>
        <v>5.4449588513816316E-4</v>
      </c>
      <c r="H73" s="241"/>
      <c r="I73" s="242">
        <f t="shared" si="16"/>
        <v>910784.03944702388</v>
      </c>
      <c r="J73" s="241"/>
      <c r="M73" s="800">
        <v>42948</v>
      </c>
      <c r="N73" s="800">
        <v>42978</v>
      </c>
      <c r="O73" s="1129">
        <v>0.2198</v>
      </c>
      <c r="P73" s="1130">
        <f t="shared" si="17"/>
        <v>45331378.255031615</v>
      </c>
      <c r="Q73" s="1131">
        <f t="shared" si="20"/>
        <v>31</v>
      </c>
      <c r="R73" s="909">
        <f t="shared" si="23"/>
        <v>5.4449588513816316E-4</v>
      </c>
      <c r="S73" s="812">
        <f t="shared" si="21"/>
        <v>765165.21675269597</v>
      </c>
    </row>
    <row r="74" spans="1:19" ht="13.5">
      <c r="A74" s="216">
        <v>17</v>
      </c>
      <c r="B74" s="237">
        <v>42979</v>
      </c>
      <c r="C74" s="237">
        <v>43008</v>
      </c>
      <c r="D74" s="360">
        <v>0.21479999999999999</v>
      </c>
      <c r="E74" s="239">
        <f t="shared" si="18"/>
        <v>54429768.013585001</v>
      </c>
      <c r="F74" s="240">
        <f t="shared" si="19"/>
        <v>30</v>
      </c>
      <c r="G74" s="241">
        <f t="shared" si="22"/>
        <v>5.3323651511005821E-4</v>
      </c>
      <c r="H74" s="241"/>
      <c r="I74" s="242">
        <f t="shared" si="16"/>
        <v>877484.15298317466</v>
      </c>
      <c r="J74" s="241"/>
      <c r="M74" s="800">
        <v>42979</v>
      </c>
      <c r="N74" s="800">
        <v>43008</v>
      </c>
      <c r="O74" s="1129">
        <v>0.21479999999999999</v>
      </c>
      <c r="P74" s="1130">
        <f t="shared" si="17"/>
        <v>45331378.255031615</v>
      </c>
      <c r="Q74" s="1131">
        <f t="shared" si="20"/>
        <v>30</v>
      </c>
      <c r="R74" s="909">
        <f t="shared" si="23"/>
        <v>5.3323651511005821E-4</v>
      </c>
      <c r="S74" s="812">
        <f t="shared" si="21"/>
        <v>725170.38497546792</v>
      </c>
    </row>
    <row r="75" spans="1:19" ht="13.5">
      <c r="A75" s="216">
        <v>18</v>
      </c>
      <c r="B75" s="237">
        <v>43009</v>
      </c>
      <c r="C75" s="237">
        <v>43039</v>
      </c>
      <c r="D75" s="360">
        <v>0.21149999999999999</v>
      </c>
      <c r="E75" s="239">
        <f t="shared" si="18"/>
        <v>55307252.166568175</v>
      </c>
      <c r="F75" s="240">
        <f t="shared" si="19"/>
        <v>31</v>
      </c>
      <c r="G75" s="241">
        <f t="shared" si="22"/>
        <v>5.2577998557690186E-4</v>
      </c>
      <c r="H75" s="241"/>
      <c r="I75" s="242">
        <f t="shared" si="16"/>
        <v>908608.66840147809</v>
      </c>
      <c r="J75" s="241"/>
      <c r="M75" s="800">
        <v>43009</v>
      </c>
      <c r="N75" s="800">
        <v>43039</v>
      </c>
      <c r="O75" s="1129">
        <v>0.21149999999999999</v>
      </c>
      <c r="P75" s="1130">
        <f t="shared" si="17"/>
        <v>45331378.255031615</v>
      </c>
      <c r="Q75" s="1131">
        <f t="shared" si="20"/>
        <v>31</v>
      </c>
      <c r="R75" s="909">
        <f t="shared" si="23"/>
        <v>5.2577998557690186E-4</v>
      </c>
      <c r="S75" s="812">
        <f t="shared" si="21"/>
        <v>738864.27355845983</v>
      </c>
    </row>
    <row r="76" spans="1:19" ht="13.5">
      <c r="A76" s="216">
        <v>19</v>
      </c>
      <c r="B76" s="237">
        <v>43040</v>
      </c>
      <c r="C76" s="237">
        <v>43069</v>
      </c>
      <c r="D76" s="360">
        <f>20.96%*1.5</f>
        <v>0.31440000000000001</v>
      </c>
      <c r="E76" s="239">
        <f t="shared" si="18"/>
        <v>56215860.834969655</v>
      </c>
      <c r="F76" s="240">
        <f t="shared" si="19"/>
        <v>30</v>
      </c>
      <c r="G76" s="241">
        <f t="shared" si="22"/>
        <v>7.4926765057248268E-4</v>
      </c>
      <c r="H76" s="241"/>
      <c r="I76" s="242">
        <f t="shared" si="16"/>
        <v>1277446.7404380376</v>
      </c>
      <c r="J76" s="241"/>
      <c r="M76" s="800">
        <v>43040</v>
      </c>
      <c r="N76" s="800">
        <v>43069</v>
      </c>
      <c r="O76" s="1129">
        <f>20.96%*1.5</f>
        <v>0.31440000000000001</v>
      </c>
      <c r="P76" s="1130">
        <f t="shared" si="17"/>
        <v>45331378.255031615</v>
      </c>
      <c r="Q76" s="1131">
        <f t="shared" si="20"/>
        <v>30</v>
      </c>
      <c r="R76" s="909">
        <f t="shared" si="23"/>
        <v>7.4926765057248268E-4</v>
      </c>
      <c r="S76" s="812">
        <f t="shared" si="21"/>
        <v>1018960.058470802</v>
      </c>
    </row>
    <row r="77" spans="1:19" ht="13.5">
      <c r="A77" s="216">
        <v>20</v>
      </c>
      <c r="B77" s="237">
        <v>43070</v>
      </c>
      <c r="C77" s="237">
        <v>43100</v>
      </c>
      <c r="D77" s="360">
        <v>0.31154999999999999</v>
      </c>
      <c r="E77" s="239">
        <f t="shared" si="18"/>
        <v>57493307.575407691</v>
      </c>
      <c r="F77" s="240">
        <f t="shared" si="19"/>
        <v>31</v>
      </c>
      <c r="G77" s="241">
        <f t="shared" si="22"/>
        <v>7.4331624292400811E-4</v>
      </c>
      <c r="H77" s="241"/>
      <c r="I77" s="242">
        <f t="shared" si="16"/>
        <v>1339684.9408475964</v>
      </c>
      <c r="J77" s="241"/>
      <c r="M77" s="800">
        <v>43070</v>
      </c>
      <c r="N77" s="800">
        <v>43100</v>
      </c>
      <c r="O77" s="1129">
        <v>0.31154999999999999</v>
      </c>
      <c r="P77" s="1130">
        <f t="shared" si="17"/>
        <v>45331378.255031615</v>
      </c>
      <c r="Q77" s="1131">
        <f t="shared" si="20"/>
        <v>31</v>
      </c>
      <c r="R77" s="909">
        <f t="shared" si="23"/>
        <v>7.4331624292400811E-4</v>
      </c>
      <c r="S77" s="812">
        <f t="shared" si="21"/>
        <v>1044562.0429040126</v>
      </c>
    </row>
    <row r="78" spans="1:19" ht="13.5">
      <c r="A78" s="216">
        <v>21</v>
      </c>
      <c r="B78" s="237">
        <v>43101</v>
      </c>
      <c r="C78" s="237">
        <v>43131</v>
      </c>
      <c r="D78" s="360">
        <v>0.31035000000000001</v>
      </c>
      <c r="E78" s="239">
        <f t="shared" si="18"/>
        <v>58832992.516255289</v>
      </c>
      <c r="F78" s="240">
        <f t="shared" si="19"/>
        <v>31</v>
      </c>
      <c r="G78" s="241">
        <f t="shared" si="22"/>
        <v>7.4080652774299871E-4</v>
      </c>
      <c r="H78" s="241"/>
      <c r="I78" s="242">
        <f t="shared" si="16"/>
        <v>1366221.4391600618</v>
      </c>
      <c r="J78" s="241"/>
      <c r="M78" s="800">
        <v>43101</v>
      </c>
      <c r="N78" s="800">
        <v>43131</v>
      </c>
      <c r="O78" s="1129">
        <v>0.31035000000000001</v>
      </c>
      <c r="P78" s="1130">
        <f t="shared" si="17"/>
        <v>45331378.255031615</v>
      </c>
      <c r="Q78" s="1131">
        <f t="shared" si="20"/>
        <v>31</v>
      </c>
      <c r="R78" s="909">
        <f t="shared" si="23"/>
        <v>7.4080652774299871E-4</v>
      </c>
      <c r="S78" s="812">
        <f t="shared" si="21"/>
        <v>1041035.2086103478</v>
      </c>
    </row>
    <row r="79" spans="1:19" ht="13.5">
      <c r="A79" s="216">
        <v>22</v>
      </c>
      <c r="B79" s="237">
        <v>43132</v>
      </c>
      <c r="C79" s="237">
        <v>43159</v>
      </c>
      <c r="D79" s="360">
        <v>0.31515000000000004</v>
      </c>
      <c r="E79" s="239">
        <f t="shared" si="18"/>
        <v>60199213.955415353</v>
      </c>
      <c r="F79" s="240">
        <f t="shared" si="19"/>
        <v>28</v>
      </c>
      <c r="G79" s="241">
        <f t="shared" si="22"/>
        <v>7.5083167162115494E-4</v>
      </c>
      <c r="H79" s="241"/>
      <c r="I79" s="242">
        <f t="shared" si="16"/>
        <v>1278497.4707645378</v>
      </c>
      <c r="J79" s="241"/>
      <c r="M79" s="800">
        <v>43132</v>
      </c>
      <c r="N79" s="800">
        <v>43159</v>
      </c>
      <c r="O79" s="1129">
        <v>0.31515000000000004</v>
      </c>
      <c r="P79" s="1130">
        <f t="shared" si="17"/>
        <v>45331378.255031615</v>
      </c>
      <c r="Q79" s="1131">
        <f t="shared" si="20"/>
        <v>28</v>
      </c>
      <c r="R79" s="909">
        <f t="shared" si="23"/>
        <v>7.5083167162115494E-4</v>
      </c>
      <c r="S79" s="812">
        <f t="shared" si="21"/>
        <v>953014.56633925543</v>
      </c>
    </row>
    <row r="80" spans="1:19" ht="13.5">
      <c r="A80" s="216">
        <v>23</v>
      </c>
      <c r="B80" s="237">
        <v>43160</v>
      </c>
      <c r="C80" s="237">
        <v>43190</v>
      </c>
      <c r="D80" s="360">
        <v>0.31020000000000003</v>
      </c>
      <c r="E80" s="239">
        <f t="shared" si="18"/>
        <v>61477711.426179893</v>
      </c>
      <c r="F80" s="240">
        <f t="shared" si="19"/>
        <v>31</v>
      </c>
      <c r="G80" s="241">
        <f t="shared" si="22"/>
        <v>7.4049265219700011E-4</v>
      </c>
      <c r="H80" s="241"/>
      <c r="I80" s="242">
        <f t="shared" si="16"/>
        <v>1427025.5555230496</v>
      </c>
      <c r="J80" s="241"/>
      <c r="M80" s="800">
        <v>43160</v>
      </c>
      <c r="N80" s="800">
        <v>43190</v>
      </c>
      <c r="O80" s="1129">
        <v>0.31020000000000003</v>
      </c>
      <c r="P80" s="1130">
        <f t="shared" si="17"/>
        <v>45331378.255031615</v>
      </c>
      <c r="Q80" s="1131">
        <f t="shared" si="20"/>
        <v>31</v>
      </c>
      <c r="R80" s="909">
        <f t="shared" si="23"/>
        <v>7.4049265219700011E-4</v>
      </c>
      <c r="S80" s="812">
        <f t="shared" si="21"/>
        <v>1040594.1278662272</v>
      </c>
    </row>
    <row r="81" spans="1:19" ht="13.5">
      <c r="A81" s="216">
        <v>24</v>
      </c>
      <c r="B81" s="237">
        <v>43191</v>
      </c>
      <c r="C81" s="237">
        <v>43220</v>
      </c>
      <c r="D81" s="360">
        <v>0.30720000000000003</v>
      </c>
      <c r="E81" s="239">
        <f t="shared" si="18"/>
        <v>62904736.981702946</v>
      </c>
      <c r="F81" s="240">
        <f t="shared" si="19"/>
        <v>30</v>
      </c>
      <c r="G81" s="241">
        <f t="shared" si="22"/>
        <v>7.34207604366377E-4</v>
      </c>
      <c r="H81" s="241"/>
      <c r="I81" s="242">
        <f t="shared" si="16"/>
        <v>1400406.2933572358</v>
      </c>
      <c r="J81" s="241"/>
      <c r="M81" s="800">
        <v>43191</v>
      </c>
      <c r="N81" s="800">
        <v>43220</v>
      </c>
      <c r="O81" s="1129">
        <v>0.30720000000000003</v>
      </c>
      <c r="P81" s="1130">
        <f t="shared" si="17"/>
        <v>45331378.255031615</v>
      </c>
      <c r="Q81" s="1131">
        <f t="shared" si="20"/>
        <v>30</v>
      </c>
      <c r="R81" s="909">
        <f t="shared" si="23"/>
        <v>7.34207604366377E-4</v>
      </c>
      <c r="S81" s="812">
        <f t="shared" si="21"/>
        <v>998479.27893758519</v>
      </c>
    </row>
    <row r="82" spans="1:19" ht="13.5">
      <c r="A82" s="216">
        <v>25</v>
      </c>
      <c r="B82" s="237">
        <v>43221</v>
      </c>
      <c r="C82" s="237">
        <v>43251</v>
      </c>
      <c r="D82" s="360">
        <v>0.30659999999999998</v>
      </c>
      <c r="E82" s="239">
        <f t="shared" si="18"/>
        <v>64305143.275060184</v>
      </c>
      <c r="F82" s="240">
        <f t="shared" si="19"/>
        <v>31</v>
      </c>
      <c r="G82" s="241">
        <f t="shared" si="22"/>
        <v>7.3294886878794152E-4</v>
      </c>
      <c r="H82" s="241"/>
      <c r="I82" s="242">
        <f t="shared" si="16"/>
        <v>1477281.9592281559</v>
      </c>
      <c r="J82" s="241"/>
      <c r="M82" s="800">
        <v>43221</v>
      </c>
      <c r="N82" s="800">
        <v>43251</v>
      </c>
      <c r="O82" s="1129">
        <v>0.30659999999999998</v>
      </c>
      <c r="P82" s="1130">
        <f t="shared" si="17"/>
        <v>45331378.255031615</v>
      </c>
      <c r="Q82" s="1131">
        <f t="shared" si="20"/>
        <v>31</v>
      </c>
      <c r="R82" s="909">
        <f t="shared" si="23"/>
        <v>7.3294886878794152E-4</v>
      </c>
      <c r="S82" s="812">
        <f t="shared" si="21"/>
        <v>1029993.0547913351</v>
      </c>
    </row>
    <row r="83" spans="1:19" ht="13.5">
      <c r="A83" s="216">
        <v>26</v>
      </c>
      <c r="B83" s="237">
        <v>43252</v>
      </c>
      <c r="C83" s="237">
        <v>43281</v>
      </c>
      <c r="D83" s="360">
        <v>0.30420000000000003</v>
      </c>
      <c r="E83" s="239">
        <f t="shared" si="18"/>
        <v>65782425.234288342</v>
      </c>
      <c r="F83" s="240">
        <f t="shared" si="19"/>
        <v>30</v>
      </c>
      <c r="G83" s="241">
        <f t="shared" si="22"/>
        <v>7.2790815549184096E-4</v>
      </c>
      <c r="H83" s="241"/>
      <c r="I83" s="242">
        <f t="shared" si="16"/>
        <v>1451772.2831892243</v>
      </c>
      <c r="J83" s="241"/>
      <c r="M83" s="800">
        <v>43252</v>
      </c>
      <c r="N83" s="800">
        <v>43281</v>
      </c>
      <c r="O83" s="1129">
        <v>0.30420000000000003</v>
      </c>
      <c r="P83" s="1130">
        <f t="shared" si="17"/>
        <v>45331378.255031615</v>
      </c>
      <c r="Q83" s="1131">
        <f t="shared" si="20"/>
        <v>30</v>
      </c>
      <c r="R83" s="909">
        <f t="shared" si="23"/>
        <v>7.2790815549184096E-4</v>
      </c>
      <c r="S83" s="812">
        <f t="shared" si="21"/>
        <v>989912.39794569043</v>
      </c>
    </row>
    <row r="84" spans="1:19" ht="13.5">
      <c r="A84" s="216">
        <v>27</v>
      </c>
      <c r="B84" s="237">
        <v>43282</v>
      </c>
      <c r="C84" s="237">
        <v>43312</v>
      </c>
      <c r="D84" s="360">
        <v>0.30044999999999999</v>
      </c>
      <c r="E84" s="239">
        <f t="shared" si="18"/>
        <v>67234197.517477572</v>
      </c>
      <c r="F84" s="240">
        <f t="shared" si="19"/>
        <v>31</v>
      </c>
      <c r="G84" s="241">
        <f t="shared" si="22"/>
        <v>7.2001349197825526E-4</v>
      </c>
      <c r="H84" s="241"/>
      <c r="I84" s="242">
        <f t="shared" si="16"/>
        <v>1517016.6027972775</v>
      </c>
      <c r="J84" s="241"/>
      <c r="M84" s="800">
        <v>43282</v>
      </c>
      <c r="N84" s="800">
        <v>43312</v>
      </c>
      <c r="O84" s="1129">
        <v>0.30044999999999999</v>
      </c>
      <c r="P84" s="1130">
        <f t="shared" si="17"/>
        <v>45331378.255031615</v>
      </c>
      <c r="Q84" s="1131">
        <f t="shared" si="20"/>
        <v>31</v>
      </c>
      <c r="R84" s="909">
        <f t="shared" si="23"/>
        <v>7.2001349197825526E-4</v>
      </c>
      <c r="S84" s="812">
        <f t="shared" si="21"/>
        <v>1011815.3225613664</v>
      </c>
    </row>
    <row r="85" spans="1:19" ht="13.5">
      <c r="A85" s="216">
        <v>28</v>
      </c>
      <c r="B85" s="237">
        <v>43313</v>
      </c>
      <c r="C85" s="237">
        <v>43343</v>
      </c>
      <c r="D85" s="360">
        <v>0.29909999999999998</v>
      </c>
      <c r="E85" s="239">
        <f t="shared" si="18"/>
        <v>68751214.120274857</v>
      </c>
      <c r="F85" s="240">
        <f t="shared" si="19"/>
        <v>31</v>
      </c>
      <c r="G85" s="241">
        <f t="shared" si="22"/>
        <v>7.1716585429704161E-4</v>
      </c>
      <c r="H85" s="241"/>
      <c r="I85" s="242">
        <f t="shared" si="16"/>
        <v>1545043.9617555633</v>
      </c>
      <c r="J85" s="241"/>
      <c r="M85" s="800">
        <v>43313</v>
      </c>
      <c r="N85" s="800">
        <v>43343</v>
      </c>
      <c r="O85" s="1129">
        <v>0.29909999999999998</v>
      </c>
      <c r="P85" s="1130">
        <f t="shared" si="17"/>
        <v>45331378.255031615</v>
      </c>
      <c r="Q85" s="1131">
        <f t="shared" si="20"/>
        <v>31</v>
      </c>
      <c r="R85" s="909">
        <f t="shared" si="23"/>
        <v>7.1716585429704161E-4</v>
      </c>
      <c r="S85" s="812">
        <f t="shared" si="21"/>
        <v>1007813.6149946946</v>
      </c>
    </row>
    <row r="86" spans="1:19" ht="13.5">
      <c r="A86" s="216">
        <v>29</v>
      </c>
      <c r="B86" s="237">
        <v>43344</v>
      </c>
      <c r="C86" s="237">
        <v>43373</v>
      </c>
      <c r="D86" s="360">
        <v>0.29715000000000003</v>
      </c>
      <c r="E86" s="239">
        <f t="shared" si="18"/>
        <v>70296258.082030416</v>
      </c>
      <c r="F86" s="240">
        <f t="shared" si="19"/>
        <v>30</v>
      </c>
      <c r="G86" s="241">
        <f t="shared" si="22"/>
        <v>7.1304738558919389E-4</v>
      </c>
      <c r="H86" s="241"/>
      <c r="I86" s="242">
        <f t="shared" si="16"/>
        <v>1519388.2779306634</v>
      </c>
      <c r="J86" s="241"/>
      <c r="M86" s="800">
        <v>43344</v>
      </c>
      <c r="N86" s="800">
        <v>43373</v>
      </c>
      <c r="O86" s="1129">
        <v>0.29715000000000003</v>
      </c>
      <c r="P86" s="1130">
        <f t="shared" si="17"/>
        <v>45331378.255031615</v>
      </c>
      <c r="Q86" s="1131">
        <f t="shared" si="20"/>
        <v>30</v>
      </c>
      <c r="R86" s="909">
        <f t="shared" si="23"/>
        <v>7.1304738558919389E-4</v>
      </c>
      <c r="S86" s="812">
        <f t="shared" si="21"/>
        <v>969702.62249715393</v>
      </c>
    </row>
    <row r="87" spans="1:19" ht="13.5">
      <c r="A87" s="216">
        <v>30</v>
      </c>
      <c r="B87" s="237">
        <v>43374</v>
      </c>
      <c r="C87" s="237">
        <v>43404</v>
      </c>
      <c r="D87" s="360">
        <v>0.29444999999999999</v>
      </c>
      <c r="E87" s="239">
        <f t="shared" si="18"/>
        <v>71815646.359961078</v>
      </c>
      <c r="F87" s="240">
        <f t="shared" si="19"/>
        <v>31</v>
      </c>
      <c r="G87" s="241">
        <f t="shared" si="22"/>
        <v>7.073346857742191E-4</v>
      </c>
      <c r="H87" s="241"/>
      <c r="I87" s="242">
        <f t="shared" si="16"/>
        <v>1591551.3391300519</v>
      </c>
      <c r="J87" s="241"/>
      <c r="M87" s="800">
        <v>43374</v>
      </c>
      <c r="N87" s="800">
        <v>43404</v>
      </c>
      <c r="O87" s="1129">
        <v>0.29444999999999999</v>
      </c>
      <c r="P87" s="1130">
        <f t="shared" si="17"/>
        <v>45331378.255031615</v>
      </c>
      <c r="Q87" s="1131">
        <f t="shared" si="20"/>
        <v>31</v>
      </c>
      <c r="R87" s="909">
        <f t="shared" si="23"/>
        <v>7.073346857742191E-4</v>
      </c>
      <c r="S87" s="812">
        <f t="shared" si="21"/>
        <v>993998.14200578677</v>
      </c>
    </row>
    <row r="88" spans="1:19" ht="13.5">
      <c r="A88" s="216">
        <v>31</v>
      </c>
      <c r="B88" s="237">
        <v>43405</v>
      </c>
      <c r="C88" s="237">
        <v>43434</v>
      </c>
      <c r="D88" s="360">
        <v>0.29235</v>
      </c>
      <c r="E88" s="239">
        <f t="shared" si="18"/>
        <v>73407197.699091136</v>
      </c>
      <c r="F88" s="240">
        <f t="shared" si="19"/>
        <v>30</v>
      </c>
      <c r="G88" s="241">
        <f t="shared" si="22"/>
        <v>7.0288325333756063E-4</v>
      </c>
      <c r="H88" s="241"/>
      <c r="I88" s="242">
        <f t="shared" si="16"/>
        <v>1563780.5901592227</v>
      </c>
      <c r="J88" s="241"/>
      <c r="M88" s="800">
        <v>43405</v>
      </c>
      <c r="N88" s="800">
        <v>43434</v>
      </c>
      <c r="O88" s="1129">
        <v>0.29235</v>
      </c>
      <c r="P88" s="1130">
        <f t="shared" si="17"/>
        <v>45331378.255031615</v>
      </c>
      <c r="Q88" s="1131">
        <f t="shared" si="20"/>
        <v>30</v>
      </c>
      <c r="R88" s="909">
        <f t="shared" si="23"/>
        <v>7.0288325333756063E-4</v>
      </c>
      <c r="S88" s="812">
        <f t="shared" si="21"/>
        <v>955879.99878516525</v>
      </c>
    </row>
    <row r="89" spans="1:19" ht="13.5">
      <c r="A89" s="216">
        <v>32</v>
      </c>
      <c r="B89" s="237">
        <v>43435</v>
      </c>
      <c r="C89" s="237">
        <v>43465</v>
      </c>
      <c r="D89" s="360">
        <v>0.29100000000000004</v>
      </c>
      <c r="E89" s="239">
        <f t="shared" si="18"/>
        <v>74970978.289250359</v>
      </c>
      <c r="F89" s="240">
        <f t="shared" si="19"/>
        <v>31</v>
      </c>
      <c r="G89" s="241">
        <f t="shared" si="22"/>
        <v>7.0001780740103214E-4</v>
      </c>
      <c r="H89" s="241"/>
      <c r="I89" s="242">
        <f t="shared" si="16"/>
        <v>1644110.7881310456</v>
      </c>
      <c r="J89" s="241"/>
      <c r="M89" s="800">
        <v>43435</v>
      </c>
      <c r="N89" s="800">
        <v>43465</v>
      </c>
      <c r="O89" s="1129">
        <v>0.29100000000000004</v>
      </c>
      <c r="P89" s="1130">
        <f t="shared" si="17"/>
        <v>45331378.255031615</v>
      </c>
      <c r="Q89" s="1131">
        <f t="shared" si="20"/>
        <v>31</v>
      </c>
      <c r="R89" s="909">
        <f t="shared" si="23"/>
        <v>7.0001780740103214E-4</v>
      </c>
      <c r="S89" s="812">
        <f t="shared" si="21"/>
        <v>983715.93238917587</v>
      </c>
    </row>
    <row r="90" spans="1:19" ht="13.5">
      <c r="A90" s="216">
        <v>33</v>
      </c>
      <c r="B90" s="237">
        <v>43466</v>
      </c>
      <c r="C90" s="237">
        <v>43496</v>
      </c>
      <c r="D90" s="360">
        <v>0.28739999999999999</v>
      </c>
      <c r="E90" s="239">
        <f t="shared" si="18"/>
        <v>76615089.077381402</v>
      </c>
      <c r="F90" s="240">
        <f t="shared" si="19"/>
        <v>31</v>
      </c>
      <c r="G90" s="241">
        <f t="shared" si="22"/>
        <v>6.9236198468725085E-4</v>
      </c>
      <c r="H90" s="241"/>
      <c r="I90" s="242">
        <f t="shared" ref="I90:I122" si="24">E90*(((1+G90)^F90)-1)</f>
        <v>1661599.3539621811</v>
      </c>
      <c r="J90" s="241"/>
      <c r="M90" s="800">
        <v>43466</v>
      </c>
      <c r="N90" s="800">
        <v>43496</v>
      </c>
      <c r="O90" s="1129">
        <v>0.28739999999999999</v>
      </c>
      <c r="P90" s="1130">
        <f t="shared" ref="P90:P125" si="25">+$N$56</f>
        <v>45331378.255031615</v>
      </c>
      <c r="Q90" s="1131">
        <f t="shared" si="20"/>
        <v>31</v>
      </c>
      <c r="R90" s="909">
        <f t="shared" si="23"/>
        <v>6.9236198468725085E-4</v>
      </c>
      <c r="S90" s="812">
        <f t="shared" si="21"/>
        <v>972957.41353512742</v>
      </c>
    </row>
    <row r="91" spans="1:19" ht="13.5">
      <c r="A91" s="216">
        <v>34</v>
      </c>
      <c r="B91" s="237">
        <v>43497</v>
      </c>
      <c r="C91" s="237">
        <v>43524</v>
      </c>
      <c r="D91" s="360">
        <v>0.29549999999999998</v>
      </c>
      <c r="E91" s="239">
        <f t="shared" ref="E91:E122" si="26">+E90+I90</f>
        <v>78276688.431343585</v>
      </c>
      <c r="F91" s="240">
        <f t="shared" si="19"/>
        <v>28</v>
      </c>
      <c r="G91" s="241">
        <f t="shared" si="22"/>
        <v>7.0955770203506852E-4</v>
      </c>
      <c r="H91" s="241"/>
      <c r="I91" s="242">
        <f t="shared" si="24"/>
        <v>1570160.2072032143</v>
      </c>
      <c r="J91" s="241"/>
      <c r="M91" s="800">
        <v>43497</v>
      </c>
      <c r="N91" s="800">
        <v>43524</v>
      </c>
      <c r="O91" s="1129">
        <v>0.29549999999999998</v>
      </c>
      <c r="P91" s="1130">
        <f t="shared" si="25"/>
        <v>45331378.255031615</v>
      </c>
      <c r="Q91" s="1131">
        <f t="shared" si="20"/>
        <v>28</v>
      </c>
      <c r="R91" s="909">
        <f t="shared" si="23"/>
        <v>7.0955770203506852E-4</v>
      </c>
      <c r="S91" s="812">
        <f t="shared" si="21"/>
        <v>900626.40037223592</v>
      </c>
    </row>
    <row r="92" spans="1:19" ht="13.5">
      <c r="A92" s="216">
        <v>35</v>
      </c>
      <c r="B92" s="237">
        <v>43525</v>
      </c>
      <c r="C92" s="237">
        <v>43555</v>
      </c>
      <c r="D92" s="360">
        <v>0.29055000000000003</v>
      </c>
      <c r="E92" s="239">
        <f t="shared" si="26"/>
        <v>79846848.638546795</v>
      </c>
      <c r="F92" s="240">
        <f t="shared" si="19"/>
        <v>31</v>
      </c>
      <c r="G92" s="241">
        <f t="shared" si="22"/>
        <v>6.9906199467517638E-4</v>
      </c>
      <c r="H92" s="241"/>
      <c r="I92" s="242">
        <f t="shared" si="24"/>
        <v>1748622.4096572797</v>
      </c>
      <c r="J92" s="241"/>
      <c r="M92" s="800">
        <v>43525</v>
      </c>
      <c r="N92" s="800">
        <v>43555</v>
      </c>
      <c r="O92" s="1129">
        <v>0.29055000000000003</v>
      </c>
      <c r="P92" s="1130">
        <f t="shared" si="25"/>
        <v>45331378.255031615</v>
      </c>
      <c r="Q92" s="1131">
        <f t="shared" si="20"/>
        <v>31</v>
      </c>
      <c r="R92" s="909">
        <f t="shared" si="23"/>
        <v>6.9906199467517638E-4</v>
      </c>
      <c r="S92" s="812">
        <f t="shared" si="21"/>
        <v>982372.75483445683</v>
      </c>
    </row>
    <row r="93" spans="1:19" ht="13.5">
      <c r="A93" s="216">
        <v>36</v>
      </c>
      <c r="B93" s="237">
        <v>43556</v>
      </c>
      <c r="C93" s="237">
        <v>43585</v>
      </c>
      <c r="D93" s="360">
        <v>0.2898</v>
      </c>
      <c r="E93" s="239">
        <f t="shared" si="26"/>
        <v>81595471.048204079</v>
      </c>
      <c r="F93" s="240">
        <f t="shared" si="19"/>
        <v>30</v>
      </c>
      <c r="G93" s="241">
        <f t="shared" si="22"/>
        <v>6.9746823462724095E-4</v>
      </c>
      <c r="H93" s="241"/>
      <c r="I93" s="242">
        <f t="shared" si="24"/>
        <v>1724686.8998071174</v>
      </c>
      <c r="J93" s="241"/>
      <c r="M93" s="800">
        <v>43556</v>
      </c>
      <c r="N93" s="800">
        <v>43585</v>
      </c>
      <c r="O93" s="1129">
        <v>0.2898</v>
      </c>
      <c r="P93" s="1130">
        <f t="shared" si="25"/>
        <v>45331378.255031615</v>
      </c>
      <c r="Q93" s="1131">
        <f t="shared" si="20"/>
        <v>30</v>
      </c>
      <c r="R93" s="909">
        <f t="shared" si="23"/>
        <v>6.9746823462724095E-4</v>
      </c>
      <c r="S93" s="812">
        <f t="shared" si="21"/>
        <v>948515.890942698</v>
      </c>
    </row>
    <row r="94" spans="1:19" ht="13.5">
      <c r="A94" s="216">
        <v>37</v>
      </c>
      <c r="B94" s="237">
        <v>43586</v>
      </c>
      <c r="C94" s="237">
        <v>43616</v>
      </c>
      <c r="D94" s="360">
        <v>0.29009999999999997</v>
      </c>
      <c r="E94" s="239">
        <f t="shared" si="26"/>
        <v>83320157.94801119</v>
      </c>
      <c r="F94" s="240">
        <f t="shared" si="19"/>
        <v>31</v>
      </c>
      <c r="G94" s="241">
        <f t="shared" si="22"/>
        <v>6.9810584952367805E-4</v>
      </c>
      <c r="H94" s="241"/>
      <c r="I94" s="242">
        <f t="shared" si="24"/>
        <v>1822164.9214213076</v>
      </c>
      <c r="J94" s="241"/>
      <c r="M94" s="800">
        <v>43586</v>
      </c>
      <c r="N94" s="800">
        <v>43616</v>
      </c>
      <c r="O94" s="1129">
        <v>0.29009999999999997</v>
      </c>
      <c r="P94" s="1130">
        <f t="shared" si="25"/>
        <v>45331378.255031615</v>
      </c>
      <c r="Q94" s="1131">
        <f t="shared" si="20"/>
        <v>31</v>
      </c>
      <c r="R94" s="909">
        <f t="shared" si="23"/>
        <v>6.9810584952367805E-4</v>
      </c>
      <c r="S94" s="812">
        <f t="shared" si="21"/>
        <v>981029.11013104906</v>
      </c>
    </row>
    <row r="95" spans="1:19" ht="13.5">
      <c r="A95" s="216">
        <v>38</v>
      </c>
      <c r="B95" s="237">
        <v>43617</v>
      </c>
      <c r="C95" s="237">
        <v>43646</v>
      </c>
      <c r="D95" s="360">
        <v>0.28949999999999998</v>
      </c>
      <c r="E95" s="239">
        <f t="shared" si="26"/>
        <v>85142322.869432494</v>
      </c>
      <c r="F95" s="240">
        <f t="shared" si="19"/>
        <v>30</v>
      </c>
      <c r="G95" s="241">
        <f t="shared" si="22"/>
        <v>6.9683047181468005E-4</v>
      </c>
      <c r="H95" s="241"/>
      <c r="I95" s="242">
        <f t="shared" si="24"/>
        <v>1797994.5796860454</v>
      </c>
      <c r="J95" s="241"/>
      <c r="M95" s="800">
        <v>43617</v>
      </c>
      <c r="N95" s="800">
        <v>43646</v>
      </c>
      <c r="O95" s="1129">
        <v>0.28949999999999998</v>
      </c>
      <c r="P95" s="1130">
        <f t="shared" si="25"/>
        <v>45331378.255031615</v>
      </c>
      <c r="Q95" s="1131">
        <f t="shared" si="20"/>
        <v>30</v>
      </c>
      <c r="R95" s="909">
        <f t="shared" si="23"/>
        <v>6.9683047181468005E-4</v>
      </c>
      <c r="S95" s="812">
        <f t="shared" si="21"/>
        <v>947648.57092390233</v>
      </c>
    </row>
    <row r="96" spans="1:19" ht="13.5">
      <c r="A96" s="216">
        <v>39</v>
      </c>
      <c r="B96" s="237">
        <v>43647</v>
      </c>
      <c r="C96" s="237">
        <v>43677</v>
      </c>
      <c r="D96" s="360">
        <v>0.28920000000000001</v>
      </c>
      <c r="E96" s="239">
        <f t="shared" si="26"/>
        <v>86940317.44911854</v>
      </c>
      <c r="F96" s="240">
        <f t="shared" si="19"/>
        <v>31</v>
      </c>
      <c r="G96" s="241">
        <f t="shared" si="22"/>
        <v>6.9619256101671745E-4</v>
      </c>
      <c r="H96" s="241"/>
      <c r="I96" s="242">
        <f t="shared" si="24"/>
        <v>1896070.2264239111</v>
      </c>
      <c r="J96" s="241"/>
      <c r="M96" s="800">
        <v>43647</v>
      </c>
      <c r="N96" s="800">
        <v>43677</v>
      </c>
      <c r="O96" s="1129">
        <v>0.28920000000000001</v>
      </c>
      <c r="P96" s="1130">
        <f t="shared" si="25"/>
        <v>45331378.255031615</v>
      </c>
      <c r="Q96" s="1131">
        <f t="shared" si="20"/>
        <v>31</v>
      </c>
      <c r="R96" s="909">
        <f t="shared" si="23"/>
        <v>6.9619256101671745E-4</v>
      </c>
      <c r="S96" s="812">
        <f t="shared" si="21"/>
        <v>978340.41797542793</v>
      </c>
    </row>
    <row r="97" spans="1:19" ht="13.5">
      <c r="A97" s="216">
        <v>40</v>
      </c>
      <c r="B97" s="237">
        <v>43678</v>
      </c>
      <c r="C97" s="237">
        <v>43708</v>
      </c>
      <c r="D97" s="360">
        <v>0.2898</v>
      </c>
      <c r="E97" s="239">
        <f t="shared" si="26"/>
        <v>88836387.675542444</v>
      </c>
      <c r="F97" s="240">
        <f t="shared" si="19"/>
        <v>31</v>
      </c>
      <c r="G97" s="241">
        <f t="shared" si="22"/>
        <v>6.9746823462724095E-4</v>
      </c>
      <c r="H97" s="241"/>
      <c r="I97" s="242">
        <f t="shared" si="24"/>
        <v>1941008.6801993775</v>
      </c>
      <c r="J97" s="241"/>
      <c r="M97" s="800">
        <v>43678</v>
      </c>
      <c r="N97" s="800">
        <v>43708</v>
      </c>
      <c r="O97" s="1129">
        <v>0.2898</v>
      </c>
      <c r="P97" s="1130">
        <f t="shared" si="25"/>
        <v>45331378.255031615</v>
      </c>
      <c r="Q97" s="1131">
        <f t="shared" si="20"/>
        <v>31</v>
      </c>
      <c r="R97" s="909">
        <f t="shared" si="23"/>
        <v>6.9746823462724095E-4</v>
      </c>
      <c r="S97" s="812">
        <f t="shared" si="21"/>
        <v>980133.08730745455</v>
      </c>
    </row>
    <row r="98" spans="1:19" ht="13.5">
      <c r="A98" s="216">
        <v>41</v>
      </c>
      <c r="B98" s="237">
        <v>43709</v>
      </c>
      <c r="C98" s="237">
        <v>43738</v>
      </c>
      <c r="D98" s="360">
        <v>0.2898</v>
      </c>
      <c r="E98" s="239">
        <f t="shared" si="26"/>
        <v>90777396.355741829</v>
      </c>
      <c r="F98" s="240">
        <f t="shared" si="19"/>
        <v>30</v>
      </c>
      <c r="G98" s="241">
        <f t="shared" si="22"/>
        <v>6.9746823462724095E-4</v>
      </c>
      <c r="H98" s="241"/>
      <c r="I98" s="242">
        <f t="shared" si="24"/>
        <v>1918765.6408142303</v>
      </c>
      <c r="J98" s="241"/>
      <c r="M98" s="800">
        <v>43709</v>
      </c>
      <c r="N98" s="800">
        <v>43738</v>
      </c>
      <c r="O98" s="1129">
        <v>0.2898</v>
      </c>
      <c r="P98" s="1130">
        <f t="shared" si="25"/>
        <v>45331378.255031615</v>
      </c>
      <c r="Q98" s="1131">
        <f t="shared" si="20"/>
        <v>30</v>
      </c>
      <c r="R98" s="909">
        <f t="shared" si="23"/>
        <v>6.9746823462724095E-4</v>
      </c>
      <c r="S98" s="812">
        <f t="shared" si="21"/>
        <v>948515.890942698</v>
      </c>
    </row>
    <row r="99" spans="1:19" ht="13.5">
      <c r="A99" s="216">
        <v>42</v>
      </c>
      <c r="B99" s="237">
        <v>43739</v>
      </c>
      <c r="C99" s="237">
        <v>43769</v>
      </c>
      <c r="D99" s="360">
        <v>0.28649999999999998</v>
      </c>
      <c r="E99" s="239">
        <f t="shared" si="26"/>
        <v>92696161.996556059</v>
      </c>
      <c r="F99" s="240">
        <f t="shared" si="19"/>
        <v>31</v>
      </c>
      <c r="G99" s="241">
        <f t="shared" si="22"/>
        <v>6.9044469314105683E-4</v>
      </c>
      <c r="H99" s="241"/>
      <c r="I99" s="242">
        <f t="shared" si="24"/>
        <v>2004734.7157389324</v>
      </c>
      <c r="J99" s="241"/>
      <c r="M99" s="800">
        <v>43739</v>
      </c>
      <c r="N99" s="800">
        <v>43769</v>
      </c>
      <c r="O99" s="1129">
        <v>0.28649999999999998</v>
      </c>
      <c r="P99" s="1130">
        <f t="shared" si="25"/>
        <v>45331378.255031615</v>
      </c>
      <c r="Q99" s="1131">
        <f t="shared" si="20"/>
        <v>31</v>
      </c>
      <c r="R99" s="909">
        <f t="shared" si="23"/>
        <v>6.9044469314105683E-4</v>
      </c>
      <c r="S99" s="812">
        <f t="shared" si="21"/>
        <v>970263.09601765091</v>
      </c>
    </row>
    <row r="100" spans="1:19" ht="13.5">
      <c r="A100" s="216">
        <v>43</v>
      </c>
      <c r="B100" s="237">
        <v>43770</v>
      </c>
      <c r="C100" s="237">
        <v>43799</v>
      </c>
      <c r="D100" s="360">
        <v>0.28544999999999998</v>
      </c>
      <c r="E100" s="239">
        <f t="shared" si="26"/>
        <v>94700896.712294996</v>
      </c>
      <c r="F100" s="240">
        <f t="shared" si="19"/>
        <v>30</v>
      </c>
      <c r="G100" s="241">
        <f t="shared" si="22"/>
        <v>6.8820616169262827E-4</v>
      </c>
      <c r="H100" s="241"/>
      <c r="I100" s="242">
        <f t="shared" si="24"/>
        <v>1974849.1696738449</v>
      </c>
      <c r="J100" s="241"/>
      <c r="M100" s="800">
        <v>43770</v>
      </c>
      <c r="N100" s="800">
        <v>43799</v>
      </c>
      <c r="O100" s="1129">
        <v>0.28544999999999998</v>
      </c>
      <c r="P100" s="1130">
        <f t="shared" si="25"/>
        <v>45331378.255031615</v>
      </c>
      <c r="Q100" s="1131">
        <f t="shared" si="20"/>
        <v>30</v>
      </c>
      <c r="R100" s="909">
        <f t="shared" si="23"/>
        <v>6.8820616169262827E-4</v>
      </c>
      <c r="S100" s="812">
        <f t="shared" si="21"/>
        <v>935920.01499395946</v>
      </c>
    </row>
    <row r="101" spans="1:19" ht="13.5">
      <c r="A101" s="216">
        <v>44</v>
      </c>
      <c r="B101" s="237">
        <v>43800</v>
      </c>
      <c r="C101" s="237">
        <v>43830</v>
      </c>
      <c r="D101" s="360">
        <v>0.28364999999999996</v>
      </c>
      <c r="E101" s="239">
        <f t="shared" si="26"/>
        <v>96675745.881968841</v>
      </c>
      <c r="F101" s="240">
        <f t="shared" si="19"/>
        <v>31</v>
      </c>
      <c r="G101" s="241">
        <f t="shared" si="22"/>
        <v>6.8436443340047504E-4</v>
      </c>
      <c r="H101" s="241"/>
      <c r="I101" s="242">
        <f t="shared" si="24"/>
        <v>2072199.18014748</v>
      </c>
      <c r="J101" s="241"/>
      <c r="M101" s="800">
        <v>43800</v>
      </c>
      <c r="N101" s="800">
        <v>43830</v>
      </c>
      <c r="O101" s="1129">
        <v>0.28364999999999996</v>
      </c>
      <c r="P101" s="1130">
        <f t="shared" si="25"/>
        <v>45331378.255031615</v>
      </c>
      <c r="Q101" s="1131">
        <f t="shared" si="20"/>
        <v>31</v>
      </c>
      <c r="R101" s="909">
        <f t="shared" si="23"/>
        <v>6.8436443340047504E-4</v>
      </c>
      <c r="S101" s="812">
        <f t="shared" si="21"/>
        <v>961718.67283778719</v>
      </c>
    </row>
    <row r="102" spans="1:19" ht="13.5">
      <c r="A102" s="216">
        <v>45</v>
      </c>
      <c r="B102" s="237">
        <v>43831</v>
      </c>
      <c r="C102" s="237">
        <v>43861</v>
      </c>
      <c r="D102" s="360">
        <v>0.28155000000000002</v>
      </c>
      <c r="E102" s="239">
        <f t="shared" si="26"/>
        <v>98747945.062116325</v>
      </c>
      <c r="F102" s="240">
        <f t="shared" si="19"/>
        <v>31</v>
      </c>
      <c r="G102" s="241">
        <f t="shared" si="22"/>
        <v>6.7987562124560696E-4</v>
      </c>
      <c r="H102" s="241"/>
      <c r="I102" s="242">
        <f t="shared" si="24"/>
        <v>2102590.7143011922</v>
      </c>
      <c r="J102" s="241"/>
      <c r="M102" s="800">
        <v>43831</v>
      </c>
      <c r="N102" s="800">
        <v>43861</v>
      </c>
      <c r="O102" s="1129">
        <v>0.28155000000000002</v>
      </c>
      <c r="P102" s="1130">
        <f t="shared" si="25"/>
        <v>45331378.255031615</v>
      </c>
      <c r="Q102" s="1131">
        <f t="shared" si="20"/>
        <v>31</v>
      </c>
      <c r="R102" s="909">
        <f t="shared" si="23"/>
        <v>6.7987562124560696E-4</v>
      </c>
      <c r="S102" s="812">
        <f t="shared" si="21"/>
        <v>955410.66754483583</v>
      </c>
    </row>
    <row r="103" spans="1:19" ht="13.5">
      <c r="A103" s="216">
        <v>46</v>
      </c>
      <c r="B103" s="237">
        <v>43862</v>
      </c>
      <c r="C103" s="237">
        <v>43890</v>
      </c>
      <c r="D103" s="360">
        <v>0.28589999999999999</v>
      </c>
      <c r="E103" s="239">
        <f t="shared" si="26"/>
        <v>100850535.77641752</v>
      </c>
      <c r="F103" s="240">
        <f t="shared" si="19"/>
        <v>29</v>
      </c>
      <c r="G103" s="241">
        <f t="shared" si="22"/>
        <v>6.8916575551658532E-4</v>
      </c>
      <c r="H103" s="241"/>
      <c r="I103" s="242">
        <f t="shared" si="24"/>
        <v>2035147.452140867</v>
      </c>
      <c r="J103" s="241"/>
      <c r="M103" s="800">
        <v>43862</v>
      </c>
      <c r="N103" s="800">
        <v>43890</v>
      </c>
      <c r="O103" s="1129">
        <v>0.28589999999999999</v>
      </c>
      <c r="P103" s="1130">
        <f t="shared" si="25"/>
        <v>45331378.255031615</v>
      </c>
      <c r="Q103" s="1131">
        <f t="shared" si="20"/>
        <v>29</v>
      </c>
      <c r="R103" s="909">
        <f t="shared" si="23"/>
        <v>6.8916575551658532E-4</v>
      </c>
      <c r="S103" s="812">
        <f t="shared" si="21"/>
        <v>905984.17276837223</v>
      </c>
    </row>
    <row r="104" spans="1:19" ht="13.5">
      <c r="A104" s="216">
        <v>47</v>
      </c>
      <c r="B104" s="237">
        <v>43891</v>
      </c>
      <c r="C104" s="237">
        <v>43921</v>
      </c>
      <c r="D104" s="360">
        <v>0.28425</v>
      </c>
      <c r="E104" s="239">
        <f t="shared" si="26"/>
        <v>102885683.22855839</v>
      </c>
      <c r="F104" s="240">
        <f t="shared" si="19"/>
        <v>31</v>
      </c>
      <c r="G104" s="241">
        <f t="shared" si="22"/>
        <v>6.8564560609574166E-4</v>
      </c>
      <c r="H104" s="241"/>
      <c r="I104" s="242">
        <f t="shared" si="24"/>
        <v>2209477.3253358933</v>
      </c>
      <c r="J104" s="241"/>
      <c r="M104" s="800">
        <v>43891</v>
      </c>
      <c r="N104" s="800">
        <v>43921</v>
      </c>
      <c r="O104" s="1129">
        <v>0.28425</v>
      </c>
      <c r="P104" s="1130">
        <f t="shared" si="25"/>
        <v>45331378.255031615</v>
      </c>
      <c r="Q104" s="1131">
        <f t="shared" si="20"/>
        <v>31</v>
      </c>
      <c r="R104" s="909">
        <f t="shared" si="23"/>
        <v>6.8564560609574166E-4</v>
      </c>
      <c r="S104" s="812">
        <f t="shared" si="21"/>
        <v>963519.06988362072</v>
      </c>
    </row>
    <row r="105" spans="1:19" ht="13.5">
      <c r="A105" s="216">
        <v>48</v>
      </c>
      <c r="B105" s="237">
        <v>43922</v>
      </c>
      <c r="C105" s="237">
        <v>43951</v>
      </c>
      <c r="D105" s="360">
        <v>0.28034999999999999</v>
      </c>
      <c r="E105" s="239">
        <f t="shared" si="26"/>
        <v>105095160.55389428</v>
      </c>
      <c r="F105" s="240">
        <f t="shared" si="19"/>
        <v>30</v>
      </c>
      <c r="G105" s="241">
        <f t="shared" si="22"/>
        <v>6.7730729113191224E-4</v>
      </c>
      <c r="H105" s="241"/>
      <c r="I105" s="242">
        <f t="shared" si="24"/>
        <v>2156556.9149331837</v>
      </c>
      <c r="J105" s="241"/>
      <c r="M105" s="800">
        <v>43922</v>
      </c>
      <c r="N105" s="800">
        <v>43951</v>
      </c>
      <c r="O105" s="1129">
        <v>0.28034999999999999</v>
      </c>
      <c r="P105" s="1130">
        <f t="shared" si="25"/>
        <v>45331378.255031615</v>
      </c>
      <c r="Q105" s="1131">
        <f t="shared" si="20"/>
        <v>30</v>
      </c>
      <c r="R105" s="909">
        <f t="shared" si="23"/>
        <v>6.7730729113191224E-4</v>
      </c>
      <c r="S105" s="812">
        <f t="shared" si="21"/>
        <v>921098.19027574605</v>
      </c>
    </row>
    <row r="106" spans="1:19" ht="13.5">
      <c r="A106" s="216">
        <v>49</v>
      </c>
      <c r="B106" s="237">
        <v>43952</v>
      </c>
      <c r="C106" s="237">
        <v>43982</v>
      </c>
      <c r="D106" s="360">
        <v>0.27285000000000004</v>
      </c>
      <c r="E106" s="239">
        <f t="shared" si="26"/>
        <v>107251717.46882747</v>
      </c>
      <c r="F106" s="240">
        <f t="shared" si="19"/>
        <v>31</v>
      </c>
      <c r="G106" s="241">
        <f t="shared" si="22"/>
        <v>6.6120063584418354E-4</v>
      </c>
      <c r="H106" s="241"/>
      <c r="I106" s="242">
        <f t="shared" si="24"/>
        <v>2220305.3987201201</v>
      </c>
      <c r="J106" s="241"/>
      <c r="M106" s="800">
        <v>43952</v>
      </c>
      <c r="N106" s="800">
        <v>43982</v>
      </c>
      <c r="O106" s="1129">
        <v>0.27285000000000004</v>
      </c>
      <c r="P106" s="1130">
        <f t="shared" si="25"/>
        <v>45331378.255031615</v>
      </c>
      <c r="Q106" s="1131">
        <f t="shared" si="20"/>
        <v>31</v>
      </c>
      <c r="R106" s="909">
        <f t="shared" si="23"/>
        <v>6.6120063584418354E-4</v>
      </c>
      <c r="S106" s="812">
        <f t="shared" si="21"/>
        <v>929167.2199035231</v>
      </c>
    </row>
    <row r="107" spans="1:19" ht="13.5">
      <c r="A107" s="216">
        <v>50</v>
      </c>
      <c r="B107" s="237">
        <v>43983</v>
      </c>
      <c r="C107" s="237">
        <v>44012</v>
      </c>
      <c r="D107" s="360">
        <v>0.27179999999999999</v>
      </c>
      <c r="E107" s="239">
        <f t="shared" si="26"/>
        <v>109472022.86754759</v>
      </c>
      <c r="F107" s="240">
        <f t="shared" si="19"/>
        <v>30</v>
      </c>
      <c r="G107" s="241">
        <f t="shared" si="22"/>
        <v>6.5893815469997286E-4</v>
      </c>
      <c r="H107" s="241"/>
      <c r="I107" s="242">
        <f t="shared" si="24"/>
        <v>2184863.2364894585</v>
      </c>
      <c r="J107" s="241"/>
      <c r="M107" s="800">
        <v>43983</v>
      </c>
      <c r="N107" s="800">
        <v>44012</v>
      </c>
      <c r="O107" s="1129">
        <v>0.27179999999999999</v>
      </c>
      <c r="P107" s="1130">
        <f t="shared" si="25"/>
        <v>45331378.255031615</v>
      </c>
      <c r="Q107" s="1131">
        <f t="shared" si="20"/>
        <v>30</v>
      </c>
      <c r="R107" s="909">
        <f t="shared" si="23"/>
        <v>6.5893815469997286E-4</v>
      </c>
      <c r="S107" s="812">
        <f t="shared" si="21"/>
        <v>896117.24212131032</v>
      </c>
    </row>
    <row r="108" spans="1:19" ht="13.5">
      <c r="A108" s="216">
        <v>51</v>
      </c>
      <c r="B108" s="237">
        <v>44013</v>
      </c>
      <c r="C108" s="237">
        <v>44043</v>
      </c>
      <c r="D108" s="360">
        <v>0.27179999999999999</v>
      </c>
      <c r="E108" s="239">
        <f t="shared" si="26"/>
        <v>111656886.10403705</v>
      </c>
      <c r="F108" s="240">
        <f t="shared" si="19"/>
        <v>31</v>
      </c>
      <c r="G108" s="241">
        <f t="shared" si="22"/>
        <v>6.5893815469997286E-4</v>
      </c>
      <c r="H108" s="241"/>
      <c r="I108" s="242">
        <f t="shared" si="24"/>
        <v>2303512.5540210544</v>
      </c>
      <c r="J108" s="241"/>
      <c r="M108" s="800">
        <v>44013</v>
      </c>
      <c r="N108" s="800">
        <v>44043</v>
      </c>
      <c r="O108" s="1129">
        <v>0.27179999999999999</v>
      </c>
      <c r="P108" s="1130">
        <f t="shared" si="25"/>
        <v>45331378.255031615</v>
      </c>
      <c r="Q108" s="1131">
        <f t="shared" si="20"/>
        <v>31</v>
      </c>
      <c r="R108" s="909">
        <f t="shared" si="23"/>
        <v>6.5893815469997286E-4</v>
      </c>
      <c r="S108" s="812">
        <f t="shared" si="21"/>
        <v>925987.81685868732</v>
      </c>
    </row>
    <row r="109" spans="1:19" ht="13.5">
      <c r="A109" s="216">
        <v>52</v>
      </c>
      <c r="B109" s="237">
        <v>44044</v>
      </c>
      <c r="C109" s="237">
        <v>44074</v>
      </c>
      <c r="D109" s="360">
        <v>0.27434999999999998</v>
      </c>
      <c r="E109" s="239">
        <f t="shared" si="26"/>
        <v>113960398.65805811</v>
      </c>
      <c r="F109" s="240">
        <f t="shared" si="19"/>
        <v>31</v>
      </c>
      <c r="G109" s="241">
        <f t="shared" si="22"/>
        <v>6.6442952514544906E-4</v>
      </c>
      <c r="H109" s="241"/>
      <c r="I109" s="242">
        <f t="shared" si="24"/>
        <v>2370823.2321093115</v>
      </c>
      <c r="J109" s="241"/>
      <c r="M109" s="800">
        <v>44044</v>
      </c>
      <c r="N109" s="800">
        <v>44074</v>
      </c>
      <c r="O109" s="1129">
        <v>0.27434999999999998</v>
      </c>
      <c r="P109" s="1130">
        <f t="shared" si="25"/>
        <v>45331378.255031615</v>
      </c>
      <c r="Q109" s="1131">
        <f t="shared" si="20"/>
        <v>31</v>
      </c>
      <c r="R109" s="909">
        <f t="shared" si="23"/>
        <v>6.6442952514544906E-4</v>
      </c>
      <c r="S109" s="812">
        <f t="shared" si="21"/>
        <v>933704.68997356121</v>
      </c>
    </row>
    <row r="110" spans="1:19" ht="13.5">
      <c r="A110" s="216">
        <v>53</v>
      </c>
      <c r="B110" s="237">
        <v>44075</v>
      </c>
      <c r="C110" s="237">
        <v>44104</v>
      </c>
      <c r="D110" s="360">
        <v>0.27524999999999999</v>
      </c>
      <c r="E110" s="239">
        <f t="shared" si="26"/>
        <v>116331221.89016742</v>
      </c>
      <c r="F110" s="240">
        <f t="shared" si="19"/>
        <v>30</v>
      </c>
      <c r="G110" s="241">
        <f t="shared" si="22"/>
        <v>6.6636503991857055E-4</v>
      </c>
      <c r="H110" s="241"/>
      <c r="I110" s="242">
        <f t="shared" si="24"/>
        <v>2348182.5187444468</v>
      </c>
      <c r="J110" s="241"/>
      <c r="M110" s="800">
        <v>44075</v>
      </c>
      <c r="N110" s="800">
        <v>44104</v>
      </c>
      <c r="O110" s="1129">
        <v>0.27524999999999999</v>
      </c>
      <c r="P110" s="1130">
        <f t="shared" si="25"/>
        <v>45331378.255031615</v>
      </c>
      <c r="Q110" s="1131">
        <f t="shared" si="20"/>
        <v>30</v>
      </c>
      <c r="R110" s="909">
        <f t="shared" si="23"/>
        <v>6.6636503991857055E-4</v>
      </c>
      <c r="S110" s="812">
        <f t="shared" si="21"/>
        <v>906217.37041433889</v>
      </c>
    </row>
    <row r="111" spans="1:19" ht="13.5">
      <c r="A111" s="216">
        <v>54</v>
      </c>
      <c r="B111" s="237">
        <v>44105</v>
      </c>
      <c r="C111" s="237">
        <v>44135</v>
      </c>
      <c r="D111" s="360">
        <v>0.27134999999999998</v>
      </c>
      <c r="E111" s="239">
        <f t="shared" si="26"/>
        <v>118679404.40891187</v>
      </c>
      <c r="F111" s="240">
        <f t="shared" si="19"/>
        <v>31</v>
      </c>
      <c r="G111" s="241">
        <f t="shared" si="22"/>
        <v>6.5796794962613703E-4</v>
      </c>
      <c r="H111" s="241"/>
      <c r="I111" s="242">
        <f t="shared" si="24"/>
        <v>2444748.4250993636</v>
      </c>
      <c r="J111" s="241"/>
      <c r="M111" s="800">
        <v>44105</v>
      </c>
      <c r="N111" s="800">
        <v>44135</v>
      </c>
      <c r="O111" s="1129">
        <v>0.27134999999999998</v>
      </c>
      <c r="P111" s="1130">
        <f t="shared" si="25"/>
        <v>45331378.255031615</v>
      </c>
      <c r="Q111" s="1131">
        <f t="shared" si="20"/>
        <v>31</v>
      </c>
      <c r="R111" s="909">
        <f t="shared" si="23"/>
        <v>6.5796794962613703E-4</v>
      </c>
      <c r="S111" s="812">
        <f t="shared" si="21"/>
        <v>924624.41412989015</v>
      </c>
    </row>
    <row r="112" spans="1:19" ht="13.5">
      <c r="A112" s="216">
        <v>55</v>
      </c>
      <c r="B112" s="237">
        <v>44136</v>
      </c>
      <c r="C112" s="237">
        <v>44165</v>
      </c>
      <c r="D112" s="360">
        <v>0.2676</v>
      </c>
      <c r="E112" s="239">
        <f t="shared" si="26"/>
        <v>121124152.83401123</v>
      </c>
      <c r="F112" s="240">
        <f t="shared" si="19"/>
        <v>30</v>
      </c>
      <c r="G112" s="241">
        <f t="shared" si="22"/>
        <v>6.4986956374091243E-4</v>
      </c>
      <c r="H112" s="241"/>
      <c r="I112" s="242">
        <f t="shared" si="24"/>
        <v>2383834.7461182126</v>
      </c>
      <c r="J112" s="241"/>
      <c r="M112" s="800">
        <v>44136</v>
      </c>
      <c r="N112" s="800">
        <v>44165</v>
      </c>
      <c r="O112" s="1129">
        <v>0.2676</v>
      </c>
      <c r="P112" s="1130">
        <f t="shared" si="25"/>
        <v>45331378.255031615</v>
      </c>
      <c r="Q112" s="1131">
        <f t="shared" si="20"/>
        <v>30</v>
      </c>
      <c r="R112" s="909">
        <f t="shared" si="23"/>
        <v>6.4986956374091243E-4</v>
      </c>
      <c r="S112" s="812">
        <f t="shared" si="21"/>
        <v>883784.49031115044</v>
      </c>
    </row>
    <row r="113" spans="1:19" ht="13.5">
      <c r="A113" s="216">
        <v>56</v>
      </c>
      <c r="B113" s="237">
        <v>44166</v>
      </c>
      <c r="C113" s="237">
        <v>44196</v>
      </c>
      <c r="D113" s="360">
        <v>0.26190000000000002</v>
      </c>
      <c r="E113" s="239">
        <f t="shared" si="26"/>
        <v>123507987.58012944</v>
      </c>
      <c r="F113" s="240">
        <f t="shared" si="19"/>
        <v>31</v>
      </c>
      <c r="G113" s="241">
        <f t="shared" si="22"/>
        <v>6.3751414410861962E-4</v>
      </c>
      <c r="H113" s="241"/>
      <c r="I113" s="242">
        <f t="shared" si="24"/>
        <v>2464366.6878455137</v>
      </c>
      <c r="J113" s="241"/>
      <c r="M113" s="800">
        <v>44166</v>
      </c>
      <c r="N113" s="800">
        <v>44196</v>
      </c>
      <c r="O113" s="1129">
        <v>0.26190000000000002</v>
      </c>
      <c r="P113" s="1130">
        <f t="shared" si="25"/>
        <v>45331378.255031615</v>
      </c>
      <c r="Q113" s="1131">
        <f t="shared" si="20"/>
        <v>31</v>
      </c>
      <c r="R113" s="909">
        <f t="shared" si="23"/>
        <v>6.3751414410861962E-4</v>
      </c>
      <c r="S113" s="812">
        <f t="shared" si="21"/>
        <v>895881.23909513769</v>
      </c>
    </row>
    <row r="114" spans="1:19" ht="13.5">
      <c r="A114" s="216">
        <v>57</v>
      </c>
      <c r="B114" s="237">
        <v>44197</v>
      </c>
      <c r="C114" s="237">
        <v>44227</v>
      </c>
      <c r="D114" s="360">
        <v>0.25979999999999998</v>
      </c>
      <c r="E114" s="239">
        <f t="shared" si="26"/>
        <v>125972354.26797496</v>
      </c>
      <c r="F114" s="240">
        <f t="shared" si="19"/>
        <v>31</v>
      </c>
      <c r="G114" s="241">
        <f t="shared" si="22"/>
        <v>6.3294811266723094E-4</v>
      </c>
      <c r="H114" s="241"/>
      <c r="I114" s="242">
        <f t="shared" si="24"/>
        <v>2495364.4735748861</v>
      </c>
      <c r="J114" s="241"/>
      <c r="M114" s="800">
        <v>44197</v>
      </c>
      <c r="N114" s="800">
        <v>44227</v>
      </c>
      <c r="O114" s="1129">
        <v>0.25979999999999998</v>
      </c>
      <c r="P114" s="1130">
        <f t="shared" si="25"/>
        <v>45331378.255031615</v>
      </c>
      <c r="Q114" s="1131">
        <f t="shared" si="20"/>
        <v>31</v>
      </c>
      <c r="R114" s="909">
        <f t="shared" si="23"/>
        <v>6.3294811266723094E-4</v>
      </c>
      <c r="S114" s="812">
        <f t="shared" si="21"/>
        <v>889464.71964492509</v>
      </c>
    </row>
    <row r="115" spans="1:19" ht="13.5">
      <c r="A115" s="216">
        <v>58</v>
      </c>
      <c r="B115" s="237">
        <v>44228</v>
      </c>
      <c r="C115" s="237">
        <v>44255</v>
      </c>
      <c r="D115" s="360">
        <v>0.2631</v>
      </c>
      <c r="E115" s="239">
        <f t="shared" si="26"/>
        <v>128467718.74154985</v>
      </c>
      <c r="F115" s="240">
        <f t="shared" si="19"/>
        <v>28</v>
      </c>
      <c r="G115" s="241">
        <f t="shared" si="22"/>
        <v>6.4011990387169426E-4</v>
      </c>
      <c r="H115" s="241"/>
      <c r="I115" s="242">
        <f t="shared" si="24"/>
        <v>2322581.6129977312</v>
      </c>
      <c r="J115" s="241"/>
      <c r="M115" s="800">
        <v>44228</v>
      </c>
      <c r="N115" s="800">
        <v>44255</v>
      </c>
      <c r="O115" s="1129">
        <v>0.2631</v>
      </c>
      <c r="P115" s="1130">
        <f t="shared" si="25"/>
        <v>45331378.255031615</v>
      </c>
      <c r="Q115" s="1131">
        <f t="shared" si="20"/>
        <v>28</v>
      </c>
      <c r="R115" s="909">
        <f t="shared" si="23"/>
        <v>6.4011990387169426E-4</v>
      </c>
      <c r="S115" s="812">
        <f t="shared" si="21"/>
        <v>812490.48974750307</v>
      </c>
    </row>
    <row r="116" spans="1:19" ht="13.5">
      <c r="A116" s="216">
        <v>59</v>
      </c>
      <c r="B116" s="237">
        <v>44256</v>
      </c>
      <c r="C116" s="237">
        <v>44286</v>
      </c>
      <c r="D116" s="360">
        <v>0.26114999999999999</v>
      </c>
      <c r="E116" s="239">
        <f t="shared" si="26"/>
        <v>130790300.35454758</v>
      </c>
      <c r="F116" s="240">
        <f t="shared" si="19"/>
        <v>31</v>
      </c>
      <c r="G116" s="241">
        <f t="shared" si="22"/>
        <v>6.3588428907812578E-4</v>
      </c>
      <c r="H116" s="241"/>
      <c r="I116" s="242">
        <f t="shared" si="24"/>
        <v>2602935.7287516273</v>
      </c>
      <c r="J116" s="241"/>
      <c r="M116" s="800">
        <v>44256</v>
      </c>
      <c r="N116" s="800">
        <v>44286</v>
      </c>
      <c r="O116" s="1129">
        <v>0.26114999999999999</v>
      </c>
      <c r="P116" s="1130">
        <f t="shared" si="25"/>
        <v>45331378.255031615</v>
      </c>
      <c r="Q116" s="1131">
        <f t="shared" si="20"/>
        <v>31</v>
      </c>
      <c r="R116" s="909">
        <f t="shared" si="23"/>
        <v>6.3588428907812578E-4</v>
      </c>
      <c r="S116" s="812">
        <f t="shared" si="21"/>
        <v>893590.84827360406</v>
      </c>
    </row>
    <row r="117" spans="1:19" ht="13.5">
      <c r="A117" s="216">
        <v>60</v>
      </c>
      <c r="B117" s="237">
        <v>44287</v>
      </c>
      <c r="C117" s="237">
        <v>44316</v>
      </c>
      <c r="D117" s="360">
        <v>0.25964999999999999</v>
      </c>
      <c r="E117" s="239">
        <f t="shared" si="26"/>
        <v>133393236.0832992</v>
      </c>
      <c r="F117" s="240">
        <f t="shared" si="19"/>
        <v>30</v>
      </c>
      <c r="G117" s="241">
        <f t="shared" si="22"/>
        <v>6.326216771728177E-4</v>
      </c>
      <c r="H117" s="241"/>
      <c r="I117" s="242">
        <f t="shared" si="24"/>
        <v>2554983.9060884723</v>
      </c>
      <c r="J117" s="241"/>
      <c r="M117" s="800">
        <v>44287</v>
      </c>
      <c r="N117" s="800">
        <v>44316</v>
      </c>
      <c r="O117" s="1129">
        <v>0.25964999999999999</v>
      </c>
      <c r="P117" s="1130">
        <f t="shared" si="25"/>
        <v>45331378.255031615</v>
      </c>
      <c r="Q117" s="1131">
        <f t="shared" si="20"/>
        <v>30</v>
      </c>
      <c r="R117" s="909">
        <f t="shared" si="23"/>
        <v>6.326216771728177E-4</v>
      </c>
      <c r="S117" s="812">
        <f t="shared" si="21"/>
        <v>860328.376207605</v>
      </c>
    </row>
    <row r="118" spans="1:19" ht="13.5">
      <c r="A118" s="216">
        <v>61</v>
      </c>
      <c r="B118" s="237">
        <v>44317</v>
      </c>
      <c r="C118" s="237">
        <v>44347</v>
      </c>
      <c r="D118" s="360">
        <v>0.25829999999999997</v>
      </c>
      <c r="E118" s="239">
        <f t="shared" si="26"/>
        <v>135948219.98938769</v>
      </c>
      <c r="F118" s="240">
        <f t="shared" si="19"/>
        <v>31</v>
      </c>
      <c r="G118" s="241">
        <f t="shared" si="22"/>
        <v>6.2968201205726437E-4</v>
      </c>
      <c r="H118" s="241"/>
      <c r="I118" s="242">
        <f t="shared" si="24"/>
        <v>2678946.9312689607</v>
      </c>
      <c r="J118" s="241"/>
      <c r="M118" s="800">
        <v>44317</v>
      </c>
      <c r="N118" s="800">
        <v>44347</v>
      </c>
      <c r="O118" s="1129">
        <v>0.25829999999999997</v>
      </c>
      <c r="P118" s="1130">
        <f t="shared" si="25"/>
        <v>45331378.255031615</v>
      </c>
      <c r="Q118" s="1131">
        <f t="shared" si="20"/>
        <v>31</v>
      </c>
      <c r="R118" s="909">
        <f t="shared" si="23"/>
        <v>6.2968201205726437E-4</v>
      </c>
      <c r="S118" s="812">
        <f t="shared" si="21"/>
        <v>884874.95753767411</v>
      </c>
    </row>
    <row r="119" spans="1:19" ht="13.5">
      <c r="A119" s="216">
        <v>62</v>
      </c>
      <c r="B119" s="237">
        <v>44348</v>
      </c>
      <c r="C119" s="237">
        <v>44377</v>
      </c>
      <c r="D119" s="361">
        <v>0.25814999999999999</v>
      </c>
      <c r="E119" s="239">
        <f t="shared" si="26"/>
        <v>138627166.92065665</v>
      </c>
      <c r="F119" s="240">
        <f t="shared" si="19"/>
        <v>30</v>
      </c>
      <c r="G119" s="241">
        <f t="shared" si="22"/>
        <v>6.2935518846773952E-4</v>
      </c>
      <c r="H119" s="241"/>
      <c r="I119" s="242">
        <f t="shared" si="24"/>
        <v>2641397.9218465588</v>
      </c>
      <c r="J119" s="241"/>
      <c r="M119" s="800">
        <v>44348</v>
      </c>
      <c r="N119" s="800">
        <v>44377</v>
      </c>
      <c r="O119" s="1120">
        <v>0.25814999999999999</v>
      </c>
      <c r="P119" s="1130">
        <f t="shared" si="25"/>
        <v>45331378.255031615</v>
      </c>
      <c r="Q119" s="1131">
        <f t="shared" si="20"/>
        <v>30</v>
      </c>
      <c r="R119" s="909">
        <f t="shared" si="23"/>
        <v>6.2935518846773952E-4</v>
      </c>
      <c r="S119" s="812">
        <f t="shared" si="21"/>
        <v>855886.14315593441</v>
      </c>
    </row>
    <row r="120" spans="1:19" ht="13.5">
      <c r="A120" s="216">
        <v>63</v>
      </c>
      <c r="B120" s="237">
        <v>44378</v>
      </c>
      <c r="C120" s="237">
        <v>44408</v>
      </c>
      <c r="D120" s="361">
        <f>17.18%*1.5</f>
        <v>0.25770000000000004</v>
      </c>
      <c r="E120" s="239">
        <f t="shared" si="26"/>
        <v>141268564.84250322</v>
      </c>
      <c r="F120" s="240">
        <f t="shared" si="19"/>
        <v>31</v>
      </c>
      <c r="G120" s="241">
        <f t="shared" si="22"/>
        <v>6.2837448450037137E-4</v>
      </c>
      <c r="H120" s="241"/>
      <c r="I120" s="242">
        <f t="shared" si="24"/>
        <v>2777952.6050705826</v>
      </c>
      <c r="J120" s="241"/>
      <c r="M120" s="800">
        <v>44378</v>
      </c>
      <c r="N120" s="800">
        <v>44408</v>
      </c>
      <c r="O120" s="1120">
        <f>17.18%*1.5</f>
        <v>0.25770000000000004</v>
      </c>
      <c r="P120" s="1130">
        <f t="shared" si="25"/>
        <v>45331378.255031615</v>
      </c>
      <c r="Q120" s="1131">
        <f t="shared" si="20"/>
        <v>31</v>
      </c>
      <c r="R120" s="909">
        <f t="shared" si="23"/>
        <v>6.2837448450037137E-4</v>
      </c>
      <c r="S120" s="812">
        <f t="shared" si="21"/>
        <v>883037.52472360188</v>
      </c>
    </row>
    <row r="121" spans="1:19" ht="13.5">
      <c r="A121" s="216">
        <v>64</v>
      </c>
      <c r="B121" s="237">
        <v>44409</v>
      </c>
      <c r="C121" s="237">
        <v>44439</v>
      </c>
      <c r="D121" s="361">
        <f>17.24*1.5%</f>
        <v>0.25859999999999994</v>
      </c>
      <c r="E121" s="239">
        <f t="shared" si="26"/>
        <v>144046517.44757381</v>
      </c>
      <c r="F121" s="240">
        <f>_xlfn.DAYS(C121,B121)+1</f>
        <v>31</v>
      </c>
      <c r="G121" s="241">
        <f>((1+D121)^(1/365))-1</f>
        <v>6.3033554269220637E-4</v>
      </c>
      <c r="H121" s="241"/>
      <c r="I121" s="242">
        <f t="shared" si="24"/>
        <v>2841503.0471658725</v>
      </c>
      <c r="J121" s="241"/>
      <c r="M121" s="800">
        <v>44409</v>
      </c>
      <c r="N121" s="800">
        <v>44439</v>
      </c>
      <c r="O121" s="1120">
        <f>17.24*1.5%</f>
        <v>0.25859999999999994</v>
      </c>
      <c r="P121" s="1130">
        <f t="shared" si="25"/>
        <v>45331378.255031615</v>
      </c>
      <c r="Q121" s="1131">
        <f t="shared" si="20"/>
        <v>31</v>
      </c>
      <c r="R121" s="909">
        <f t="shared" si="23"/>
        <v>6.3033554269220637E-4</v>
      </c>
      <c r="S121" s="812">
        <f t="shared" si="21"/>
        <v>885793.34631450218</v>
      </c>
    </row>
    <row r="122" spans="1:19" ht="13.5">
      <c r="A122" s="216">
        <v>65</v>
      </c>
      <c r="B122" s="237">
        <v>44440</v>
      </c>
      <c r="C122" s="237">
        <v>44469</v>
      </c>
      <c r="D122" s="361">
        <f>17.19*1.5%</f>
        <v>0.25785000000000002</v>
      </c>
      <c r="E122" s="239">
        <f t="shared" si="26"/>
        <v>146888020.49473968</v>
      </c>
      <c r="F122" s="240">
        <f>_xlfn.DAYS(C122,B122)+1</f>
        <v>30</v>
      </c>
      <c r="G122" s="241">
        <f>((1+D122)^(1/365))-1</f>
        <v>6.2870142469861889E-4</v>
      </c>
      <c r="H122" s="241"/>
      <c r="I122" s="242">
        <f t="shared" si="24"/>
        <v>2795866.0602254751</v>
      </c>
      <c r="J122" s="241"/>
      <c r="M122" s="800">
        <v>44440</v>
      </c>
      <c r="N122" s="800">
        <v>44469</v>
      </c>
      <c r="O122" s="1120">
        <f>17.19*1.5%</f>
        <v>0.25785000000000002</v>
      </c>
      <c r="P122" s="1130">
        <f t="shared" si="25"/>
        <v>45331378.255031615</v>
      </c>
      <c r="Q122" s="1131">
        <f t="shared" si="20"/>
        <v>30</v>
      </c>
      <c r="R122" s="909">
        <f t="shared" si="23"/>
        <v>6.2870142469861889E-4</v>
      </c>
      <c r="S122" s="812">
        <f>+P122*Q122*R122</f>
        <v>854997.06277471106</v>
      </c>
    </row>
    <row r="123" spans="1:19" ht="13.5">
      <c r="B123" s="539"/>
      <c r="C123" s="539"/>
      <c r="D123" s="540"/>
      <c r="E123" s="541"/>
      <c r="F123" s="542"/>
      <c r="G123" s="543"/>
      <c r="H123" s="543"/>
      <c r="I123" s="544"/>
      <c r="J123" s="543"/>
      <c r="M123" s="800">
        <v>44470</v>
      </c>
      <c r="N123" s="800">
        <v>44500</v>
      </c>
      <c r="O123" s="1120">
        <f>17.08*1.5%</f>
        <v>0.25619999999999998</v>
      </c>
      <c r="P123" s="1130">
        <f t="shared" si="25"/>
        <v>45331378.255031615</v>
      </c>
      <c r="Q123" s="1131">
        <f>_xlfn.DAYS(N123,M123)+1</f>
        <v>31</v>
      </c>
      <c r="R123" s="909">
        <f>((1+O123)^(1/365))-1</f>
        <v>6.2510294214179751E-4</v>
      </c>
      <c r="S123" s="812">
        <f>+P123*Q123*R123</f>
        <v>878440.11547545192</v>
      </c>
    </row>
    <row r="124" spans="1:19" ht="14.25" thickBot="1">
      <c r="E124" s="362" t="s">
        <v>207</v>
      </c>
      <c r="F124" s="362"/>
      <c r="G124" s="362"/>
      <c r="H124" s="362"/>
      <c r="I124" s="249">
        <f>SUM(I58:I122)</f>
        <v>107379525.4701159</v>
      </c>
      <c r="M124" s="800">
        <v>44501</v>
      </c>
      <c r="N124" s="800">
        <v>44530</v>
      </c>
      <c r="O124" s="1120">
        <f>17.27*1.5%</f>
        <v>0.25905</v>
      </c>
      <c r="P124" s="1130">
        <f t="shared" si="25"/>
        <v>45331378.255031615</v>
      </c>
      <c r="Q124" s="1131">
        <f>_xlfn.DAYS(N124,M124)+1</f>
        <v>30</v>
      </c>
      <c r="R124" s="909">
        <f>((1+O124)^(1/365))-1</f>
        <v>6.3131554742335005E-4</v>
      </c>
      <c r="S124" s="812">
        <f>+P124*Q124*R124</f>
        <v>858552.11635590694</v>
      </c>
    </row>
    <row r="125" spans="1:19" ht="14.25" thickTop="1">
      <c r="G125" s="221"/>
      <c r="H125" s="221"/>
      <c r="I125" s="221"/>
      <c r="J125" s="221"/>
      <c r="K125" s="561"/>
      <c r="M125" s="800">
        <v>44531</v>
      </c>
      <c r="N125" s="800">
        <v>44543</v>
      </c>
      <c r="O125" s="1120">
        <f>17.46*1.5%</f>
        <v>0.26190000000000002</v>
      </c>
      <c r="P125" s="1130">
        <f t="shared" si="25"/>
        <v>45331378.255031615</v>
      </c>
      <c r="Q125" s="1131">
        <f>_xlfn.DAYS(N125,M125)+1</f>
        <v>13</v>
      </c>
      <c r="R125" s="909">
        <f>((1+O125)^(1/365))-1</f>
        <v>6.3751414410861962E-4</v>
      </c>
      <c r="S125" s="812">
        <f>+P125*Q125*R125</f>
        <v>375692.13252376742</v>
      </c>
    </row>
    <row r="126" spans="1:19" ht="14.25" thickBot="1">
      <c r="M126" s="814"/>
      <c r="N126" s="814"/>
      <c r="O126" s="814"/>
      <c r="P126" s="814"/>
      <c r="Q126" s="814"/>
      <c r="R126" s="1137" t="s">
        <v>207</v>
      </c>
      <c r="S126" s="859">
        <f>SUM(S58:S125)</f>
        <v>59390548.366564155</v>
      </c>
    </row>
    <row r="127" spans="1:19" ht="14.25" thickTop="1">
      <c r="M127" s="1132" t="s">
        <v>178</v>
      </c>
      <c r="N127" s="800">
        <v>40697</v>
      </c>
      <c r="O127" s="800">
        <v>40908</v>
      </c>
      <c r="P127" s="1131">
        <f>_xlfn.DAYS(O127,N127)+1</f>
        <v>212</v>
      </c>
      <c r="Q127" s="814"/>
      <c r="R127" s="814"/>
      <c r="S127" s="814"/>
    </row>
    <row r="128" spans="1:19" ht="13.5">
      <c r="M128" s="1132" t="s">
        <v>179</v>
      </c>
      <c r="N128" s="800">
        <v>41073</v>
      </c>
      <c r="O128" s="800">
        <v>40909</v>
      </c>
      <c r="P128" s="1131">
        <f>_xlfn.DAYS(N128,O128)+1</f>
        <v>165</v>
      </c>
      <c r="Q128" s="814"/>
      <c r="R128" s="814"/>
      <c r="S128" s="814"/>
    </row>
    <row r="129" spans="2:19" ht="13.5">
      <c r="B129" s="347" t="s">
        <v>178</v>
      </c>
      <c r="C129" s="237">
        <v>40697</v>
      </c>
      <c r="D129" s="237">
        <v>40908</v>
      </c>
      <c r="E129" s="240">
        <f>_xlfn.DAYS(D129,C129)+1</f>
        <v>212</v>
      </c>
      <c r="M129" s="814"/>
      <c r="N129" s="814"/>
      <c r="O129" s="814"/>
      <c r="P129" s="1131"/>
      <c r="Q129" s="814"/>
      <c r="R129" s="814"/>
      <c r="S129" s="814"/>
    </row>
    <row r="130" spans="2:19" ht="13.5">
      <c r="B130" s="347" t="s">
        <v>179</v>
      </c>
      <c r="C130" s="237">
        <v>41073</v>
      </c>
      <c r="D130" s="237">
        <v>40909</v>
      </c>
      <c r="E130" s="240">
        <f>_xlfn.DAYS(C130,D130)+1</f>
        <v>165</v>
      </c>
      <c r="M130" s="1133"/>
      <c r="N130" s="726" t="s">
        <v>208</v>
      </c>
      <c r="O130" s="741"/>
      <c r="P130" s="741"/>
      <c r="Q130" s="1036"/>
      <c r="R130" s="814"/>
      <c r="S130" s="814"/>
    </row>
    <row r="131" spans="2:19" ht="13.5">
      <c r="E131" s="240"/>
      <c r="M131" s="741" t="s">
        <v>209</v>
      </c>
      <c r="N131" s="741"/>
      <c r="O131" s="735" t="s">
        <v>76</v>
      </c>
      <c r="P131" s="735" t="s">
        <v>77</v>
      </c>
      <c r="Q131" s="1036" t="s">
        <v>57</v>
      </c>
      <c r="R131" s="814"/>
      <c r="S131" s="814"/>
    </row>
    <row r="132" spans="2:19" ht="13.5">
      <c r="B132" s="363"/>
      <c r="C132" s="354" t="s">
        <v>208</v>
      </c>
      <c r="D132" s="233"/>
      <c r="E132" s="233"/>
      <c r="F132" s="231"/>
      <c r="M132" s="741" t="s">
        <v>210</v>
      </c>
      <c r="N132" s="741"/>
      <c r="O132" s="1134">
        <v>92.1</v>
      </c>
      <c r="P132" s="735"/>
      <c r="Q132" s="1036"/>
      <c r="R132" s="814"/>
      <c r="S132" s="814"/>
    </row>
    <row r="133" spans="2:19" ht="13.5">
      <c r="B133" s="233" t="s">
        <v>209</v>
      </c>
      <c r="C133" s="233"/>
      <c r="D133" s="228" t="s">
        <v>76</v>
      </c>
      <c r="E133" s="228" t="s">
        <v>77</v>
      </c>
      <c r="F133" s="231" t="s">
        <v>57</v>
      </c>
      <c r="M133" s="735">
        <v>2011</v>
      </c>
      <c r="N133" s="1036">
        <f>(C11*P127)/360</f>
        <v>1398484.5</v>
      </c>
      <c r="O133" s="1134">
        <v>76.19</v>
      </c>
      <c r="P133" s="1135">
        <f>+O132/O133</f>
        <v>1.2088200551253445</v>
      </c>
      <c r="Q133" s="1036">
        <f>+N133*P133</f>
        <v>1690516.1103819399</v>
      </c>
      <c r="R133" s="814"/>
      <c r="S133" s="814"/>
    </row>
    <row r="134" spans="2:19" ht="13.5">
      <c r="B134" s="233" t="s">
        <v>210</v>
      </c>
      <c r="C134" s="233"/>
      <c r="D134" s="364">
        <f>+D9</f>
        <v>92.1</v>
      </c>
      <c r="E134" s="228"/>
      <c r="F134" s="231"/>
      <c r="M134" s="735">
        <v>2012</v>
      </c>
      <c r="N134" s="1036">
        <f>(C32*P128)/360</f>
        <v>1142865.1666666667</v>
      </c>
      <c r="O134" s="1134">
        <v>78.05</v>
      </c>
      <c r="P134" s="1135">
        <v>1</v>
      </c>
      <c r="Q134" s="1036">
        <f>+N134*P134</f>
        <v>1142865.1666666667</v>
      </c>
      <c r="R134" s="814"/>
      <c r="S134" s="814"/>
    </row>
    <row r="135" spans="2:19" ht="13.5">
      <c r="B135" s="228">
        <v>2011</v>
      </c>
      <c r="C135" s="231">
        <f>(C11*E129)/360</f>
        <v>1398484.5</v>
      </c>
      <c r="D135" s="364">
        <f>+D18</f>
        <v>76.19</v>
      </c>
      <c r="E135" s="365">
        <f>+D134/D135</f>
        <v>1.2088200551253445</v>
      </c>
      <c r="F135" s="231">
        <f>+C135*E135</f>
        <v>1690516.1103819399</v>
      </c>
      <c r="M135" s="735"/>
      <c r="N135" s="1036"/>
      <c r="O135" s="726" t="s">
        <v>211</v>
      </c>
      <c r="P135" s="1136"/>
      <c r="Q135" s="1136">
        <f>SUM(Q133:Q134)</f>
        <v>2833381.2770486064</v>
      </c>
      <c r="R135" s="814"/>
      <c r="S135" s="814"/>
    </row>
    <row r="136" spans="2:19" ht="13.5">
      <c r="B136" s="228">
        <v>2012</v>
      </c>
      <c r="C136" s="231">
        <f>(C32*E130)/360</f>
        <v>1142865.1666666667</v>
      </c>
      <c r="D136" s="364">
        <v>77.72</v>
      </c>
      <c r="E136" s="365">
        <f>+D134/D136</f>
        <v>1.18502316006176</v>
      </c>
      <c r="F136" s="231">
        <f>+C136*E136</f>
        <v>1354321.6913278433</v>
      </c>
      <c r="M136" s="814"/>
      <c r="N136" s="1051"/>
      <c r="R136" s="814"/>
      <c r="S136" s="814"/>
    </row>
    <row r="137" spans="2:19" ht="13.5">
      <c r="B137" s="228"/>
      <c r="C137" s="231"/>
      <c r="D137" s="228"/>
      <c r="E137" s="365"/>
      <c r="F137" s="231"/>
      <c r="M137" s="814"/>
      <c r="N137" s="1051"/>
      <c r="O137" s="814"/>
      <c r="P137" s="1051"/>
      <c r="Q137" s="1051"/>
      <c r="R137" s="814"/>
      <c r="S137" s="814"/>
    </row>
    <row r="138" spans="2:19" ht="13.5">
      <c r="C138" s="348"/>
      <c r="D138" s="219" t="s">
        <v>211</v>
      </c>
      <c r="E138" s="355"/>
      <c r="F138" s="356">
        <f>SUM(F135:F137)</f>
        <v>3044837.8017097833</v>
      </c>
      <c r="M138" s="1133"/>
      <c r="N138" s="1036"/>
      <c r="O138" s="741"/>
      <c r="P138" s="1036"/>
      <c r="Q138" s="1036"/>
      <c r="R138" s="814"/>
      <c r="S138" s="814"/>
    </row>
    <row r="139" spans="2:19" ht="13.5">
      <c r="C139" s="348"/>
      <c r="E139" s="348"/>
      <c r="F139" s="348"/>
      <c r="M139" s="741"/>
      <c r="N139" s="1036" t="s">
        <v>212</v>
      </c>
      <c r="O139" s="735"/>
      <c r="P139" s="734"/>
      <c r="Q139" s="1036"/>
      <c r="R139" s="814"/>
      <c r="S139" s="814"/>
    </row>
    <row r="140" spans="2:19" ht="13.5">
      <c r="B140" s="363"/>
      <c r="C140" s="231"/>
      <c r="D140" s="233"/>
      <c r="E140" s="231"/>
      <c r="F140" s="231"/>
      <c r="M140" s="741" t="s">
        <v>209</v>
      </c>
      <c r="N140" s="1036"/>
      <c r="O140" s="735" t="s">
        <v>76</v>
      </c>
      <c r="P140" s="734" t="s">
        <v>77</v>
      </c>
      <c r="Q140" s="1036" t="s">
        <v>57</v>
      </c>
      <c r="R140" s="814"/>
      <c r="S140" s="814"/>
    </row>
    <row r="141" spans="2:19" ht="13.5">
      <c r="B141" s="233"/>
      <c r="C141" s="231" t="s">
        <v>212</v>
      </c>
      <c r="D141" s="228"/>
      <c r="E141" s="229"/>
      <c r="F141" s="231"/>
      <c r="M141" s="741"/>
      <c r="N141" s="1036"/>
      <c r="O141" s="735">
        <v>92.1</v>
      </c>
      <c r="P141" s="734"/>
      <c r="Q141" s="1036"/>
      <c r="R141" s="814"/>
      <c r="S141" s="814"/>
    </row>
    <row r="142" spans="2:19" ht="13.5">
      <c r="B142" s="233" t="s">
        <v>209</v>
      </c>
      <c r="C142" s="231"/>
      <c r="D142" s="228" t="s">
        <v>76</v>
      </c>
      <c r="E142" s="229" t="s">
        <v>77</v>
      </c>
      <c r="F142" s="231" t="s">
        <v>57</v>
      </c>
      <c r="M142" s="741" t="s">
        <v>210</v>
      </c>
      <c r="N142" s="741"/>
      <c r="O142" s="1134"/>
      <c r="P142" s="735"/>
      <c r="Q142" s="1036"/>
      <c r="R142" s="814"/>
      <c r="S142" s="814"/>
    </row>
    <row r="143" spans="2:19" ht="13.5">
      <c r="B143" s="233"/>
      <c r="C143" s="231"/>
      <c r="D143" s="228">
        <f>+D134</f>
        <v>92.1</v>
      </c>
      <c r="E143" s="229"/>
      <c r="F143" s="231"/>
      <c r="M143" s="735">
        <v>2011</v>
      </c>
      <c r="N143" s="1036">
        <f>(N133*P127*0.12)/360</f>
        <v>98826.237999999998</v>
      </c>
      <c r="O143" s="1134">
        <v>76.19</v>
      </c>
      <c r="P143" s="1135">
        <f>+$O$141/O143</f>
        <v>1.2088200551253445</v>
      </c>
      <c r="Q143" s="1036">
        <f>+N143*P143</f>
        <v>119463.13846699041</v>
      </c>
      <c r="R143" s="814"/>
      <c r="S143" s="814"/>
    </row>
    <row r="144" spans="2:19" ht="13.5">
      <c r="B144" s="233" t="s">
        <v>210</v>
      </c>
      <c r="C144" s="233"/>
      <c r="D144" s="364"/>
      <c r="E144" s="228"/>
      <c r="F144" s="231"/>
      <c r="M144" s="735">
        <v>2012</v>
      </c>
      <c r="N144" s="1036">
        <f>(N134*P128*0.12)/360</f>
        <v>62857.584166666667</v>
      </c>
      <c r="O144" s="1134">
        <v>78.05</v>
      </c>
      <c r="P144" s="1135">
        <f>+$O$141/O144</f>
        <v>1.1800128122998077</v>
      </c>
      <c r="Q144" s="1036">
        <f>+N144*P144</f>
        <v>74172.754666880195</v>
      </c>
      <c r="R144" s="814"/>
      <c r="S144" s="814"/>
    </row>
    <row r="145" spans="2:19" ht="13.5">
      <c r="B145" s="228">
        <v>2011</v>
      </c>
      <c r="C145" s="231">
        <f>(C135*E129*0.12)/360</f>
        <v>98826.237999999998</v>
      </c>
      <c r="D145" s="364">
        <f>+D135</f>
        <v>76.19</v>
      </c>
      <c r="E145" s="365">
        <f>+$D$143/D145</f>
        <v>1.2088200551253445</v>
      </c>
      <c r="F145" s="231">
        <f>+C145*E145</f>
        <v>119463.13846699041</v>
      </c>
      <c r="M145" s="735"/>
      <c r="N145" s="1036"/>
      <c r="O145" s="1136" t="s">
        <v>213</v>
      </c>
      <c r="P145" s="1136"/>
      <c r="Q145" s="1136">
        <f>SUM(Q143:Q144)</f>
        <v>193635.89313387062</v>
      </c>
      <c r="R145" s="814"/>
      <c r="S145" s="1051">
        <f>+Q135+Q145</f>
        <v>3027017.1701824772</v>
      </c>
    </row>
    <row r="146" spans="2:19" ht="13.5">
      <c r="B146" s="228">
        <v>2012</v>
      </c>
      <c r="C146" s="231">
        <f>(C136*E130*0.12)/360</f>
        <v>62857.584166666667</v>
      </c>
      <c r="D146" s="364">
        <v>77.72</v>
      </c>
      <c r="E146" s="365">
        <f>+D143/D146</f>
        <v>1.18502316006176</v>
      </c>
      <c r="F146" s="231">
        <f>+C146*E146</f>
        <v>74487.693023031388</v>
      </c>
      <c r="M146" s="1051"/>
      <c r="N146" s="1051"/>
      <c r="R146" s="814"/>
      <c r="S146" s="814"/>
    </row>
    <row r="147" spans="2:19" ht="13.5">
      <c r="B147" s="228"/>
      <c r="C147" s="231"/>
      <c r="D147" s="228"/>
      <c r="E147" s="219" t="s">
        <v>211</v>
      </c>
      <c r="F147" s="231">
        <f>SUM(F145:F146)</f>
        <v>193950.83149002178</v>
      </c>
      <c r="M147" s="814"/>
      <c r="N147" s="814"/>
      <c r="O147" s="814"/>
      <c r="P147" s="814"/>
      <c r="Q147" s="814"/>
      <c r="R147" s="814"/>
      <c r="S147" s="814"/>
    </row>
    <row r="148" spans="2:19" ht="13.5">
      <c r="M148" s="814"/>
      <c r="N148" s="814"/>
      <c r="O148" s="814"/>
      <c r="P148" s="814"/>
      <c r="Q148" s="814"/>
      <c r="R148" s="814"/>
      <c r="S148" s="814"/>
    </row>
    <row r="149" spans="2:19" ht="12.75" customHeight="1">
      <c r="M149" s="1201" t="s">
        <v>55</v>
      </c>
      <c r="N149" s="1112"/>
      <c r="O149" s="814"/>
      <c r="P149" s="814"/>
      <c r="Q149" s="814"/>
      <c r="R149" s="814"/>
      <c r="S149" s="814"/>
    </row>
    <row r="150" spans="2:19" ht="25.5">
      <c r="B150" s="2554" t="s">
        <v>55</v>
      </c>
      <c r="C150" s="2555"/>
      <c r="D150" s="2556"/>
      <c r="M150" s="1190" t="s">
        <v>133</v>
      </c>
      <c r="N150" s="929">
        <f>+N56</f>
        <v>45331378.255031615</v>
      </c>
      <c r="O150" s="814"/>
      <c r="P150" s="814"/>
      <c r="Q150" s="814"/>
      <c r="R150" s="814"/>
      <c r="S150" s="814"/>
    </row>
    <row r="151" spans="2:19" ht="25.5">
      <c r="B151" s="233" t="s">
        <v>133</v>
      </c>
      <c r="C151" s="251">
        <f>+F53</f>
        <v>42304361.084849142</v>
      </c>
      <c r="D151" s="251"/>
      <c r="M151" s="1190" t="s">
        <v>134</v>
      </c>
      <c r="N151" s="929">
        <f>+S126</f>
        <v>59390548.366564155</v>
      </c>
      <c r="O151" s="814"/>
      <c r="P151" s="814"/>
      <c r="Q151" s="814"/>
      <c r="R151" s="814"/>
      <c r="S151" s="814"/>
    </row>
    <row r="152" spans="2:19" ht="26.25" thickBot="1">
      <c r="B152" s="233" t="s">
        <v>134</v>
      </c>
      <c r="C152" s="252">
        <f>+I124</f>
        <v>107379525.4701159</v>
      </c>
      <c r="D152" s="251"/>
      <c r="M152" s="817" t="s">
        <v>61</v>
      </c>
      <c r="N152" s="859">
        <f>SUM(N150:N151)</f>
        <v>104721926.62159577</v>
      </c>
      <c r="O152" s="1118">
        <f>+N152-'Ruben Vasquez Correccion'!N152</f>
        <v>6992839.886640206</v>
      </c>
      <c r="P152" s="814"/>
      <c r="Q152" s="814"/>
      <c r="R152" s="814"/>
      <c r="S152" s="814"/>
    </row>
    <row r="153" spans="2:19" ht="14.25" thickTop="1">
      <c r="B153" s="534" t="str">
        <f>+C132</f>
        <v xml:space="preserve">                CESANTIAS</v>
      </c>
      <c r="C153" s="504">
        <f>+F138</f>
        <v>3044837.8017097833</v>
      </c>
      <c r="D153" s="251"/>
      <c r="O153" s="814"/>
      <c r="P153" s="814"/>
      <c r="Q153" s="814"/>
      <c r="R153" s="814"/>
      <c r="S153" s="814"/>
    </row>
    <row r="154" spans="2:19" ht="16.5" customHeight="1">
      <c r="B154" s="231" t="str">
        <f>+C141</f>
        <v xml:space="preserve">   INTERESES DE CESANTIAS</v>
      </c>
      <c r="C154" s="504">
        <f>+F147</f>
        <v>193950.83149002178</v>
      </c>
      <c r="D154" s="251"/>
      <c r="O154" s="814"/>
      <c r="P154" s="814"/>
      <c r="Q154" s="814"/>
      <c r="R154" s="814"/>
      <c r="S154" s="814"/>
    </row>
    <row r="155" spans="2:19" ht="14.25" thickBot="1">
      <c r="B155" s="248" t="s">
        <v>61</v>
      </c>
      <c r="C155" s="249">
        <f>SUM(C151:C154)</f>
        <v>152922675.18816483</v>
      </c>
      <c r="D155" s="251"/>
      <c r="M155" s="221" t="s">
        <v>62</v>
      </c>
      <c r="N155"/>
      <c r="O155" s="814"/>
      <c r="P155" s="814"/>
      <c r="Q155" s="814"/>
      <c r="R155" s="814"/>
      <c r="S155" s="814"/>
    </row>
    <row r="156" spans="2:19" ht="13.5" thickTop="1">
      <c r="N156" s="218"/>
    </row>
    <row r="157" spans="2:19">
      <c r="N157" s="218"/>
    </row>
    <row r="158" spans="2:19">
      <c r="M158" s="476" t="s">
        <v>63</v>
      </c>
      <c r="N158" s="218"/>
    </row>
    <row r="159" spans="2:19">
      <c r="M159" s="476" t="s">
        <v>64</v>
      </c>
      <c r="N159" s="218"/>
    </row>
    <row r="160" spans="2:19">
      <c r="M160" s="221" t="s">
        <v>65</v>
      </c>
      <c r="N160" s="218"/>
    </row>
    <row r="186" spans="14:14">
      <c r="N186" s="217" t="s">
        <v>214</v>
      </c>
    </row>
    <row r="187" spans="14:14">
      <c r="N187" s="217" t="s">
        <v>215</v>
      </c>
    </row>
    <row r="188" spans="14:14">
      <c r="N188" s="217" t="s">
        <v>216</v>
      </c>
    </row>
  </sheetData>
  <mergeCells count="5">
    <mergeCell ref="B150:D150"/>
    <mergeCell ref="B9:C9"/>
    <mergeCell ref="B30:C30"/>
    <mergeCell ref="K9:Q9"/>
    <mergeCell ref="K30:Q30"/>
  </mergeCells>
  <phoneticPr fontId="21" type="noConversion"/>
  <pageMargins left="0.7" right="0.7" top="0.75" bottom="0.75" header="0.3" footer="0.3"/>
  <pageSetup paperSize="9" scale="69" orientation="portrait" r:id="rId1"/>
  <rowBreaks count="1" manualBreakCount="1">
    <brk id="55" max="16383" man="1"/>
  </rowBreaks>
  <colBreaks count="1" manualBreakCount="1">
    <brk id="10" max="1048575" man="1"/>
  </col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9B9BC-E36D-4381-A8AC-0F0C76AB1A7D}">
  <sheetPr codeName="Hoja98"/>
  <dimension ref="A3:H32"/>
  <sheetViews>
    <sheetView topLeftCell="A3" zoomScaleNormal="100" workbookViewId="0">
      <selection activeCell="C7" sqref="C7"/>
    </sheetView>
  </sheetViews>
  <sheetFormatPr defaultColWidth="11.42578125" defaultRowHeight="12.75"/>
  <cols>
    <col min="1" max="1" width="17.7109375" customWidth="1"/>
    <col min="2" max="2" width="18.140625" customWidth="1"/>
    <col min="3" max="3" width="17.5703125" customWidth="1"/>
    <col min="4" max="4" width="16.42578125" customWidth="1"/>
  </cols>
  <sheetData>
    <row r="3" spans="1:3" ht="42">
      <c r="A3" s="2110" t="s">
        <v>121</v>
      </c>
      <c r="B3" s="284" t="s">
        <v>1407</v>
      </c>
    </row>
    <row r="4" spans="1:3" ht="21">
      <c r="A4" s="683" t="s">
        <v>291</v>
      </c>
      <c r="B4" s="412" t="s">
        <v>1408</v>
      </c>
    </row>
    <row r="5" spans="1:3">
      <c r="A5" s="1628" t="s">
        <v>4</v>
      </c>
      <c r="B5" s="2318"/>
    </row>
    <row r="6" spans="1:3">
      <c r="A6" s="1632" t="s">
        <v>1409</v>
      </c>
      <c r="B6" s="196" t="s">
        <v>1410</v>
      </c>
    </row>
    <row r="7" spans="1:3" ht="25.5">
      <c r="A7" s="1634" t="s">
        <v>1411</v>
      </c>
      <c r="B7" s="2"/>
    </row>
    <row r="8" spans="1:3" ht="16.5">
      <c r="A8" s="1634" t="s">
        <v>1412</v>
      </c>
      <c r="B8" s="2115">
        <v>43088</v>
      </c>
      <c r="C8" s="1318">
        <v>737717</v>
      </c>
    </row>
    <row r="9" spans="1:3">
      <c r="A9" s="1630" t="s">
        <v>2</v>
      </c>
      <c r="B9" s="2299" t="s">
        <v>1413</v>
      </c>
    </row>
    <row r="10" spans="1:3">
      <c r="A10" s="188" t="s">
        <v>1414</v>
      </c>
      <c r="B10" s="412"/>
    </row>
    <row r="12" spans="1:3" ht="13.5" thickBot="1">
      <c r="A12" s="32">
        <v>133060000</v>
      </c>
      <c r="B12" s="188" t="s">
        <v>1415</v>
      </c>
    </row>
    <row r="13" spans="1:3" ht="13.5" thickBot="1">
      <c r="A13" s="1885">
        <f>133060000*(138.32/132.78)</f>
        <v>138611682.48230153</v>
      </c>
      <c r="B13" s="2118">
        <f>+A13*45%</f>
        <v>62375257.117035694</v>
      </c>
    </row>
    <row r="17" spans="1:8" ht="13.5" thickBot="1">
      <c r="A17" s="1635" t="s">
        <v>1416</v>
      </c>
    </row>
    <row r="19" spans="1:8" ht="25.5">
      <c r="A19" s="2113" t="s">
        <v>1417</v>
      </c>
      <c r="B19" s="2112" t="s">
        <v>1418</v>
      </c>
      <c r="C19" s="2114" t="s">
        <v>1419</v>
      </c>
      <c r="D19" s="2114" t="s">
        <v>1420</v>
      </c>
    </row>
    <row r="20" spans="1:8" ht="38.25">
      <c r="A20" s="2111" t="s">
        <v>1421</v>
      </c>
      <c r="B20" s="2111" t="s">
        <v>1422</v>
      </c>
      <c r="C20" s="80">
        <v>36</v>
      </c>
      <c r="D20" s="2117">
        <f>+C20*$C$8</f>
        <v>26557812</v>
      </c>
    </row>
    <row r="21" spans="1:8" ht="25.5">
      <c r="A21" s="2111" t="s">
        <v>1423</v>
      </c>
      <c r="B21" s="2116" t="s">
        <v>1424</v>
      </c>
      <c r="C21" s="80">
        <v>22.5</v>
      </c>
      <c r="D21" s="2117">
        <f>+C21*$C$8</f>
        <v>16598632.5</v>
      </c>
    </row>
    <row r="22" spans="1:8" ht="25.5">
      <c r="A22" s="2111" t="s">
        <v>1425</v>
      </c>
      <c r="B22" s="2116" t="s">
        <v>1424</v>
      </c>
      <c r="C22" s="80">
        <v>22.5</v>
      </c>
      <c r="D22" s="2117">
        <f>+C22*$C$8</f>
        <v>16598632.5</v>
      </c>
    </row>
    <row r="23" spans="1:8" ht="25.5">
      <c r="A23" s="2111" t="s">
        <v>1426</v>
      </c>
      <c r="B23" s="2116" t="s">
        <v>1424</v>
      </c>
      <c r="C23" s="80">
        <v>22.5</v>
      </c>
      <c r="D23" s="2117">
        <f>+C23*$C$8</f>
        <v>16598632.5</v>
      </c>
    </row>
    <row r="24" spans="1:8" ht="25.5">
      <c r="A24" s="2111" t="s">
        <v>1427</v>
      </c>
      <c r="B24" s="2116" t="s">
        <v>1428</v>
      </c>
      <c r="C24" s="80">
        <v>22.5</v>
      </c>
      <c r="D24" s="2117">
        <f>+C24*$C$8</f>
        <v>16598632.5</v>
      </c>
    </row>
    <row r="25" spans="1:8">
      <c r="C25" s="188" t="s">
        <v>1200</v>
      </c>
      <c r="D25" s="2117">
        <f>SUM(D20:D24)</f>
        <v>92952342</v>
      </c>
    </row>
    <row r="26" spans="1:8" ht="25.5">
      <c r="A26" s="116" t="s">
        <v>1429</v>
      </c>
    </row>
    <row r="27" spans="1:8" ht="38.25">
      <c r="A27" s="2111" t="s">
        <v>1421</v>
      </c>
      <c r="B27" s="2111" t="s">
        <v>1422</v>
      </c>
      <c r="D27" s="8">
        <v>62375256.899999999</v>
      </c>
    </row>
    <row r="30" spans="1:8">
      <c r="A30" s="1" t="s">
        <v>535</v>
      </c>
      <c r="B30" s="2119">
        <f>+B13+D25+D27</f>
        <v>217702856.01703569</v>
      </c>
    </row>
    <row r="31" spans="1:8">
      <c r="A31" s="2794" t="s">
        <v>957</v>
      </c>
      <c r="B31" s="2795"/>
      <c r="C31" s="2795"/>
      <c r="D31" s="2795"/>
      <c r="E31" s="2795"/>
      <c r="F31" s="2795"/>
      <c r="G31" s="2795"/>
      <c r="H31" s="2795"/>
    </row>
    <row r="32" spans="1:8" ht="27">
      <c r="A32" s="970" t="s">
        <v>206</v>
      </c>
      <c r="B32" s="970" t="s">
        <v>10</v>
      </c>
      <c r="C32" s="699" t="s">
        <v>148</v>
      </c>
      <c r="D32" s="700" t="s">
        <v>149</v>
      </c>
      <c r="E32" s="699" t="s">
        <v>43</v>
      </c>
      <c r="F32" s="1642" t="s">
        <v>129</v>
      </c>
      <c r="G32" s="1643" t="s">
        <v>47</v>
      </c>
      <c r="H32" s="1642" t="s">
        <v>48</v>
      </c>
    </row>
  </sheetData>
  <mergeCells count="1">
    <mergeCell ref="A31:H31"/>
  </mergeCells>
  <pageMargins left="0.7" right="0.7" top="0.75" bottom="0.75" header="0.3" footer="0.3"/>
  <pageSetup paperSize="9" scale="77"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B8C2F-42AF-414E-A7C5-35F3956737F3}">
  <sheetPr codeName="Hoja103"/>
  <dimension ref="A2:I60"/>
  <sheetViews>
    <sheetView topLeftCell="A35" zoomScaleNormal="100" workbookViewId="0">
      <selection activeCell="D45" sqref="D45"/>
    </sheetView>
  </sheetViews>
  <sheetFormatPr defaultColWidth="11.42578125" defaultRowHeight="12.75"/>
  <cols>
    <col min="1" max="1" width="2.28515625" style="814" customWidth="1"/>
    <col min="2" max="2" width="20.5703125" style="814" customWidth="1"/>
    <col min="3" max="3" width="17.28515625" style="814" customWidth="1"/>
    <col min="4" max="4" width="14.42578125" style="814" customWidth="1"/>
    <col min="5" max="5" width="12.28515625" style="814" customWidth="1"/>
    <col min="6" max="6" width="11.85546875" style="2147" customWidth="1"/>
    <col min="7" max="7" width="15.42578125" style="814" bestFit="1" customWidth="1"/>
    <col min="8" max="8" width="6.5703125" style="814" customWidth="1"/>
    <col min="9" max="9" width="17.5703125" style="814" customWidth="1"/>
    <col min="10" max="10" width="22" style="814" customWidth="1"/>
    <col min="11" max="16384" width="11.42578125" style="814"/>
  </cols>
  <sheetData>
    <row r="2" spans="2:9">
      <c r="B2" s="1260" t="s">
        <v>508</v>
      </c>
      <c r="C2" s="741" t="s">
        <v>1430</v>
      </c>
      <c r="D2" s="741"/>
    </row>
    <row r="3" spans="2:9">
      <c r="B3" s="1260" t="s">
        <v>1338</v>
      </c>
      <c r="C3" s="800">
        <v>44053</v>
      </c>
      <c r="D3" s="741"/>
    </row>
    <row r="4" spans="2:9">
      <c r="B4" s="1260" t="s">
        <v>1431</v>
      </c>
      <c r="C4" s="741" t="s">
        <v>1432</v>
      </c>
      <c r="D4" s="741"/>
    </row>
    <row r="6" spans="2:9">
      <c r="B6" s="900" t="s">
        <v>1433</v>
      </c>
      <c r="C6" s="900" t="s">
        <v>1434</v>
      </c>
    </row>
    <row r="7" spans="2:9">
      <c r="B7" s="1148">
        <v>1395985</v>
      </c>
      <c r="C7" s="1148">
        <f>+B7/30</f>
        <v>46532.833333333336</v>
      </c>
    </row>
    <row r="8" spans="2:9">
      <c r="B8" s="1148"/>
      <c r="C8" s="1148"/>
    </row>
    <row r="9" spans="2:9">
      <c r="B9" s="1113" t="s">
        <v>206</v>
      </c>
      <c r="C9" s="1113" t="s">
        <v>10</v>
      </c>
      <c r="D9" s="1113" t="s">
        <v>1435</v>
      </c>
      <c r="E9" s="1113" t="s">
        <v>1436</v>
      </c>
    </row>
    <row r="10" spans="2:9">
      <c r="B10" s="800">
        <v>40645</v>
      </c>
      <c r="C10" s="800">
        <v>40786</v>
      </c>
      <c r="D10" s="1131">
        <f>_xlfn.DAYS(C10,B10)+1</f>
        <v>142</v>
      </c>
      <c r="E10" s="1061">
        <f>+C7*D10</f>
        <v>6607662.333333334</v>
      </c>
    </row>
    <row r="11" spans="2:9">
      <c r="B11" s="800">
        <v>41179</v>
      </c>
      <c r="C11" s="800">
        <v>41254</v>
      </c>
      <c r="D11" s="2140">
        <f>_xlfn.DAYS(C11,B11)+1</f>
        <v>76</v>
      </c>
      <c r="E11" s="1061">
        <f>+C7*D11</f>
        <v>3536495.3333333335</v>
      </c>
    </row>
    <row r="12" spans="2:9">
      <c r="D12" s="726" t="s">
        <v>1437</v>
      </c>
      <c r="E12" s="858">
        <f>+E10+E11</f>
        <v>10144157.666666668</v>
      </c>
    </row>
    <row r="15" spans="2:9">
      <c r="B15" s="1405" t="str">
        <f>+B3</f>
        <v>FECHA EJECUTORIADA</v>
      </c>
      <c r="C15" s="815">
        <f>+C3</f>
        <v>44053</v>
      </c>
    </row>
    <row r="16" spans="2:9">
      <c r="B16" s="2686" t="s">
        <v>172</v>
      </c>
      <c r="C16" s="2686"/>
      <c r="D16" s="2686"/>
      <c r="E16" s="2686"/>
      <c r="F16" s="2686"/>
      <c r="G16" s="2686"/>
      <c r="H16" s="2686"/>
      <c r="I16" s="2686"/>
    </row>
    <row r="17" spans="1:9" ht="23.25" customHeight="1">
      <c r="B17" s="923" t="s">
        <v>147</v>
      </c>
      <c r="C17" s="923" t="s">
        <v>40</v>
      </c>
      <c r="D17" s="923" t="s">
        <v>148</v>
      </c>
      <c r="E17" s="970" t="s">
        <v>149</v>
      </c>
      <c r="F17" s="970" t="s">
        <v>43</v>
      </c>
      <c r="G17" s="970" t="s">
        <v>129</v>
      </c>
      <c r="H17" s="970" t="s">
        <v>86</v>
      </c>
      <c r="I17" s="970" t="s">
        <v>48</v>
      </c>
    </row>
    <row r="18" spans="1:9">
      <c r="A18" s="814">
        <v>1</v>
      </c>
      <c r="B18" s="800">
        <v>44054</v>
      </c>
      <c r="C18" s="800">
        <v>44074</v>
      </c>
      <c r="D18" s="1120">
        <v>2.7900000000000001E-2</v>
      </c>
      <c r="E18" s="1344">
        <v>0</v>
      </c>
      <c r="F18" s="909">
        <f t="shared" ref="F18:F27" si="0">+((1+D18)^(0.00273972602739726)-1)</f>
        <v>7.5394310601994974E-5</v>
      </c>
      <c r="G18" s="1616">
        <f t="shared" ref="G18:G46" si="1">+$E$12</f>
        <v>10144157.666666668</v>
      </c>
      <c r="H18" s="1131">
        <f t="shared" ref="H18:H35" si="2">_xlfn.DAYS(C18,B18)+1</f>
        <v>21</v>
      </c>
      <c r="I18" s="1356">
        <f t="shared" ref="I18:I43" si="3">ROUND(F18*G18*H18,2)</f>
        <v>16061.05</v>
      </c>
    </row>
    <row r="19" spans="1:9">
      <c r="A19" s="814">
        <v>2</v>
      </c>
      <c r="B19" s="800">
        <v>44075</v>
      </c>
      <c r="C19" s="800">
        <v>44104</v>
      </c>
      <c r="D19" s="1120">
        <v>2.3900000000000001E-2</v>
      </c>
      <c r="E19" s="1120">
        <v>0</v>
      </c>
      <c r="F19" s="909">
        <f t="shared" si="0"/>
        <v>6.4711314504917183E-5</v>
      </c>
      <c r="G19" s="1616">
        <f t="shared" si="1"/>
        <v>10144157.666666668</v>
      </c>
      <c r="H19" s="1131">
        <f t="shared" si="2"/>
        <v>30</v>
      </c>
      <c r="I19" s="1356">
        <f t="shared" si="3"/>
        <v>19693.25</v>
      </c>
    </row>
    <row r="20" spans="1:9">
      <c r="A20" s="814">
        <v>3</v>
      </c>
      <c r="B20" s="800">
        <v>44105</v>
      </c>
      <c r="C20" s="800">
        <v>44135</v>
      </c>
      <c r="D20" s="1120">
        <v>2.0299999999999999E-2</v>
      </c>
      <c r="E20" s="1120">
        <v>0</v>
      </c>
      <c r="F20" s="909">
        <f t="shared" si="0"/>
        <v>5.5060972509624051E-5</v>
      </c>
      <c r="G20" s="1616">
        <f t="shared" si="1"/>
        <v>10144157.666666668</v>
      </c>
      <c r="H20" s="1131">
        <f t="shared" si="2"/>
        <v>31</v>
      </c>
      <c r="I20" s="1356">
        <f t="shared" si="3"/>
        <v>17314.96</v>
      </c>
    </row>
    <row r="21" spans="1:9">
      <c r="A21" s="814">
        <v>4</v>
      </c>
      <c r="B21" s="800">
        <v>44136</v>
      </c>
      <c r="C21" s="800">
        <v>44165</v>
      </c>
      <c r="D21" s="1120">
        <v>1.9599999999999999E-2</v>
      </c>
      <c r="E21" s="1120">
        <v>0</v>
      </c>
      <c r="F21" s="909">
        <f t="shared" si="0"/>
        <v>5.3180574364875E-5</v>
      </c>
      <c r="G21" s="1616">
        <f t="shared" si="1"/>
        <v>10144157.666666668</v>
      </c>
      <c r="H21" s="1131">
        <f t="shared" si="2"/>
        <v>30</v>
      </c>
      <c r="I21" s="1356">
        <f t="shared" si="3"/>
        <v>16184.16</v>
      </c>
    </row>
    <row r="22" spans="1:9">
      <c r="A22" s="814">
        <v>5</v>
      </c>
      <c r="B22" s="800">
        <v>44166</v>
      </c>
      <c r="C22" s="800">
        <v>44196</v>
      </c>
      <c r="D22" s="1120">
        <v>1.9300000000000001E-2</v>
      </c>
      <c r="E22" s="1120">
        <v>0</v>
      </c>
      <c r="F22" s="909">
        <f t="shared" si="0"/>
        <v>5.2374295299806306E-5</v>
      </c>
      <c r="G22" s="1616">
        <f t="shared" si="1"/>
        <v>10144157.666666668</v>
      </c>
      <c r="H22" s="1131">
        <f t="shared" si="2"/>
        <v>31</v>
      </c>
      <c r="I22" s="1356">
        <f t="shared" si="3"/>
        <v>16470.09</v>
      </c>
    </row>
    <row r="23" spans="1:9">
      <c r="A23" s="814">
        <v>6</v>
      </c>
      <c r="B23" s="800">
        <v>44197</v>
      </c>
      <c r="C23" s="800">
        <v>44227</v>
      </c>
      <c r="D23" s="1120">
        <v>1.9099999999999999E-2</v>
      </c>
      <c r="E23" s="1120">
        <v>0</v>
      </c>
      <c r="F23" s="909">
        <f t="shared" si="0"/>
        <v>5.1836644438196799E-5</v>
      </c>
      <c r="G23" s="1616">
        <f t="shared" si="1"/>
        <v>10144157.666666668</v>
      </c>
      <c r="H23" s="1131">
        <f t="shared" si="2"/>
        <v>31</v>
      </c>
      <c r="I23" s="1356">
        <f t="shared" si="3"/>
        <v>16301.01</v>
      </c>
    </row>
    <row r="24" spans="1:9">
      <c r="A24" s="814">
        <v>7</v>
      </c>
      <c r="B24" s="800">
        <v>44228</v>
      </c>
      <c r="C24" s="800">
        <v>44255</v>
      </c>
      <c r="D24" s="1120">
        <v>1.8100000000000002E-2</v>
      </c>
      <c r="E24" s="1120">
        <v>0</v>
      </c>
      <c r="F24" s="909">
        <f t="shared" si="0"/>
        <v>4.9146810763511795E-5</v>
      </c>
      <c r="G24" s="1616">
        <f t="shared" si="1"/>
        <v>10144157.666666668</v>
      </c>
      <c r="H24" s="1131">
        <f t="shared" si="2"/>
        <v>28</v>
      </c>
      <c r="I24" s="1356">
        <f t="shared" si="3"/>
        <v>13959.48</v>
      </c>
    </row>
    <row r="25" spans="1:9">
      <c r="A25" s="814">
        <v>8</v>
      </c>
      <c r="B25" s="800">
        <v>44256</v>
      </c>
      <c r="C25" s="800">
        <v>44286</v>
      </c>
      <c r="D25" s="1120">
        <v>1.77E-2</v>
      </c>
      <c r="E25" s="1120">
        <v>0</v>
      </c>
      <c r="F25" s="909">
        <f t="shared" si="0"/>
        <v>4.8070139484934771E-5</v>
      </c>
      <c r="G25" s="1616">
        <f t="shared" si="1"/>
        <v>10144157.666666668</v>
      </c>
      <c r="H25" s="1131">
        <f t="shared" si="2"/>
        <v>31</v>
      </c>
      <c r="I25" s="1356">
        <f t="shared" si="3"/>
        <v>15116.56</v>
      </c>
    </row>
    <row r="26" spans="1:9">
      <c r="A26" s="814">
        <v>9</v>
      </c>
      <c r="B26" s="800">
        <v>44287</v>
      </c>
      <c r="C26" s="800">
        <v>44316</v>
      </c>
      <c r="D26" s="1120">
        <v>1.7600000000000001E-2</v>
      </c>
      <c r="E26" s="1120">
        <v>0</v>
      </c>
      <c r="F26" s="909">
        <f t="shared" si="0"/>
        <v>4.7800905724759701E-5</v>
      </c>
      <c r="G26" s="1616">
        <f t="shared" si="1"/>
        <v>10144157.666666668</v>
      </c>
      <c r="H26" s="1131">
        <f t="shared" si="2"/>
        <v>30</v>
      </c>
      <c r="I26" s="1356">
        <f t="shared" si="3"/>
        <v>14547</v>
      </c>
    </row>
    <row r="27" spans="1:9">
      <c r="A27" s="814">
        <v>10</v>
      </c>
      <c r="B27" s="800">
        <v>44317</v>
      </c>
      <c r="C27" s="800">
        <v>44347</v>
      </c>
      <c r="D27" s="1120">
        <v>1.8200000000000001E-2</v>
      </c>
      <c r="E27" s="1120">
        <v>0</v>
      </c>
      <c r="F27" s="909">
        <f t="shared" si="0"/>
        <v>4.9415912668715478E-5</v>
      </c>
      <c r="G27" s="1616">
        <f t="shared" si="1"/>
        <v>10144157.666666668</v>
      </c>
      <c r="H27" s="1131">
        <f t="shared" si="2"/>
        <v>31</v>
      </c>
      <c r="I27" s="1356">
        <f t="shared" si="3"/>
        <v>15539.77</v>
      </c>
    </row>
    <row r="28" spans="1:9">
      <c r="A28" s="814">
        <v>11</v>
      </c>
      <c r="B28" s="800">
        <v>44348</v>
      </c>
      <c r="C28" s="800">
        <v>44377</v>
      </c>
      <c r="D28" s="1120">
        <v>0.1721</v>
      </c>
      <c r="E28" s="1120">
        <f t="shared" ref="E28:E35" si="4">+D28*1.5</f>
        <v>0.25814999999999999</v>
      </c>
      <c r="F28" s="909">
        <f t="shared" ref="F28:F35" si="5">+((1+E28)^(0.00273972602739726)-1)</f>
        <v>6.2935518846773952E-4</v>
      </c>
      <c r="G28" s="1616">
        <f t="shared" si="1"/>
        <v>10144157.666666668</v>
      </c>
      <c r="H28" s="1131">
        <f t="shared" si="2"/>
        <v>30</v>
      </c>
      <c r="I28" s="1356">
        <f t="shared" si="3"/>
        <v>191528.35</v>
      </c>
    </row>
    <row r="29" spans="1:9">
      <c r="A29" s="814">
        <v>12</v>
      </c>
      <c r="B29" s="800">
        <v>44378</v>
      </c>
      <c r="C29" s="800">
        <v>44408</v>
      </c>
      <c r="D29" s="1120">
        <v>0.17180000000000001</v>
      </c>
      <c r="E29" s="1120">
        <f t="shared" si="4"/>
        <v>0.25770000000000004</v>
      </c>
      <c r="F29" s="909">
        <f t="shared" si="5"/>
        <v>6.2837448450037137E-4</v>
      </c>
      <c r="G29" s="1616">
        <f t="shared" si="1"/>
        <v>10144157.666666668</v>
      </c>
      <c r="H29" s="1131">
        <f t="shared" si="2"/>
        <v>31</v>
      </c>
      <c r="I29" s="1356">
        <f t="shared" si="3"/>
        <v>197604.23</v>
      </c>
    </row>
    <row r="30" spans="1:9">
      <c r="A30" s="814">
        <v>13</v>
      </c>
      <c r="B30" s="800">
        <v>44409</v>
      </c>
      <c r="C30" s="800">
        <v>44439</v>
      </c>
      <c r="D30" s="1120">
        <v>0.1724</v>
      </c>
      <c r="E30" s="1120">
        <f t="shared" si="4"/>
        <v>0.2586</v>
      </c>
      <c r="F30" s="909">
        <f t="shared" si="5"/>
        <v>6.3033554269220637E-4</v>
      </c>
      <c r="G30" s="1616">
        <f t="shared" si="1"/>
        <v>10144157.666666668</v>
      </c>
      <c r="H30" s="1131">
        <f t="shared" si="2"/>
        <v>31</v>
      </c>
      <c r="I30" s="1356">
        <f t="shared" si="3"/>
        <v>198220.92</v>
      </c>
    </row>
    <row r="31" spans="1:9">
      <c r="A31" s="814">
        <v>14</v>
      </c>
      <c r="B31" s="800">
        <v>44440</v>
      </c>
      <c r="C31" s="800">
        <v>44469</v>
      </c>
      <c r="D31" s="1120">
        <v>0.1719</v>
      </c>
      <c r="E31" s="1120">
        <f t="shared" si="4"/>
        <v>0.25785000000000002</v>
      </c>
      <c r="F31" s="909">
        <f t="shared" si="5"/>
        <v>6.2870142469861889E-4</v>
      </c>
      <c r="G31" s="1616">
        <f t="shared" si="1"/>
        <v>10144157.666666668</v>
      </c>
      <c r="H31" s="1131">
        <f t="shared" si="2"/>
        <v>30</v>
      </c>
      <c r="I31" s="1356">
        <f t="shared" si="3"/>
        <v>191329.39</v>
      </c>
    </row>
    <row r="32" spans="1:9">
      <c r="A32" s="814">
        <v>15</v>
      </c>
      <c r="B32" s="800">
        <v>44470</v>
      </c>
      <c r="C32" s="800">
        <v>44500</v>
      </c>
      <c r="D32" s="1120">
        <v>0.17080000000000001</v>
      </c>
      <c r="E32" s="1120">
        <f t="shared" si="4"/>
        <v>0.25619999999999998</v>
      </c>
      <c r="F32" s="909">
        <f t="shared" si="5"/>
        <v>6.2510294214179751E-4</v>
      </c>
      <c r="G32" s="1616">
        <f t="shared" si="1"/>
        <v>10144157.666666668</v>
      </c>
      <c r="H32" s="1131">
        <f t="shared" si="2"/>
        <v>31</v>
      </c>
      <c r="I32" s="1356">
        <f t="shared" si="3"/>
        <v>196575.43</v>
      </c>
    </row>
    <row r="33" spans="1:9">
      <c r="A33" s="814">
        <v>16</v>
      </c>
      <c r="B33" s="800">
        <v>44501</v>
      </c>
      <c r="C33" s="800">
        <v>44530</v>
      </c>
      <c r="D33" s="1120">
        <v>0.17269999999999999</v>
      </c>
      <c r="E33" s="1120">
        <f t="shared" si="4"/>
        <v>0.25905</v>
      </c>
      <c r="F33" s="909">
        <f t="shared" si="5"/>
        <v>6.3131554742335005E-4</v>
      </c>
      <c r="G33" s="1616">
        <f t="shared" si="1"/>
        <v>10144157.666666668</v>
      </c>
      <c r="H33" s="1131">
        <f t="shared" si="2"/>
        <v>30</v>
      </c>
      <c r="I33" s="1356">
        <f t="shared" si="3"/>
        <v>192124.93</v>
      </c>
    </row>
    <row r="34" spans="1:9">
      <c r="A34" s="814">
        <v>17</v>
      </c>
      <c r="B34" s="800">
        <v>44531</v>
      </c>
      <c r="C34" s="800">
        <v>44561</v>
      </c>
      <c r="D34" s="1120">
        <v>0.17460000000000001</v>
      </c>
      <c r="E34" s="1120">
        <f t="shared" si="4"/>
        <v>0.26190000000000002</v>
      </c>
      <c r="F34" s="909">
        <f t="shared" si="5"/>
        <v>6.3751414410861962E-4</v>
      </c>
      <c r="G34" s="1616">
        <f t="shared" si="1"/>
        <v>10144157.666666668</v>
      </c>
      <c r="H34" s="1131">
        <f t="shared" si="2"/>
        <v>31</v>
      </c>
      <c r="I34" s="1356">
        <f t="shared" si="3"/>
        <v>200478.36</v>
      </c>
    </row>
    <row r="35" spans="1:9">
      <c r="A35" s="814">
        <v>18</v>
      </c>
      <c r="B35" s="800">
        <v>44562</v>
      </c>
      <c r="C35" s="800">
        <v>44592</v>
      </c>
      <c r="D35" s="1120">
        <v>0.17660000000000001</v>
      </c>
      <c r="E35" s="1120">
        <f t="shared" si="4"/>
        <v>0.26490000000000002</v>
      </c>
      <c r="F35" s="909">
        <f t="shared" si="5"/>
        <v>6.4402391816376081E-4</v>
      </c>
      <c r="G35" s="1616">
        <f t="shared" si="1"/>
        <v>10144157.666666668</v>
      </c>
      <c r="H35" s="1131">
        <f t="shared" si="2"/>
        <v>31</v>
      </c>
      <c r="I35" s="1356">
        <f t="shared" si="3"/>
        <v>202525.49</v>
      </c>
    </row>
    <row r="36" spans="1:9">
      <c r="A36" s="814">
        <v>19</v>
      </c>
      <c r="B36" s="800">
        <v>44593</v>
      </c>
      <c r="C36" s="800">
        <v>44620</v>
      </c>
      <c r="D36" s="1120">
        <v>0.183</v>
      </c>
      <c r="E36" s="1120">
        <f t="shared" ref="E36:E44" si="6">+D36*1.5</f>
        <v>0.27449999999999997</v>
      </c>
      <c r="F36" s="909">
        <f t="shared" ref="F36:F44" si="7">+((1+E36)^(0.00273972602739726)-1)</f>
        <v>6.6475220558892545E-4</v>
      </c>
      <c r="G36" s="1616">
        <f t="shared" si="1"/>
        <v>10144157.666666668</v>
      </c>
      <c r="H36" s="1131">
        <f t="shared" ref="H36:H44" si="8">_xlfn.DAYS(C36,B36)+1</f>
        <v>28</v>
      </c>
      <c r="I36" s="1356">
        <f t="shared" si="3"/>
        <v>188813.83</v>
      </c>
    </row>
    <row r="37" spans="1:9">
      <c r="A37" s="814">
        <v>20</v>
      </c>
      <c r="B37" s="800">
        <v>44621</v>
      </c>
      <c r="C37" s="800">
        <v>44651</v>
      </c>
      <c r="D37" s="1120">
        <v>0.1847</v>
      </c>
      <c r="E37" s="1120">
        <f t="shared" si="6"/>
        <v>0.27705000000000002</v>
      </c>
      <c r="F37" s="909">
        <f t="shared" si="7"/>
        <v>6.7023198611315671E-4</v>
      </c>
      <c r="G37" s="1616">
        <f t="shared" si="1"/>
        <v>10144157.666666668</v>
      </c>
      <c r="H37" s="1131">
        <f t="shared" si="8"/>
        <v>31</v>
      </c>
      <c r="I37" s="1356">
        <f t="shared" si="3"/>
        <v>210767.11</v>
      </c>
    </row>
    <row r="38" spans="1:9">
      <c r="A38" s="814">
        <v>21</v>
      </c>
      <c r="B38" s="800">
        <v>44652</v>
      </c>
      <c r="C38" s="800">
        <v>44681</v>
      </c>
      <c r="D38" s="1120">
        <v>0.1905</v>
      </c>
      <c r="E38" s="1120">
        <f t="shared" si="6"/>
        <v>0.28575</v>
      </c>
      <c r="F38" s="909">
        <f t="shared" si="7"/>
        <v>6.8884592812357148E-4</v>
      </c>
      <c r="G38" s="1616">
        <f t="shared" si="1"/>
        <v>10144157.666666668</v>
      </c>
      <c r="H38" s="1131">
        <f t="shared" si="8"/>
        <v>30</v>
      </c>
      <c r="I38" s="1356">
        <f t="shared" si="3"/>
        <v>209632.85</v>
      </c>
    </row>
    <row r="39" spans="1:9">
      <c r="A39" s="814">
        <v>22</v>
      </c>
      <c r="B39" s="800">
        <v>44682</v>
      </c>
      <c r="C39" s="800">
        <v>44712</v>
      </c>
      <c r="D39" s="1120">
        <v>0.1971</v>
      </c>
      <c r="E39" s="1120">
        <f t="shared" si="6"/>
        <v>0.29564999999999997</v>
      </c>
      <c r="F39" s="909">
        <f t="shared" si="7"/>
        <v>7.0987512909947981E-4</v>
      </c>
      <c r="G39" s="1616">
        <f t="shared" si="1"/>
        <v>10144157.666666668</v>
      </c>
      <c r="H39" s="1131">
        <f t="shared" si="8"/>
        <v>31</v>
      </c>
      <c r="I39" s="1356">
        <f t="shared" si="3"/>
        <v>223233.64</v>
      </c>
    </row>
    <row r="40" spans="1:9">
      <c r="A40" s="814">
        <v>23</v>
      </c>
      <c r="B40" s="800">
        <v>44713</v>
      </c>
      <c r="C40" s="800">
        <v>44742</v>
      </c>
      <c r="D40" s="1120">
        <v>0.20399999999999999</v>
      </c>
      <c r="E40" s="1120">
        <f t="shared" si="6"/>
        <v>0.30599999999999999</v>
      </c>
      <c r="F40" s="909">
        <f t="shared" si="7"/>
        <v>7.3168955664093538E-4</v>
      </c>
      <c r="G40" s="1616">
        <f t="shared" si="1"/>
        <v>10144157.666666668</v>
      </c>
      <c r="H40" s="1131">
        <f t="shared" si="8"/>
        <v>30</v>
      </c>
      <c r="I40" s="1356">
        <f t="shared" si="3"/>
        <v>222671.23</v>
      </c>
    </row>
    <row r="41" spans="1:9">
      <c r="A41" s="814">
        <v>24</v>
      </c>
      <c r="B41" s="800">
        <v>44743</v>
      </c>
      <c r="C41" s="800">
        <v>44773</v>
      </c>
      <c r="D41" s="1120">
        <v>0.21279999999999999</v>
      </c>
      <c r="E41" s="1120">
        <f t="shared" si="6"/>
        <v>0.31919999999999998</v>
      </c>
      <c r="F41" s="909">
        <f t="shared" si="7"/>
        <v>7.5926204501630679E-4</v>
      </c>
      <c r="G41" s="1616">
        <f t="shared" si="1"/>
        <v>10144157.666666668</v>
      </c>
      <c r="H41" s="1131">
        <f t="shared" si="8"/>
        <v>31</v>
      </c>
      <c r="I41" s="1356">
        <f t="shared" si="3"/>
        <v>238764.29</v>
      </c>
    </row>
    <row r="42" spans="1:9">
      <c r="A42" s="814">
        <v>25</v>
      </c>
      <c r="B42" s="800">
        <v>44774</v>
      </c>
      <c r="C42" s="800">
        <v>44804</v>
      </c>
      <c r="D42" s="1120">
        <v>0.22209999999999999</v>
      </c>
      <c r="E42" s="1120">
        <f t="shared" si="6"/>
        <v>0.33315</v>
      </c>
      <c r="F42" s="909">
        <f t="shared" si="7"/>
        <v>7.8810371394433254E-4</v>
      </c>
      <c r="G42" s="1616">
        <f t="shared" si="1"/>
        <v>10144157.666666668</v>
      </c>
      <c r="H42" s="1131">
        <f t="shared" si="8"/>
        <v>31</v>
      </c>
      <c r="I42" s="1356">
        <f t="shared" si="3"/>
        <v>247834.1</v>
      </c>
    </row>
    <row r="43" spans="1:9">
      <c r="A43" s="814">
        <v>26</v>
      </c>
      <c r="B43" s="800">
        <v>44805</v>
      </c>
      <c r="C43" s="800">
        <v>44834</v>
      </c>
      <c r="D43" s="1120">
        <v>0.23499999999999999</v>
      </c>
      <c r="E43" s="1120">
        <f t="shared" si="6"/>
        <v>0.35249999999999998</v>
      </c>
      <c r="F43" s="909">
        <f t="shared" si="7"/>
        <v>8.2761552252574866E-4</v>
      </c>
      <c r="G43" s="1616">
        <f t="shared" si="1"/>
        <v>10144157.666666668</v>
      </c>
      <c r="H43" s="1131">
        <f t="shared" si="8"/>
        <v>30</v>
      </c>
      <c r="I43" s="1356">
        <f t="shared" si="3"/>
        <v>251863.87</v>
      </c>
    </row>
    <row r="44" spans="1:9">
      <c r="A44" s="814">
        <v>27</v>
      </c>
      <c r="B44" s="800">
        <v>44835</v>
      </c>
      <c r="C44" s="800">
        <v>44865</v>
      </c>
      <c r="D44" s="1120">
        <v>0.24610000000000001</v>
      </c>
      <c r="E44" s="1120">
        <f t="shared" si="6"/>
        <v>0.36915000000000003</v>
      </c>
      <c r="F44" s="909">
        <f t="shared" si="7"/>
        <v>8.611654102768096E-4</v>
      </c>
      <c r="G44" s="1616">
        <f t="shared" si="1"/>
        <v>10144157.666666668</v>
      </c>
      <c r="H44" s="1131">
        <f t="shared" si="8"/>
        <v>31</v>
      </c>
      <c r="I44" s="1356">
        <f>ROUND(F44*G44*H44,2)</f>
        <v>270809.73</v>
      </c>
    </row>
    <row r="45" spans="1:9">
      <c r="A45" s="814">
        <v>28</v>
      </c>
      <c r="B45" s="800">
        <v>44866</v>
      </c>
      <c r="C45" s="800">
        <v>44895</v>
      </c>
      <c r="D45" s="1120">
        <v>0.25779999999999997</v>
      </c>
      <c r="E45" s="1120">
        <f t="shared" ref="E45:E46" si="9">+D45*1.5</f>
        <v>0.38669999999999993</v>
      </c>
      <c r="F45" s="909">
        <f t="shared" ref="F45:F46" si="10">+((1+E45)^(0.00273972602739726)-1)</f>
        <v>8.9609117817124329E-4</v>
      </c>
      <c r="G45" s="1616">
        <f t="shared" si="1"/>
        <v>10144157.666666668</v>
      </c>
      <c r="H45" s="1131">
        <f t="shared" ref="H45:H46" si="11">_xlfn.DAYS(C45,B45)+1</f>
        <v>30</v>
      </c>
      <c r="I45" s="1356">
        <f t="shared" ref="I45" si="12">ROUND(F45*G45*H45,2)</f>
        <v>272702.71000000002</v>
      </c>
    </row>
    <row r="46" spans="1:9">
      <c r="A46" s="814">
        <v>29</v>
      </c>
      <c r="B46" s="800">
        <v>44896</v>
      </c>
      <c r="C46" s="800">
        <v>44922</v>
      </c>
      <c r="D46" s="1120">
        <v>0.27639999999999998</v>
      </c>
      <c r="E46" s="1120">
        <f t="shared" si="9"/>
        <v>0.41459999999999997</v>
      </c>
      <c r="F46" s="909">
        <f t="shared" si="10"/>
        <v>9.5071686592063109E-4</v>
      </c>
      <c r="G46" s="1616">
        <f t="shared" si="1"/>
        <v>10144157.666666668</v>
      </c>
      <c r="H46" s="1131">
        <f t="shared" si="11"/>
        <v>27</v>
      </c>
      <c r="I46" s="1356">
        <f>ROUND(F46*G46*H46,2)</f>
        <v>260393.99</v>
      </c>
    </row>
    <row r="47" spans="1:9">
      <c r="G47" s="2591" t="s">
        <v>1438</v>
      </c>
      <c r="H47" s="2591"/>
      <c r="I47" s="1616">
        <f>SUM(I18:I46)</f>
        <v>4329061.78</v>
      </c>
    </row>
    <row r="49" spans="2:4">
      <c r="B49" s="2591" t="s">
        <v>55</v>
      </c>
      <c r="C49" s="2591"/>
      <c r="D49" s="2591"/>
    </row>
    <row r="50" spans="2:4">
      <c r="B50" s="2583" t="s">
        <v>1041</v>
      </c>
      <c r="C50" s="2584"/>
      <c r="D50" s="1356">
        <f>+G18</f>
        <v>10144157.666666668</v>
      </c>
    </row>
    <row r="51" spans="2:4">
      <c r="B51" s="2583" t="s">
        <v>1042</v>
      </c>
      <c r="C51" s="2584"/>
      <c r="D51" s="1356">
        <f>+I47</f>
        <v>4329061.78</v>
      </c>
    </row>
    <row r="52" spans="2:4">
      <c r="B52" s="741" t="s">
        <v>1439</v>
      </c>
      <c r="D52" s="1356">
        <f>+E12*1%</f>
        <v>101441.57666666668</v>
      </c>
    </row>
    <row r="53" spans="2:4">
      <c r="B53" s="741" t="s">
        <v>1043</v>
      </c>
      <c r="C53" s="741"/>
      <c r="D53" s="1356">
        <f>SUM(D50:D52)</f>
        <v>14574661.023333335</v>
      </c>
    </row>
    <row r="55" spans="2:4">
      <c r="B55" s="1618" t="s">
        <v>62</v>
      </c>
    </row>
    <row r="56" spans="2:4">
      <c r="B56" s="911"/>
    </row>
    <row r="57" spans="2:4">
      <c r="B57" s="911"/>
    </row>
    <row r="58" spans="2:4">
      <c r="B58" s="1618" t="s">
        <v>63</v>
      </c>
    </row>
    <row r="59" spans="2:4">
      <c r="B59" s="1618" t="s">
        <v>64</v>
      </c>
    </row>
    <row r="60" spans="2:4">
      <c r="B60" s="1618" t="s">
        <v>65</v>
      </c>
    </row>
  </sheetData>
  <mergeCells count="5">
    <mergeCell ref="G47:H47"/>
    <mergeCell ref="B49:D49"/>
    <mergeCell ref="B50:C50"/>
    <mergeCell ref="B51:C51"/>
    <mergeCell ref="B16:I16"/>
  </mergeCells>
  <pageMargins left="0.7" right="0.7" top="0.75" bottom="0.75" header="0.3" footer="0.3"/>
  <pageSetup paperSize="9" scale="75"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DABAC-CA36-4E66-9AFE-F741E1D9D046}">
  <sheetPr codeName="Hoja107"/>
  <dimension ref="A3:I124"/>
  <sheetViews>
    <sheetView topLeftCell="A107" zoomScale="120" zoomScaleNormal="120" workbookViewId="0">
      <selection activeCell="E121" sqref="E121"/>
    </sheetView>
  </sheetViews>
  <sheetFormatPr defaultColWidth="11.42578125" defaultRowHeight="12.75"/>
  <cols>
    <col min="1" max="1" width="17.5703125" style="1927" bestFit="1" customWidth="1"/>
    <col min="2" max="2" width="11.42578125" style="1927"/>
    <col min="3" max="3" width="11.5703125" style="1927" customWidth="1"/>
    <col min="4" max="5" width="15.28515625" style="1927" customWidth="1"/>
    <col min="6" max="6" width="13.85546875" style="1927" bestFit="1" customWidth="1"/>
    <col min="7" max="7" width="14.140625" style="1927" bestFit="1" customWidth="1"/>
    <col min="8" max="8" width="14.42578125" style="1927" bestFit="1" customWidth="1"/>
    <col min="9" max="16384" width="11.42578125" style="1927"/>
  </cols>
  <sheetData>
    <row r="3" spans="1:9">
      <c r="A3" s="1926" t="s">
        <v>508</v>
      </c>
      <c r="B3" s="1329" t="s">
        <v>1440</v>
      </c>
    </row>
    <row r="4" spans="1:9">
      <c r="A4" s="1926" t="s">
        <v>814</v>
      </c>
      <c r="B4" s="1329" t="s">
        <v>128</v>
      </c>
    </row>
    <row r="5" spans="1:9">
      <c r="A5" s="1926" t="s">
        <v>220</v>
      </c>
      <c r="B5" s="1329" t="s">
        <v>1441</v>
      </c>
    </row>
    <row r="6" spans="1:9">
      <c r="A6" s="1926" t="s">
        <v>1338</v>
      </c>
      <c r="B6" s="1329"/>
    </row>
    <row r="7" spans="1:9">
      <c r="A7" s="1926" t="s">
        <v>700</v>
      </c>
      <c r="B7" s="1329" t="s">
        <v>820</v>
      </c>
    </row>
    <row r="8" spans="1:9" ht="25.5">
      <c r="A8" s="1928" t="s">
        <v>1002</v>
      </c>
      <c r="B8" s="1329"/>
    </row>
    <row r="11" spans="1:9">
      <c r="A11" s="2803" t="s">
        <v>1442</v>
      </c>
      <c r="B11" s="2803"/>
      <c r="C11" s="2803"/>
      <c r="D11" s="2803"/>
      <c r="E11" s="2803"/>
      <c r="F11" s="2803"/>
      <c r="G11" s="1437">
        <v>380130075</v>
      </c>
    </row>
    <row r="12" spans="1:9" ht="38.25" customHeight="1">
      <c r="A12" s="2558" t="s">
        <v>1443</v>
      </c>
      <c r="B12" s="2558"/>
      <c r="C12" s="2727" t="s">
        <v>1435</v>
      </c>
      <c r="D12" s="2727" t="s">
        <v>1444</v>
      </c>
      <c r="E12" s="2727" t="s">
        <v>1445</v>
      </c>
      <c r="F12" s="2727" t="s">
        <v>1446</v>
      </c>
      <c r="G12" s="2727" t="s">
        <v>1447</v>
      </c>
    </row>
    <row r="13" spans="1:9">
      <c r="A13" s="793" t="s">
        <v>1448</v>
      </c>
      <c r="B13" s="793" t="s">
        <v>963</v>
      </c>
      <c r="C13" s="2727"/>
      <c r="D13" s="2727"/>
      <c r="E13" s="2727"/>
      <c r="F13" s="2727"/>
      <c r="G13" s="2727"/>
    </row>
    <row r="14" spans="1:9">
      <c r="A14" s="1331">
        <v>41856</v>
      </c>
      <c r="B14" s="1331">
        <v>41912</v>
      </c>
      <c r="C14" s="931">
        <f>+_xlfn.DAYS(B14,A14)+1</f>
        <v>57</v>
      </c>
      <c r="D14" s="1876">
        <v>0.1933</v>
      </c>
      <c r="E14" s="1876">
        <f>D14*1.5</f>
        <v>0.28994999999999999</v>
      </c>
      <c r="F14" s="1877">
        <f>((1+E14)^(1/365)-1)</f>
        <v>6.9778706056067286E-4</v>
      </c>
      <c r="G14" s="1356">
        <f>ROUND(C14*$G$11*F14,2)</f>
        <v>15119241.32</v>
      </c>
      <c r="I14" s="1929"/>
    </row>
    <row r="15" spans="1:9">
      <c r="A15" s="1331">
        <v>41913</v>
      </c>
      <c r="B15" s="1331">
        <v>42004</v>
      </c>
      <c r="C15" s="931">
        <f>+_xlfn.DAYS(B15,A15)+1</f>
        <v>92</v>
      </c>
      <c r="D15" s="1876">
        <v>0.19170000000000001</v>
      </c>
      <c r="E15" s="1876">
        <f>D15*1.5</f>
        <v>0.28755000000000003</v>
      </c>
      <c r="F15" s="1877">
        <f>((1+E15)^(1/365)-1)</f>
        <v>6.9268140331879557E-4</v>
      </c>
      <c r="G15" s="1356">
        <f>ROUND(C15*$G$11*F15,2)</f>
        <v>24224431.109999999</v>
      </c>
    </row>
    <row r="16" spans="1:9">
      <c r="A16" s="1331">
        <v>42005</v>
      </c>
      <c r="B16" s="1331">
        <v>42094</v>
      </c>
      <c r="C16" s="931">
        <f>+_xlfn.DAYS(B16,A16)+1</f>
        <v>90</v>
      </c>
      <c r="D16" s="1876">
        <v>0.19209999999999999</v>
      </c>
      <c r="E16" s="1876">
        <f>D16*1.5</f>
        <v>0.28815000000000002</v>
      </c>
      <c r="F16" s="1877">
        <f>((1+E16)^(1/365)-1)</f>
        <v>6.9395870684818561E-4</v>
      </c>
      <c r="G16" s="1356">
        <f>ROUND(C16*$G$11*F16,2)</f>
        <v>23741511.780000001</v>
      </c>
    </row>
    <row r="17" spans="1:8">
      <c r="A17" s="1331">
        <v>42095</v>
      </c>
      <c r="B17" s="1331">
        <v>42185</v>
      </c>
      <c r="C17" s="931">
        <f>+_xlfn.DAYS(B17,A17)+1</f>
        <v>91</v>
      </c>
      <c r="D17" s="1876">
        <v>0.19370000000000001</v>
      </c>
      <c r="E17" s="1876">
        <f>D17*1.5</f>
        <v>0.29055000000000003</v>
      </c>
      <c r="F17" s="1877">
        <f>((1+E17)^(1/365)-1)</f>
        <v>6.9906199467517638E-4</v>
      </c>
      <c r="G17" s="1356">
        <f>ROUND(C17*$G$11*F17,2)</f>
        <v>24181838.449999999</v>
      </c>
    </row>
    <row r="18" spans="1:8">
      <c r="A18" s="1331">
        <v>42186</v>
      </c>
      <c r="B18" s="1331">
        <v>42216</v>
      </c>
      <c r="C18" s="931">
        <f>+_xlfn.DAYS(B18,A18)+1</f>
        <v>31</v>
      </c>
      <c r="D18" s="1876">
        <v>0.19259999999999999</v>
      </c>
      <c r="E18" s="1876">
        <f>D18*1.5</f>
        <v>0.28889999999999999</v>
      </c>
      <c r="F18" s="1877">
        <f>((1+E18)^(1/365)-1)</f>
        <v>6.9555450216518544E-4</v>
      </c>
      <c r="G18" s="1356">
        <f>ROUND(C18*$G$11*F18,2)</f>
        <v>8196436.7400000002</v>
      </c>
    </row>
    <row r="19" spans="1:8">
      <c r="A19" s="2799" t="s">
        <v>1449</v>
      </c>
      <c r="B19" s="2800"/>
      <c r="C19" s="2800"/>
      <c r="D19" s="2800"/>
      <c r="E19" s="2800"/>
      <c r="F19" s="2801"/>
      <c r="G19" s="952">
        <f>SUM(G14:G18)</f>
        <v>95463459.399999991</v>
      </c>
      <c r="H19" s="1930"/>
    </row>
    <row r="20" spans="1:8">
      <c r="A20" s="2799" t="s">
        <v>1192</v>
      </c>
      <c r="B20" s="2800"/>
      <c r="C20" s="2800"/>
      <c r="D20" s="2800"/>
      <c r="E20" s="2800"/>
      <c r="F20" s="2801"/>
      <c r="G20" s="952">
        <f>G11+G19</f>
        <v>475593534.39999998</v>
      </c>
    </row>
    <row r="21" spans="1:8">
      <c r="A21" s="2799" t="s">
        <v>1450</v>
      </c>
      <c r="B21" s="2800"/>
      <c r="C21" s="2800"/>
      <c r="D21" s="2800"/>
      <c r="E21" s="2800"/>
      <c r="F21" s="2801"/>
      <c r="G21" s="952">
        <v>216674090</v>
      </c>
    </row>
    <row r="22" spans="1:8">
      <c r="A22" s="2799" t="s">
        <v>1451</v>
      </c>
      <c r="B22" s="2800"/>
      <c r="C22" s="2800"/>
      <c r="D22" s="2800"/>
      <c r="E22" s="2800"/>
      <c r="F22" s="2801"/>
      <c r="G22" s="952">
        <f>G20-G21</f>
        <v>258919444.39999998</v>
      </c>
      <c r="H22" s="1931"/>
    </row>
    <row r="25" spans="1:8">
      <c r="A25" s="2802" t="s">
        <v>1442</v>
      </c>
      <c r="B25" s="2802"/>
      <c r="C25" s="2802"/>
      <c r="D25" s="2802"/>
      <c r="E25" s="2802"/>
      <c r="F25" s="2802"/>
      <c r="G25" s="829">
        <v>258919444</v>
      </c>
    </row>
    <row r="26" spans="1:8">
      <c r="A26" s="2558" t="s">
        <v>1443</v>
      </c>
      <c r="B26" s="2558"/>
      <c r="C26" s="2727" t="s">
        <v>1435</v>
      </c>
      <c r="D26" s="2727" t="s">
        <v>1444</v>
      </c>
      <c r="E26" s="2727" t="s">
        <v>1445</v>
      </c>
      <c r="F26" s="2727" t="s">
        <v>1446</v>
      </c>
      <c r="G26" s="2727" t="s">
        <v>1447</v>
      </c>
    </row>
    <row r="27" spans="1:8" ht="21.75" customHeight="1">
      <c r="A27" s="793" t="s">
        <v>1448</v>
      </c>
      <c r="B27" s="793" t="s">
        <v>963</v>
      </c>
      <c r="C27" s="2727"/>
      <c r="D27" s="2727"/>
      <c r="E27" s="2727"/>
      <c r="F27" s="2727"/>
      <c r="G27" s="2727"/>
    </row>
    <row r="28" spans="1:8">
      <c r="A28" s="1331">
        <v>42217</v>
      </c>
      <c r="B28" s="1331">
        <v>42277</v>
      </c>
      <c r="C28" s="931">
        <f t="shared" ref="C28:C34" si="0">+_xlfn.DAYS(B28,A28)+1</f>
        <v>61</v>
      </c>
      <c r="D28" s="1876">
        <v>0.19259999999999999</v>
      </c>
      <c r="E28" s="1876">
        <f>D28*1.5</f>
        <v>0.28889999999999999</v>
      </c>
      <c r="F28" s="1877">
        <f t="shared" ref="F28:F34" si="1">((1+E28)^(1/365)-1)</f>
        <v>6.9555450216518544E-4</v>
      </c>
      <c r="G28" s="1356">
        <f t="shared" ref="G28:G34" si="2">ROUND(C28*$G$25*F28,2)</f>
        <v>10985647.68</v>
      </c>
    </row>
    <row r="29" spans="1:8">
      <c r="A29" s="1331">
        <v>42278</v>
      </c>
      <c r="B29" s="1331">
        <v>42369</v>
      </c>
      <c r="C29" s="931">
        <f t="shared" si="0"/>
        <v>92</v>
      </c>
      <c r="D29" s="1876">
        <v>0.1933</v>
      </c>
      <c r="E29" s="1876">
        <f t="shared" ref="E29:E34" si="3">D29*1.5</f>
        <v>0.28994999999999999</v>
      </c>
      <c r="F29" s="1877">
        <f t="shared" si="1"/>
        <v>6.9778706056067286E-4</v>
      </c>
      <c r="G29" s="1356">
        <f t="shared" si="2"/>
        <v>16621698.67</v>
      </c>
    </row>
    <row r="30" spans="1:8">
      <c r="A30" s="1331">
        <v>42370</v>
      </c>
      <c r="B30" s="1331">
        <v>42460</v>
      </c>
      <c r="C30" s="931">
        <f t="shared" si="0"/>
        <v>91</v>
      </c>
      <c r="D30" s="1876">
        <v>0.1968</v>
      </c>
      <c r="E30" s="1876">
        <f t="shared" si="3"/>
        <v>0.29520000000000002</v>
      </c>
      <c r="F30" s="1877">
        <f t="shared" si="1"/>
        <v>7.0892273793354832E-4</v>
      </c>
      <c r="G30" s="1356">
        <f t="shared" si="2"/>
        <v>16703403.18</v>
      </c>
    </row>
    <row r="31" spans="1:8">
      <c r="A31" s="1331">
        <v>42461</v>
      </c>
      <c r="B31" s="1331">
        <v>42551</v>
      </c>
      <c r="C31" s="931">
        <f t="shared" si="0"/>
        <v>91</v>
      </c>
      <c r="D31" s="1876">
        <v>0.2054</v>
      </c>
      <c r="E31" s="1876">
        <f t="shared" si="3"/>
        <v>0.30809999999999998</v>
      </c>
      <c r="F31" s="1877">
        <f t="shared" si="1"/>
        <v>7.3609462782320279E-4</v>
      </c>
      <c r="G31" s="1356">
        <f t="shared" si="2"/>
        <v>17343618.27</v>
      </c>
    </row>
    <row r="32" spans="1:8">
      <c r="A32" s="1331">
        <v>42552</v>
      </c>
      <c r="B32" s="1331">
        <v>42643</v>
      </c>
      <c r="C32" s="931">
        <f t="shared" si="0"/>
        <v>92</v>
      </c>
      <c r="D32" s="1876">
        <v>0.21340000000000001</v>
      </c>
      <c r="E32" s="1876">
        <f t="shared" si="3"/>
        <v>0.3201</v>
      </c>
      <c r="F32" s="1877">
        <f t="shared" si="1"/>
        <v>7.6113195596128058E-4</v>
      </c>
      <c r="G32" s="1356">
        <f t="shared" si="2"/>
        <v>18130611.379999999</v>
      </c>
    </row>
    <row r="33" spans="1:7">
      <c r="A33" s="1331">
        <v>42644</v>
      </c>
      <c r="B33" s="1331">
        <v>42735</v>
      </c>
      <c r="C33" s="931">
        <f t="shared" si="0"/>
        <v>92</v>
      </c>
      <c r="D33" s="1876">
        <v>0.21990000000000001</v>
      </c>
      <c r="E33" s="1876">
        <f t="shared" si="3"/>
        <v>0.32985000000000003</v>
      </c>
      <c r="F33" s="1877">
        <f t="shared" si="1"/>
        <v>7.8130822380240161E-4</v>
      </c>
      <c r="G33" s="1356">
        <f t="shared" si="2"/>
        <v>18611221.960000001</v>
      </c>
    </row>
    <row r="34" spans="1:7">
      <c r="A34" s="1331">
        <v>42736</v>
      </c>
      <c r="B34" s="1331">
        <v>42794</v>
      </c>
      <c r="C34" s="931">
        <f t="shared" si="0"/>
        <v>59</v>
      </c>
      <c r="D34" s="1876">
        <v>0.22339999999999999</v>
      </c>
      <c r="E34" s="1876">
        <f t="shared" si="3"/>
        <v>0.33509999999999995</v>
      </c>
      <c r="F34" s="1877">
        <f t="shared" si="1"/>
        <v>7.9211135028089963E-4</v>
      </c>
      <c r="G34" s="1356">
        <f t="shared" si="2"/>
        <v>12100488.789999999</v>
      </c>
    </row>
    <row r="35" spans="1:7">
      <c r="A35" s="2799" t="s">
        <v>1449</v>
      </c>
      <c r="B35" s="2800"/>
      <c r="C35" s="2800"/>
      <c r="D35" s="2800"/>
      <c r="E35" s="2800"/>
      <c r="F35" s="2801"/>
      <c r="G35" s="1356">
        <f>SUM(G28:G34)</f>
        <v>110496689.92999998</v>
      </c>
    </row>
    <row r="36" spans="1:7">
      <c r="A36" s="2799" t="s">
        <v>1192</v>
      </c>
      <c r="B36" s="2800"/>
      <c r="C36" s="2800"/>
      <c r="D36" s="2800"/>
      <c r="E36" s="2800"/>
      <c r="F36" s="2801"/>
      <c r="G36" s="1356">
        <f>G25+G35</f>
        <v>369416133.92999995</v>
      </c>
    </row>
    <row r="37" spans="1:7">
      <c r="A37" s="2799" t="s">
        <v>1452</v>
      </c>
      <c r="B37" s="2800"/>
      <c r="C37" s="2800"/>
      <c r="D37" s="2800"/>
      <c r="E37" s="2800"/>
      <c r="F37" s="2801"/>
      <c r="G37" s="1356">
        <v>8577078</v>
      </c>
    </row>
    <row r="38" spans="1:7">
      <c r="A38" s="2799" t="s">
        <v>1453</v>
      </c>
      <c r="B38" s="2800"/>
      <c r="C38" s="2800"/>
      <c r="D38" s="2800"/>
      <c r="E38" s="2800"/>
      <c r="F38" s="2801"/>
      <c r="G38" s="1356">
        <f>G36-G37</f>
        <v>360839055.92999995</v>
      </c>
    </row>
    <row r="41" spans="1:7">
      <c r="A41" s="2148" t="s">
        <v>1454</v>
      </c>
      <c r="G41" s="829">
        <v>258919444</v>
      </c>
    </row>
    <row r="42" spans="1:7">
      <c r="A42" s="2558" t="s">
        <v>1443</v>
      </c>
      <c r="B42" s="2558"/>
      <c r="C42" s="2727" t="s">
        <v>1435</v>
      </c>
      <c r="D42" s="2727" t="s">
        <v>1444</v>
      </c>
      <c r="E42" s="2727" t="s">
        <v>1445</v>
      </c>
      <c r="F42" s="2727" t="s">
        <v>1455</v>
      </c>
      <c r="G42" s="2727" t="s">
        <v>1447</v>
      </c>
    </row>
    <row r="43" spans="1:7">
      <c r="A43" s="793" t="s">
        <v>1448</v>
      </c>
      <c r="B43" s="793" t="s">
        <v>963</v>
      </c>
      <c r="C43" s="2727"/>
      <c r="D43" s="2727"/>
      <c r="E43" s="2727"/>
      <c r="F43" s="2727"/>
      <c r="G43" s="2727"/>
    </row>
    <row r="44" spans="1:7">
      <c r="A44" s="1927" t="s">
        <v>1456</v>
      </c>
      <c r="G44" s="952">
        <v>101919612</v>
      </c>
    </row>
    <row r="45" spans="1:7">
      <c r="A45" s="1331">
        <v>42795</v>
      </c>
      <c r="B45" s="1331">
        <v>42825</v>
      </c>
      <c r="C45" s="931">
        <v>30</v>
      </c>
      <c r="D45" s="1876">
        <v>0.22339999999999999</v>
      </c>
      <c r="E45" s="1876">
        <f t="shared" ref="E45:E90" si="4">D45*1.5</f>
        <v>0.33509999999999995</v>
      </c>
      <c r="F45" s="1877">
        <f t="shared" ref="F45:F56" si="5">((1+E45)^(1/365)-1)</f>
        <v>7.9211135028089963E-4</v>
      </c>
      <c r="G45" s="1356">
        <f t="shared" ref="G45:G76" si="6">ROUND(C45*$G$41*F45,2)</f>
        <v>6152790.9100000001</v>
      </c>
    </row>
    <row r="46" spans="1:7">
      <c r="A46" s="1331">
        <v>42826</v>
      </c>
      <c r="B46" s="1331">
        <v>42916</v>
      </c>
      <c r="C46" s="931">
        <f t="shared" ref="C46:C104" si="7">+_xlfn.DAYS(B46,A46)+1</f>
        <v>91</v>
      </c>
      <c r="D46" s="1876">
        <v>0.2233</v>
      </c>
      <c r="E46" s="1876">
        <f t="shared" si="4"/>
        <v>0.33494999999999997</v>
      </c>
      <c r="F46" s="1877">
        <f t="shared" si="5"/>
        <v>7.9180327787309324E-4</v>
      </c>
      <c r="G46" s="1356">
        <f t="shared" si="6"/>
        <v>18656207.07</v>
      </c>
    </row>
    <row r="47" spans="1:7">
      <c r="A47" s="1331">
        <v>42917</v>
      </c>
      <c r="B47" s="1331">
        <v>42978</v>
      </c>
      <c r="C47" s="931">
        <f t="shared" si="7"/>
        <v>62</v>
      </c>
      <c r="D47" s="1876">
        <v>0.2198</v>
      </c>
      <c r="E47" s="1876">
        <f t="shared" si="4"/>
        <v>0.32969999999999999</v>
      </c>
      <c r="F47" s="1877">
        <f t="shared" si="5"/>
        <v>7.8099893845218205E-4</v>
      </c>
      <c r="G47" s="1356">
        <f t="shared" si="6"/>
        <v>12537380.279999999</v>
      </c>
    </row>
    <row r="48" spans="1:7">
      <c r="A48" s="1331">
        <v>42979</v>
      </c>
      <c r="B48" s="1331">
        <v>43008</v>
      </c>
      <c r="C48" s="931">
        <f t="shared" si="7"/>
        <v>30</v>
      </c>
      <c r="D48" s="1876">
        <v>0.21479999999999999</v>
      </c>
      <c r="E48" s="1876">
        <f t="shared" si="4"/>
        <v>0.32219999999999999</v>
      </c>
      <c r="F48" s="1877">
        <f t="shared" si="5"/>
        <v>7.6549014202820231E-4</v>
      </c>
      <c r="G48" s="1356">
        <f t="shared" si="6"/>
        <v>5946008.46</v>
      </c>
    </row>
    <row r="49" spans="1:7">
      <c r="A49" s="1331">
        <v>43009</v>
      </c>
      <c r="B49" s="1331">
        <v>43039</v>
      </c>
      <c r="C49" s="931">
        <f t="shared" si="7"/>
        <v>31</v>
      </c>
      <c r="D49" s="1876">
        <v>0.21149999999999999</v>
      </c>
      <c r="E49" s="1876">
        <f t="shared" si="4"/>
        <v>0.31724999999999998</v>
      </c>
      <c r="F49" s="1877">
        <f t="shared" si="5"/>
        <v>7.5520620308799913E-4</v>
      </c>
      <c r="G49" s="1356">
        <f t="shared" si="6"/>
        <v>6061664.6799999997</v>
      </c>
    </row>
    <row r="50" spans="1:7">
      <c r="A50" s="1331">
        <v>43040</v>
      </c>
      <c r="B50" s="1331">
        <v>43069</v>
      </c>
      <c r="C50" s="931">
        <f t="shared" si="7"/>
        <v>30</v>
      </c>
      <c r="D50" s="1876">
        <v>0.20960000000000001</v>
      </c>
      <c r="E50" s="1876">
        <f t="shared" si="4"/>
        <v>0.31440000000000001</v>
      </c>
      <c r="F50" s="1877">
        <f t="shared" si="5"/>
        <v>7.4926765057248268E-4</v>
      </c>
      <c r="G50" s="1356">
        <f t="shared" si="6"/>
        <v>5819998.9000000004</v>
      </c>
    </row>
    <row r="51" spans="1:7">
      <c r="A51" s="1331">
        <v>43070</v>
      </c>
      <c r="B51" s="1331">
        <v>43100</v>
      </c>
      <c r="C51" s="931">
        <f t="shared" si="7"/>
        <v>31</v>
      </c>
      <c r="D51" s="1876">
        <v>0.2077</v>
      </c>
      <c r="E51" s="1876">
        <f t="shared" si="4"/>
        <v>0.31154999999999999</v>
      </c>
      <c r="F51" s="1877">
        <f t="shared" si="5"/>
        <v>7.4331624292400811E-4</v>
      </c>
      <c r="G51" s="1356">
        <f t="shared" si="6"/>
        <v>5966229.8799999999</v>
      </c>
    </row>
    <row r="52" spans="1:7">
      <c r="A52" s="1331">
        <v>43101</v>
      </c>
      <c r="B52" s="1331">
        <v>43131</v>
      </c>
      <c r="C52" s="931">
        <f t="shared" si="7"/>
        <v>31</v>
      </c>
      <c r="D52" s="1876">
        <v>0.2069</v>
      </c>
      <c r="E52" s="1876">
        <f t="shared" si="4"/>
        <v>0.31035000000000001</v>
      </c>
      <c r="F52" s="1877">
        <f t="shared" si="5"/>
        <v>7.4080652774299871E-4</v>
      </c>
      <c r="G52" s="1356">
        <f t="shared" si="6"/>
        <v>5946085.6399999997</v>
      </c>
    </row>
    <row r="53" spans="1:7">
      <c r="A53" s="1331">
        <v>43132</v>
      </c>
      <c r="B53" s="1331">
        <v>43159</v>
      </c>
      <c r="C53" s="931">
        <f t="shared" si="7"/>
        <v>28</v>
      </c>
      <c r="D53" s="1876">
        <v>0.21010000000000001</v>
      </c>
      <c r="E53" s="1876">
        <f t="shared" si="4"/>
        <v>0.31515000000000004</v>
      </c>
      <c r="F53" s="1877">
        <f t="shared" si="5"/>
        <v>7.5083167162115494E-4</v>
      </c>
      <c r="G53" s="1356">
        <f t="shared" si="6"/>
        <v>5443337.7300000004</v>
      </c>
    </row>
    <row r="54" spans="1:7">
      <c r="A54" s="1331">
        <v>43160</v>
      </c>
      <c r="B54" s="1331">
        <v>43190</v>
      </c>
      <c r="C54" s="931">
        <f t="shared" si="7"/>
        <v>31</v>
      </c>
      <c r="D54" s="1876">
        <v>0.20680000000000001</v>
      </c>
      <c r="E54" s="1876">
        <f t="shared" si="4"/>
        <v>0.31020000000000003</v>
      </c>
      <c r="F54" s="1877">
        <f t="shared" si="5"/>
        <v>7.4049265219700011E-4</v>
      </c>
      <c r="G54" s="1356">
        <f t="shared" si="6"/>
        <v>5943566.3200000003</v>
      </c>
    </row>
    <row r="55" spans="1:7">
      <c r="A55" s="1331">
        <v>43191</v>
      </c>
      <c r="B55" s="1331">
        <v>43220</v>
      </c>
      <c r="C55" s="931">
        <f t="shared" si="7"/>
        <v>30</v>
      </c>
      <c r="D55" s="1876">
        <v>0.20480000000000001</v>
      </c>
      <c r="E55" s="1876">
        <f t="shared" si="4"/>
        <v>0.30720000000000003</v>
      </c>
      <c r="F55" s="1877">
        <f t="shared" si="5"/>
        <v>7.34207604366377E-4</v>
      </c>
      <c r="G55" s="1356">
        <f t="shared" si="6"/>
        <v>5703018.7400000002</v>
      </c>
    </row>
    <row r="56" spans="1:7">
      <c r="A56" s="1331">
        <v>43221</v>
      </c>
      <c r="B56" s="1331">
        <v>43251</v>
      </c>
      <c r="C56" s="931">
        <f t="shared" si="7"/>
        <v>31</v>
      </c>
      <c r="D56" s="1876">
        <v>0.2044</v>
      </c>
      <c r="E56" s="1876">
        <f t="shared" si="4"/>
        <v>0.30659999999999998</v>
      </c>
      <c r="F56" s="1877">
        <f t="shared" si="5"/>
        <v>7.3294886878794152E-4</v>
      </c>
      <c r="G56" s="1356">
        <f t="shared" si="6"/>
        <v>5883016.1200000001</v>
      </c>
    </row>
    <row r="57" spans="1:7">
      <c r="A57" s="1331">
        <v>43252</v>
      </c>
      <c r="B57" s="1331">
        <v>43281</v>
      </c>
      <c r="C57" s="931">
        <f t="shared" si="7"/>
        <v>30</v>
      </c>
      <c r="D57" s="1876">
        <v>0.20280000000000001</v>
      </c>
      <c r="E57" s="1876">
        <f t="shared" si="4"/>
        <v>0.30420000000000003</v>
      </c>
      <c r="F57" s="1877">
        <f t="shared" ref="F57:F90" si="8">((1+E57)^(1/365)-1)</f>
        <v>7.2790815549184096E-4</v>
      </c>
      <c r="G57" s="1356">
        <f t="shared" si="6"/>
        <v>5654087.25</v>
      </c>
    </row>
    <row r="58" spans="1:7">
      <c r="A58" s="1331">
        <v>43282</v>
      </c>
      <c r="B58" s="1331">
        <v>43312</v>
      </c>
      <c r="C58" s="931">
        <f t="shared" si="7"/>
        <v>31</v>
      </c>
      <c r="D58" s="1876">
        <v>0.20030000000000001</v>
      </c>
      <c r="E58" s="1876">
        <f t="shared" si="4"/>
        <v>0.30044999999999999</v>
      </c>
      <c r="F58" s="1877">
        <f t="shared" si="8"/>
        <v>7.2001349197825526E-4</v>
      </c>
      <c r="G58" s="1356">
        <f t="shared" si="6"/>
        <v>5779190.2800000003</v>
      </c>
    </row>
    <row r="59" spans="1:7">
      <c r="A59" s="1331">
        <v>43313</v>
      </c>
      <c r="B59" s="1331">
        <v>43343</v>
      </c>
      <c r="C59" s="931">
        <f t="shared" si="7"/>
        <v>31</v>
      </c>
      <c r="D59" s="1876">
        <v>0.19939999999999999</v>
      </c>
      <c r="E59" s="1876">
        <f t="shared" si="4"/>
        <v>0.29909999999999998</v>
      </c>
      <c r="F59" s="1877">
        <f t="shared" si="8"/>
        <v>7.1716585429704161E-4</v>
      </c>
      <c r="G59" s="1356">
        <f t="shared" si="6"/>
        <v>5756333.71</v>
      </c>
    </row>
    <row r="60" spans="1:7">
      <c r="A60" s="1331">
        <v>43344</v>
      </c>
      <c r="B60" s="1331">
        <v>43373</v>
      </c>
      <c r="C60" s="931">
        <f t="shared" si="7"/>
        <v>30</v>
      </c>
      <c r="D60" s="1876">
        <v>0.1981</v>
      </c>
      <c r="E60" s="1876">
        <f t="shared" si="4"/>
        <v>0.29715000000000003</v>
      </c>
      <c r="F60" s="1877">
        <f t="shared" si="8"/>
        <v>7.1304738558919389E-4</v>
      </c>
      <c r="G60" s="1356">
        <f t="shared" si="6"/>
        <v>5538654.9800000004</v>
      </c>
    </row>
    <row r="61" spans="1:7">
      <c r="A61" s="1331">
        <v>43374</v>
      </c>
      <c r="B61" s="1331">
        <v>43404</v>
      </c>
      <c r="C61" s="931">
        <f t="shared" si="7"/>
        <v>31</v>
      </c>
      <c r="D61" s="1876">
        <v>0.1963</v>
      </c>
      <c r="E61" s="1876">
        <f t="shared" si="4"/>
        <v>0.29444999999999999</v>
      </c>
      <c r="F61" s="1877">
        <f t="shared" si="8"/>
        <v>7.073346857742191E-4</v>
      </c>
      <c r="G61" s="1356">
        <f t="shared" si="6"/>
        <v>5677423.8099999996</v>
      </c>
    </row>
    <row r="62" spans="1:7">
      <c r="A62" s="1331">
        <v>43405</v>
      </c>
      <c r="B62" s="1331">
        <v>43434</v>
      </c>
      <c r="C62" s="931">
        <f t="shared" si="7"/>
        <v>30</v>
      </c>
      <c r="D62" s="1876">
        <v>0.19489999999999999</v>
      </c>
      <c r="E62" s="1876">
        <f t="shared" si="4"/>
        <v>0.29235</v>
      </c>
      <c r="F62" s="1877">
        <f t="shared" si="8"/>
        <v>7.0288325333756063E-4</v>
      </c>
      <c r="G62" s="1356">
        <f t="shared" si="6"/>
        <v>5459704.2300000004</v>
      </c>
    </row>
    <row r="63" spans="1:7">
      <c r="A63" s="1331">
        <v>43435</v>
      </c>
      <c r="B63" s="1331">
        <v>43465</v>
      </c>
      <c r="C63" s="931">
        <f t="shared" si="7"/>
        <v>31</v>
      </c>
      <c r="D63" s="1876">
        <v>0.19400000000000001</v>
      </c>
      <c r="E63" s="1876">
        <f t="shared" si="4"/>
        <v>0.29100000000000004</v>
      </c>
      <c r="F63" s="1877">
        <f t="shared" si="8"/>
        <v>7.0001780740103214E-4</v>
      </c>
      <c r="G63" s="1356">
        <f t="shared" si="6"/>
        <v>5618694.8700000001</v>
      </c>
    </row>
    <row r="64" spans="1:7">
      <c r="A64" s="1331">
        <v>43466</v>
      </c>
      <c r="B64" s="1331">
        <v>43496</v>
      </c>
      <c r="C64" s="931">
        <f t="shared" si="7"/>
        <v>31</v>
      </c>
      <c r="D64" s="1876">
        <v>0.19159999999999999</v>
      </c>
      <c r="E64" s="1876">
        <f t="shared" si="4"/>
        <v>0.28739999999999999</v>
      </c>
      <c r="F64" s="1877">
        <f t="shared" si="8"/>
        <v>6.9236198468725085E-4</v>
      </c>
      <c r="G64" s="1356">
        <f t="shared" si="6"/>
        <v>5557245.3799999999</v>
      </c>
    </row>
    <row r="65" spans="1:8">
      <c r="A65" s="1331">
        <v>43497</v>
      </c>
      <c r="B65" s="1331">
        <v>43524</v>
      </c>
      <c r="C65" s="931">
        <f t="shared" si="7"/>
        <v>28</v>
      </c>
      <c r="D65" s="1876">
        <v>0.19700000000000001</v>
      </c>
      <c r="E65" s="1876">
        <f t="shared" si="4"/>
        <v>0.29549999999999998</v>
      </c>
      <c r="F65" s="1877">
        <f t="shared" si="8"/>
        <v>7.0955770203506852E-4</v>
      </c>
      <c r="G65" s="1356">
        <f t="shared" si="6"/>
        <v>5144112</v>
      </c>
    </row>
    <row r="66" spans="1:8">
      <c r="A66" s="1331">
        <v>43525</v>
      </c>
      <c r="B66" s="1331">
        <v>43555</v>
      </c>
      <c r="C66" s="931">
        <f t="shared" si="7"/>
        <v>31</v>
      </c>
      <c r="D66" s="1876">
        <v>0.19370000000000001</v>
      </c>
      <c r="E66" s="1876">
        <f t="shared" si="4"/>
        <v>0.29055000000000003</v>
      </c>
      <c r="F66" s="1877">
        <f t="shared" si="8"/>
        <v>6.9906199467517638E-4</v>
      </c>
      <c r="G66" s="1356">
        <f t="shared" si="6"/>
        <v>5611023.0300000003</v>
      </c>
    </row>
    <row r="67" spans="1:8">
      <c r="A67" s="1331">
        <v>43556</v>
      </c>
      <c r="B67" s="1331">
        <v>43585</v>
      </c>
      <c r="C67" s="931">
        <f t="shared" si="7"/>
        <v>30</v>
      </c>
      <c r="D67" s="1876">
        <v>0.19320000000000001</v>
      </c>
      <c r="E67" s="1876">
        <f t="shared" si="4"/>
        <v>0.2898</v>
      </c>
      <c r="F67" s="1877">
        <f t="shared" si="8"/>
        <v>6.9746823462724095E-4</v>
      </c>
      <c r="G67" s="1356">
        <f t="shared" si="6"/>
        <v>5417642.6299999999</v>
      </c>
    </row>
    <row r="68" spans="1:8">
      <c r="A68" s="1331">
        <v>43586</v>
      </c>
      <c r="B68" s="1331">
        <v>43616</v>
      </c>
      <c r="C68" s="931">
        <f t="shared" si="7"/>
        <v>31</v>
      </c>
      <c r="D68" s="1876">
        <v>0.19339999999999999</v>
      </c>
      <c r="E68" s="1876">
        <f t="shared" si="4"/>
        <v>0.29009999999999997</v>
      </c>
      <c r="F68" s="1877">
        <f t="shared" si="8"/>
        <v>6.9810584952367805E-4</v>
      </c>
      <c r="G68" s="1356">
        <f t="shared" si="6"/>
        <v>5603348.5300000003</v>
      </c>
    </row>
    <row r="69" spans="1:8">
      <c r="A69" s="1331">
        <v>43617</v>
      </c>
      <c r="B69" s="1331">
        <v>43646</v>
      </c>
      <c r="C69" s="931">
        <f t="shared" si="7"/>
        <v>30</v>
      </c>
      <c r="D69" s="1876">
        <v>0.193</v>
      </c>
      <c r="E69" s="1876">
        <f t="shared" si="4"/>
        <v>0.28949999999999998</v>
      </c>
      <c r="F69" s="1877">
        <f t="shared" si="8"/>
        <v>6.9683047181468005E-4</v>
      </c>
      <c r="G69" s="1356">
        <f t="shared" si="6"/>
        <v>5412688.75</v>
      </c>
    </row>
    <row r="70" spans="1:8">
      <c r="A70" s="1331">
        <v>43647</v>
      </c>
      <c r="B70" s="1331">
        <v>43677</v>
      </c>
      <c r="C70" s="931">
        <f t="shared" si="7"/>
        <v>31</v>
      </c>
      <c r="D70" s="1876">
        <v>0.1928</v>
      </c>
      <c r="E70" s="1876">
        <f t="shared" si="4"/>
        <v>0.28920000000000001</v>
      </c>
      <c r="F70" s="1877">
        <f t="shared" si="8"/>
        <v>6.9619256101671745E-4</v>
      </c>
      <c r="G70" s="1356">
        <f t="shared" si="6"/>
        <v>5587991.5199999996</v>
      </c>
    </row>
    <row r="71" spans="1:8">
      <c r="A71" s="1331">
        <v>43678</v>
      </c>
      <c r="B71" s="1331">
        <v>43708</v>
      </c>
      <c r="C71" s="931">
        <f t="shared" si="7"/>
        <v>31</v>
      </c>
      <c r="D71" s="1876">
        <v>0.19320000000000001</v>
      </c>
      <c r="E71" s="1876">
        <f t="shared" si="4"/>
        <v>0.2898</v>
      </c>
      <c r="F71" s="1877">
        <f t="shared" si="8"/>
        <v>6.9746823462724095E-4</v>
      </c>
      <c r="G71" s="1356">
        <f t="shared" si="6"/>
        <v>5598230.71</v>
      </c>
    </row>
    <row r="72" spans="1:8">
      <c r="A72" s="1331">
        <v>43709</v>
      </c>
      <c r="B72" s="1331">
        <v>43738</v>
      </c>
      <c r="C72" s="931">
        <f t="shared" si="7"/>
        <v>30</v>
      </c>
      <c r="D72" s="1876">
        <v>0.19320000000000001</v>
      </c>
      <c r="E72" s="1876">
        <f t="shared" si="4"/>
        <v>0.2898</v>
      </c>
      <c r="F72" s="1877">
        <f t="shared" si="8"/>
        <v>6.9746823462724095E-4</v>
      </c>
      <c r="G72" s="1356">
        <f t="shared" si="6"/>
        <v>5417642.6299999999</v>
      </c>
    </row>
    <row r="73" spans="1:8">
      <c r="A73" s="1331">
        <v>43739</v>
      </c>
      <c r="B73" s="1331">
        <v>43769</v>
      </c>
      <c r="C73" s="931">
        <f t="shared" si="7"/>
        <v>31</v>
      </c>
      <c r="D73" s="1876">
        <v>0.191</v>
      </c>
      <c r="E73" s="1876">
        <f t="shared" si="4"/>
        <v>0.28649999999999998</v>
      </c>
      <c r="F73" s="1877">
        <f t="shared" si="8"/>
        <v>6.9044469314105683E-4</v>
      </c>
      <c r="G73" s="1356">
        <f t="shared" si="6"/>
        <v>5541856.2400000002</v>
      </c>
    </row>
    <row r="74" spans="1:8">
      <c r="A74" s="1331">
        <v>43770</v>
      </c>
      <c r="B74" s="1331">
        <v>43799</v>
      </c>
      <c r="C74" s="931">
        <f t="shared" si="7"/>
        <v>30</v>
      </c>
      <c r="D74" s="1876">
        <v>0.1903</v>
      </c>
      <c r="E74" s="1876">
        <f t="shared" si="4"/>
        <v>0.28544999999999998</v>
      </c>
      <c r="F74" s="1877">
        <f t="shared" si="8"/>
        <v>6.8820616169262827E-4</v>
      </c>
      <c r="G74" s="1356">
        <f t="shared" si="6"/>
        <v>5345698.7</v>
      </c>
    </row>
    <row r="75" spans="1:8">
      <c r="A75" s="1331">
        <v>43800</v>
      </c>
      <c r="B75" s="1331">
        <v>43830</v>
      </c>
      <c r="C75" s="931">
        <f t="shared" si="7"/>
        <v>31</v>
      </c>
      <c r="D75" s="1876">
        <v>0.18909999999999999</v>
      </c>
      <c r="E75" s="1876">
        <f t="shared" si="4"/>
        <v>0.28364999999999996</v>
      </c>
      <c r="F75" s="1877">
        <f t="shared" si="8"/>
        <v>6.8436443340047504E-4</v>
      </c>
      <c r="G75" s="1356">
        <f t="shared" si="6"/>
        <v>5493053.0199999996</v>
      </c>
    </row>
    <row r="76" spans="1:8">
      <c r="A76" s="1331">
        <v>43831</v>
      </c>
      <c r="B76" s="1331">
        <v>43861</v>
      </c>
      <c r="C76" s="931">
        <f t="shared" si="7"/>
        <v>31</v>
      </c>
      <c r="D76" s="1876">
        <v>0.18770000000000001</v>
      </c>
      <c r="E76" s="1876">
        <f t="shared" si="4"/>
        <v>0.28155000000000002</v>
      </c>
      <c r="F76" s="1877">
        <f t="shared" si="8"/>
        <v>6.7987562124560696E-4</v>
      </c>
      <c r="G76" s="1356">
        <f t="shared" si="6"/>
        <v>5457023.5499999998</v>
      </c>
    </row>
    <row r="77" spans="1:8">
      <c r="A77" s="1331">
        <v>43862</v>
      </c>
      <c r="B77" s="1331">
        <v>43890</v>
      </c>
      <c r="C77" s="931">
        <f t="shared" si="7"/>
        <v>29</v>
      </c>
      <c r="D77" s="1876">
        <v>0.19059999999999999</v>
      </c>
      <c r="E77" s="1876">
        <f t="shared" si="4"/>
        <v>0.28589999999999999</v>
      </c>
      <c r="F77" s="1877">
        <f t="shared" si="8"/>
        <v>6.8916575551658532E-4</v>
      </c>
      <c r="G77" s="1356">
        <f t="shared" ref="G77:G108" si="9">ROUND(C77*$G$41*F77,2)</f>
        <v>5174714.01</v>
      </c>
      <c r="H77" s="1727">
        <f>+G44</f>
        <v>101919612</v>
      </c>
    </row>
    <row r="78" spans="1:8">
      <c r="A78" s="1331">
        <v>43891</v>
      </c>
      <c r="B78" s="1331">
        <v>43921</v>
      </c>
      <c r="C78" s="931">
        <f t="shared" si="7"/>
        <v>31</v>
      </c>
      <c r="D78" s="1876">
        <v>0.1895</v>
      </c>
      <c r="E78" s="1876">
        <f t="shared" si="4"/>
        <v>0.28425</v>
      </c>
      <c r="F78" s="1877">
        <f t="shared" si="8"/>
        <v>6.8564560609574166E-4</v>
      </c>
      <c r="G78" s="1356">
        <f t="shared" si="9"/>
        <v>5503336.3499999996</v>
      </c>
      <c r="H78" s="1727">
        <f>SUM(G45:G76)</f>
        <v>200730950.55000004</v>
      </c>
    </row>
    <row r="79" spans="1:8">
      <c r="A79" s="1331">
        <v>43922</v>
      </c>
      <c r="B79" s="1331">
        <v>43951</v>
      </c>
      <c r="C79" s="931">
        <f t="shared" si="7"/>
        <v>30</v>
      </c>
      <c r="D79" s="1876">
        <v>0.18690000000000001</v>
      </c>
      <c r="E79" s="1876">
        <f t="shared" si="4"/>
        <v>0.28034999999999999</v>
      </c>
      <c r="F79" s="1877">
        <f t="shared" si="8"/>
        <v>6.7730729113191224E-4</v>
      </c>
      <c r="G79" s="1356">
        <f t="shared" si="9"/>
        <v>5261040.82</v>
      </c>
      <c r="H79" s="1727">
        <f>+H77+H78</f>
        <v>302650562.55000007</v>
      </c>
    </row>
    <row r="80" spans="1:8">
      <c r="A80" s="1331">
        <v>43952</v>
      </c>
      <c r="B80" s="1331">
        <v>43982</v>
      </c>
      <c r="C80" s="931">
        <f t="shared" si="7"/>
        <v>31</v>
      </c>
      <c r="D80" s="1876">
        <v>0.18190000000000001</v>
      </c>
      <c r="E80" s="1876">
        <f t="shared" si="4"/>
        <v>0.27285000000000004</v>
      </c>
      <c r="F80" s="1877">
        <f t="shared" si="8"/>
        <v>6.6120063584418354E-4</v>
      </c>
      <c r="G80" s="1356">
        <f t="shared" si="9"/>
        <v>5307128.7300000004</v>
      </c>
    </row>
    <row r="81" spans="1:7">
      <c r="A81" s="1331">
        <v>43983</v>
      </c>
      <c r="B81" s="1331">
        <v>44012</v>
      </c>
      <c r="C81" s="931">
        <f t="shared" si="7"/>
        <v>30</v>
      </c>
      <c r="D81" s="1876">
        <v>0.1812</v>
      </c>
      <c r="E81" s="1876">
        <f t="shared" si="4"/>
        <v>0.27179999999999999</v>
      </c>
      <c r="F81" s="1877">
        <f t="shared" si="8"/>
        <v>6.5893815469997286E-4</v>
      </c>
      <c r="G81" s="1356">
        <f t="shared" si="9"/>
        <v>5118357.0199999996</v>
      </c>
    </row>
    <row r="82" spans="1:7">
      <c r="A82" s="1331">
        <v>44013</v>
      </c>
      <c r="B82" s="1331">
        <v>44043</v>
      </c>
      <c r="C82" s="931">
        <f t="shared" si="7"/>
        <v>31</v>
      </c>
      <c r="D82" s="1876">
        <v>0.1812</v>
      </c>
      <c r="E82" s="1876">
        <f t="shared" si="4"/>
        <v>0.27179999999999999</v>
      </c>
      <c r="F82" s="1877">
        <f t="shared" si="8"/>
        <v>6.5893815469997286E-4</v>
      </c>
      <c r="G82" s="1356">
        <f t="shared" si="9"/>
        <v>5288968.92</v>
      </c>
    </row>
    <row r="83" spans="1:7">
      <c r="A83" s="1331">
        <v>44044</v>
      </c>
      <c r="B83" s="1331">
        <v>44074</v>
      </c>
      <c r="C83" s="931">
        <f t="shared" si="7"/>
        <v>31</v>
      </c>
      <c r="D83" s="1876">
        <v>0.18290000000000001</v>
      </c>
      <c r="E83" s="1876">
        <f t="shared" si="4"/>
        <v>0.27434999999999998</v>
      </c>
      <c r="F83" s="1877">
        <f t="shared" si="8"/>
        <v>6.6442952514544906E-4</v>
      </c>
      <c r="G83" s="1356">
        <f t="shared" si="9"/>
        <v>5333045.42</v>
      </c>
    </row>
    <row r="84" spans="1:7">
      <c r="A84" s="1331">
        <v>44075</v>
      </c>
      <c r="B84" s="1331">
        <v>44104</v>
      </c>
      <c r="C84" s="931">
        <f t="shared" si="7"/>
        <v>30</v>
      </c>
      <c r="D84" s="1876">
        <v>0.1835</v>
      </c>
      <c r="E84" s="1876">
        <f t="shared" si="4"/>
        <v>0.27524999999999999</v>
      </c>
      <c r="F84" s="1877">
        <f t="shared" si="8"/>
        <v>6.6636503991857055E-4</v>
      </c>
      <c r="G84" s="1356">
        <f t="shared" si="9"/>
        <v>5176045.97</v>
      </c>
    </row>
    <row r="85" spans="1:7">
      <c r="A85" s="1331">
        <v>44105</v>
      </c>
      <c r="B85" s="1331">
        <v>44135</v>
      </c>
      <c r="C85" s="931">
        <f t="shared" si="7"/>
        <v>31</v>
      </c>
      <c r="D85" s="1876">
        <v>0.18090000000000001</v>
      </c>
      <c r="E85" s="1876">
        <f t="shared" si="4"/>
        <v>0.27134999999999998</v>
      </c>
      <c r="F85" s="1877">
        <f t="shared" si="8"/>
        <v>6.5796794962613703E-4</v>
      </c>
      <c r="G85" s="1356">
        <f t="shared" si="9"/>
        <v>5281181.57</v>
      </c>
    </row>
    <row r="86" spans="1:7">
      <c r="A86" s="1331">
        <v>44136</v>
      </c>
      <c r="B86" s="1331">
        <v>44165</v>
      </c>
      <c r="C86" s="931">
        <f t="shared" si="7"/>
        <v>30</v>
      </c>
      <c r="D86" s="1876">
        <v>0.1784</v>
      </c>
      <c r="E86" s="1876">
        <f t="shared" si="4"/>
        <v>0.2676</v>
      </c>
      <c r="F86" s="1877">
        <f t="shared" si="8"/>
        <v>6.4986956374091243E-4</v>
      </c>
      <c r="G86" s="1356">
        <f t="shared" si="9"/>
        <v>5047915.9800000004</v>
      </c>
    </row>
    <row r="87" spans="1:7">
      <c r="A87" s="1331">
        <v>44166</v>
      </c>
      <c r="B87" s="1331">
        <v>44196</v>
      </c>
      <c r="C87" s="931">
        <f t="shared" si="7"/>
        <v>31</v>
      </c>
      <c r="D87" s="1876">
        <v>0.17460000000000001</v>
      </c>
      <c r="E87" s="1876">
        <f t="shared" si="4"/>
        <v>0.26190000000000002</v>
      </c>
      <c r="F87" s="1877">
        <f t="shared" si="8"/>
        <v>6.3751414410861962E-4</v>
      </c>
      <c r="G87" s="1356">
        <f t="shared" si="9"/>
        <v>5117009.04</v>
      </c>
    </row>
    <row r="88" spans="1:7">
      <c r="A88" s="1331">
        <v>44197</v>
      </c>
      <c r="B88" s="1331">
        <v>44227</v>
      </c>
      <c r="C88" s="931">
        <f t="shared" si="7"/>
        <v>31</v>
      </c>
      <c r="D88" s="1876">
        <v>0.17319999999999999</v>
      </c>
      <c r="E88" s="1876">
        <f t="shared" si="4"/>
        <v>0.25979999999999998</v>
      </c>
      <c r="F88" s="1877">
        <f t="shared" si="8"/>
        <v>6.3294811266723094E-4</v>
      </c>
      <c r="G88" s="1356">
        <f t="shared" si="9"/>
        <v>5080359.78</v>
      </c>
    </row>
    <row r="89" spans="1:7">
      <c r="A89" s="1331">
        <v>44228</v>
      </c>
      <c r="B89" s="1331">
        <v>44255</v>
      </c>
      <c r="C89" s="931">
        <f t="shared" si="7"/>
        <v>28</v>
      </c>
      <c r="D89" s="1876">
        <v>0.1754</v>
      </c>
      <c r="E89" s="1876">
        <f t="shared" si="4"/>
        <v>0.2631</v>
      </c>
      <c r="F89" s="1877">
        <f t="shared" si="8"/>
        <v>6.4011990387169426E-4</v>
      </c>
      <c r="G89" s="1356">
        <f t="shared" si="9"/>
        <v>4640705.71</v>
      </c>
    </row>
    <row r="90" spans="1:7">
      <c r="A90" s="1331">
        <v>44256</v>
      </c>
      <c r="B90" s="1331">
        <v>44286</v>
      </c>
      <c r="C90" s="931">
        <f t="shared" si="7"/>
        <v>31</v>
      </c>
      <c r="D90" s="1876">
        <v>0.1741</v>
      </c>
      <c r="E90" s="1876">
        <f t="shared" si="4"/>
        <v>0.26114999999999999</v>
      </c>
      <c r="F90" s="1877">
        <f t="shared" si="8"/>
        <v>6.3588428907812578E-4</v>
      </c>
      <c r="G90" s="1356">
        <f t="shared" si="9"/>
        <v>5103927</v>
      </c>
    </row>
    <row r="91" spans="1:7">
      <c r="A91" s="1331">
        <v>44287</v>
      </c>
      <c r="B91" s="1331">
        <v>44316</v>
      </c>
      <c r="C91" s="931">
        <f t="shared" si="7"/>
        <v>30</v>
      </c>
      <c r="D91" s="1876">
        <v>0.1731</v>
      </c>
      <c r="E91" s="1876">
        <f t="shared" ref="E91:E104" si="10">D91*1.5</f>
        <v>0.25964999999999999</v>
      </c>
      <c r="F91" s="1877">
        <f t="shared" ref="F91:F104" si="11">((1+E91)^(1/365)-1)</f>
        <v>6.326216771728177E-4</v>
      </c>
      <c r="G91" s="1356">
        <f t="shared" si="9"/>
        <v>4913941.59</v>
      </c>
    </row>
    <row r="92" spans="1:7">
      <c r="A92" s="1331">
        <v>44317</v>
      </c>
      <c r="B92" s="1331">
        <v>44347</v>
      </c>
      <c r="C92" s="931">
        <f t="shared" si="7"/>
        <v>31</v>
      </c>
      <c r="D92" s="1876">
        <v>0.17219999999999999</v>
      </c>
      <c r="E92" s="1876">
        <f t="shared" si="10"/>
        <v>0.25829999999999997</v>
      </c>
      <c r="F92" s="1877">
        <f t="shared" si="11"/>
        <v>6.2968201205726437E-4</v>
      </c>
      <c r="G92" s="1356">
        <f t="shared" si="9"/>
        <v>5054144.41</v>
      </c>
    </row>
    <row r="93" spans="1:7">
      <c r="A93" s="1331">
        <v>44348</v>
      </c>
      <c r="B93" s="1331">
        <v>44377</v>
      </c>
      <c r="C93" s="931">
        <f t="shared" si="7"/>
        <v>30</v>
      </c>
      <c r="D93" s="1876">
        <v>0.1721</v>
      </c>
      <c r="E93" s="1876">
        <f t="shared" si="10"/>
        <v>0.25814999999999999</v>
      </c>
      <c r="F93" s="1877">
        <f t="shared" si="11"/>
        <v>6.2935518846773952E-4</v>
      </c>
      <c r="G93" s="1356">
        <f t="shared" si="9"/>
        <v>4888568.8600000003</v>
      </c>
    </row>
    <row r="94" spans="1:7">
      <c r="A94" s="1331">
        <v>44378</v>
      </c>
      <c r="B94" s="1331">
        <v>44408</v>
      </c>
      <c r="C94" s="931">
        <f t="shared" si="7"/>
        <v>31</v>
      </c>
      <c r="D94" s="1876">
        <v>0.17180000000000001</v>
      </c>
      <c r="E94" s="1876">
        <f t="shared" si="10"/>
        <v>0.25770000000000004</v>
      </c>
      <c r="F94" s="1877">
        <f t="shared" si="11"/>
        <v>6.2837448450037137E-4</v>
      </c>
      <c r="G94" s="1356">
        <f t="shared" si="9"/>
        <v>5043649.54</v>
      </c>
    </row>
    <row r="95" spans="1:7">
      <c r="A95" s="1331">
        <v>44409</v>
      </c>
      <c r="B95" s="1331">
        <v>44439</v>
      </c>
      <c r="C95" s="931">
        <f t="shared" si="7"/>
        <v>31</v>
      </c>
      <c r="D95" s="1876">
        <v>0.1724</v>
      </c>
      <c r="E95" s="1876">
        <f t="shared" si="10"/>
        <v>0.2586</v>
      </c>
      <c r="F95" s="1877">
        <f t="shared" si="11"/>
        <v>6.3033554269220637E-4</v>
      </c>
      <c r="G95" s="1356">
        <f t="shared" si="9"/>
        <v>5059389.9800000004</v>
      </c>
    </row>
    <row r="96" spans="1:7">
      <c r="A96" s="1331">
        <v>44440</v>
      </c>
      <c r="B96" s="1331">
        <v>44469</v>
      </c>
      <c r="C96" s="931">
        <f t="shared" si="7"/>
        <v>30</v>
      </c>
      <c r="D96" s="1876">
        <v>0.1719</v>
      </c>
      <c r="E96" s="1876">
        <f t="shared" si="10"/>
        <v>0.25785000000000002</v>
      </c>
      <c r="F96" s="1877">
        <f t="shared" si="11"/>
        <v>6.2870142469861889E-4</v>
      </c>
      <c r="G96" s="1356">
        <f t="shared" si="9"/>
        <v>4883490.7</v>
      </c>
    </row>
    <row r="97" spans="1:7">
      <c r="A97" s="1331">
        <v>44470</v>
      </c>
      <c r="B97" s="1331">
        <v>44500</v>
      </c>
      <c r="C97" s="931">
        <f t="shared" si="7"/>
        <v>31</v>
      </c>
      <c r="D97" s="1876">
        <v>0.17080000000000001</v>
      </c>
      <c r="E97" s="1876">
        <f t="shared" si="10"/>
        <v>0.25619999999999998</v>
      </c>
      <c r="F97" s="1877">
        <f t="shared" si="11"/>
        <v>6.2510294214179751E-4</v>
      </c>
      <c r="G97" s="1356">
        <f t="shared" si="9"/>
        <v>5017390.49</v>
      </c>
    </row>
    <row r="98" spans="1:7">
      <c r="A98" s="1331">
        <v>44501</v>
      </c>
      <c r="B98" s="1331">
        <v>44530</v>
      </c>
      <c r="C98" s="931">
        <f t="shared" si="7"/>
        <v>30</v>
      </c>
      <c r="D98" s="1876">
        <v>0.17269999999999999</v>
      </c>
      <c r="E98" s="1876">
        <f t="shared" si="10"/>
        <v>0.25905</v>
      </c>
      <c r="F98" s="1877">
        <f t="shared" si="11"/>
        <v>6.3131554742335005E-4</v>
      </c>
      <c r="G98" s="1356">
        <f t="shared" si="9"/>
        <v>4903796.12</v>
      </c>
    </row>
    <row r="99" spans="1:7">
      <c r="A99" s="1331">
        <v>44531</v>
      </c>
      <c r="B99" s="1331">
        <v>44561</v>
      </c>
      <c r="C99" s="931">
        <f t="shared" si="7"/>
        <v>31</v>
      </c>
      <c r="D99" s="1876">
        <v>0.17460000000000001</v>
      </c>
      <c r="E99" s="1876">
        <f t="shared" si="10"/>
        <v>0.26190000000000002</v>
      </c>
      <c r="F99" s="1877">
        <f t="shared" si="11"/>
        <v>6.3751414410861962E-4</v>
      </c>
      <c r="G99" s="1356">
        <f t="shared" si="9"/>
        <v>5117009.04</v>
      </c>
    </row>
    <row r="100" spans="1:7">
      <c r="A100" s="1331">
        <v>44562</v>
      </c>
      <c r="B100" s="1331">
        <v>44592</v>
      </c>
      <c r="C100" s="931">
        <f t="shared" si="7"/>
        <v>31</v>
      </c>
      <c r="D100" s="1876">
        <v>0.17660000000000001</v>
      </c>
      <c r="E100" s="1876">
        <f t="shared" si="10"/>
        <v>0.26490000000000002</v>
      </c>
      <c r="F100" s="1877">
        <f t="shared" si="11"/>
        <v>6.4402391816376081E-4</v>
      </c>
      <c r="G100" s="1356">
        <f t="shared" si="9"/>
        <v>5169259.76</v>
      </c>
    </row>
    <row r="101" spans="1:7">
      <c r="A101" s="1331">
        <v>44593</v>
      </c>
      <c r="B101" s="1331">
        <v>44620</v>
      </c>
      <c r="C101" s="931">
        <f t="shared" si="7"/>
        <v>28</v>
      </c>
      <c r="D101" s="1876">
        <v>0.183</v>
      </c>
      <c r="E101" s="1876">
        <f t="shared" si="10"/>
        <v>0.27449999999999997</v>
      </c>
      <c r="F101" s="1877">
        <f t="shared" si="11"/>
        <v>6.6475220558892545E-4</v>
      </c>
      <c r="G101" s="1356">
        <f t="shared" si="9"/>
        <v>4819283.5999999996</v>
      </c>
    </row>
    <row r="102" spans="1:7">
      <c r="A102" s="1331">
        <v>44621</v>
      </c>
      <c r="B102" s="1331">
        <v>44651</v>
      </c>
      <c r="C102" s="931">
        <f t="shared" si="7"/>
        <v>31</v>
      </c>
      <c r="D102" s="1876">
        <v>0.1847</v>
      </c>
      <c r="E102" s="1876">
        <f t="shared" si="10"/>
        <v>0.27705000000000002</v>
      </c>
      <c r="F102" s="1877">
        <f t="shared" si="11"/>
        <v>6.7023198611315671E-4</v>
      </c>
      <c r="G102" s="1356">
        <f t="shared" si="9"/>
        <v>5379618.8899999997</v>
      </c>
    </row>
    <row r="103" spans="1:7">
      <c r="A103" s="1331">
        <v>44652</v>
      </c>
      <c r="B103" s="1331">
        <v>44681</v>
      </c>
      <c r="C103" s="931">
        <f t="shared" si="7"/>
        <v>30</v>
      </c>
      <c r="D103" s="1876">
        <v>0.1905</v>
      </c>
      <c r="E103" s="1876">
        <f t="shared" si="10"/>
        <v>0.28575</v>
      </c>
      <c r="F103" s="1877">
        <f t="shared" si="11"/>
        <v>6.8884592812357148E-4</v>
      </c>
      <c r="G103" s="1356">
        <f t="shared" si="9"/>
        <v>5350668.1399999997</v>
      </c>
    </row>
    <row r="104" spans="1:7">
      <c r="A104" s="1331">
        <v>44682</v>
      </c>
      <c r="B104" s="1331">
        <v>44712</v>
      </c>
      <c r="C104" s="931">
        <f t="shared" si="7"/>
        <v>31</v>
      </c>
      <c r="D104" s="1876">
        <v>0.1971</v>
      </c>
      <c r="E104" s="1876">
        <f t="shared" si="10"/>
        <v>0.29564999999999997</v>
      </c>
      <c r="F104" s="1877">
        <f t="shared" si="11"/>
        <v>7.0987512909947981E-4</v>
      </c>
      <c r="G104" s="1356">
        <f t="shared" si="9"/>
        <v>5697814.6900000004</v>
      </c>
    </row>
    <row r="105" spans="1:7" ht="13.5">
      <c r="A105" s="1331">
        <v>44713</v>
      </c>
      <c r="B105" s="1331">
        <v>44742</v>
      </c>
      <c r="C105" s="931">
        <f t="shared" ref="C105:C110" si="12">+_xlfn.DAYS(B105,A105)+1</f>
        <v>30</v>
      </c>
      <c r="D105" s="1923">
        <v>0.20399999999999999</v>
      </c>
      <c r="E105" s="1876">
        <f t="shared" ref="E105:E110" si="13">D105*1.5</f>
        <v>0.30599999999999999</v>
      </c>
      <c r="F105" s="1877">
        <f t="shared" ref="F105:F110" si="14">((1+E105)^(1/365)-1)</f>
        <v>7.3168955664093538E-4</v>
      </c>
      <c r="G105" s="1356">
        <f t="shared" si="9"/>
        <v>5683459.5999999996</v>
      </c>
    </row>
    <row r="106" spans="1:7" ht="13.5">
      <c r="A106" s="1331">
        <v>44743</v>
      </c>
      <c r="B106" s="1331">
        <v>44773</v>
      </c>
      <c r="C106" s="931">
        <f t="shared" si="12"/>
        <v>31</v>
      </c>
      <c r="D106" s="1923">
        <v>0.21279999999999999</v>
      </c>
      <c r="E106" s="1876">
        <f t="shared" si="13"/>
        <v>0.31919999999999998</v>
      </c>
      <c r="F106" s="1877">
        <f t="shared" si="14"/>
        <v>7.5926204501630679E-4</v>
      </c>
      <c r="G106" s="1356">
        <f t="shared" si="9"/>
        <v>6094218.9000000004</v>
      </c>
    </row>
    <row r="107" spans="1:7" ht="13.5">
      <c r="A107" s="1331">
        <v>44774</v>
      </c>
      <c r="B107" s="1331">
        <v>44804</v>
      </c>
      <c r="C107" s="931">
        <f t="shared" si="12"/>
        <v>31</v>
      </c>
      <c r="D107" s="1923">
        <v>0.22209999999999999</v>
      </c>
      <c r="E107" s="1876">
        <f t="shared" si="13"/>
        <v>0.33315</v>
      </c>
      <c r="F107" s="1877">
        <f t="shared" si="14"/>
        <v>7.8810371394433254E-4</v>
      </c>
      <c r="G107" s="1356">
        <f t="shared" si="9"/>
        <v>6325716.6399999997</v>
      </c>
    </row>
    <row r="108" spans="1:7" ht="13.5">
      <c r="A108" s="1331">
        <v>44805</v>
      </c>
      <c r="B108" s="1331">
        <v>44834</v>
      </c>
      <c r="C108" s="931">
        <f t="shared" si="12"/>
        <v>30</v>
      </c>
      <c r="D108" s="1923">
        <v>0.23499999999999999</v>
      </c>
      <c r="E108" s="1876">
        <f t="shared" si="13"/>
        <v>0.35249999999999998</v>
      </c>
      <c r="F108" s="1877">
        <f t="shared" si="14"/>
        <v>8.2761552252574866E-4</v>
      </c>
      <c r="G108" s="1356">
        <f t="shared" si="9"/>
        <v>6428572.5300000003</v>
      </c>
    </row>
    <row r="109" spans="1:7" ht="13.5">
      <c r="A109" s="1331">
        <v>44835</v>
      </c>
      <c r="B109" s="1331">
        <v>44865</v>
      </c>
      <c r="C109" s="931">
        <f t="shared" si="12"/>
        <v>31</v>
      </c>
      <c r="D109" s="1923">
        <v>0.24610000000000001</v>
      </c>
      <c r="E109" s="1876">
        <f t="shared" si="13"/>
        <v>0.36915000000000003</v>
      </c>
      <c r="F109" s="1877">
        <f t="shared" si="14"/>
        <v>8.611654102768096E-4</v>
      </c>
      <c r="G109" s="1356">
        <f>ROUND(C109*$G$41*F109,2)</f>
        <v>6912146.5499999998</v>
      </c>
    </row>
    <row r="110" spans="1:7" ht="13.5">
      <c r="A110" s="1331">
        <v>44866</v>
      </c>
      <c r="B110" s="1331">
        <v>44895</v>
      </c>
      <c r="C110" s="931">
        <f t="shared" si="12"/>
        <v>30</v>
      </c>
      <c r="D110" s="1923">
        <v>0.25779999999999997</v>
      </c>
      <c r="E110" s="1876">
        <f t="shared" si="13"/>
        <v>0.38669999999999993</v>
      </c>
      <c r="F110" s="1877">
        <f t="shared" si="14"/>
        <v>8.9609117817124329E-4</v>
      </c>
      <c r="G110" s="1356">
        <f t="shared" ref="G110" si="15">ROUND(C110*$G$41*F110,2)</f>
        <v>6960462.8899999997</v>
      </c>
    </row>
    <row r="111" spans="1:7">
      <c r="D111" s="2796" t="s">
        <v>1457</v>
      </c>
      <c r="E111" s="2797"/>
      <c r="F111" s="2798"/>
      <c r="G111" s="1886">
        <f>SUM(G44:G110)</f>
        <v>484786901.79000002</v>
      </c>
    </row>
    <row r="112" spans="1:7">
      <c r="D112" s="2796" t="s">
        <v>1192</v>
      </c>
      <c r="E112" s="2797"/>
      <c r="F112" s="2798"/>
      <c r="G112" s="1886">
        <f>+G41+G111</f>
        <v>743706345.78999996</v>
      </c>
    </row>
    <row r="114" spans="1:2">
      <c r="A114" s="2686" t="s">
        <v>346</v>
      </c>
      <c r="B114" s="2686"/>
    </row>
    <row r="115" spans="1:2">
      <c r="A115" s="741" t="s">
        <v>1458</v>
      </c>
      <c r="B115" s="1121">
        <f>+G41</f>
        <v>258919444</v>
      </c>
    </row>
    <row r="116" spans="1:2" ht="25.5">
      <c r="A116" s="1648" t="s">
        <v>1459</v>
      </c>
      <c r="B116" s="1121">
        <f>+G111</f>
        <v>484786901.79000002</v>
      </c>
    </row>
    <row r="117" spans="1:2">
      <c r="A117" s="726" t="s">
        <v>61</v>
      </c>
      <c r="B117" s="1125">
        <f>SUM(B115:B116)</f>
        <v>743706345.78999996</v>
      </c>
    </row>
    <row r="118" spans="1:2">
      <c r="A118" s="1618" t="s">
        <v>62</v>
      </c>
      <c r="B118" s="814"/>
    </row>
    <row r="119" spans="1:2">
      <c r="A119" s="911"/>
      <c r="B119" s="814"/>
    </row>
    <row r="120" spans="1:2">
      <c r="A120" s="911"/>
      <c r="B120" s="814"/>
    </row>
    <row r="121" spans="1:2">
      <c r="A121" s="1618" t="s">
        <v>63</v>
      </c>
      <c r="B121" s="814"/>
    </row>
    <row r="122" spans="1:2">
      <c r="A122" s="1618" t="s">
        <v>64</v>
      </c>
      <c r="B122" s="814"/>
    </row>
    <row r="123" spans="1:2">
      <c r="A123" s="1618" t="s">
        <v>65</v>
      </c>
      <c r="B123" s="814"/>
    </row>
    <row r="124" spans="1:2">
      <c r="A124" s="791"/>
      <c r="B124" s="791"/>
    </row>
  </sheetData>
  <mergeCells count="31">
    <mergeCell ref="A35:F35"/>
    <mergeCell ref="A36:F36"/>
    <mergeCell ref="A37:F37"/>
    <mergeCell ref="A38:F38"/>
    <mergeCell ref="G42:G43"/>
    <mergeCell ref="A42:B42"/>
    <mergeCell ref="C42:C43"/>
    <mergeCell ref="D42:D43"/>
    <mergeCell ref="E42:E43"/>
    <mergeCell ref="F42:F43"/>
    <mergeCell ref="A11:F11"/>
    <mergeCell ref="C12:C13"/>
    <mergeCell ref="A12:B12"/>
    <mergeCell ref="D12:D13"/>
    <mergeCell ref="F12:F13"/>
    <mergeCell ref="G12:G13"/>
    <mergeCell ref="E12:E13"/>
    <mergeCell ref="D111:F111"/>
    <mergeCell ref="D112:F112"/>
    <mergeCell ref="A114:B114"/>
    <mergeCell ref="A19:F19"/>
    <mergeCell ref="A20:F20"/>
    <mergeCell ref="A21:F21"/>
    <mergeCell ref="A22:F22"/>
    <mergeCell ref="A25:F25"/>
    <mergeCell ref="A26:B26"/>
    <mergeCell ref="C26:C27"/>
    <mergeCell ref="D26:D27"/>
    <mergeCell ref="E26:E27"/>
    <mergeCell ref="F26:F27"/>
    <mergeCell ref="G26:G27"/>
  </mergeCells>
  <pageMargins left="0.7" right="0.7" top="0.75" bottom="0.75" header="0.3" footer="0.3"/>
  <pageSetup paperSize="9" scale="90" orientation="portrait" r:id="rId1"/>
  <colBreaks count="1" manualBreakCount="1">
    <brk id="7" max="1048575" man="1"/>
  </col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D9479-FA34-496C-B447-73080A4F22B1}">
  <sheetPr codeName="Hoja108"/>
  <dimension ref="A2:G17"/>
  <sheetViews>
    <sheetView workbookViewId="0">
      <selection activeCell="B13" sqref="B13"/>
    </sheetView>
  </sheetViews>
  <sheetFormatPr defaultColWidth="11.42578125" defaultRowHeight="12.75"/>
  <cols>
    <col min="1" max="1" width="19.7109375" customWidth="1"/>
    <col min="2" max="2" width="14.28515625" customWidth="1"/>
    <col min="3" max="3" width="12.28515625" customWidth="1"/>
    <col min="4" max="4" width="9.140625" customWidth="1"/>
    <col min="7" max="7" width="13.42578125" customWidth="1"/>
  </cols>
  <sheetData>
    <row r="2" spans="1:7" ht="13.5">
      <c r="A2" s="1697" t="s">
        <v>508</v>
      </c>
      <c r="B2" s="156" t="s">
        <v>1460</v>
      </c>
    </row>
    <row r="3" spans="1:7" ht="13.5">
      <c r="A3" s="1697" t="s">
        <v>814</v>
      </c>
      <c r="B3" s="156" t="s">
        <v>1057</v>
      </c>
    </row>
    <row r="4" spans="1:7" ht="13.5">
      <c r="A4" s="1697" t="s">
        <v>220</v>
      </c>
      <c r="B4" t="s">
        <v>1461</v>
      </c>
    </row>
    <row r="5" spans="1:7" ht="13.5">
      <c r="A5" s="1697" t="s">
        <v>1338</v>
      </c>
    </row>
    <row r="6" spans="1:7" ht="13.5">
      <c r="A6" s="1697" t="s">
        <v>700</v>
      </c>
    </row>
    <row r="7" spans="1:7" ht="27">
      <c r="A7" s="1875" t="s">
        <v>1002</v>
      </c>
    </row>
    <row r="9" spans="1:7">
      <c r="A9" s="188" t="s">
        <v>1015</v>
      </c>
    </row>
    <row r="10" spans="1:7">
      <c r="A10" s="188" t="s">
        <v>1462</v>
      </c>
    </row>
    <row r="11" spans="1:7">
      <c r="A11" s="188" t="s">
        <v>1463</v>
      </c>
      <c r="B11" s="21">
        <v>908526</v>
      </c>
    </row>
    <row r="12" spans="1:7">
      <c r="A12" s="188" t="s">
        <v>1462</v>
      </c>
      <c r="B12" s="21">
        <f>+B11*30</f>
        <v>27255780</v>
      </c>
    </row>
    <row r="13" spans="1:7">
      <c r="A13" s="188" t="s">
        <v>1464</v>
      </c>
      <c r="B13" s="21">
        <f>+B12</f>
        <v>27255780</v>
      </c>
    </row>
    <row r="14" spans="1:7">
      <c r="A14" s="188" t="s">
        <v>1465</v>
      </c>
    </row>
    <row r="16" spans="1:7" ht="13.5">
      <c r="A16" s="728" t="s">
        <v>143</v>
      </c>
      <c r="B16" s="850">
        <f>+B13</f>
        <v>27255780</v>
      </c>
      <c r="C16" s="2644" t="s">
        <v>172</v>
      </c>
      <c r="D16" s="2645"/>
      <c r="E16" s="2645"/>
      <c r="F16" s="2645"/>
      <c r="G16" s="2646"/>
    </row>
    <row r="17" spans="1:7" ht="25.5">
      <c r="A17" s="793" t="s">
        <v>337</v>
      </c>
      <c r="B17" s="793" t="s">
        <v>40</v>
      </c>
      <c r="C17" s="2739" t="s">
        <v>822</v>
      </c>
      <c r="D17" s="2740"/>
      <c r="E17" s="794" t="s">
        <v>43</v>
      </c>
      <c r="F17" s="794" t="s">
        <v>706</v>
      </c>
      <c r="G17" s="893" t="s">
        <v>48</v>
      </c>
    </row>
  </sheetData>
  <mergeCells count="2">
    <mergeCell ref="C16:G16"/>
    <mergeCell ref="C17:D17"/>
  </mergeCells>
  <conditionalFormatting sqref="A17:B17">
    <cfRule type="duplicateValues" dxfId="27" priority="1"/>
  </conditionalFormatting>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B41DD-5C23-492E-AD17-A2DFADA46356}">
  <sheetPr codeName="Hoja85"/>
  <dimension ref="A3:H44"/>
  <sheetViews>
    <sheetView topLeftCell="A10" workbookViewId="0">
      <selection activeCell="H39" sqref="H39"/>
    </sheetView>
  </sheetViews>
  <sheetFormatPr defaultColWidth="11.42578125" defaultRowHeight="12.75"/>
  <cols>
    <col min="1" max="1" width="3.7109375" customWidth="1"/>
    <col min="2" max="2" width="19.5703125" customWidth="1"/>
    <col min="3" max="3" width="26.42578125" customWidth="1"/>
    <col min="4" max="4" width="12.140625" bestFit="1" customWidth="1"/>
    <col min="8" max="8" width="13.85546875" bestFit="1" customWidth="1"/>
  </cols>
  <sheetData>
    <row r="3" spans="1:8" ht="13.5">
      <c r="B3" s="1697" t="s">
        <v>508</v>
      </c>
      <c r="C3" s="2" t="s">
        <v>1466</v>
      </c>
    </row>
    <row r="4" spans="1:8" ht="13.5">
      <c r="B4" s="1697" t="s">
        <v>814</v>
      </c>
      <c r="C4" s="269" t="s">
        <v>1467</v>
      </c>
    </row>
    <row r="5" spans="1:8" ht="21">
      <c r="B5" s="1697" t="s">
        <v>220</v>
      </c>
      <c r="C5" s="269" t="s">
        <v>1468</v>
      </c>
    </row>
    <row r="6" spans="1:8" ht="13.5">
      <c r="B6" s="1697" t="s">
        <v>1338</v>
      </c>
      <c r="C6" s="2532">
        <v>44293</v>
      </c>
    </row>
    <row r="7" spans="1:8" ht="13.5">
      <c r="B7" s="1697" t="s">
        <v>700</v>
      </c>
      <c r="C7" s="2"/>
    </row>
    <row r="8" spans="1:8" ht="27">
      <c r="B8" s="1875" t="s">
        <v>1002</v>
      </c>
      <c r="C8" s="2"/>
    </row>
    <row r="9" spans="1:8" ht="13.5">
      <c r="B9" s="1697" t="s">
        <v>164</v>
      </c>
      <c r="C9" s="273">
        <v>479899395</v>
      </c>
    </row>
    <row r="11" spans="1:8" ht="13.5">
      <c r="B11" s="728" t="s">
        <v>143</v>
      </c>
      <c r="C11" s="790">
        <f>+C9</f>
        <v>479899395</v>
      </c>
      <c r="D11" s="2644" t="s">
        <v>172</v>
      </c>
      <c r="E11" s="2645"/>
      <c r="F11" s="2645"/>
      <c r="G11" s="2645"/>
      <c r="H11" s="2646"/>
    </row>
    <row r="12" spans="1:8" ht="25.5">
      <c r="B12" s="793" t="s">
        <v>337</v>
      </c>
      <c r="C12" s="793" t="s">
        <v>40</v>
      </c>
      <c r="D12" s="2739" t="s">
        <v>822</v>
      </c>
      <c r="E12" s="2740"/>
      <c r="F12" s="794" t="s">
        <v>43</v>
      </c>
      <c r="G12" s="794" t="s">
        <v>706</v>
      </c>
      <c r="H12" s="921" t="s">
        <v>48</v>
      </c>
    </row>
    <row r="13" spans="1:8" ht="13.5">
      <c r="A13" s="4">
        <v>1</v>
      </c>
      <c r="B13" s="752">
        <v>44294</v>
      </c>
      <c r="C13" s="752">
        <v>44316</v>
      </c>
      <c r="D13" s="2806">
        <v>1.7600000000000001E-2</v>
      </c>
      <c r="E13" s="2807"/>
      <c r="F13" s="897">
        <f>((1+D13)^(1/365)-1)</f>
        <v>4.7800905724759701E-5</v>
      </c>
      <c r="G13" s="931">
        <f>(C13-B13)+1</f>
        <v>23</v>
      </c>
      <c r="H13" s="2090">
        <f>+$C$11*F13*G13</f>
        <v>527611.39196857705</v>
      </c>
    </row>
    <row r="14" spans="1:8" ht="13.5">
      <c r="A14" s="4">
        <v>2</v>
      </c>
      <c r="B14" s="752">
        <v>44317</v>
      </c>
      <c r="C14" s="752">
        <v>44347</v>
      </c>
      <c r="D14" s="2806">
        <v>1.8200000000000001E-2</v>
      </c>
      <c r="E14" s="2807"/>
      <c r="F14" s="897">
        <f t="shared" ref="F14:F22" si="0">((1+D14)^(1/365)-1)</f>
        <v>4.9415912668715478E-5</v>
      </c>
      <c r="G14" s="931">
        <f t="shared" ref="G14:G22" si="1">(C14-B14)+1</f>
        <v>31</v>
      </c>
      <c r="H14" s="2090">
        <f t="shared" ref="H14:H22" si="2">+$C$11*F14*G14</f>
        <v>735154.66438577126</v>
      </c>
    </row>
    <row r="15" spans="1:8" ht="13.5">
      <c r="A15" s="4">
        <v>3</v>
      </c>
      <c r="B15" s="752">
        <v>44348</v>
      </c>
      <c r="C15" s="752">
        <v>44377</v>
      </c>
      <c r="D15" s="2806">
        <v>1.9099999999999999E-2</v>
      </c>
      <c r="E15" s="2807"/>
      <c r="F15" s="897">
        <f t="shared" si="0"/>
        <v>5.1836644438196799E-5</v>
      </c>
      <c r="G15" s="931">
        <f t="shared" si="1"/>
        <v>30</v>
      </c>
      <c r="H15" s="2090">
        <f t="shared" si="2"/>
        <v>746291.22914162267</v>
      </c>
    </row>
    <row r="16" spans="1:8" ht="13.5">
      <c r="A16" s="4">
        <v>4</v>
      </c>
      <c r="B16" s="752">
        <v>44378</v>
      </c>
      <c r="C16" s="752">
        <v>44408</v>
      </c>
      <c r="D16" s="2806">
        <v>1.9E-2</v>
      </c>
      <c r="E16" s="2807"/>
      <c r="F16" s="897">
        <f t="shared" si="0"/>
        <v>5.1567779546513037E-5</v>
      </c>
      <c r="G16" s="931">
        <f t="shared" si="1"/>
        <v>31</v>
      </c>
      <c r="H16" s="2090">
        <f t="shared" si="2"/>
        <v>767167.73238181439</v>
      </c>
    </row>
    <row r="17" spans="1:8" ht="13.5">
      <c r="A17" s="4">
        <v>5</v>
      </c>
      <c r="B17" s="752">
        <v>44409</v>
      </c>
      <c r="C17" s="752">
        <v>44439</v>
      </c>
      <c r="D17" s="2806">
        <v>1.9900000000000001E-2</v>
      </c>
      <c r="E17" s="2807"/>
      <c r="F17" s="897">
        <f t="shared" si="0"/>
        <v>5.3986616880719041E-5</v>
      </c>
      <c r="G17" s="931">
        <f t="shared" si="1"/>
        <v>31</v>
      </c>
      <c r="H17" s="2090">
        <f t="shared" si="2"/>
        <v>803152.48815376952</v>
      </c>
    </row>
    <row r="18" spans="1:8" ht="13.5">
      <c r="A18" s="4">
        <v>6</v>
      </c>
      <c r="B18" s="752">
        <v>44440</v>
      </c>
      <c r="C18" s="752">
        <v>44469</v>
      </c>
      <c r="D18" s="2806">
        <v>2.0500000000000001E-2</v>
      </c>
      <c r="E18" s="2807"/>
      <c r="F18" s="897">
        <f t="shared" si="0"/>
        <v>5.5597992820066722E-5</v>
      </c>
      <c r="G18" s="931">
        <f t="shared" si="1"/>
        <v>30</v>
      </c>
      <c r="H18" s="2090">
        <f t="shared" si="2"/>
        <v>800443.29352693085</v>
      </c>
    </row>
    <row r="19" spans="1:8" ht="13.5">
      <c r="A19" s="4">
        <v>7</v>
      </c>
      <c r="B19" s="752">
        <v>44470</v>
      </c>
      <c r="C19" s="752">
        <v>44500</v>
      </c>
      <c r="D19" s="2806">
        <v>2.2200000000000001E-2</v>
      </c>
      <c r="E19" s="2807"/>
      <c r="F19" s="897">
        <f t="shared" si="0"/>
        <v>6.0158432328316636E-5</v>
      </c>
      <c r="G19" s="931">
        <f t="shared" si="1"/>
        <v>31</v>
      </c>
      <c r="H19" s="2090">
        <f t="shared" si="2"/>
        <v>894969.85363373545</v>
      </c>
    </row>
    <row r="20" spans="1:8" ht="13.5">
      <c r="A20" s="4">
        <v>8</v>
      </c>
      <c r="B20" s="752">
        <v>44501</v>
      </c>
      <c r="C20" s="752">
        <v>44530</v>
      </c>
      <c r="D20" s="2806">
        <v>2.6499999999999999E-2</v>
      </c>
      <c r="E20" s="2807"/>
      <c r="F20" s="897">
        <f t="shared" si="0"/>
        <v>7.1659985198868625E-5</v>
      </c>
      <c r="G20" s="931">
        <f t="shared" si="1"/>
        <v>30</v>
      </c>
      <c r="H20" s="2090">
        <f t="shared" si="2"/>
        <v>1031687.5062793803</v>
      </c>
    </row>
    <row r="21" spans="1:8" ht="13.5">
      <c r="A21" s="4">
        <v>9</v>
      </c>
      <c r="B21" s="752">
        <v>44531</v>
      </c>
      <c r="C21" s="752">
        <v>44561</v>
      </c>
      <c r="D21" s="2806">
        <v>3.0800000000000001E-2</v>
      </c>
      <c r="E21" s="2807"/>
      <c r="F21" s="897">
        <f t="shared" si="0"/>
        <v>8.3113590170658114E-5</v>
      </c>
      <c r="G21" s="931">
        <f t="shared" si="1"/>
        <v>31</v>
      </c>
      <c r="H21" s="2090">
        <f t="shared" si="2"/>
        <v>1236471.01081448</v>
      </c>
    </row>
    <row r="22" spans="1:8" ht="13.5">
      <c r="A22" s="4">
        <v>10</v>
      </c>
      <c r="B22" s="752">
        <v>44562</v>
      </c>
      <c r="C22" s="752">
        <v>44592</v>
      </c>
      <c r="D22" s="2806">
        <v>3.4700000000000002E-2</v>
      </c>
      <c r="E22" s="2807"/>
      <c r="F22" s="897">
        <f t="shared" si="0"/>
        <v>9.3460612729190373E-5</v>
      </c>
      <c r="G22" s="931">
        <f t="shared" si="1"/>
        <v>31</v>
      </c>
      <c r="H22" s="2090">
        <f t="shared" si="2"/>
        <v>1390402.4366571005</v>
      </c>
    </row>
    <row r="23" spans="1:8" ht="13.5">
      <c r="A23" s="4">
        <v>11</v>
      </c>
      <c r="B23" s="752">
        <v>44593</v>
      </c>
      <c r="C23" s="752">
        <v>44600</v>
      </c>
      <c r="D23" s="2806">
        <v>4.3099999999999999E-2</v>
      </c>
      <c r="E23" s="2807"/>
      <c r="F23" s="897">
        <f t="shared" ref="F23:F30" si="3">((1+D23)^(1/365)-1)</f>
        <v>1.1561503550527874E-4</v>
      </c>
      <c r="G23" s="931">
        <f t="shared" ref="G23:G30" si="4">(C23-B23)+1</f>
        <v>8</v>
      </c>
      <c r="H23" s="2090">
        <f t="shared" ref="H23:H30" si="5">+$C$11*F23*G23</f>
        <v>443868.68473509431</v>
      </c>
    </row>
    <row r="24" spans="1:8" ht="13.5">
      <c r="A24" s="4">
        <v>12</v>
      </c>
      <c r="B24" s="752">
        <v>44601</v>
      </c>
      <c r="C24" s="752">
        <v>44620</v>
      </c>
      <c r="D24" s="1923">
        <v>0.183</v>
      </c>
      <c r="E24" s="1923">
        <f t="shared" ref="E24:E32" si="6">+D24*1.5</f>
        <v>0.27449999999999997</v>
      </c>
      <c r="F24" s="897">
        <f t="shared" si="3"/>
        <v>4.6052679072849934E-4</v>
      </c>
      <c r="G24" s="931">
        <f t="shared" si="4"/>
        <v>20</v>
      </c>
      <c r="H24" s="2090">
        <f t="shared" si="5"/>
        <v>4420130.5650379686</v>
      </c>
    </row>
    <row r="25" spans="1:8" ht="13.5">
      <c r="A25" s="4">
        <v>13</v>
      </c>
      <c r="B25" s="752">
        <v>44621</v>
      </c>
      <c r="C25" s="752">
        <v>44651</v>
      </c>
      <c r="D25" s="1923">
        <v>0.1847</v>
      </c>
      <c r="E25" s="1923">
        <f t="shared" si="6"/>
        <v>0.27705000000000002</v>
      </c>
      <c r="F25" s="897">
        <f t="shared" si="3"/>
        <v>4.6446283763712515E-4</v>
      </c>
      <c r="G25" s="931">
        <f t="shared" si="4"/>
        <v>31</v>
      </c>
      <c r="H25" s="2090">
        <f t="shared" si="5"/>
        <v>6909758.4782432271</v>
      </c>
    </row>
    <row r="26" spans="1:8" ht="13.5">
      <c r="A26" s="4">
        <v>14</v>
      </c>
      <c r="B26" s="752">
        <v>44652</v>
      </c>
      <c r="C26" s="752">
        <v>44681</v>
      </c>
      <c r="D26" s="1923">
        <v>0.1905</v>
      </c>
      <c r="E26" s="1923">
        <f t="shared" si="6"/>
        <v>0.28575</v>
      </c>
      <c r="F26" s="897">
        <f t="shared" si="3"/>
        <v>4.7784944038409272E-4</v>
      </c>
      <c r="G26" s="931">
        <f t="shared" si="4"/>
        <v>30</v>
      </c>
      <c r="H26" s="2090">
        <f t="shared" si="5"/>
        <v>6879589.7202424398</v>
      </c>
    </row>
    <row r="27" spans="1:8" ht="13.5">
      <c r="A27" s="4">
        <v>15</v>
      </c>
      <c r="B27" s="752">
        <v>44682</v>
      </c>
      <c r="C27" s="752">
        <v>44712</v>
      </c>
      <c r="D27" s="1923">
        <v>0.1971</v>
      </c>
      <c r="E27" s="1923">
        <f t="shared" si="6"/>
        <v>0.29564999999999997</v>
      </c>
      <c r="F27" s="897">
        <f t="shared" si="3"/>
        <v>4.9300358298354219E-4</v>
      </c>
      <c r="G27" s="931">
        <f t="shared" si="4"/>
        <v>31</v>
      </c>
      <c r="H27" s="2090">
        <f t="shared" si="5"/>
        <v>7334355.7574056601</v>
      </c>
    </row>
    <row r="28" spans="1:8" ht="13.5">
      <c r="A28" s="4">
        <v>16</v>
      </c>
      <c r="B28" s="752">
        <v>44713</v>
      </c>
      <c r="C28" s="752">
        <v>44742</v>
      </c>
      <c r="D28" s="1923">
        <v>0.20399999999999999</v>
      </c>
      <c r="E28" s="1923">
        <f t="shared" si="6"/>
        <v>0.30599999999999999</v>
      </c>
      <c r="F28" s="897">
        <f t="shared" si="3"/>
        <v>5.0875772096592442E-4</v>
      </c>
      <c r="G28" s="931">
        <f t="shared" si="4"/>
        <v>30</v>
      </c>
      <c r="H28" s="2090">
        <f t="shared" si="5"/>
        <v>7324575.6747937789</v>
      </c>
    </row>
    <row r="29" spans="1:8" ht="13.5">
      <c r="A29" s="4">
        <v>17</v>
      </c>
      <c r="B29" s="752">
        <v>44743</v>
      </c>
      <c r="C29" s="752">
        <v>44773</v>
      </c>
      <c r="D29" s="1923">
        <v>0.21279999999999999</v>
      </c>
      <c r="E29" s="1923">
        <f t="shared" si="6"/>
        <v>0.31919999999999998</v>
      </c>
      <c r="F29" s="897">
        <f t="shared" si="3"/>
        <v>5.287198214498634E-4</v>
      </c>
      <c r="G29" s="931">
        <f t="shared" si="4"/>
        <v>31</v>
      </c>
      <c r="H29" s="2090">
        <f t="shared" si="5"/>
        <v>7865701.9955872213</v>
      </c>
    </row>
    <row r="30" spans="1:8" ht="13.5">
      <c r="A30" s="4">
        <v>18</v>
      </c>
      <c r="B30" s="752">
        <v>44774</v>
      </c>
      <c r="C30" s="752">
        <v>44804</v>
      </c>
      <c r="D30" s="1923">
        <v>0.22209999999999999</v>
      </c>
      <c r="E30" s="1923">
        <f t="shared" si="6"/>
        <v>0.33315</v>
      </c>
      <c r="F30" s="897">
        <f t="shared" si="3"/>
        <v>5.4965974857812405E-4</v>
      </c>
      <c r="G30" s="931">
        <f t="shared" si="4"/>
        <v>31</v>
      </c>
      <c r="H30" s="2090">
        <f t="shared" si="5"/>
        <v>8177222.80475331</v>
      </c>
    </row>
    <row r="31" spans="1:8" ht="13.5">
      <c r="A31" s="4">
        <v>19</v>
      </c>
      <c r="B31" s="752">
        <v>44805</v>
      </c>
      <c r="C31" s="752">
        <v>44834</v>
      </c>
      <c r="D31" s="1923">
        <v>0.23499999999999999</v>
      </c>
      <c r="E31" s="1923">
        <f t="shared" si="6"/>
        <v>0.35249999999999998</v>
      </c>
      <c r="F31" s="897">
        <f t="shared" ref="F31:F36" si="7">((1+D31)^(1/365)-1)</f>
        <v>5.7844386452088337E-4</v>
      </c>
      <c r="G31" s="931">
        <f t="shared" ref="G31:G36" si="8">(C31-B31)+1</f>
        <v>30</v>
      </c>
      <c r="H31" s="2090">
        <f t="shared" ref="H31:H36" si="9">+$C$11*F31*G31</f>
        <v>8327845.8187510176</v>
      </c>
    </row>
    <row r="32" spans="1:8" ht="13.5">
      <c r="A32" s="2179">
        <v>20</v>
      </c>
      <c r="B32" s="752">
        <v>44835</v>
      </c>
      <c r="C32" s="752">
        <v>44865</v>
      </c>
      <c r="D32" s="1923">
        <v>0.24610000000000001</v>
      </c>
      <c r="E32" s="1923">
        <f t="shared" si="6"/>
        <v>0.36915000000000003</v>
      </c>
      <c r="F32" s="897">
        <f t="shared" si="7"/>
        <v>6.0297260251718221E-4</v>
      </c>
      <c r="G32" s="931">
        <f t="shared" si="8"/>
        <v>31</v>
      </c>
      <c r="H32" s="2090">
        <f t="shared" si="9"/>
        <v>8970351.801636707</v>
      </c>
    </row>
    <row r="33" spans="1:8" ht="13.5">
      <c r="A33" s="4">
        <v>21</v>
      </c>
      <c r="B33" s="752">
        <v>44866</v>
      </c>
      <c r="C33" s="752">
        <v>44895</v>
      </c>
      <c r="D33" s="1923">
        <v>0.25779999999999997</v>
      </c>
      <c r="E33" s="1923">
        <f t="shared" ref="E33:E35" si="10">+D33*1.5</f>
        <v>0.38669999999999993</v>
      </c>
      <c r="F33" s="897">
        <f t="shared" si="7"/>
        <v>6.2859244895285826E-4</v>
      </c>
      <c r="G33" s="931">
        <f t="shared" si="8"/>
        <v>30</v>
      </c>
      <c r="H33" s="2090">
        <f t="shared" si="9"/>
        <v>9049834.0786213521</v>
      </c>
    </row>
    <row r="34" spans="1:8" ht="13.5">
      <c r="A34" s="4">
        <v>22</v>
      </c>
      <c r="B34" s="752">
        <v>44896</v>
      </c>
      <c r="C34" s="752">
        <v>44926</v>
      </c>
      <c r="D34" s="1923">
        <v>0.27639999999999998</v>
      </c>
      <c r="E34" s="1923">
        <f t="shared" si="10"/>
        <v>0.41459999999999997</v>
      </c>
      <c r="F34" s="897">
        <f t="shared" si="7"/>
        <v>6.6883621625102307E-4</v>
      </c>
      <c r="G34" s="931">
        <f t="shared" si="8"/>
        <v>31</v>
      </c>
      <c r="H34" s="2090">
        <f t="shared" si="9"/>
        <v>9950196.9615216088</v>
      </c>
    </row>
    <row r="35" spans="1:8" ht="13.5">
      <c r="A35" s="4">
        <v>23</v>
      </c>
      <c r="B35" s="752">
        <v>44927</v>
      </c>
      <c r="C35" s="752">
        <v>44957</v>
      </c>
      <c r="D35" s="1923">
        <v>0.28839999999999999</v>
      </c>
      <c r="E35" s="1923">
        <f t="shared" si="10"/>
        <v>0.43259999999999998</v>
      </c>
      <c r="F35" s="897">
        <f t="shared" si="7"/>
        <v>6.9449074155003565E-4</v>
      </c>
      <c r="G35" s="931">
        <f t="shared" si="8"/>
        <v>31</v>
      </c>
      <c r="H35" s="2090">
        <f t="shared" si="9"/>
        <v>10331856.287791869</v>
      </c>
    </row>
    <row r="36" spans="1:8" ht="13.5">
      <c r="A36" s="4">
        <v>24</v>
      </c>
      <c r="B36" s="752">
        <v>44958</v>
      </c>
      <c r="C36" s="752">
        <v>44985</v>
      </c>
      <c r="D36" s="1923">
        <v>0.30180000000000001</v>
      </c>
      <c r="E36" s="1923">
        <f t="shared" ref="E36:E38" si="11">+D36*1.5</f>
        <v>0.45269999999999999</v>
      </c>
      <c r="F36" s="897">
        <f t="shared" si="7"/>
        <v>7.2285818314421491E-4</v>
      </c>
      <c r="G36" s="931">
        <f t="shared" si="8"/>
        <v>28</v>
      </c>
      <c r="H36" s="2090">
        <f t="shared" si="9"/>
        <v>9713177.7333278209</v>
      </c>
    </row>
    <row r="37" spans="1:8" ht="13.5">
      <c r="A37" s="4">
        <v>25</v>
      </c>
      <c r="B37" s="752">
        <v>44986</v>
      </c>
      <c r="C37" s="752">
        <v>45016</v>
      </c>
      <c r="D37" s="1923">
        <v>0.30840000000000001</v>
      </c>
      <c r="E37" s="1923">
        <f t="shared" si="11"/>
        <v>0.46260000000000001</v>
      </c>
      <c r="F37" s="897">
        <f t="shared" ref="F37:F38" si="12">((1+D37)^(1/365)-1)</f>
        <v>7.3672334792984628E-4</v>
      </c>
      <c r="G37" s="931">
        <f t="shared" ref="G37:G38" si="13">(C37-B37)+1</f>
        <v>31</v>
      </c>
      <c r="H37" s="2090">
        <f t="shared" ref="H37:H38" si="14">+$C$11*F37*G37</f>
        <v>10960145.757571138</v>
      </c>
    </row>
    <row r="38" spans="1:8" ht="13.5">
      <c r="A38" s="4">
        <v>26</v>
      </c>
      <c r="B38" s="752">
        <v>45017</v>
      </c>
      <c r="C38" s="752">
        <v>45046</v>
      </c>
      <c r="D38" s="1923">
        <v>0.31390000000000001</v>
      </c>
      <c r="E38" s="1923">
        <f t="shared" si="11"/>
        <v>0.47084999999999999</v>
      </c>
      <c r="F38" s="897">
        <f t="shared" si="12"/>
        <v>7.4822447535671799E-4</v>
      </c>
      <c r="G38" s="931">
        <f t="shared" si="13"/>
        <v>30</v>
      </c>
      <c r="H38" s="2090">
        <f t="shared" si="14"/>
        <v>10772174.191436442</v>
      </c>
    </row>
    <row r="39" spans="1:8">
      <c r="F39" s="2804" t="s">
        <v>117</v>
      </c>
      <c r="G39" s="2805"/>
      <c r="H39" s="2090">
        <f>SUM(H13:H38)</f>
        <v>136364137.91839984</v>
      </c>
    </row>
    <row r="40" spans="1:8" ht="13.5">
      <c r="B40" s="2591" t="s">
        <v>55</v>
      </c>
      <c r="C40" s="2591"/>
      <c r="D40" s="2591"/>
    </row>
    <row r="41" spans="1:8" ht="13.5">
      <c r="B41" s="2583" t="s">
        <v>1041</v>
      </c>
      <c r="C41" s="2584"/>
      <c r="D41" s="2091">
        <f>+C11</f>
        <v>479899395</v>
      </c>
    </row>
    <row r="42" spans="1:8" ht="13.5">
      <c r="B42" s="2583" t="s">
        <v>1042</v>
      </c>
      <c r="C42" s="2584"/>
      <c r="D42" s="1616">
        <f>+H39</f>
        <v>136364137.91839984</v>
      </c>
    </row>
    <row r="43" spans="1:8" ht="13.5">
      <c r="B43" s="2583" t="s">
        <v>1469</v>
      </c>
      <c r="C43" s="2584"/>
      <c r="D43" s="1616">
        <v>9085260</v>
      </c>
    </row>
    <row r="44" spans="1:8" ht="13.5">
      <c r="B44" s="741" t="s">
        <v>1043</v>
      </c>
      <c r="C44" s="741"/>
      <c r="D44" s="1616">
        <f>SUM(D41:D43)</f>
        <v>625348792.91839981</v>
      </c>
    </row>
  </sheetData>
  <mergeCells count="18">
    <mergeCell ref="D21:E21"/>
    <mergeCell ref="D23:E23"/>
    <mergeCell ref="D16:E16"/>
    <mergeCell ref="D17:E17"/>
    <mergeCell ref="D18:E18"/>
    <mergeCell ref="D19:E19"/>
    <mergeCell ref="D20:E20"/>
    <mergeCell ref="D11:H11"/>
    <mergeCell ref="D12:E12"/>
    <mergeCell ref="D13:E13"/>
    <mergeCell ref="D14:E14"/>
    <mergeCell ref="D15:E15"/>
    <mergeCell ref="B43:C43"/>
    <mergeCell ref="F39:G39"/>
    <mergeCell ref="B40:D40"/>
    <mergeCell ref="D22:E22"/>
    <mergeCell ref="B41:C41"/>
    <mergeCell ref="B42:C42"/>
  </mergeCells>
  <conditionalFormatting sqref="B12:C12">
    <cfRule type="duplicateValues" dxfId="26" priority="1"/>
  </conditionalFormatting>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DBE36-A7CF-4FAD-8AA2-518700F23835}">
  <sheetPr codeName="Hoja86"/>
  <dimension ref="A3:F14"/>
  <sheetViews>
    <sheetView workbookViewId="0">
      <selection activeCell="A15" sqref="A15"/>
    </sheetView>
  </sheetViews>
  <sheetFormatPr defaultColWidth="11.42578125" defaultRowHeight="12.75"/>
  <cols>
    <col min="1" max="1" width="18.85546875" customWidth="1"/>
    <col min="2" max="2" width="13.85546875" customWidth="1"/>
    <col min="4" max="4" width="16.7109375" customWidth="1"/>
    <col min="5" max="6" width="17.5703125" bestFit="1" customWidth="1"/>
  </cols>
  <sheetData>
    <row r="3" spans="1:6" ht="33.75">
      <c r="A3" s="397" t="s">
        <v>1470</v>
      </c>
      <c r="B3" s="397" t="s">
        <v>1471</v>
      </c>
      <c r="C3" s="397" t="s">
        <v>1472</v>
      </c>
      <c r="D3" s="397" t="s">
        <v>1473</v>
      </c>
      <c r="E3" s="397" t="s">
        <v>1474</v>
      </c>
    </row>
    <row r="4" spans="1:6" ht="22.5">
      <c r="A4" s="2074" t="s">
        <v>1475</v>
      </c>
      <c r="B4" s="2">
        <v>100856</v>
      </c>
      <c r="C4" s="196" t="s">
        <v>1476</v>
      </c>
      <c r="D4" s="196" t="s">
        <v>1477</v>
      </c>
      <c r="E4" s="102">
        <v>10085600000</v>
      </c>
    </row>
    <row r="5" spans="1:6" ht="22.5">
      <c r="A5" s="2074" t="s">
        <v>1475</v>
      </c>
      <c r="B5" s="2">
        <v>3018080</v>
      </c>
      <c r="C5" s="196" t="s">
        <v>1478</v>
      </c>
      <c r="D5" s="196" t="s">
        <v>1479</v>
      </c>
      <c r="E5" s="102">
        <v>3018000000</v>
      </c>
    </row>
    <row r="6" spans="1:6">
      <c r="A6" s="2"/>
      <c r="B6" s="2"/>
      <c r="C6" s="2549" t="s">
        <v>1480</v>
      </c>
      <c r="D6" s="2549"/>
      <c r="E6" s="2075">
        <f>SUM(E4:E5)</f>
        <v>13103600000</v>
      </c>
    </row>
    <row r="7" spans="1:6">
      <c r="A7" s="1" t="s">
        <v>1481</v>
      </c>
    </row>
    <row r="8" spans="1:6" ht="22.5" customHeight="1">
      <c r="A8" s="2808" t="s">
        <v>1482</v>
      </c>
      <c r="B8" s="2808"/>
      <c r="C8" s="2808"/>
      <c r="D8" s="2808"/>
      <c r="E8" s="111">
        <f>+E6</f>
        <v>13103600000</v>
      </c>
      <c r="F8" s="2076"/>
    </row>
    <row r="9" spans="1:6" ht="33.75" customHeight="1">
      <c r="A9" s="2715" t="s">
        <v>1483</v>
      </c>
      <c r="B9" s="2809"/>
      <c r="C9" s="2809"/>
      <c r="D9" s="2716"/>
      <c r="E9" s="2077">
        <v>2020000000</v>
      </c>
    </row>
    <row r="10" spans="1:6">
      <c r="C10" s="2549" t="s">
        <v>1484</v>
      </c>
      <c r="D10" s="2549"/>
      <c r="E10" s="2075">
        <f>+E8-E9</f>
        <v>11083600000</v>
      </c>
    </row>
    <row r="11" spans="1:6">
      <c r="E11" s="8"/>
    </row>
    <row r="14" spans="1:6">
      <c r="A14" s="188" t="s">
        <v>1485</v>
      </c>
    </row>
  </sheetData>
  <mergeCells count="4">
    <mergeCell ref="C6:D6"/>
    <mergeCell ref="A8:D8"/>
    <mergeCell ref="A9:D9"/>
    <mergeCell ref="C10:D10"/>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320BB-FFE5-4528-A49C-8A1A1628550E}">
  <sheetPr codeName="Hoja87"/>
  <dimension ref="A4:B6"/>
  <sheetViews>
    <sheetView workbookViewId="0">
      <selection activeCell="A7" sqref="A7"/>
    </sheetView>
  </sheetViews>
  <sheetFormatPr defaultColWidth="11.42578125" defaultRowHeight="12.75"/>
  <cols>
    <col min="1" max="1" width="28.140625" customWidth="1"/>
  </cols>
  <sheetData>
    <row r="4" spans="1:2">
      <c r="A4" t="s">
        <v>1486</v>
      </c>
    </row>
    <row r="5" spans="1:2">
      <c r="A5" t="s">
        <v>154</v>
      </c>
      <c r="B5" s="7">
        <v>44260</v>
      </c>
    </row>
    <row r="6" spans="1:2">
      <c r="A6" t="s">
        <v>1487</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E2DB5-E037-4371-AFF5-94DDD57A59AA}">
  <sheetPr codeName="Hoja88"/>
  <dimension ref="A3:L109"/>
  <sheetViews>
    <sheetView topLeftCell="A68" zoomScaleNormal="100" workbookViewId="0">
      <selection activeCell="F81" sqref="F81"/>
    </sheetView>
  </sheetViews>
  <sheetFormatPr defaultColWidth="11.42578125" defaultRowHeight="12.75"/>
  <cols>
    <col min="1" max="1" width="2.85546875" style="697" customWidth="1"/>
    <col min="2" max="2" width="16.85546875" style="697" customWidth="1"/>
    <col min="3" max="3" width="29.7109375" style="697" customWidth="1"/>
    <col min="4" max="4" width="18.42578125" style="697" customWidth="1"/>
    <col min="5" max="5" width="12.85546875" style="697" bestFit="1" customWidth="1"/>
    <col min="6" max="6" width="14.28515625" style="697" customWidth="1"/>
    <col min="7" max="7" width="13.42578125" style="697" customWidth="1"/>
    <col min="8" max="8" width="14.140625" style="697" bestFit="1" customWidth="1"/>
    <col min="9" max="11" width="11.42578125" style="697"/>
    <col min="12" max="12" width="14.140625" style="697" bestFit="1" customWidth="1"/>
    <col min="13" max="16384" width="11.42578125" style="697"/>
  </cols>
  <sheetData>
    <row r="3" spans="2:5">
      <c r="B3" s="2210" t="s">
        <v>1488</v>
      </c>
      <c r="C3" s="723" t="s">
        <v>1489</v>
      </c>
    </row>
    <row r="4" spans="2:5">
      <c r="B4" s="2210" t="s">
        <v>1490</v>
      </c>
      <c r="C4" s="723">
        <v>12579616</v>
      </c>
    </row>
    <row r="5" spans="2:5">
      <c r="B5" s="2210" t="s">
        <v>1491</v>
      </c>
      <c r="C5" s="723" t="s">
        <v>1129</v>
      </c>
    </row>
    <row r="6" spans="2:5">
      <c r="B6" s="2210" t="s">
        <v>124</v>
      </c>
      <c r="C6" s="723" t="s">
        <v>1492</v>
      </c>
    </row>
    <row r="7" spans="2:5" ht="25.5">
      <c r="B7" s="2219" t="s">
        <v>1493</v>
      </c>
      <c r="C7" s="2196" t="s">
        <v>851</v>
      </c>
    </row>
    <row r="8" spans="2:5">
      <c r="B8" s="1632" t="s">
        <v>4</v>
      </c>
      <c r="C8" s="2233">
        <v>44048</v>
      </c>
    </row>
    <row r="9" spans="2:5">
      <c r="B9" s="1632" t="s">
        <v>1494</v>
      </c>
      <c r="C9" s="723"/>
    </row>
    <row r="11" spans="2:5" ht="25.5">
      <c r="B11" s="1632" t="s">
        <v>1495</v>
      </c>
      <c r="C11" s="901" t="s">
        <v>1496</v>
      </c>
    </row>
    <row r="12" spans="2:5">
      <c r="B12" s="1632" t="s">
        <v>1497</v>
      </c>
      <c r="C12" s="2233">
        <v>28277</v>
      </c>
    </row>
    <row r="13" spans="2:5">
      <c r="B13" s="1632" t="s">
        <v>1498</v>
      </c>
      <c r="C13" s="2233">
        <v>42521</v>
      </c>
      <c r="E13" s="2198"/>
    </row>
    <row r="14" spans="2:5" ht="25.5">
      <c r="B14" s="1634" t="s">
        <v>1499</v>
      </c>
      <c r="C14" s="2149">
        <v>2157122</v>
      </c>
    </row>
    <row r="16" spans="2:5">
      <c r="B16" s="2810" t="s">
        <v>1500</v>
      </c>
      <c r="C16" s="2810"/>
    </row>
    <row r="17" spans="1:6">
      <c r="B17" s="2234" t="s">
        <v>295</v>
      </c>
      <c r="C17" s="1636" t="s">
        <v>1501</v>
      </c>
      <c r="D17" s="1636" t="s">
        <v>1502</v>
      </c>
    </row>
    <row r="18" spans="1:6">
      <c r="A18" s="723">
        <v>1</v>
      </c>
      <c r="B18" s="2233">
        <v>36713</v>
      </c>
      <c r="C18" s="2235">
        <v>577</v>
      </c>
      <c r="D18" s="2149">
        <v>977116</v>
      </c>
    </row>
    <row r="19" spans="1:6">
      <c r="A19" s="723">
        <v>2</v>
      </c>
      <c r="B19" s="2233">
        <v>44646</v>
      </c>
      <c r="C19" s="2235">
        <v>836</v>
      </c>
      <c r="D19" s="2149">
        <v>1154044</v>
      </c>
      <c r="F19" s="715"/>
    </row>
    <row r="20" spans="1:6">
      <c r="A20" s="723">
        <v>3</v>
      </c>
      <c r="B20" s="2233">
        <v>37699</v>
      </c>
      <c r="C20" s="2235">
        <v>401</v>
      </c>
      <c r="D20" s="2149">
        <v>1200000</v>
      </c>
    </row>
    <row r="21" spans="1:6">
      <c r="A21" s="723">
        <v>4</v>
      </c>
      <c r="B21" s="2233">
        <v>38104</v>
      </c>
      <c r="C21" s="2235">
        <v>502</v>
      </c>
      <c r="D21" s="2149">
        <v>1151000</v>
      </c>
    </row>
    <row r="22" spans="1:6">
      <c r="A22" s="723">
        <v>5</v>
      </c>
      <c r="B22" s="2233">
        <v>38988</v>
      </c>
      <c r="C22" s="2235">
        <v>1208</v>
      </c>
      <c r="D22" s="2149">
        <v>1177891</v>
      </c>
    </row>
    <row r="23" spans="1:6">
      <c r="A23" s="723">
        <v>6</v>
      </c>
      <c r="B23" s="2233">
        <v>39162</v>
      </c>
      <c r="C23" s="2235">
        <v>407</v>
      </c>
      <c r="D23" s="2149">
        <v>1288582</v>
      </c>
    </row>
    <row r="24" spans="1:6">
      <c r="A24" s="723">
        <v>7</v>
      </c>
      <c r="B24" s="2233">
        <v>39933</v>
      </c>
      <c r="C24" s="2235">
        <v>904</v>
      </c>
      <c r="D24" s="2149">
        <v>4892729</v>
      </c>
    </row>
    <row r="25" spans="1:6">
      <c r="A25" s="723">
        <v>8</v>
      </c>
      <c r="B25" s="2233">
        <v>39933</v>
      </c>
      <c r="C25" s="2235">
        <v>905</v>
      </c>
      <c r="D25" s="2149">
        <v>1566497</v>
      </c>
    </row>
    <row r="26" spans="1:6">
      <c r="A26" s="723">
        <v>9</v>
      </c>
      <c r="B26" s="2233">
        <v>40387</v>
      </c>
      <c r="C26" s="2235">
        <v>2188</v>
      </c>
      <c r="D26" s="2149">
        <v>1664629</v>
      </c>
    </row>
    <row r="27" spans="1:6">
      <c r="A27" s="723">
        <v>10</v>
      </c>
      <c r="B27" s="2233">
        <v>40990</v>
      </c>
      <c r="C27" s="2235">
        <v>944</v>
      </c>
      <c r="D27" s="2149">
        <v>11539000</v>
      </c>
    </row>
    <row r="28" spans="1:6">
      <c r="A28" s="723">
        <v>11</v>
      </c>
      <c r="B28" s="2233">
        <v>41710</v>
      </c>
      <c r="C28" s="2235">
        <v>1843</v>
      </c>
      <c r="D28" s="2149">
        <v>7401888</v>
      </c>
    </row>
    <row r="29" spans="1:6">
      <c r="A29" s="723">
        <v>12</v>
      </c>
      <c r="B29" s="2233">
        <v>41710</v>
      </c>
      <c r="C29" s="2235">
        <v>1844</v>
      </c>
      <c r="D29" s="2149">
        <v>2525460</v>
      </c>
    </row>
    <row r="30" spans="1:6">
      <c r="A30" s="723">
        <v>13</v>
      </c>
      <c r="B30" s="2233">
        <v>42075</v>
      </c>
      <c r="C30" s="2235">
        <v>2048</v>
      </c>
      <c r="D30" s="2149">
        <v>5299347</v>
      </c>
    </row>
    <row r="31" spans="1:6">
      <c r="A31" s="723">
        <v>14</v>
      </c>
      <c r="B31" s="2237">
        <v>42433</v>
      </c>
      <c r="C31" s="2235">
        <v>1125</v>
      </c>
      <c r="D31" s="2149">
        <v>6000000</v>
      </c>
    </row>
    <row r="32" spans="1:6">
      <c r="C32" s="1636" t="s">
        <v>1503</v>
      </c>
      <c r="D32" s="2236">
        <f>SUM(D18:D31)</f>
        <v>47838183</v>
      </c>
    </row>
    <row r="34" spans="1:12">
      <c r="B34" s="697" t="s">
        <v>1504</v>
      </c>
    </row>
    <row r="35" spans="1:12">
      <c r="B35" s="2242" t="s">
        <v>1505</v>
      </c>
    </row>
    <row r="36" spans="1:12">
      <c r="B36" s="1633" t="s">
        <v>30</v>
      </c>
    </row>
    <row r="37" spans="1:12" ht="38.25" customHeight="1">
      <c r="B37" s="2811" t="s">
        <v>1506</v>
      </c>
      <c r="C37" s="2811"/>
      <c r="D37" s="2150">
        <f>+C14</f>
        <v>2157122</v>
      </c>
      <c r="J37" s="2233">
        <v>44048</v>
      </c>
      <c r="K37" s="697">
        <v>121.5</v>
      </c>
    </row>
    <row r="38" spans="1:12" ht="25.5">
      <c r="B38" s="901" t="s">
        <v>1507</v>
      </c>
      <c r="C38" s="2150">
        <v>1000799</v>
      </c>
      <c r="D38" s="2150">
        <f>+C38/12</f>
        <v>83399.916666666672</v>
      </c>
      <c r="J38" s="2233"/>
    </row>
    <row r="39" spans="1:12">
      <c r="B39" s="901" t="s">
        <v>471</v>
      </c>
      <c r="C39" s="2150">
        <v>1389999</v>
      </c>
      <c r="D39" s="2150">
        <f t="shared" ref="D39:D41" si="0">+C39/12</f>
        <v>115833.25</v>
      </c>
      <c r="J39" s="2233"/>
    </row>
    <row r="40" spans="1:12">
      <c r="B40" s="901" t="s">
        <v>1508</v>
      </c>
      <c r="C40" s="2150">
        <v>133440</v>
      </c>
      <c r="D40" s="2150">
        <f t="shared" si="0"/>
        <v>11120</v>
      </c>
      <c r="J40" s="2233"/>
    </row>
    <row r="41" spans="1:12">
      <c r="B41" s="901" t="s">
        <v>26</v>
      </c>
      <c r="C41" s="2150">
        <v>2200831</v>
      </c>
      <c r="D41" s="2150">
        <f t="shared" si="0"/>
        <v>183402.58333333334</v>
      </c>
      <c r="J41" s="2233"/>
    </row>
    <row r="42" spans="1:12">
      <c r="C42" s="1632" t="s">
        <v>1509</v>
      </c>
      <c r="D42" s="2236">
        <f>SUM(D37:D41)</f>
        <v>2550877.75</v>
      </c>
      <c r="J42" s="2233"/>
    </row>
    <row r="43" spans="1:12">
      <c r="J43" s="2233"/>
    </row>
    <row r="44" spans="1:12">
      <c r="B44" s="1634"/>
      <c r="C44" s="2236"/>
      <c r="J44" s="2233"/>
    </row>
    <row r="45" spans="1:12">
      <c r="B45" s="1636" t="s">
        <v>147</v>
      </c>
      <c r="C45" s="1636" t="s">
        <v>40</v>
      </c>
      <c r="D45" s="2234" t="s">
        <v>529</v>
      </c>
      <c r="E45" s="1632" t="s">
        <v>1510</v>
      </c>
      <c r="J45" s="2244" t="s">
        <v>76</v>
      </c>
      <c r="K45" s="2244" t="s">
        <v>77</v>
      </c>
      <c r="L45" s="1694" t="s">
        <v>57</v>
      </c>
    </row>
    <row r="46" spans="1:12">
      <c r="A46" s="723">
        <v>1</v>
      </c>
      <c r="B46" s="2238">
        <v>28277</v>
      </c>
      <c r="C46" s="2238">
        <v>28490</v>
      </c>
      <c r="D46" s="2239">
        <f>DAYS360(B46,C46)</f>
        <v>210</v>
      </c>
      <c r="E46" s="2240">
        <f>($D$42*D46)/360</f>
        <v>1488012.0208333333</v>
      </c>
      <c r="J46" s="2199">
        <v>0.48</v>
      </c>
      <c r="K46" s="723">
        <f t="shared" ref="K46:K85" si="1">+$K$37/J46</f>
        <v>253.125</v>
      </c>
      <c r="L46" s="2149">
        <f t="shared" ref="L46:L85" si="2">+E46*K46</f>
        <v>376653042.7734375</v>
      </c>
    </row>
    <row r="47" spans="1:12">
      <c r="A47" s="723">
        <v>2</v>
      </c>
      <c r="B47" s="2233">
        <v>28491</v>
      </c>
      <c r="C47" s="2233">
        <v>28855</v>
      </c>
      <c r="D47" s="2239">
        <f t="shared" ref="D47:D85" si="3">DAYS360(B47,C47)</f>
        <v>360</v>
      </c>
      <c r="E47" s="2240">
        <f t="shared" ref="E47:E85" si="4">($D$42*D47)/360</f>
        <v>2550877.75</v>
      </c>
      <c r="J47" s="2199">
        <v>0.57999999999999996</v>
      </c>
      <c r="K47" s="723">
        <f t="shared" si="1"/>
        <v>209.48275862068968</v>
      </c>
      <c r="L47" s="2149">
        <f t="shared" si="2"/>
        <v>534364907.97413802</v>
      </c>
    </row>
    <row r="48" spans="1:12">
      <c r="A48" s="723">
        <v>3</v>
      </c>
      <c r="B48" s="2233">
        <v>28856</v>
      </c>
      <c r="C48" s="2233">
        <v>29220</v>
      </c>
      <c r="D48" s="2239">
        <f t="shared" si="3"/>
        <v>360</v>
      </c>
      <c r="E48" s="2240">
        <f t="shared" si="4"/>
        <v>2550877.75</v>
      </c>
      <c r="J48" s="2199">
        <v>0.74</v>
      </c>
      <c r="K48" s="723">
        <f t="shared" si="1"/>
        <v>164.18918918918919</v>
      </c>
      <c r="L48" s="2149">
        <f t="shared" si="2"/>
        <v>418826549.49324328</v>
      </c>
    </row>
    <row r="49" spans="1:12">
      <c r="A49" s="723">
        <v>4</v>
      </c>
      <c r="B49" s="2233">
        <v>29221</v>
      </c>
      <c r="C49" s="2233">
        <v>29586</v>
      </c>
      <c r="D49" s="2239">
        <f t="shared" si="3"/>
        <v>360</v>
      </c>
      <c r="E49" s="2240">
        <f t="shared" si="4"/>
        <v>2550877.75</v>
      </c>
      <c r="J49" s="2199">
        <v>0.95</v>
      </c>
      <c r="K49" s="723">
        <f t="shared" si="1"/>
        <v>127.89473684210527</v>
      </c>
      <c r="L49" s="2149">
        <f t="shared" si="2"/>
        <v>326243838.55263162</v>
      </c>
    </row>
    <row r="50" spans="1:12">
      <c r="A50" s="723">
        <v>5</v>
      </c>
      <c r="B50" s="2233">
        <v>29587</v>
      </c>
      <c r="C50" s="2233">
        <v>29951</v>
      </c>
      <c r="D50" s="2239">
        <f t="shared" si="3"/>
        <v>360</v>
      </c>
      <c r="E50" s="2240">
        <f t="shared" si="4"/>
        <v>2550877.75</v>
      </c>
      <c r="J50" s="2199">
        <v>1.18</v>
      </c>
      <c r="K50" s="723">
        <f t="shared" si="1"/>
        <v>102.96610169491527</v>
      </c>
      <c r="L50" s="2149">
        <f t="shared" si="2"/>
        <v>262653937.81779665</v>
      </c>
    </row>
    <row r="51" spans="1:12">
      <c r="A51" s="723">
        <v>6</v>
      </c>
      <c r="B51" s="2233">
        <v>29952</v>
      </c>
      <c r="C51" s="2233">
        <v>30316</v>
      </c>
      <c r="D51" s="2239">
        <f t="shared" si="3"/>
        <v>360</v>
      </c>
      <c r="E51" s="2240">
        <f t="shared" si="4"/>
        <v>2550877.75</v>
      </c>
      <c r="J51" s="2199">
        <v>1.44</v>
      </c>
      <c r="K51" s="723">
        <f t="shared" si="1"/>
        <v>84.375</v>
      </c>
      <c r="L51" s="2149">
        <f t="shared" si="2"/>
        <v>215230310.15625</v>
      </c>
    </row>
    <row r="52" spans="1:12">
      <c r="A52" s="723">
        <v>7</v>
      </c>
      <c r="B52" s="2233">
        <v>30317</v>
      </c>
      <c r="C52" s="2233">
        <v>30681</v>
      </c>
      <c r="D52" s="2239">
        <f t="shared" si="3"/>
        <v>360</v>
      </c>
      <c r="E52" s="2240">
        <f t="shared" si="4"/>
        <v>2550877.75</v>
      </c>
      <c r="J52" s="2199">
        <v>1.69</v>
      </c>
      <c r="K52" s="723">
        <f t="shared" si="1"/>
        <v>71.89349112426035</v>
      </c>
      <c r="L52" s="2149">
        <f t="shared" si="2"/>
        <v>183391506.8786982</v>
      </c>
    </row>
    <row r="53" spans="1:12">
      <c r="A53" s="723">
        <v>8</v>
      </c>
      <c r="B53" s="2233">
        <v>30682</v>
      </c>
      <c r="C53" s="2233">
        <v>31047</v>
      </c>
      <c r="D53" s="2239">
        <f t="shared" si="3"/>
        <v>360</v>
      </c>
      <c r="E53" s="2240">
        <f t="shared" si="4"/>
        <v>2550877.75</v>
      </c>
      <c r="J53" s="2199">
        <v>2.0499999999999998</v>
      </c>
      <c r="K53" s="723">
        <f t="shared" si="1"/>
        <v>59.268292682926834</v>
      </c>
      <c r="L53" s="2149">
        <f t="shared" si="2"/>
        <v>151186169.08536586</v>
      </c>
    </row>
    <row r="54" spans="1:12">
      <c r="A54" s="723">
        <v>9</v>
      </c>
      <c r="B54" s="2233">
        <v>31048</v>
      </c>
      <c r="C54" s="2233">
        <v>31412</v>
      </c>
      <c r="D54" s="2239">
        <f t="shared" si="3"/>
        <v>360</v>
      </c>
      <c r="E54" s="2240">
        <f t="shared" si="4"/>
        <v>2550877.75</v>
      </c>
      <c r="J54" s="2199">
        <v>2.54</v>
      </c>
      <c r="K54" s="723">
        <f t="shared" si="1"/>
        <v>47.834645669291341</v>
      </c>
      <c r="L54" s="2149">
        <f t="shared" si="2"/>
        <v>122020333.31692913</v>
      </c>
    </row>
    <row r="55" spans="1:12">
      <c r="A55" s="723">
        <v>10</v>
      </c>
      <c r="B55" s="2233">
        <v>31413</v>
      </c>
      <c r="C55" s="2233">
        <v>31777</v>
      </c>
      <c r="D55" s="2239">
        <f t="shared" si="3"/>
        <v>360</v>
      </c>
      <c r="E55" s="2240">
        <f t="shared" si="4"/>
        <v>2550877.75</v>
      </c>
      <c r="J55" s="2199">
        <v>3.04</v>
      </c>
      <c r="K55" s="723">
        <f t="shared" si="1"/>
        <v>39.967105263157897</v>
      </c>
      <c r="L55" s="2149">
        <f t="shared" si="2"/>
        <v>101951199.54769738</v>
      </c>
    </row>
    <row r="56" spans="1:12">
      <c r="A56" s="723">
        <v>11</v>
      </c>
      <c r="B56" s="2233">
        <v>31778</v>
      </c>
      <c r="C56" s="2233">
        <v>32142</v>
      </c>
      <c r="D56" s="2239">
        <f t="shared" si="3"/>
        <v>360</v>
      </c>
      <c r="E56" s="2240">
        <f t="shared" si="4"/>
        <v>2550877.75</v>
      </c>
      <c r="J56" s="2199">
        <v>3.83</v>
      </c>
      <c r="K56" s="723">
        <f t="shared" si="1"/>
        <v>31.723237597911226</v>
      </c>
      <c r="L56" s="2149">
        <f t="shared" si="2"/>
        <v>80922100.946475193</v>
      </c>
    </row>
    <row r="57" spans="1:12">
      <c r="A57" s="723">
        <v>12</v>
      </c>
      <c r="B57" s="2233">
        <v>32143</v>
      </c>
      <c r="C57" s="2233">
        <v>32508</v>
      </c>
      <c r="D57" s="2239">
        <f t="shared" si="3"/>
        <v>360</v>
      </c>
      <c r="E57" s="2240">
        <f t="shared" si="4"/>
        <v>2550877.75</v>
      </c>
      <c r="J57" s="2199">
        <v>4.87</v>
      </c>
      <c r="K57" s="723">
        <f t="shared" si="1"/>
        <v>24.948665297741272</v>
      </c>
      <c r="L57" s="2149">
        <f t="shared" si="2"/>
        <v>63640995.200205334</v>
      </c>
    </row>
    <row r="58" spans="1:12">
      <c r="A58" s="723">
        <v>13</v>
      </c>
      <c r="B58" s="2233">
        <v>32509</v>
      </c>
      <c r="C58" s="2233">
        <v>32873</v>
      </c>
      <c r="D58" s="2239">
        <f t="shared" si="3"/>
        <v>360</v>
      </c>
      <c r="E58" s="2240">
        <f t="shared" si="4"/>
        <v>2550877.75</v>
      </c>
      <c r="J58" s="2199">
        <v>6.19</v>
      </c>
      <c r="K58" s="723">
        <f t="shared" si="1"/>
        <v>19.628432956381261</v>
      </c>
      <c r="L58" s="2149">
        <f t="shared" si="2"/>
        <v>50069732.895799682</v>
      </c>
    </row>
    <row r="59" spans="1:12">
      <c r="A59" s="723">
        <v>14</v>
      </c>
      <c r="B59" s="2233">
        <v>32874</v>
      </c>
      <c r="C59" s="2233">
        <v>33238</v>
      </c>
      <c r="D59" s="2239">
        <f t="shared" si="3"/>
        <v>360</v>
      </c>
      <c r="E59" s="2240">
        <f t="shared" si="4"/>
        <v>2550877.75</v>
      </c>
      <c r="J59" s="2199">
        <v>8.15</v>
      </c>
      <c r="K59" s="723">
        <f t="shared" si="1"/>
        <v>14.907975460122699</v>
      </c>
      <c r="L59" s="2149">
        <f t="shared" si="2"/>
        <v>38028422.898773007</v>
      </c>
    </row>
    <row r="60" spans="1:12">
      <c r="A60" s="723">
        <v>15</v>
      </c>
      <c r="B60" s="2233">
        <v>33239</v>
      </c>
      <c r="C60" s="2233">
        <v>33603</v>
      </c>
      <c r="D60" s="2239">
        <f t="shared" si="3"/>
        <v>360</v>
      </c>
      <c r="E60" s="2240">
        <f t="shared" si="4"/>
        <v>2550877.75</v>
      </c>
      <c r="J60" s="2199">
        <v>10.38</v>
      </c>
      <c r="K60" s="723">
        <f t="shared" si="1"/>
        <v>11.705202312138727</v>
      </c>
      <c r="L60" s="2149">
        <f t="shared" si="2"/>
        <v>29858540.137283236</v>
      </c>
    </row>
    <row r="61" spans="1:12">
      <c r="A61" s="723">
        <v>16</v>
      </c>
      <c r="B61" s="2233">
        <v>33604</v>
      </c>
      <c r="C61" s="2233">
        <v>33969</v>
      </c>
      <c r="D61" s="2239">
        <f t="shared" si="3"/>
        <v>360</v>
      </c>
      <c r="E61" s="2240">
        <f t="shared" si="4"/>
        <v>2550877.75</v>
      </c>
      <c r="J61" s="2199">
        <v>12.94</v>
      </c>
      <c r="K61" s="723">
        <f t="shared" si="1"/>
        <v>9.3894899536321486</v>
      </c>
      <c r="L61" s="2149">
        <f t="shared" si="2"/>
        <v>23951441.006568778</v>
      </c>
    </row>
    <row r="62" spans="1:12">
      <c r="A62" s="723">
        <v>17</v>
      </c>
      <c r="B62" s="2233">
        <v>33970</v>
      </c>
      <c r="C62" s="2233">
        <v>34334</v>
      </c>
      <c r="D62" s="2239">
        <f t="shared" si="3"/>
        <v>360</v>
      </c>
      <c r="E62" s="2240">
        <f t="shared" si="4"/>
        <v>2550877.75</v>
      </c>
      <c r="J62" s="2199">
        <v>15.92</v>
      </c>
      <c r="K62" s="723">
        <f t="shared" si="1"/>
        <v>7.6319095477386938</v>
      </c>
      <c r="L62" s="2149">
        <f t="shared" si="2"/>
        <v>19468068.255339198</v>
      </c>
    </row>
    <row r="63" spans="1:12">
      <c r="A63" s="723">
        <v>18</v>
      </c>
      <c r="B63" s="2233">
        <v>34335</v>
      </c>
      <c r="C63" s="2233">
        <v>34699</v>
      </c>
      <c r="D63" s="2239">
        <f t="shared" si="3"/>
        <v>360</v>
      </c>
      <c r="E63" s="2240">
        <f t="shared" si="4"/>
        <v>2550877.75</v>
      </c>
      <c r="J63" s="2199">
        <v>19.239999999999998</v>
      </c>
      <c r="K63" s="723">
        <f t="shared" si="1"/>
        <v>6.3149688149688155</v>
      </c>
      <c r="L63" s="2149">
        <f t="shared" si="2"/>
        <v>16108713.442047818</v>
      </c>
    </row>
    <row r="64" spans="1:12">
      <c r="A64" s="723">
        <v>19</v>
      </c>
      <c r="B64" s="2233">
        <v>34700</v>
      </c>
      <c r="C64" s="2233">
        <v>35064</v>
      </c>
      <c r="D64" s="2239">
        <f t="shared" si="3"/>
        <v>360</v>
      </c>
      <c r="E64" s="2240">
        <f t="shared" si="4"/>
        <v>2550877.75</v>
      </c>
      <c r="J64" s="2199">
        <v>23.25</v>
      </c>
      <c r="K64" s="723">
        <f t="shared" si="1"/>
        <v>5.225806451612903</v>
      </c>
      <c r="L64" s="2149">
        <f t="shared" si="2"/>
        <v>13330393.403225806</v>
      </c>
    </row>
    <row r="65" spans="1:12">
      <c r="A65" s="723">
        <v>20</v>
      </c>
      <c r="B65" s="2233">
        <v>35065</v>
      </c>
      <c r="C65" s="2233">
        <v>35430</v>
      </c>
      <c r="D65" s="2239">
        <f t="shared" si="3"/>
        <v>360</v>
      </c>
      <c r="E65" s="2240">
        <f t="shared" si="4"/>
        <v>2550877.75</v>
      </c>
      <c r="J65" s="2199">
        <v>27.8</v>
      </c>
      <c r="K65" s="723">
        <f t="shared" si="1"/>
        <v>4.3705035971223021</v>
      </c>
      <c r="L65" s="2149">
        <f t="shared" si="2"/>
        <v>11148620.382194245</v>
      </c>
    </row>
    <row r="66" spans="1:12">
      <c r="A66" s="723">
        <v>21</v>
      </c>
      <c r="B66" s="2233">
        <v>35431</v>
      </c>
      <c r="C66" s="2233">
        <v>35795</v>
      </c>
      <c r="D66" s="2239">
        <f t="shared" si="3"/>
        <v>360</v>
      </c>
      <c r="E66" s="2240">
        <f t="shared" si="4"/>
        <v>2550877.75</v>
      </c>
      <c r="J66" s="2199">
        <v>32.81</v>
      </c>
      <c r="K66" s="723">
        <f t="shared" si="1"/>
        <v>3.7031392868028039</v>
      </c>
      <c r="L66" s="2149">
        <f t="shared" si="2"/>
        <v>9446255.6118561421</v>
      </c>
    </row>
    <row r="67" spans="1:12">
      <c r="A67" s="723">
        <v>22</v>
      </c>
      <c r="B67" s="2233">
        <v>35796</v>
      </c>
      <c r="C67" s="2233">
        <v>36160</v>
      </c>
      <c r="D67" s="2239">
        <f t="shared" si="3"/>
        <v>360</v>
      </c>
      <c r="E67" s="2240">
        <f t="shared" si="4"/>
        <v>2550877.75</v>
      </c>
      <c r="J67" s="2199">
        <v>37.86</v>
      </c>
      <c r="K67" s="723">
        <f t="shared" si="1"/>
        <v>3.2091917591125196</v>
      </c>
      <c r="L67" s="2149">
        <f t="shared" si="2"/>
        <v>8186255.8538034856</v>
      </c>
    </row>
    <row r="68" spans="1:12">
      <c r="A68" s="723">
        <v>23</v>
      </c>
      <c r="B68" s="2233">
        <v>36161</v>
      </c>
      <c r="C68" s="2233">
        <v>36525</v>
      </c>
      <c r="D68" s="2239">
        <f t="shared" si="3"/>
        <v>360</v>
      </c>
      <c r="E68" s="2240">
        <f t="shared" si="4"/>
        <v>2550877.75</v>
      </c>
      <c r="J68" s="2199">
        <v>41.23</v>
      </c>
      <c r="K68" s="723">
        <f t="shared" si="1"/>
        <v>2.9468833373756977</v>
      </c>
      <c r="L68" s="2149">
        <f t="shared" si="2"/>
        <v>7517139.1371574104</v>
      </c>
    </row>
    <row r="69" spans="1:12">
      <c r="A69" s="723">
        <v>24</v>
      </c>
      <c r="B69" s="2233">
        <v>36526</v>
      </c>
      <c r="C69" s="2233">
        <v>36891</v>
      </c>
      <c r="D69" s="2239">
        <f t="shared" si="3"/>
        <v>360</v>
      </c>
      <c r="E69" s="2240">
        <f t="shared" si="4"/>
        <v>2550877.75</v>
      </c>
      <c r="J69" s="2199">
        <v>44.55</v>
      </c>
      <c r="K69" s="723">
        <f t="shared" si="1"/>
        <v>2.7272727272727275</v>
      </c>
      <c r="L69" s="2149">
        <f t="shared" si="2"/>
        <v>6956939.3181818184</v>
      </c>
    </row>
    <row r="70" spans="1:12">
      <c r="A70" s="723">
        <v>25</v>
      </c>
      <c r="B70" s="2233">
        <v>36892</v>
      </c>
      <c r="C70" s="2233">
        <v>37256</v>
      </c>
      <c r="D70" s="2239">
        <f t="shared" si="3"/>
        <v>360</v>
      </c>
      <c r="E70" s="2240">
        <f t="shared" si="4"/>
        <v>2550877.75</v>
      </c>
      <c r="J70" s="2199">
        <v>47.54</v>
      </c>
      <c r="K70" s="723">
        <f t="shared" si="1"/>
        <v>2.555742532604123</v>
      </c>
      <c r="L70" s="2149">
        <f t="shared" si="2"/>
        <v>6519386.7611485068</v>
      </c>
    </row>
    <row r="71" spans="1:12">
      <c r="A71" s="723">
        <v>26</v>
      </c>
      <c r="B71" s="2233">
        <v>37257</v>
      </c>
      <c r="C71" s="2233">
        <v>37621</v>
      </c>
      <c r="D71" s="2239">
        <f t="shared" si="3"/>
        <v>360</v>
      </c>
      <c r="E71" s="2240">
        <f t="shared" si="4"/>
        <v>2550877.75</v>
      </c>
      <c r="J71" s="2199">
        <v>50.98</v>
      </c>
      <c r="K71" s="723">
        <f t="shared" si="1"/>
        <v>2.3832875637504904</v>
      </c>
      <c r="L71" s="2149">
        <f t="shared" si="2"/>
        <v>6079475.2182228323</v>
      </c>
    </row>
    <row r="72" spans="1:12">
      <c r="A72" s="723">
        <v>27</v>
      </c>
      <c r="B72" s="2233">
        <v>37622</v>
      </c>
      <c r="C72" s="2233">
        <v>37986</v>
      </c>
      <c r="D72" s="2239">
        <f t="shared" si="3"/>
        <v>360</v>
      </c>
      <c r="E72" s="2240">
        <f t="shared" si="4"/>
        <v>2550877.75</v>
      </c>
      <c r="J72" s="2199">
        <v>54.18</v>
      </c>
      <c r="K72" s="723">
        <f t="shared" si="1"/>
        <v>2.2425249169435215</v>
      </c>
      <c r="L72" s="2149">
        <f t="shared" si="2"/>
        <v>5720406.9144518273</v>
      </c>
    </row>
    <row r="73" spans="1:12">
      <c r="A73" s="723">
        <v>28</v>
      </c>
      <c r="B73" s="2233">
        <v>37987</v>
      </c>
      <c r="C73" s="2233">
        <v>38352</v>
      </c>
      <c r="D73" s="2239">
        <f t="shared" si="3"/>
        <v>360</v>
      </c>
      <c r="E73" s="2240">
        <f t="shared" si="4"/>
        <v>2550877.75</v>
      </c>
      <c r="J73" s="2199">
        <v>57.02</v>
      </c>
      <c r="K73" s="723">
        <f t="shared" si="1"/>
        <v>2.1308312872676254</v>
      </c>
      <c r="L73" s="2149">
        <f t="shared" si="2"/>
        <v>5435490.1196948439</v>
      </c>
    </row>
    <row r="74" spans="1:12">
      <c r="A74" s="723">
        <v>29</v>
      </c>
      <c r="B74" s="2233">
        <v>38353</v>
      </c>
      <c r="C74" s="2233">
        <v>38717</v>
      </c>
      <c r="D74" s="2239">
        <f t="shared" si="3"/>
        <v>360</v>
      </c>
      <c r="E74" s="2240">
        <f t="shared" si="4"/>
        <v>2550877.75</v>
      </c>
      <c r="J74" s="2199">
        <v>59.41</v>
      </c>
      <c r="K74" s="723">
        <f t="shared" si="1"/>
        <v>2.0451102507995289</v>
      </c>
      <c r="L74" s="2149">
        <f t="shared" si="2"/>
        <v>5216826.2350614378</v>
      </c>
    </row>
    <row r="75" spans="1:12">
      <c r="A75" s="723">
        <v>30</v>
      </c>
      <c r="B75" s="2233">
        <v>38718</v>
      </c>
      <c r="C75" s="2233">
        <v>39082</v>
      </c>
      <c r="D75" s="2239">
        <f t="shared" si="3"/>
        <v>360</v>
      </c>
      <c r="E75" s="2240">
        <f t="shared" si="4"/>
        <v>2550877.75</v>
      </c>
      <c r="J75" s="2199">
        <v>62.53</v>
      </c>
      <c r="K75" s="723">
        <f t="shared" si="1"/>
        <v>1.9430673276827122</v>
      </c>
      <c r="L75" s="2149">
        <f t="shared" si="2"/>
        <v>4956527.21293779</v>
      </c>
    </row>
    <row r="76" spans="1:12">
      <c r="A76" s="723">
        <v>31</v>
      </c>
      <c r="B76" s="2233">
        <v>39083</v>
      </c>
      <c r="C76" s="2233">
        <v>39447</v>
      </c>
      <c r="D76" s="2239">
        <f t="shared" si="3"/>
        <v>360</v>
      </c>
      <c r="E76" s="2240">
        <f t="shared" si="4"/>
        <v>2550877.75</v>
      </c>
      <c r="J76" s="2243">
        <v>66.5</v>
      </c>
      <c r="K76" s="723">
        <f t="shared" si="1"/>
        <v>1.8270676691729324</v>
      </c>
      <c r="L76" s="2149">
        <f t="shared" si="2"/>
        <v>4660626.2650375944</v>
      </c>
    </row>
    <row r="77" spans="1:12">
      <c r="A77" s="723">
        <v>32</v>
      </c>
      <c r="B77" s="2233">
        <v>39448</v>
      </c>
      <c r="C77" s="2233">
        <v>39813</v>
      </c>
      <c r="D77" s="2239">
        <f t="shared" si="3"/>
        <v>360</v>
      </c>
      <c r="E77" s="2240">
        <f t="shared" si="4"/>
        <v>2550877.75</v>
      </c>
      <c r="J77" s="2243">
        <v>70.8</v>
      </c>
      <c r="K77" s="723">
        <f t="shared" si="1"/>
        <v>1.7161016949152543</v>
      </c>
      <c r="L77" s="2149">
        <f t="shared" si="2"/>
        <v>4377565.6302966103</v>
      </c>
    </row>
    <row r="78" spans="1:12">
      <c r="A78" s="723">
        <v>33</v>
      </c>
      <c r="B78" s="2233">
        <v>39814</v>
      </c>
      <c r="C78" s="2233">
        <v>40178</v>
      </c>
      <c r="D78" s="2239">
        <f t="shared" si="3"/>
        <v>360</v>
      </c>
      <c r="E78" s="2240">
        <f t="shared" si="4"/>
        <v>2550877.75</v>
      </c>
      <c r="J78" s="2199">
        <v>72.28</v>
      </c>
      <c r="K78" s="723">
        <f t="shared" si="1"/>
        <v>1.6809629219701161</v>
      </c>
      <c r="L78" s="2149">
        <f t="shared" si="2"/>
        <v>4287930.9162285551</v>
      </c>
    </row>
    <row r="79" spans="1:12">
      <c r="A79" s="723">
        <v>34</v>
      </c>
      <c r="B79" s="2233">
        <v>40179</v>
      </c>
      <c r="C79" s="2233">
        <v>40543</v>
      </c>
      <c r="D79" s="2239">
        <f t="shared" si="3"/>
        <v>360</v>
      </c>
      <c r="E79" s="2240">
        <f t="shared" si="4"/>
        <v>2550877.75</v>
      </c>
      <c r="J79" s="2199">
        <v>74.569999999999993</v>
      </c>
      <c r="K79" s="723">
        <f t="shared" si="1"/>
        <v>1.6293415582674</v>
      </c>
      <c r="L79" s="2149">
        <f t="shared" si="2"/>
        <v>4156251.1281346395</v>
      </c>
    </row>
    <row r="80" spans="1:12">
      <c r="A80" s="723">
        <v>35</v>
      </c>
      <c r="B80" s="2233">
        <v>40544</v>
      </c>
      <c r="C80" s="2233">
        <v>40908</v>
      </c>
      <c r="D80" s="2239">
        <f t="shared" si="3"/>
        <v>360</v>
      </c>
      <c r="E80" s="2240">
        <f t="shared" si="4"/>
        <v>2550877.75</v>
      </c>
      <c r="J80" s="2199">
        <v>77.22</v>
      </c>
      <c r="K80" s="723">
        <f t="shared" si="1"/>
        <v>1.5734265734265735</v>
      </c>
      <c r="L80" s="2149">
        <f t="shared" si="2"/>
        <v>4013618.8374125878</v>
      </c>
    </row>
    <row r="81" spans="1:12">
      <c r="A81" s="723">
        <v>36</v>
      </c>
      <c r="B81" s="2233">
        <v>40909</v>
      </c>
      <c r="C81" s="2233">
        <v>41274</v>
      </c>
      <c r="D81" s="2239">
        <f t="shared" si="3"/>
        <v>360</v>
      </c>
      <c r="E81" s="2240">
        <f t="shared" si="4"/>
        <v>2550877.75</v>
      </c>
      <c r="G81" s="2245"/>
      <c r="J81" s="2199">
        <v>78.13</v>
      </c>
      <c r="K81" s="723">
        <f t="shared" si="1"/>
        <v>1.5551004735696916</v>
      </c>
      <c r="L81" s="2149">
        <f t="shared" si="2"/>
        <v>3966871.1970433895</v>
      </c>
    </row>
    <row r="82" spans="1:12">
      <c r="A82" s="723">
        <v>37</v>
      </c>
      <c r="B82" s="2233">
        <v>41275</v>
      </c>
      <c r="C82" s="2233">
        <v>41639</v>
      </c>
      <c r="D82" s="2239">
        <f t="shared" si="3"/>
        <v>360</v>
      </c>
      <c r="E82" s="2240">
        <f t="shared" si="4"/>
        <v>2550877.75</v>
      </c>
      <c r="G82" s="2245"/>
      <c r="J82" s="2199">
        <v>80.45</v>
      </c>
      <c r="K82" s="723">
        <f t="shared" si="1"/>
        <v>1.5102548166563081</v>
      </c>
      <c r="L82" s="2149">
        <f t="shared" si="2"/>
        <v>3852475.4086389057</v>
      </c>
    </row>
    <row r="83" spans="1:12">
      <c r="A83" s="723">
        <v>38</v>
      </c>
      <c r="B83" s="2233">
        <v>41640</v>
      </c>
      <c r="C83" s="2233">
        <v>42004</v>
      </c>
      <c r="D83" s="2239">
        <f t="shared" si="3"/>
        <v>360</v>
      </c>
      <c r="E83" s="2240">
        <f t="shared" si="4"/>
        <v>2550877.75</v>
      </c>
      <c r="G83" s="2245"/>
      <c r="J83" s="2199">
        <v>83.96</v>
      </c>
      <c r="K83" s="723">
        <f t="shared" si="1"/>
        <v>1.4471176750833732</v>
      </c>
      <c r="L83" s="2149">
        <f t="shared" si="2"/>
        <v>3691420.279001906</v>
      </c>
    </row>
    <row r="84" spans="1:12">
      <c r="A84" s="723">
        <v>39</v>
      </c>
      <c r="B84" s="2233">
        <v>42005</v>
      </c>
      <c r="C84" s="2233">
        <v>42369</v>
      </c>
      <c r="D84" s="2239">
        <f t="shared" si="3"/>
        <v>360</v>
      </c>
      <c r="E84" s="2240">
        <f t="shared" si="4"/>
        <v>2550877.75</v>
      </c>
      <c r="G84" s="2245"/>
      <c r="J84" s="2199">
        <v>90.33</v>
      </c>
      <c r="K84" s="723">
        <f t="shared" si="1"/>
        <v>1.3450680836931252</v>
      </c>
      <c r="L84" s="2149">
        <f t="shared" si="2"/>
        <v>3431104.246927931</v>
      </c>
    </row>
    <row r="85" spans="1:12">
      <c r="A85" s="723">
        <v>40</v>
      </c>
      <c r="B85" s="2233">
        <v>42370</v>
      </c>
      <c r="C85" s="2233">
        <v>42521</v>
      </c>
      <c r="D85" s="2239">
        <f t="shared" si="3"/>
        <v>150</v>
      </c>
      <c r="E85" s="2240">
        <f t="shared" si="4"/>
        <v>1062865.7291666667</v>
      </c>
      <c r="J85" s="2199">
        <v>95.01</v>
      </c>
      <c r="K85" s="723">
        <f t="shared" si="1"/>
        <v>1.2788127565519418</v>
      </c>
      <c r="L85" s="2149">
        <f t="shared" si="2"/>
        <v>1359206.2529602146</v>
      </c>
    </row>
    <row r="86" spans="1:12">
      <c r="C86" s="1634" t="s">
        <v>1511</v>
      </c>
      <c r="D86" s="2239">
        <f>SUM(D46:D85)</f>
        <v>14040</v>
      </c>
      <c r="E86" s="2240">
        <f>SUM(E46:E85)</f>
        <v>99484232.25</v>
      </c>
      <c r="G86" s="2245"/>
      <c r="L86" s="2241">
        <f>SUM(L46:L85)</f>
        <v>3142880596.7082982</v>
      </c>
    </row>
    <row r="87" spans="1:12">
      <c r="D87" s="2246" t="s">
        <v>1512</v>
      </c>
      <c r="E87" s="2150">
        <f>+D32</f>
        <v>47838183</v>
      </c>
      <c r="G87" s="2245"/>
    </row>
    <row r="88" spans="1:12" ht="14.25" customHeight="1">
      <c r="D88" s="1632" t="s">
        <v>1513</v>
      </c>
      <c r="E88" s="2240">
        <f>+E86-E87</f>
        <v>51646049.25</v>
      </c>
      <c r="G88" s="2245"/>
    </row>
    <row r="89" spans="1:12" ht="16.5">
      <c r="B89" s="2248" t="s">
        <v>1514</v>
      </c>
    </row>
    <row r="90" spans="1:12" ht="13.5">
      <c r="B90" s="728" t="s">
        <v>142</v>
      </c>
      <c r="C90" s="737"/>
      <c r="D90" s="737"/>
      <c r="E90" s="737"/>
    </row>
    <row r="91" spans="1:12" ht="13.5">
      <c r="B91" s="737" t="s">
        <v>143</v>
      </c>
      <c r="C91" s="790">
        <f>+E88</f>
        <v>51646049.25</v>
      </c>
      <c r="D91" s="737"/>
      <c r="E91" s="737"/>
    </row>
    <row r="92" spans="1:12" ht="13.5">
      <c r="B92" s="737"/>
      <c r="C92" s="737"/>
      <c r="D92" s="849" t="s">
        <v>1515</v>
      </c>
      <c r="E92" s="903">
        <v>92.1</v>
      </c>
    </row>
    <row r="93" spans="1:12" ht="13.5">
      <c r="B93" s="737" t="s">
        <v>145</v>
      </c>
      <c r="C93" s="850">
        <f>+C91*E94</f>
        <v>69792261.559771985</v>
      </c>
      <c r="D93" s="849" t="s">
        <v>1516</v>
      </c>
      <c r="E93" s="903">
        <v>124.46</v>
      </c>
    </row>
    <row r="94" spans="1:12" ht="13.5">
      <c r="B94" s="728"/>
      <c r="C94" s="2247"/>
      <c r="D94" s="737" t="s">
        <v>76</v>
      </c>
      <c r="E94" s="737">
        <f>+E93/E92</f>
        <v>1.351357220412595</v>
      </c>
    </row>
    <row r="95" spans="1:12" ht="13.5">
      <c r="B95" s="791"/>
      <c r="C95" s="791"/>
      <c r="D95" s="791"/>
      <c r="E95" s="791"/>
    </row>
    <row r="96" spans="1:12">
      <c r="B96" s="2810" t="s">
        <v>55</v>
      </c>
      <c r="C96" s="2810"/>
    </row>
    <row r="97" spans="2:5" ht="13.5">
      <c r="B97" s="737" t="s">
        <v>145</v>
      </c>
      <c r="C97" s="2154">
        <f>+C93</f>
        <v>69792261.559771985</v>
      </c>
    </row>
    <row r="98" spans="2:5" ht="25.5">
      <c r="B98" s="901" t="s">
        <v>1517</v>
      </c>
      <c r="C98" s="2154">
        <v>1533240.65</v>
      </c>
      <c r="E98" s="715">
        <v>69792261.560000002</v>
      </c>
    </row>
    <row r="99" spans="2:5" ht="25.5">
      <c r="B99" s="901" t="s">
        <v>1518</v>
      </c>
      <c r="C99" s="2154">
        <v>306648.13</v>
      </c>
      <c r="D99" s="2350"/>
      <c r="E99" s="715">
        <v>1533240.65</v>
      </c>
    </row>
    <row r="100" spans="2:5" ht="25.5">
      <c r="B100" s="2249" t="s">
        <v>1519</v>
      </c>
      <c r="C100" s="2154">
        <v>70000</v>
      </c>
      <c r="E100" s="715">
        <v>306648.13</v>
      </c>
    </row>
    <row r="101" spans="2:5">
      <c r="B101" s="1632" t="s">
        <v>1520</v>
      </c>
      <c r="C101" s="2250">
        <f>SUM(C97:C100)</f>
        <v>71702150.339771986</v>
      </c>
      <c r="E101" s="715">
        <v>70000</v>
      </c>
    </row>
    <row r="102" spans="2:5">
      <c r="E102" s="715">
        <f>+E99+E100+E101+E98</f>
        <v>71702150.340000004</v>
      </c>
    </row>
    <row r="103" spans="2:5">
      <c r="E103" s="715">
        <f>+E102-C101</f>
        <v>2.2801756858825684E-4</v>
      </c>
    </row>
    <row r="104" spans="2:5">
      <c r="B104" s="719" t="s">
        <v>62</v>
      </c>
      <c r="C104" s="720"/>
      <c r="E104" s="715"/>
    </row>
    <row r="105" spans="2:5">
      <c r="B105" s="721"/>
      <c r="C105" s="722"/>
      <c r="E105" s="715"/>
    </row>
    <row r="106" spans="2:5">
      <c r="B106" s="721"/>
      <c r="C106" s="722"/>
    </row>
    <row r="107" spans="2:5">
      <c r="B107" s="719" t="s">
        <v>63</v>
      </c>
      <c r="C107" s="722"/>
    </row>
    <row r="108" spans="2:5">
      <c r="B108" s="719" t="s">
        <v>64</v>
      </c>
      <c r="C108" s="722"/>
    </row>
    <row r="109" spans="2:5">
      <c r="B109" s="719" t="s">
        <v>65</v>
      </c>
      <c r="C109" s="722"/>
    </row>
  </sheetData>
  <mergeCells count="3">
    <mergeCell ref="B16:C16"/>
    <mergeCell ref="B37:C37"/>
    <mergeCell ref="B96:C96"/>
  </mergeCells>
  <pageMargins left="0.7" right="0.7" top="0.75" bottom="0.75" header="0.3" footer="0.3"/>
  <pageSetup paperSize="9" scale="94" orientation="portrait" r:id="rId1"/>
  <colBreaks count="1" manualBreakCount="1">
    <brk id="6" max="1048575" man="1"/>
  </col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084F5-4EC4-441B-A13B-0834C23035B8}">
  <sheetPr codeName="Hoja89"/>
  <dimension ref="A2:J46"/>
  <sheetViews>
    <sheetView topLeftCell="A23" workbookViewId="0">
      <selection activeCell="A34" sqref="A34"/>
    </sheetView>
  </sheetViews>
  <sheetFormatPr defaultColWidth="11.42578125" defaultRowHeight="12.75"/>
  <cols>
    <col min="1" max="1" width="14.7109375" customWidth="1"/>
    <col min="2" max="2" width="15.7109375" customWidth="1"/>
    <col min="5" max="5" width="13.7109375" customWidth="1"/>
    <col min="10" max="10" width="13.7109375" customWidth="1"/>
  </cols>
  <sheetData>
    <row r="2" spans="1:10">
      <c r="A2" s="2210" t="s">
        <v>1488</v>
      </c>
      <c r="B2" s="196" t="s">
        <v>1521</v>
      </c>
    </row>
    <row r="3" spans="1:10">
      <c r="A3" s="2210" t="s">
        <v>1491</v>
      </c>
      <c r="B3" s="196" t="s">
        <v>1522</v>
      </c>
    </row>
    <row r="4" spans="1:10">
      <c r="A4" s="2210" t="s">
        <v>124</v>
      </c>
      <c r="B4" s="196" t="s">
        <v>1523</v>
      </c>
    </row>
    <row r="5" spans="1:10">
      <c r="A5" s="2219" t="s">
        <v>1493</v>
      </c>
      <c r="B5" s="196" t="s">
        <v>128</v>
      </c>
    </row>
    <row r="7" spans="1:10">
      <c r="A7" s="698" t="s">
        <v>226</v>
      </c>
      <c r="B7" s="686"/>
      <c r="C7" s="686"/>
      <c r="D7" s="686"/>
      <c r="E7" s="686"/>
      <c r="F7" s="686"/>
      <c r="G7" s="686"/>
      <c r="H7" s="686"/>
      <c r="I7" s="686"/>
      <c r="J7" s="686"/>
    </row>
    <row r="8" spans="1:10">
      <c r="A8" s="698" t="s">
        <v>674</v>
      </c>
      <c r="B8" s="686"/>
      <c r="C8" s="686"/>
      <c r="D8" s="686"/>
      <c r="E8" s="686"/>
      <c r="F8" s="686"/>
      <c r="G8" s="686"/>
      <c r="H8" s="686"/>
      <c r="I8" s="686"/>
      <c r="J8" s="686"/>
    </row>
    <row r="9" spans="1:10">
      <c r="A9" s="698" t="s">
        <v>1524</v>
      </c>
      <c r="B9" s="686"/>
      <c r="C9" s="686"/>
      <c r="D9" s="686"/>
      <c r="E9" s="686"/>
      <c r="F9" s="686"/>
      <c r="G9" s="686"/>
      <c r="H9" s="686"/>
      <c r="I9" s="686"/>
      <c r="J9" s="686"/>
    </row>
    <row r="10" spans="1:10">
      <c r="A10" s="2667" t="s">
        <v>11</v>
      </c>
      <c r="B10" s="2668"/>
      <c r="C10" s="2669"/>
      <c r="D10" s="2663" t="s">
        <v>84</v>
      </c>
      <c r="E10" s="2663"/>
      <c r="F10" s="2663"/>
      <c r="G10" s="2663"/>
      <c r="H10" s="2663"/>
      <c r="I10" s="2663"/>
      <c r="J10" s="2663"/>
    </row>
    <row r="11" spans="1:10" ht="51">
      <c r="A11" s="699" t="s">
        <v>675</v>
      </c>
      <c r="B11" s="699" t="s">
        <v>147</v>
      </c>
      <c r="C11" s="699" t="s">
        <v>40</v>
      </c>
      <c r="D11" s="700" t="s">
        <v>227</v>
      </c>
      <c r="E11" s="701" t="s">
        <v>228</v>
      </c>
      <c r="F11" s="699" t="s">
        <v>529</v>
      </c>
      <c r="G11" s="699" t="s">
        <v>230</v>
      </c>
      <c r="H11" s="700" t="s">
        <v>231</v>
      </c>
      <c r="I11" s="699" t="s">
        <v>232</v>
      </c>
      <c r="J11" s="700" t="s">
        <v>233</v>
      </c>
    </row>
    <row r="12" spans="1:10" ht="13.5">
      <c r="A12" s="702">
        <v>2019</v>
      </c>
      <c r="B12" s="708">
        <v>43677</v>
      </c>
      <c r="C12" s="708">
        <v>43830</v>
      </c>
      <c r="D12" s="704">
        <v>6285367</v>
      </c>
      <c r="E12" s="705">
        <v>3.1800000000000002E-2</v>
      </c>
      <c r="F12" s="706">
        <f>_xlfn.DAYS(C12,B12)+1</f>
        <v>154</v>
      </c>
      <c r="G12" s="705">
        <v>3.1800000000000002E-2</v>
      </c>
      <c r="H12" s="707">
        <f>(((D12*E12)/360*F12))+D12</f>
        <v>6370868.9424233334</v>
      </c>
      <c r="I12" s="705">
        <f>(12%*F12)/360</f>
        <v>5.1333333333333335E-2</v>
      </c>
      <c r="J12" s="745">
        <f>+H12*I12</f>
        <v>327037.93904439779</v>
      </c>
    </row>
    <row r="13" spans="1:10" ht="13.5">
      <c r="A13" s="702">
        <v>2020</v>
      </c>
      <c r="B13" s="703">
        <v>43831</v>
      </c>
      <c r="C13" s="703">
        <v>44196</v>
      </c>
      <c r="D13" s="704">
        <f>+H12</f>
        <v>6370868.9424233334</v>
      </c>
      <c r="E13" s="705">
        <v>3.7999999999999999E-2</v>
      </c>
      <c r="F13" s="706">
        <f>DAYS360(B13,C13)</f>
        <v>360</v>
      </c>
      <c r="G13" s="705">
        <v>3.7999999999999999E-2</v>
      </c>
      <c r="H13" s="707">
        <f>(((D13*E13)/360*F13))+D13</f>
        <v>6612961.96223542</v>
      </c>
      <c r="I13" s="705">
        <f>(12%*F13)/360</f>
        <v>0.11999999999999998</v>
      </c>
      <c r="J13" s="745">
        <f>+H13*I13</f>
        <v>793555.4354682503</v>
      </c>
    </row>
    <row r="14" spans="1:10" ht="13.5">
      <c r="A14" s="702">
        <v>2021</v>
      </c>
      <c r="B14" s="703">
        <v>44197</v>
      </c>
      <c r="C14" s="703">
        <v>44561</v>
      </c>
      <c r="D14" s="704">
        <f>+H13</f>
        <v>6612961.96223542</v>
      </c>
      <c r="E14" s="705">
        <v>1.61E-2</v>
      </c>
      <c r="F14" s="706">
        <f>DAYS360(B14,C14)</f>
        <v>360</v>
      </c>
      <c r="G14" s="705">
        <f>+E14</f>
        <v>1.61E-2</v>
      </c>
      <c r="H14" s="707">
        <f>(((D14*E14)/360*F14))+D14</f>
        <v>6719430.6498274105</v>
      </c>
      <c r="I14" s="705">
        <f>(12%*F14)/360</f>
        <v>0.11999999999999998</v>
      </c>
      <c r="J14" s="745">
        <f>+H14*I14</f>
        <v>806331.67797928909</v>
      </c>
    </row>
    <row r="15" spans="1:10" ht="13.5">
      <c r="A15" s="702">
        <v>2022</v>
      </c>
      <c r="B15" s="703">
        <v>44562</v>
      </c>
      <c r="C15" s="703">
        <v>44910</v>
      </c>
      <c r="D15" s="704">
        <f>+H14</f>
        <v>6719430.6498274105</v>
      </c>
      <c r="E15" s="705">
        <v>5.62E-2</v>
      </c>
      <c r="F15" s="706">
        <f>DAYS360(B15,C15)</f>
        <v>344</v>
      </c>
      <c r="G15" s="705">
        <f>+E15</f>
        <v>5.62E-2</v>
      </c>
      <c r="H15" s="707">
        <f>(((D15*E15)/360*F15))+D15</f>
        <v>7080279.0077912528</v>
      </c>
      <c r="I15" s="705">
        <f>(12%*F15)/360</f>
        <v>0.11466666666666667</v>
      </c>
      <c r="J15" s="745">
        <f>+H15*I15</f>
        <v>811871.99289339699</v>
      </c>
    </row>
    <row r="16" spans="1:10" ht="25.5" customHeight="1" thickBot="1">
      <c r="H16" s="2670" t="s">
        <v>338</v>
      </c>
      <c r="I16" s="2671"/>
      <c r="J16" s="2014">
        <f>SUM(J12:J15)</f>
        <v>2738797.0453853342</v>
      </c>
    </row>
    <row r="17" spans="1:10" ht="13.5" thickTop="1">
      <c r="A17" s="698" t="s">
        <v>1525</v>
      </c>
    </row>
    <row r="18" spans="1:10">
      <c r="A18" s="2667" t="s">
        <v>11</v>
      </c>
      <c r="B18" s="2668"/>
      <c r="C18" s="2669"/>
      <c r="D18" s="2663" t="s">
        <v>84</v>
      </c>
      <c r="E18" s="2663"/>
      <c r="F18" s="2663"/>
      <c r="G18" s="2663"/>
      <c r="H18" s="2663"/>
      <c r="I18" s="2663"/>
      <c r="J18" s="2663"/>
    </row>
    <row r="19" spans="1:10" ht="51">
      <c r="A19" s="699" t="s">
        <v>675</v>
      </c>
      <c r="B19" s="699" t="s">
        <v>147</v>
      </c>
      <c r="C19" s="699" t="s">
        <v>40</v>
      </c>
      <c r="D19" s="700" t="s">
        <v>227</v>
      </c>
      <c r="E19" s="701" t="s">
        <v>228</v>
      </c>
      <c r="F19" s="699" t="s">
        <v>529</v>
      </c>
      <c r="G19" s="699" t="s">
        <v>230</v>
      </c>
      <c r="H19" s="700" t="s">
        <v>231</v>
      </c>
      <c r="I19" s="699" t="s">
        <v>232</v>
      </c>
      <c r="J19" s="700" t="s">
        <v>233</v>
      </c>
    </row>
    <row r="20" spans="1:10" ht="13.5">
      <c r="A20" s="702">
        <v>2019</v>
      </c>
      <c r="B20" s="708">
        <v>43466</v>
      </c>
      <c r="C20" s="708">
        <v>43830</v>
      </c>
      <c r="D20" s="704">
        <v>8445071</v>
      </c>
      <c r="E20" s="705">
        <v>3.1800000000000002E-2</v>
      </c>
      <c r="F20" s="706">
        <f>DAYS360(B20,C20)</f>
        <v>360</v>
      </c>
      <c r="G20" s="705">
        <v>3.1800000000000002E-2</v>
      </c>
      <c r="H20" s="707">
        <f>(((D20*E20)/360*F20))+D20</f>
        <v>8713624.2577999998</v>
      </c>
      <c r="I20" s="705">
        <f>(12%*F20)/365</f>
        <v>0.11835616438356163</v>
      </c>
      <c r="J20" s="745">
        <f>+H20*I20</f>
        <v>1031311.145032767</v>
      </c>
    </row>
    <row r="21" spans="1:10" ht="13.5">
      <c r="A21" s="702">
        <v>2020</v>
      </c>
      <c r="B21" s="703">
        <v>43831</v>
      </c>
      <c r="C21" s="703">
        <v>44196</v>
      </c>
      <c r="D21" s="704">
        <f>+H20</f>
        <v>8713624.2577999998</v>
      </c>
      <c r="E21" s="705">
        <v>3.7999999999999999E-2</v>
      </c>
      <c r="F21" s="706">
        <f t="shared" ref="F21:F23" si="0">DAYS360(B21,C21)</f>
        <v>360</v>
      </c>
      <c r="G21" s="705">
        <v>3.7999999999999999E-2</v>
      </c>
      <c r="H21" s="707">
        <f>(((D21*E21)/360*F21))+D21</f>
        <v>9044741.9795964006</v>
      </c>
      <c r="I21" s="705">
        <f>(12%*F21)/365</f>
        <v>0.11835616438356163</v>
      </c>
      <c r="J21" s="745">
        <f>+H21*I21</f>
        <v>1070500.9685440122</v>
      </c>
    </row>
    <row r="22" spans="1:10" ht="13.5">
      <c r="A22" s="702">
        <v>2021</v>
      </c>
      <c r="B22" s="703">
        <v>44197</v>
      </c>
      <c r="C22" s="703">
        <v>44561</v>
      </c>
      <c r="D22" s="704">
        <f>+H21</f>
        <v>9044741.9795964006</v>
      </c>
      <c r="E22" s="705">
        <v>1.61E-2</v>
      </c>
      <c r="F22" s="706">
        <f t="shared" si="0"/>
        <v>360</v>
      </c>
      <c r="G22" s="705">
        <f>+E22</f>
        <v>1.61E-2</v>
      </c>
      <c r="H22" s="707">
        <f>(((D22*E22)/360*F22))+D22</f>
        <v>9190362.3254679032</v>
      </c>
      <c r="I22" s="705">
        <v>0.107</v>
      </c>
      <c r="J22" s="745">
        <f>+H22*I22</f>
        <v>983368.76882506558</v>
      </c>
    </row>
    <row r="23" spans="1:10" ht="13.5">
      <c r="A23" s="702">
        <v>2022</v>
      </c>
      <c r="B23" s="703">
        <v>44562</v>
      </c>
      <c r="C23" s="703">
        <v>44910</v>
      </c>
      <c r="D23" s="704">
        <f>+H22</f>
        <v>9190362.3254679032</v>
      </c>
      <c r="E23" s="705">
        <v>5.62E-2</v>
      </c>
      <c r="F23" s="706">
        <f t="shared" si="0"/>
        <v>344</v>
      </c>
      <c r="G23" s="705">
        <f>+E23</f>
        <v>5.62E-2</v>
      </c>
      <c r="H23" s="707">
        <f>(((D23*E23)/360*F23))+D23</f>
        <v>9683905.2053729203</v>
      </c>
      <c r="I23" s="705">
        <f>(12%*F23)/365</f>
        <v>0.11309589041095891</v>
      </c>
      <c r="J23" s="745">
        <f>+H23*I23</f>
        <v>1095209.8818569703</v>
      </c>
    </row>
    <row r="24" spans="1:10" ht="13.5">
      <c r="A24" s="686"/>
      <c r="B24" s="2260"/>
      <c r="C24" s="2260"/>
      <c r="D24" s="2099"/>
      <c r="E24" s="2261"/>
      <c r="F24" s="2262"/>
      <c r="G24" s="2261"/>
      <c r="H24" s="2263"/>
      <c r="I24" s="2264"/>
      <c r="J24" s="2265"/>
    </row>
    <row r="25" spans="1:10" ht="29.25" customHeight="1" thickBot="1">
      <c r="A25" s="686"/>
      <c r="B25" s="686"/>
      <c r="C25" s="686"/>
      <c r="D25" s="686"/>
      <c r="E25" s="686"/>
      <c r="F25" s="686"/>
      <c r="G25" s="686"/>
      <c r="H25" s="2670" t="s">
        <v>338</v>
      </c>
      <c r="I25" s="2671"/>
      <c r="J25" s="2014">
        <f>SUM(J20:J23)</f>
        <v>4180390.764258815</v>
      </c>
    </row>
    <row r="26" spans="1:10" ht="13.5" thickTop="1"/>
    <row r="27" spans="1:10">
      <c r="J27" s="8"/>
    </row>
    <row r="28" spans="1:10">
      <c r="C28" s="8"/>
    </row>
    <row r="29" spans="1:10">
      <c r="C29" s="8"/>
    </row>
    <row r="30" spans="1:10">
      <c r="C30" s="8"/>
    </row>
    <row r="31" spans="1:10">
      <c r="C31" s="8"/>
    </row>
    <row r="32" spans="1:10">
      <c r="A32" s="1628" t="s">
        <v>1526</v>
      </c>
      <c r="B32" s="2"/>
    </row>
    <row r="33" spans="1:2">
      <c r="A33" s="2663" t="s">
        <v>56</v>
      </c>
      <c r="B33" s="2663"/>
    </row>
    <row r="34" spans="1:2">
      <c r="A34" s="2266" t="s">
        <v>164</v>
      </c>
      <c r="B34" s="102">
        <v>22361979</v>
      </c>
    </row>
    <row r="35" spans="1:2" ht="38.25">
      <c r="A35" s="1879" t="s">
        <v>1527</v>
      </c>
      <c r="B35" s="102">
        <f>+J16</f>
        <v>2738797.0453853342</v>
      </c>
    </row>
    <row r="36" spans="1:2" ht="38.25">
      <c r="A36" s="1879" t="s">
        <v>1528</v>
      </c>
      <c r="B36" s="102">
        <f>+J25</f>
        <v>4180390.764258815</v>
      </c>
    </row>
    <row r="37" spans="1:2" ht="33">
      <c r="A37" s="2267" t="s">
        <v>1529</v>
      </c>
      <c r="B37" s="102">
        <v>1118098.95</v>
      </c>
    </row>
    <row r="38" spans="1:2">
      <c r="A38" s="1628" t="s">
        <v>61</v>
      </c>
      <c r="B38" s="2268">
        <f>SUM(B34:B37)</f>
        <v>30399265.759644147</v>
      </c>
    </row>
    <row r="40" spans="1:2">
      <c r="A40" s="697"/>
      <c r="B40" s="697"/>
    </row>
    <row r="41" spans="1:2">
      <c r="A41" s="719" t="s">
        <v>62</v>
      </c>
      <c r="B41" s="720"/>
    </row>
    <row r="42" spans="1:2">
      <c r="A42" s="721"/>
      <c r="B42" s="722"/>
    </row>
    <row r="43" spans="1:2">
      <c r="A43" s="721"/>
      <c r="B43" s="722"/>
    </row>
    <row r="44" spans="1:2">
      <c r="A44" s="719" t="s">
        <v>63</v>
      </c>
      <c r="B44" s="722"/>
    </row>
    <row r="45" spans="1:2">
      <c r="A45" s="719" t="s">
        <v>64</v>
      </c>
      <c r="B45" s="722"/>
    </row>
    <row r="46" spans="1:2">
      <c r="A46" s="719" t="s">
        <v>65</v>
      </c>
      <c r="B46" s="722"/>
    </row>
  </sheetData>
  <mergeCells count="7">
    <mergeCell ref="A33:B33"/>
    <mergeCell ref="A10:C10"/>
    <mergeCell ref="D10:J10"/>
    <mergeCell ref="H16:I16"/>
    <mergeCell ref="A18:C18"/>
    <mergeCell ref="D18:J18"/>
    <mergeCell ref="H25:I25"/>
  </mergeCells>
  <pageMargins left="0.7" right="0.7" top="0.75" bottom="0.75" header="0.3" footer="0.3"/>
  <pageSetup paperSize="9" orientation="landscape" r:id="rId1"/>
  <ignoredErrors>
    <ignoredError sqref="F13 F20" formula="1"/>
  </ignoredError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3FADD-AF9E-4BEA-9376-6B36A3C18D81}">
  <sheetPr codeName="Hoja54"/>
  <dimension ref="A1:K144"/>
  <sheetViews>
    <sheetView topLeftCell="A25" zoomScale="118" zoomScaleNormal="118" workbookViewId="0">
      <selection activeCell="C36" sqref="C36"/>
    </sheetView>
  </sheetViews>
  <sheetFormatPr defaultColWidth="9.140625" defaultRowHeight="12.75"/>
  <cols>
    <col min="1" max="1" width="13.28515625" style="814" customWidth="1"/>
    <col min="2" max="2" width="13.42578125" style="814" customWidth="1"/>
    <col min="3" max="3" width="14.28515625" style="814" customWidth="1"/>
    <col min="4" max="4" width="10.7109375" style="814" customWidth="1"/>
    <col min="5" max="5" width="5.5703125" style="814" customWidth="1"/>
    <col min="6" max="6" width="6.28515625" style="1647" customWidth="1"/>
    <col min="7" max="7" width="9.140625" style="814" customWidth="1"/>
    <col min="8" max="8" width="7" style="814" customWidth="1"/>
    <col min="9" max="9" width="14" style="814" customWidth="1"/>
    <col min="10" max="10" width="12.85546875" style="814" bestFit="1" customWidth="1"/>
    <col min="11" max="255" width="11.42578125" style="814" customWidth="1"/>
    <col min="256" max="16384" width="9.140625" style="814"/>
  </cols>
  <sheetData>
    <row r="1" spans="1:11">
      <c r="J1" s="916" t="s">
        <v>1530</v>
      </c>
      <c r="K1" s="800">
        <v>41879</v>
      </c>
    </row>
    <row r="2" spans="1:11" ht="25.5">
      <c r="A2" s="1201" t="s">
        <v>121</v>
      </c>
      <c r="B2" s="1349" t="s">
        <v>1531</v>
      </c>
      <c r="J2" s="726" t="s">
        <v>40</v>
      </c>
      <c r="K2" s="800">
        <v>43951</v>
      </c>
    </row>
    <row r="3" spans="1:11">
      <c r="A3" s="726" t="s">
        <v>1041</v>
      </c>
      <c r="B3" s="812">
        <v>17445294.109999999</v>
      </c>
      <c r="C3" s="1063"/>
    </row>
    <row r="4" spans="1:11" ht="25.5">
      <c r="A4" s="916" t="s">
        <v>1532</v>
      </c>
      <c r="B4" s="1223">
        <v>39848</v>
      </c>
    </row>
    <row r="5" spans="1:11">
      <c r="A5" s="726" t="s">
        <v>124</v>
      </c>
      <c r="B5" s="800" t="s">
        <v>1533</v>
      </c>
    </row>
    <row r="6" spans="1:11">
      <c r="A6" s="726" t="s">
        <v>351</v>
      </c>
      <c r="B6" s="800" t="s">
        <v>921</v>
      </c>
    </row>
    <row r="7" spans="1:11">
      <c r="A7" s="741" t="s">
        <v>1534</v>
      </c>
      <c r="B7" s="741"/>
    </row>
    <row r="8" spans="1:11">
      <c r="A8" s="726" t="s">
        <v>142</v>
      </c>
      <c r="B8" s="741"/>
      <c r="C8" s="741"/>
      <c r="D8" s="741"/>
      <c r="E8" s="1647"/>
    </row>
    <row r="9" spans="1:11">
      <c r="A9" s="741" t="s">
        <v>143</v>
      </c>
      <c r="B9" s="857">
        <f>+B3</f>
        <v>17445294.109999999</v>
      </c>
      <c r="C9" s="741"/>
      <c r="D9" s="741"/>
      <c r="E9" s="1647"/>
    </row>
    <row r="10" spans="1:11">
      <c r="A10" s="741" t="s">
        <v>145</v>
      </c>
      <c r="B10" s="741"/>
      <c r="C10" s="1648" t="s">
        <v>1535</v>
      </c>
      <c r="D10" s="1191">
        <v>83</v>
      </c>
      <c r="E10" s="1647"/>
    </row>
    <row r="11" spans="1:11" ht="14.25" customHeight="1">
      <c r="A11" s="741"/>
      <c r="B11" s="1649">
        <f>+B9*D12</f>
        <v>20836946.483378906</v>
      </c>
      <c r="C11" s="1648" t="s">
        <v>1536</v>
      </c>
      <c r="D11" s="1191">
        <v>69.489999999999995</v>
      </c>
      <c r="E11" s="1647"/>
    </row>
    <row r="12" spans="1:11">
      <c r="A12" s="726"/>
      <c r="B12" s="857"/>
      <c r="C12" s="741" t="s">
        <v>76</v>
      </c>
      <c r="D12" s="741">
        <f>+D10/D11</f>
        <v>1.194416462800403</v>
      </c>
      <c r="E12" s="1647"/>
    </row>
    <row r="13" spans="1:11">
      <c r="A13" s="1395" t="s">
        <v>1537</v>
      </c>
      <c r="B13" s="1650"/>
      <c r="C13" s="1373"/>
      <c r="D13" s="1373"/>
      <c r="E13" s="1647"/>
    </row>
    <row r="14" spans="1:11">
      <c r="A14" s="2681" t="s">
        <v>84</v>
      </c>
      <c r="B14" s="2681"/>
      <c r="C14" s="2681"/>
      <c r="D14" s="2681"/>
      <c r="E14" s="2681"/>
      <c r="F14" s="2681"/>
      <c r="G14" s="2681"/>
      <c r="H14" s="2681"/>
      <c r="I14" s="2605"/>
    </row>
    <row r="15" spans="1:11" ht="50.25" customHeight="1">
      <c r="A15" s="923" t="s">
        <v>147</v>
      </c>
      <c r="B15" s="923" t="s">
        <v>40</v>
      </c>
      <c r="C15" s="970" t="s">
        <v>227</v>
      </c>
      <c r="D15" s="1112" t="s">
        <v>228</v>
      </c>
      <c r="E15" s="923" t="s">
        <v>529</v>
      </c>
      <c r="F15" s="970" t="s">
        <v>230</v>
      </c>
      <c r="G15" s="970" t="s">
        <v>231</v>
      </c>
      <c r="H15" s="970" t="s">
        <v>232</v>
      </c>
      <c r="I15" s="970" t="s">
        <v>950</v>
      </c>
    </row>
    <row r="16" spans="1:11" ht="14.25" customHeight="1">
      <c r="A16" s="800">
        <v>39849</v>
      </c>
      <c r="B16" s="800">
        <v>40178</v>
      </c>
      <c r="C16" s="858">
        <f>+B11</f>
        <v>20836946.483378906</v>
      </c>
      <c r="D16" s="1344">
        <v>7.6700000000000004E-2</v>
      </c>
      <c r="E16" s="1122">
        <f>_xlfn.DAYS(B16,A16)+1</f>
        <v>330</v>
      </c>
      <c r="F16" s="1344">
        <f t="shared" ref="F16:F28" si="0">+D16</f>
        <v>7.6700000000000004E-2</v>
      </c>
      <c r="G16" s="1061">
        <f t="shared" ref="G16:G29" si="1">(((C16*D16)/365*E16))+C16</f>
        <v>22281888.818833161</v>
      </c>
      <c r="H16" s="1344">
        <f t="shared" ref="H16:H28" si="2">(12%*E16)/365</f>
        <v>0.10849315068493151</v>
      </c>
      <c r="I16" s="2332">
        <f>ROUND(G16*H16,2)</f>
        <v>2417432.3199999998</v>
      </c>
    </row>
    <row r="17" spans="1:9" ht="12" customHeight="1">
      <c r="A17" s="1073">
        <v>40179</v>
      </c>
      <c r="B17" s="800">
        <v>40543</v>
      </c>
      <c r="C17" s="858">
        <f t="shared" ref="C17:C29" si="3">+G16</f>
        <v>22281888.818833161</v>
      </c>
      <c r="D17" s="1344">
        <v>0.02</v>
      </c>
      <c r="E17" s="1122">
        <f>DAYS360(A17,B17)</f>
        <v>360</v>
      </c>
      <c r="F17" s="1344">
        <f t="shared" si="0"/>
        <v>0.02</v>
      </c>
      <c r="G17" s="1061">
        <f t="shared" si="1"/>
        <v>22721421.968136173</v>
      </c>
      <c r="H17" s="1344">
        <f t="shared" si="2"/>
        <v>0.11835616438356163</v>
      </c>
      <c r="I17" s="2332">
        <f t="shared" ref="I17:I29" si="4">ROUND(G17*H17,2)</f>
        <v>2689220.35</v>
      </c>
    </row>
    <row r="18" spans="1:9" ht="14.25" customHeight="1">
      <c r="A18" s="800">
        <v>40544</v>
      </c>
      <c r="B18" s="800">
        <v>40908</v>
      </c>
      <c r="C18" s="858">
        <f t="shared" si="3"/>
        <v>22721421.968136173</v>
      </c>
      <c r="D18" s="1344">
        <v>3.1699999999999999E-2</v>
      </c>
      <c r="E18" s="1122">
        <f t="shared" ref="E18:E29" si="5">DAYS360(A18,B18)</f>
        <v>360</v>
      </c>
      <c r="F18" s="1344">
        <f t="shared" si="0"/>
        <v>3.1699999999999999E-2</v>
      </c>
      <c r="G18" s="1061">
        <f t="shared" si="1"/>
        <v>23431824.344849516</v>
      </c>
      <c r="H18" s="1344">
        <f t="shared" si="2"/>
        <v>0.11835616438356163</v>
      </c>
      <c r="I18" s="2332">
        <f t="shared" si="4"/>
        <v>2773300.85</v>
      </c>
    </row>
    <row r="19" spans="1:9" ht="14.25" customHeight="1">
      <c r="A19" s="1073">
        <v>40909</v>
      </c>
      <c r="B19" s="800">
        <v>41274</v>
      </c>
      <c r="C19" s="858">
        <f t="shared" si="3"/>
        <v>23431824.344849516</v>
      </c>
      <c r="D19" s="1344">
        <v>3.73E-2</v>
      </c>
      <c r="E19" s="1122">
        <f t="shared" si="5"/>
        <v>360</v>
      </c>
      <c r="F19" s="1344">
        <f t="shared" si="0"/>
        <v>3.73E-2</v>
      </c>
      <c r="G19" s="1061">
        <f t="shared" si="1"/>
        <v>24293858.693623871</v>
      </c>
      <c r="H19" s="1344">
        <f t="shared" si="2"/>
        <v>0.11835616438356163</v>
      </c>
      <c r="I19" s="2332">
        <f t="shared" si="4"/>
        <v>2875327.93</v>
      </c>
    </row>
    <row r="20" spans="1:9" ht="14.25" customHeight="1">
      <c r="A20" s="800">
        <v>41275</v>
      </c>
      <c r="B20" s="800">
        <v>41639</v>
      </c>
      <c r="C20" s="858">
        <f t="shared" si="3"/>
        <v>24293858.693623871</v>
      </c>
      <c r="D20" s="1344">
        <v>2.4400000000000002E-2</v>
      </c>
      <c r="E20" s="1122">
        <f t="shared" si="5"/>
        <v>360</v>
      </c>
      <c r="F20" s="1344">
        <f t="shared" si="0"/>
        <v>2.4400000000000002E-2</v>
      </c>
      <c r="G20" s="1061">
        <f t="shared" si="1"/>
        <v>24878508.706678096</v>
      </c>
      <c r="H20" s="1344">
        <f t="shared" si="2"/>
        <v>0.11835616438356163</v>
      </c>
      <c r="I20" s="2332">
        <f t="shared" si="4"/>
        <v>2944524.87</v>
      </c>
    </row>
    <row r="21" spans="1:9" ht="14.25" customHeight="1">
      <c r="A21" s="1073">
        <v>41640</v>
      </c>
      <c r="B21" s="800">
        <v>42004</v>
      </c>
      <c r="C21" s="858">
        <f t="shared" si="3"/>
        <v>24878508.706678096</v>
      </c>
      <c r="D21" s="1344">
        <v>1.9400000000000001E-2</v>
      </c>
      <c r="E21" s="1122">
        <f t="shared" si="5"/>
        <v>360</v>
      </c>
      <c r="F21" s="1344">
        <f t="shared" si="0"/>
        <v>1.9400000000000001E-2</v>
      </c>
      <c r="G21" s="1061">
        <f t="shared" si="1"/>
        <v>25354540.226698481</v>
      </c>
      <c r="H21" s="1344">
        <f t="shared" si="2"/>
        <v>0.11835616438356163</v>
      </c>
      <c r="I21" s="2332">
        <f t="shared" si="4"/>
        <v>3000866.13</v>
      </c>
    </row>
    <row r="22" spans="1:9">
      <c r="A22" s="800">
        <v>42005</v>
      </c>
      <c r="B22" s="800">
        <v>42369</v>
      </c>
      <c r="C22" s="858">
        <f t="shared" si="3"/>
        <v>25354540.226698481</v>
      </c>
      <c r="D22" s="1344">
        <v>3.6600000000000001E-2</v>
      </c>
      <c r="E22" s="1122">
        <f t="shared" si="5"/>
        <v>360</v>
      </c>
      <c r="F22" s="1344">
        <f t="shared" si="0"/>
        <v>3.6600000000000001E-2</v>
      </c>
      <c r="G22" s="1061">
        <f t="shared" si="1"/>
        <v>26269804.396635409</v>
      </c>
      <c r="H22" s="1344">
        <f t="shared" si="2"/>
        <v>0.11835616438356163</v>
      </c>
      <c r="I22" s="2332">
        <f t="shared" si="4"/>
        <v>3109193.29</v>
      </c>
    </row>
    <row r="23" spans="1:9">
      <c r="A23" s="1073">
        <v>42370</v>
      </c>
      <c r="B23" s="1073">
        <v>42735</v>
      </c>
      <c r="C23" s="858">
        <f t="shared" si="3"/>
        <v>26269804.396635409</v>
      </c>
      <c r="D23" s="1344">
        <v>6.7699999999999996E-2</v>
      </c>
      <c r="E23" s="1122">
        <f t="shared" si="5"/>
        <v>360</v>
      </c>
      <c r="F23" s="1344">
        <f t="shared" si="0"/>
        <v>6.7699999999999996E-2</v>
      </c>
      <c r="G23" s="1061">
        <f t="shared" si="1"/>
        <v>28023907.609662253</v>
      </c>
      <c r="H23" s="1344">
        <f t="shared" si="2"/>
        <v>0.11835616438356163</v>
      </c>
      <c r="I23" s="2332">
        <f t="shared" si="4"/>
        <v>3316802.22</v>
      </c>
    </row>
    <row r="24" spans="1:9">
      <c r="A24" s="800">
        <v>42736</v>
      </c>
      <c r="B24" s="800">
        <v>43100</v>
      </c>
      <c r="C24" s="858">
        <f t="shared" si="3"/>
        <v>28023907.609662253</v>
      </c>
      <c r="D24" s="1344">
        <v>5.7500000000000002E-2</v>
      </c>
      <c r="E24" s="1122">
        <f t="shared" si="5"/>
        <v>360</v>
      </c>
      <c r="F24" s="1344">
        <f t="shared" si="0"/>
        <v>5.7500000000000002E-2</v>
      </c>
      <c r="G24" s="1061">
        <f t="shared" si="1"/>
        <v>29613208.671360906</v>
      </c>
      <c r="H24" s="1344">
        <f t="shared" si="2"/>
        <v>0.11835616438356163</v>
      </c>
      <c r="I24" s="2332">
        <f t="shared" si="4"/>
        <v>3504905.79</v>
      </c>
    </row>
    <row r="25" spans="1:9">
      <c r="A25" s="800">
        <v>43101</v>
      </c>
      <c r="B25" s="800">
        <v>43465</v>
      </c>
      <c r="C25" s="858">
        <f t="shared" si="3"/>
        <v>29613208.671360906</v>
      </c>
      <c r="D25" s="1344">
        <v>4.0899999999999999E-2</v>
      </c>
      <c r="E25" s="1122">
        <f>DAYS360(A25,B25)</f>
        <v>360</v>
      </c>
      <c r="F25" s="1344">
        <f t="shared" si="0"/>
        <v>4.0899999999999999E-2</v>
      </c>
      <c r="G25" s="1061">
        <f t="shared" si="1"/>
        <v>30807797.395955749</v>
      </c>
      <c r="H25" s="1344">
        <f t="shared" si="2"/>
        <v>0.11835616438356163</v>
      </c>
      <c r="I25" s="2332">
        <f t="shared" si="4"/>
        <v>3646292.73</v>
      </c>
    </row>
    <row r="26" spans="1:9" ht="13.5" customHeight="1">
      <c r="A26" s="1073">
        <v>43466</v>
      </c>
      <c r="B26" s="1073">
        <v>43830</v>
      </c>
      <c r="C26" s="858">
        <f t="shared" si="3"/>
        <v>30807797.395955749</v>
      </c>
      <c r="D26" s="1344">
        <v>3.1800000000000002E-2</v>
      </c>
      <c r="E26" s="1122">
        <f t="shared" si="5"/>
        <v>360</v>
      </c>
      <c r="F26" s="1344">
        <f t="shared" si="0"/>
        <v>3.1800000000000002E-2</v>
      </c>
      <c r="G26" s="1061">
        <f t="shared" si="1"/>
        <v>31774064.970171917</v>
      </c>
      <c r="H26" s="1344">
        <f t="shared" si="2"/>
        <v>0.11835616438356163</v>
      </c>
      <c r="I26" s="2332">
        <f t="shared" si="4"/>
        <v>3760656.46</v>
      </c>
    </row>
    <row r="27" spans="1:9">
      <c r="A27" s="800">
        <v>43831</v>
      </c>
      <c r="B27" s="800">
        <v>44196</v>
      </c>
      <c r="C27" s="858">
        <f t="shared" si="3"/>
        <v>31774064.970171917</v>
      </c>
      <c r="D27" s="1344">
        <v>3.7999999999999999E-2</v>
      </c>
      <c r="E27" s="1122">
        <f t="shared" si="5"/>
        <v>360</v>
      </c>
      <c r="F27" s="1344">
        <f t="shared" si="0"/>
        <v>3.7999999999999999E-2</v>
      </c>
      <c r="G27" s="1061">
        <f t="shared" si="1"/>
        <v>32964939.514807403</v>
      </c>
      <c r="H27" s="1344">
        <f t="shared" si="2"/>
        <v>0.11835616438356163</v>
      </c>
      <c r="I27" s="2332">
        <f t="shared" si="4"/>
        <v>3901603.8</v>
      </c>
    </row>
    <row r="28" spans="1:9">
      <c r="A28" s="1073">
        <v>44197</v>
      </c>
      <c r="B28" s="1073">
        <v>44561</v>
      </c>
      <c r="C28" s="858">
        <f t="shared" si="3"/>
        <v>32964939.514807403</v>
      </c>
      <c r="D28" s="1344">
        <v>1.61E-2</v>
      </c>
      <c r="E28" s="1122">
        <f t="shared" si="5"/>
        <v>360</v>
      </c>
      <c r="F28" s="1344">
        <f t="shared" si="0"/>
        <v>1.61E-2</v>
      </c>
      <c r="G28" s="1061">
        <f t="shared" si="1"/>
        <v>33488404.691321988</v>
      </c>
      <c r="H28" s="1344">
        <f t="shared" si="2"/>
        <v>0.11835616438356163</v>
      </c>
      <c r="I28" s="2332">
        <f t="shared" si="4"/>
        <v>3963559.13</v>
      </c>
    </row>
    <row r="29" spans="1:9">
      <c r="A29" s="1073">
        <v>44562</v>
      </c>
      <c r="B29" s="1073">
        <v>44926</v>
      </c>
      <c r="C29" s="858">
        <f t="shared" si="3"/>
        <v>33488404.691321988</v>
      </c>
      <c r="D29" s="1344">
        <v>5.62E-2</v>
      </c>
      <c r="E29" s="1122">
        <f t="shared" si="5"/>
        <v>360</v>
      </c>
      <c r="F29" s="1344">
        <f>+D29</f>
        <v>5.62E-2</v>
      </c>
      <c r="G29" s="1061">
        <f t="shared" si="1"/>
        <v>35344671.550814666</v>
      </c>
      <c r="H29" s="1344">
        <f>(12%*E29)/365</f>
        <v>0.11835616438356163</v>
      </c>
      <c r="I29" s="2332">
        <f t="shared" si="4"/>
        <v>4183259.76</v>
      </c>
    </row>
    <row r="30" spans="1:9">
      <c r="A30" s="800">
        <v>44927</v>
      </c>
      <c r="B30" s="800">
        <v>44957</v>
      </c>
      <c r="C30" s="858">
        <f>+G29</f>
        <v>35344671.550814666</v>
      </c>
      <c r="D30" s="1344">
        <v>0.13120000000000001</v>
      </c>
      <c r="E30" s="1122">
        <f t="shared" ref="E30:E31" si="6">DAYS360(A30,B30)</f>
        <v>30</v>
      </c>
      <c r="F30" s="1344">
        <f t="shared" ref="F30" si="7">+D30</f>
        <v>0.13120000000000001</v>
      </c>
      <c r="G30" s="1061">
        <f>(((C30*D30)/365*E30))+C30</f>
        <v>35725812.995264001</v>
      </c>
      <c r="H30" s="1344">
        <f>(12%*E30)/365</f>
        <v>9.8630136986301367E-3</v>
      </c>
      <c r="I30" s="2332">
        <f>ROUND(G30*H30,2)</f>
        <v>352364.18</v>
      </c>
    </row>
    <row r="31" spans="1:9">
      <c r="A31" s="1073">
        <v>44927</v>
      </c>
      <c r="B31" s="1073">
        <v>45077</v>
      </c>
      <c r="C31" s="858">
        <f t="shared" ref="C31" si="8">+G30</f>
        <v>35725812.995264001</v>
      </c>
      <c r="D31" s="1344">
        <v>0.20619999999999999</v>
      </c>
      <c r="E31" s="1122">
        <f t="shared" si="6"/>
        <v>150</v>
      </c>
      <c r="F31" s="1344">
        <f>+D31</f>
        <v>0.20619999999999999</v>
      </c>
      <c r="G31" s="1061">
        <f t="shared" ref="G31" si="9">(((C31*D31)/365*E31))+C31</f>
        <v>38753208.600588702</v>
      </c>
      <c r="H31" s="1344">
        <f>(12%*E31)/365</f>
        <v>4.9315068493150684E-2</v>
      </c>
      <c r="I31" s="2332">
        <f t="shared" ref="I31" si="10">ROUND(G31*H31,2)</f>
        <v>1911117.14</v>
      </c>
    </row>
    <row r="32" spans="1:9">
      <c r="F32" s="814"/>
      <c r="G32" s="2686" t="s">
        <v>951</v>
      </c>
      <c r="H32" s="2686"/>
      <c r="I32" s="1346">
        <f>SUM(I16:I31)</f>
        <v>48350426.949999996</v>
      </c>
    </row>
    <row r="33" spans="1:9" ht="13.5">
      <c r="A33" s="2686" t="s">
        <v>346</v>
      </c>
      <c r="B33" s="2686"/>
      <c r="D33" s="686"/>
      <c r="E33" s="686"/>
      <c r="F33" s="686"/>
      <c r="G33" s="686"/>
      <c r="H33" s="686"/>
      <c r="I33" s="686"/>
    </row>
    <row r="34" spans="1:9" ht="13.5">
      <c r="A34" s="741" t="s">
        <v>959</v>
      </c>
      <c r="B34" s="1616">
        <f>+B11</f>
        <v>20836946.483378906</v>
      </c>
      <c r="D34" s="686"/>
      <c r="E34" s="686"/>
      <c r="F34" s="686"/>
      <c r="G34" s="686"/>
      <c r="H34" s="686"/>
      <c r="I34" s="686"/>
    </row>
    <row r="35" spans="1:9" ht="13.5">
      <c r="A35" s="741" t="s">
        <v>951</v>
      </c>
      <c r="B35" s="1616">
        <f>+I32</f>
        <v>48350426.949999996</v>
      </c>
      <c r="D35" s="686"/>
      <c r="E35" s="686"/>
      <c r="F35" s="686"/>
      <c r="G35" s="686"/>
      <c r="H35" s="686"/>
      <c r="I35" s="686"/>
    </row>
    <row r="36" spans="1:9" ht="13.5">
      <c r="A36" s="726" t="s">
        <v>61</v>
      </c>
      <c r="B36" s="2331">
        <f>SUM(B34:B35)</f>
        <v>69187373.433378905</v>
      </c>
      <c r="D36" s="686"/>
      <c r="E36" s="686"/>
      <c r="F36" s="713"/>
      <c r="G36" s="714"/>
      <c r="H36" s="686"/>
      <c r="I36" s="718"/>
    </row>
    <row r="37" spans="1:9" ht="13.5">
      <c r="A37" s="1651" t="s">
        <v>62</v>
      </c>
      <c r="D37" s="686"/>
      <c r="E37" s="686"/>
      <c r="F37" s="686"/>
      <c r="G37" s="686"/>
      <c r="H37" s="686"/>
      <c r="I37" s="686"/>
    </row>
    <row r="38" spans="1:9" ht="13.5">
      <c r="A38" s="911"/>
      <c r="D38" s="686"/>
      <c r="E38" s="686"/>
      <c r="F38" s="686"/>
      <c r="G38" s="718"/>
      <c r="H38" s="686"/>
      <c r="I38" s="686"/>
    </row>
    <row r="39" spans="1:9">
      <c r="A39" s="911"/>
    </row>
    <row r="40" spans="1:9">
      <c r="A40" s="1651" t="s">
        <v>63</v>
      </c>
    </row>
    <row r="41" spans="1:9">
      <c r="A41" s="1651" t="s">
        <v>64</v>
      </c>
    </row>
    <row r="42" spans="1:9">
      <c r="A42" s="1651" t="s">
        <v>65</v>
      </c>
    </row>
    <row r="47" spans="1:9">
      <c r="A47" s="2686" t="s">
        <v>1538</v>
      </c>
      <c r="B47" s="2686"/>
      <c r="C47" s="2686"/>
      <c r="D47" s="2686"/>
      <c r="E47" s="2686"/>
      <c r="F47" s="2686"/>
      <c r="G47" s="2686"/>
      <c r="H47" s="2686"/>
      <c r="I47" s="2686"/>
    </row>
    <row r="48" spans="1:9">
      <c r="A48" s="900" t="s">
        <v>226</v>
      </c>
      <c r="B48" s="900"/>
    </row>
    <row r="49" spans="1:9" ht="38.25">
      <c r="A49" s="923" t="s">
        <v>147</v>
      </c>
      <c r="B49" s="923" t="s">
        <v>40</v>
      </c>
      <c r="C49" s="970" t="s">
        <v>1539</v>
      </c>
      <c r="D49" s="923" t="s">
        <v>148</v>
      </c>
      <c r="E49" s="970" t="s">
        <v>149</v>
      </c>
      <c r="F49" s="1652" t="s">
        <v>611</v>
      </c>
      <c r="G49" s="923" t="s">
        <v>43</v>
      </c>
      <c r="H49" s="970" t="s">
        <v>529</v>
      </c>
      <c r="I49" s="970" t="s">
        <v>241</v>
      </c>
    </row>
    <row r="50" spans="1:9">
      <c r="A50" s="800">
        <v>42025</v>
      </c>
      <c r="B50" s="800">
        <v>42035</v>
      </c>
      <c r="C50" s="858">
        <f t="shared" ref="C50:C113" si="11">+$B$11</f>
        <v>20836946.483378906</v>
      </c>
      <c r="D50" s="1653">
        <v>0.19209999999999999</v>
      </c>
      <c r="E50" s="1653">
        <f t="shared" ref="E50:E113" si="12">+D50*1.5</f>
        <v>0.28815000000000002</v>
      </c>
      <c r="F50" s="1654">
        <f t="shared" ref="F50:F113" si="13">(1+E50)^(1/365)-1</f>
        <v>6.9395870684818561E-4</v>
      </c>
      <c r="G50" s="909">
        <f t="shared" ref="G50:G113" si="14">((1+E50)^(1/30)-1)</f>
        <v>8.4759552317805742E-3</v>
      </c>
      <c r="H50" s="741">
        <f t="shared" ref="H50:H113" si="15">+_xlfn.DAYS(B50,A50)+1</f>
        <v>11</v>
      </c>
      <c r="I50" s="1121">
        <f t="shared" ref="I50:I113" si="16">C50*F50*H50</f>
        <v>159059.78479897522</v>
      </c>
    </row>
    <row r="51" spans="1:9">
      <c r="A51" s="800">
        <v>42036</v>
      </c>
      <c r="B51" s="800">
        <v>42063</v>
      </c>
      <c r="C51" s="858">
        <f t="shared" si="11"/>
        <v>20836946.483378906</v>
      </c>
      <c r="D51" s="1653">
        <v>0.19209999999999999</v>
      </c>
      <c r="E51" s="1653">
        <f t="shared" si="12"/>
        <v>0.28815000000000002</v>
      </c>
      <c r="F51" s="1654">
        <f t="shared" si="13"/>
        <v>6.9395870684818561E-4</v>
      </c>
      <c r="G51" s="909">
        <f t="shared" si="14"/>
        <v>8.4759552317805742E-3</v>
      </c>
      <c r="H51" s="741">
        <f t="shared" si="15"/>
        <v>28</v>
      </c>
      <c r="I51" s="1121">
        <f t="shared" si="16"/>
        <v>404879.45221557328</v>
      </c>
    </row>
    <row r="52" spans="1:9">
      <c r="A52" s="800">
        <v>42064</v>
      </c>
      <c r="B52" s="800">
        <v>42094</v>
      </c>
      <c r="C52" s="858">
        <f t="shared" si="11"/>
        <v>20836946.483378906</v>
      </c>
      <c r="D52" s="1653">
        <v>0.19209999999999999</v>
      </c>
      <c r="E52" s="1653">
        <f t="shared" si="12"/>
        <v>0.28815000000000002</v>
      </c>
      <c r="F52" s="1654">
        <f t="shared" si="13"/>
        <v>6.9395870684818561E-4</v>
      </c>
      <c r="G52" s="909">
        <f t="shared" si="14"/>
        <v>8.4759552317805742E-3</v>
      </c>
      <c r="H52" s="741">
        <f t="shared" si="15"/>
        <v>31</v>
      </c>
      <c r="I52" s="1121">
        <f t="shared" si="16"/>
        <v>448259.39352438471</v>
      </c>
    </row>
    <row r="53" spans="1:9">
      <c r="A53" s="800">
        <v>42095</v>
      </c>
      <c r="B53" s="800">
        <v>42124</v>
      </c>
      <c r="C53" s="858">
        <f t="shared" si="11"/>
        <v>20836946.483378906</v>
      </c>
      <c r="D53" s="1655">
        <v>0.19370000000000001</v>
      </c>
      <c r="E53" s="1653">
        <f t="shared" si="12"/>
        <v>0.29055000000000003</v>
      </c>
      <c r="F53" s="1654">
        <f t="shared" si="13"/>
        <v>6.9906199467517638E-4</v>
      </c>
      <c r="G53" s="909">
        <f t="shared" si="14"/>
        <v>8.5385298644817809E-3</v>
      </c>
      <c r="H53" s="741">
        <f t="shared" si="15"/>
        <v>30</v>
      </c>
      <c r="I53" s="1121">
        <f t="shared" si="16"/>
        <v>436989.52114832279</v>
      </c>
    </row>
    <row r="54" spans="1:9">
      <c r="A54" s="800">
        <v>42125</v>
      </c>
      <c r="B54" s="800">
        <v>42155</v>
      </c>
      <c r="C54" s="858">
        <f t="shared" si="11"/>
        <v>20836946.483378906</v>
      </c>
      <c r="D54" s="1655">
        <v>0.19370000000000001</v>
      </c>
      <c r="E54" s="1653">
        <f t="shared" si="12"/>
        <v>0.29055000000000003</v>
      </c>
      <c r="F54" s="1654">
        <f t="shared" si="13"/>
        <v>6.9906199467517638E-4</v>
      </c>
      <c r="G54" s="909">
        <f t="shared" si="14"/>
        <v>8.5385298644817809E-3</v>
      </c>
      <c r="H54" s="741">
        <f t="shared" si="15"/>
        <v>31</v>
      </c>
      <c r="I54" s="1121">
        <f t="shared" si="16"/>
        <v>451555.83851993352</v>
      </c>
    </row>
    <row r="55" spans="1:9">
      <c r="A55" s="800">
        <v>42156</v>
      </c>
      <c r="B55" s="800">
        <v>42185</v>
      </c>
      <c r="C55" s="858">
        <f t="shared" si="11"/>
        <v>20836946.483378906</v>
      </c>
      <c r="D55" s="1655">
        <v>0.19370000000000001</v>
      </c>
      <c r="E55" s="1653">
        <f t="shared" si="12"/>
        <v>0.29055000000000003</v>
      </c>
      <c r="F55" s="1654">
        <f t="shared" si="13"/>
        <v>6.9906199467517638E-4</v>
      </c>
      <c r="G55" s="909">
        <f t="shared" si="14"/>
        <v>8.5385298644817809E-3</v>
      </c>
      <c r="H55" s="741">
        <f t="shared" si="15"/>
        <v>30</v>
      </c>
      <c r="I55" s="1121">
        <f t="shared" si="16"/>
        <v>436989.52114832279</v>
      </c>
    </row>
    <row r="56" spans="1:9">
      <c r="A56" s="800">
        <v>42186</v>
      </c>
      <c r="B56" s="800">
        <v>42216</v>
      </c>
      <c r="C56" s="858">
        <f t="shared" si="11"/>
        <v>20836946.483378906</v>
      </c>
      <c r="D56" s="1655">
        <v>0.19259999999999999</v>
      </c>
      <c r="E56" s="1653">
        <f t="shared" si="12"/>
        <v>0.28889999999999999</v>
      </c>
      <c r="F56" s="1654">
        <f t="shared" si="13"/>
        <v>6.9555450216518544E-4</v>
      </c>
      <c r="G56" s="909">
        <f t="shared" si="14"/>
        <v>8.4955219023343798E-3</v>
      </c>
      <c r="H56" s="741">
        <f t="shared" si="15"/>
        <v>31</v>
      </c>
      <c r="I56" s="1121">
        <f t="shared" si="16"/>
        <v>449290.190074566</v>
      </c>
    </row>
    <row r="57" spans="1:9">
      <c r="A57" s="800">
        <v>42217</v>
      </c>
      <c r="B57" s="800">
        <v>42247</v>
      </c>
      <c r="C57" s="858">
        <f t="shared" si="11"/>
        <v>20836946.483378906</v>
      </c>
      <c r="D57" s="1655">
        <v>0.19259999999999999</v>
      </c>
      <c r="E57" s="1653">
        <f t="shared" si="12"/>
        <v>0.28889999999999999</v>
      </c>
      <c r="F57" s="1654">
        <f t="shared" si="13"/>
        <v>6.9555450216518544E-4</v>
      </c>
      <c r="G57" s="909">
        <f t="shared" si="14"/>
        <v>8.4955219023343798E-3</v>
      </c>
      <c r="H57" s="741">
        <f t="shared" si="15"/>
        <v>31</v>
      </c>
      <c r="I57" s="1121">
        <f t="shared" si="16"/>
        <v>449290.190074566</v>
      </c>
    </row>
    <row r="58" spans="1:9">
      <c r="A58" s="800">
        <v>42248</v>
      </c>
      <c r="B58" s="800">
        <v>42277</v>
      </c>
      <c r="C58" s="858">
        <f t="shared" si="11"/>
        <v>20836946.483378906</v>
      </c>
      <c r="D58" s="1655">
        <v>0.19259999999999999</v>
      </c>
      <c r="E58" s="1653">
        <f t="shared" si="12"/>
        <v>0.28889999999999999</v>
      </c>
      <c r="F58" s="1654">
        <f t="shared" si="13"/>
        <v>6.9555450216518544E-4</v>
      </c>
      <c r="G58" s="909">
        <f t="shared" si="14"/>
        <v>8.4955219023343798E-3</v>
      </c>
      <c r="H58" s="741">
        <f t="shared" si="15"/>
        <v>30</v>
      </c>
      <c r="I58" s="1121">
        <f t="shared" si="16"/>
        <v>434796.95813667681</v>
      </c>
    </row>
    <row r="59" spans="1:9">
      <c r="A59" s="800">
        <v>42278</v>
      </c>
      <c r="B59" s="800">
        <v>42308</v>
      </c>
      <c r="C59" s="858">
        <f t="shared" si="11"/>
        <v>20836946.483378906</v>
      </c>
      <c r="D59" s="1655">
        <v>0.1933</v>
      </c>
      <c r="E59" s="1653">
        <f t="shared" si="12"/>
        <v>0.28994999999999999</v>
      </c>
      <c r="F59" s="1654">
        <f t="shared" si="13"/>
        <v>6.9778706056067286E-4</v>
      </c>
      <c r="G59" s="909">
        <f t="shared" si="14"/>
        <v>8.5228967587820392E-3</v>
      </c>
      <c r="H59" s="741">
        <f t="shared" si="15"/>
        <v>31</v>
      </c>
      <c r="I59" s="1121">
        <f t="shared" si="16"/>
        <v>450732.30076860753</v>
      </c>
    </row>
    <row r="60" spans="1:9">
      <c r="A60" s="800">
        <v>42309</v>
      </c>
      <c r="B60" s="800">
        <v>42338</v>
      </c>
      <c r="C60" s="858">
        <f t="shared" si="11"/>
        <v>20836946.483378906</v>
      </c>
      <c r="D60" s="1655">
        <v>0.1933</v>
      </c>
      <c r="E60" s="1653">
        <f t="shared" si="12"/>
        <v>0.28994999999999999</v>
      </c>
      <c r="F60" s="1654">
        <f t="shared" si="13"/>
        <v>6.9778706056067286E-4</v>
      </c>
      <c r="G60" s="909">
        <f t="shared" si="14"/>
        <v>8.5228967587820392E-3</v>
      </c>
      <c r="H60" s="741">
        <f t="shared" si="15"/>
        <v>30</v>
      </c>
      <c r="I60" s="1121">
        <f t="shared" si="16"/>
        <v>436192.54913091048</v>
      </c>
    </row>
    <row r="61" spans="1:9">
      <c r="A61" s="800">
        <v>42339</v>
      </c>
      <c r="B61" s="800">
        <v>42369</v>
      </c>
      <c r="C61" s="858">
        <f t="shared" si="11"/>
        <v>20836946.483378906</v>
      </c>
      <c r="D61" s="1655">
        <v>0.1933</v>
      </c>
      <c r="E61" s="1653">
        <f t="shared" si="12"/>
        <v>0.28994999999999999</v>
      </c>
      <c r="F61" s="1654">
        <f t="shared" si="13"/>
        <v>6.9778706056067286E-4</v>
      </c>
      <c r="G61" s="909">
        <f t="shared" si="14"/>
        <v>8.5228967587820392E-3</v>
      </c>
      <c r="H61" s="741">
        <f t="shared" si="15"/>
        <v>31</v>
      </c>
      <c r="I61" s="1121">
        <f t="shared" si="16"/>
        <v>450732.30076860753</v>
      </c>
    </row>
    <row r="62" spans="1:9">
      <c r="A62" s="800">
        <v>42370</v>
      </c>
      <c r="B62" s="800">
        <v>42400</v>
      </c>
      <c r="C62" s="858">
        <f t="shared" si="11"/>
        <v>20836946.483378906</v>
      </c>
      <c r="D62" s="1655">
        <v>0.1968</v>
      </c>
      <c r="E62" s="1653">
        <f t="shared" si="12"/>
        <v>0.29520000000000002</v>
      </c>
      <c r="F62" s="1654">
        <f t="shared" si="13"/>
        <v>7.0892273793354832E-4</v>
      </c>
      <c r="G62" s="909">
        <f t="shared" si="14"/>
        <v>8.6594487558520061E-3</v>
      </c>
      <c r="H62" s="741">
        <f t="shared" si="15"/>
        <v>31</v>
      </c>
      <c r="I62" s="1121">
        <f t="shared" si="16"/>
        <v>457925.33968632563</v>
      </c>
    </row>
    <row r="63" spans="1:9">
      <c r="A63" s="800">
        <v>42401</v>
      </c>
      <c r="B63" s="800">
        <v>42429</v>
      </c>
      <c r="C63" s="858">
        <f t="shared" si="11"/>
        <v>20836946.483378906</v>
      </c>
      <c r="D63" s="1655">
        <v>0.1968</v>
      </c>
      <c r="E63" s="1653">
        <f t="shared" si="12"/>
        <v>0.29520000000000002</v>
      </c>
      <c r="F63" s="1654">
        <f t="shared" si="13"/>
        <v>7.0892273793354832E-4</v>
      </c>
      <c r="G63" s="909">
        <f t="shared" si="14"/>
        <v>8.6594487558520061E-3</v>
      </c>
      <c r="H63" s="741">
        <f t="shared" si="15"/>
        <v>29</v>
      </c>
      <c r="I63" s="1121">
        <f t="shared" si="16"/>
        <v>428381.76938398206</v>
      </c>
    </row>
    <row r="64" spans="1:9">
      <c r="A64" s="800">
        <v>42430</v>
      </c>
      <c r="B64" s="800">
        <v>42460</v>
      </c>
      <c r="C64" s="858">
        <f t="shared" si="11"/>
        <v>20836946.483378906</v>
      </c>
      <c r="D64" s="1655">
        <v>0.1968</v>
      </c>
      <c r="E64" s="1653">
        <f t="shared" si="12"/>
        <v>0.29520000000000002</v>
      </c>
      <c r="F64" s="1654">
        <f t="shared" si="13"/>
        <v>7.0892273793354832E-4</v>
      </c>
      <c r="G64" s="909">
        <f t="shared" si="14"/>
        <v>8.6594487558520061E-3</v>
      </c>
      <c r="H64" s="741">
        <f t="shared" si="15"/>
        <v>31</v>
      </c>
      <c r="I64" s="1121">
        <f t="shared" si="16"/>
        <v>457925.33968632563</v>
      </c>
    </row>
    <row r="65" spans="1:9">
      <c r="A65" s="800">
        <v>42461</v>
      </c>
      <c r="B65" s="800">
        <v>42490</v>
      </c>
      <c r="C65" s="858">
        <f t="shared" si="11"/>
        <v>20836946.483378906</v>
      </c>
      <c r="D65" s="1656">
        <v>0.2054</v>
      </c>
      <c r="E65" s="1653">
        <f t="shared" si="12"/>
        <v>0.30809999999999998</v>
      </c>
      <c r="F65" s="1654">
        <f t="shared" si="13"/>
        <v>7.3609462782320279E-4</v>
      </c>
      <c r="G65" s="909">
        <f t="shared" si="14"/>
        <v>8.9927171170169906E-3</v>
      </c>
      <c r="H65" s="741">
        <f t="shared" si="15"/>
        <v>30</v>
      </c>
      <c r="I65" s="1121">
        <f t="shared" si="16"/>
        <v>460138.93099964369</v>
      </c>
    </row>
    <row r="66" spans="1:9">
      <c r="A66" s="800">
        <v>42491</v>
      </c>
      <c r="B66" s="800">
        <v>42521</v>
      </c>
      <c r="C66" s="858">
        <f t="shared" si="11"/>
        <v>20836946.483378906</v>
      </c>
      <c r="D66" s="1656">
        <v>0.2054</v>
      </c>
      <c r="E66" s="1653">
        <f t="shared" si="12"/>
        <v>0.30809999999999998</v>
      </c>
      <c r="F66" s="1654">
        <f t="shared" si="13"/>
        <v>7.3609462782320279E-4</v>
      </c>
      <c r="G66" s="909">
        <f t="shared" si="14"/>
        <v>8.9927171170169906E-3</v>
      </c>
      <c r="H66" s="741">
        <f t="shared" si="15"/>
        <v>31</v>
      </c>
      <c r="I66" s="1121">
        <f t="shared" si="16"/>
        <v>475476.89536629844</v>
      </c>
    </row>
    <row r="67" spans="1:9">
      <c r="A67" s="800">
        <v>42522</v>
      </c>
      <c r="B67" s="800">
        <v>42551</v>
      </c>
      <c r="C67" s="858">
        <f t="shared" si="11"/>
        <v>20836946.483378906</v>
      </c>
      <c r="D67" s="1656">
        <v>0.2054</v>
      </c>
      <c r="E67" s="1653">
        <f t="shared" si="12"/>
        <v>0.30809999999999998</v>
      </c>
      <c r="F67" s="1654">
        <f t="shared" si="13"/>
        <v>7.3609462782320279E-4</v>
      </c>
      <c r="G67" s="909">
        <f t="shared" si="14"/>
        <v>8.9927171170169906E-3</v>
      </c>
      <c r="H67" s="741">
        <f t="shared" si="15"/>
        <v>30</v>
      </c>
      <c r="I67" s="1121">
        <f t="shared" si="16"/>
        <v>460138.93099964369</v>
      </c>
    </row>
    <row r="68" spans="1:9">
      <c r="A68" s="800">
        <v>42552</v>
      </c>
      <c r="B68" s="800">
        <v>42582</v>
      </c>
      <c r="C68" s="858">
        <f t="shared" si="11"/>
        <v>20836946.483378906</v>
      </c>
      <c r="D68" s="1655">
        <v>0.21340000000000001</v>
      </c>
      <c r="E68" s="1653">
        <f t="shared" si="12"/>
        <v>0.3201</v>
      </c>
      <c r="F68" s="1654">
        <f t="shared" si="13"/>
        <v>7.6113195596128058E-4</v>
      </c>
      <c r="G68" s="909">
        <f t="shared" si="14"/>
        <v>9.2998941387094636E-3</v>
      </c>
      <c r="H68" s="741">
        <f t="shared" si="15"/>
        <v>31</v>
      </c>
      <c r="I68" s="1121">
        <f t="shared" si="16"/>
        <v>491649.64082779613</v>
      </c>
    </row>
    <row r="69" spans="1:9">
      <c r="A69" s="800">
        <v>42583</v>
      </c>
      <c r="B69" s="800">
        <v>42613</v>
      </c>
      <c r="C69" s="858">
        <f t="shared" si="11"/>
        <v>20836946.483378906</v>
      </c>
      <c r="D69" s="1655">
        <v>0.21340000000000001</v>
      </c>
      <c r="E69" s="1653">
        <f t="shared" si="12"/>
        <v>0.3201</v>
      </c>
      <c r="F69" s="1654">
        <f t="shared" si="13"/>
        <v>7.6113195596128058E-4</v>
      </c>
      <c r="G69" s="909">
        <f t="shared" si="14"/>
        <v>9.2998941387094636E-3</v>
      </c>
      <c r="H69" s="741">
        <f t="shared" si="15"/>
        <v>31</v>
      </c>
      <c r="I69" s="1121">
        <f t="shared" si="16"/>
        <v>491649.64082779613</v>
      </c>
    </row>
    <row r="70" spans="1:9">
      <c r="A70" s="800">
        <v>42614</v>
      </c>
      <c r="B70" s="800">
        <v>42643</v>
      </c>
      <c r="C70" s="858">
        <f t="shared" si="11"/>
        <v>20836946.483378906</v>
      </c>
      <c r="D70" s="1655">
        <v>0.21340000000000001</v>
      </c>
      <c r="E70" s="1653">
        <f t="shared" si="12"/>
        <v>0.3201</v>
      </c>
      <c r="F70" s="1654">
        <f t="shared" si="13"/>
        <v>7.6113195596128058E-4</v>
      </c>
      <c r="G70" s="909">
        <f t="shared" si="14"/>
        <v>9.2998941387094636E-3</v>
      </c>
      <c r="H70" s="741">
        <f t="shared" si="15"/>
        <v>30</v>
      </c>
      <c r="I70" s="1121">
        <f t="shared" si="16"/>
        <v>475789.97499464138</v>
      </c>
    </row>
    <row r="71" spans="1:9">
      <c r="A71" s="800">
        <v>42644</v>
      </c>
      <c r="B71" s="800">
        <v>42674</v>
      </c>
      <c r="C71" s="858">
        <f t="shared" si="11"/>
        <v>20836946.483378906</v>
      </c>
      <c r="D71" s="1657">
        <v>0.21990000000000001</v>
      </c>
      <c r="E71" s="1653">
        <f t="shared" si="12"/>
        <v>0.32985000000000003</v>
      </c>
      <c r="F71" s="1654">
        <f t="shared" si="13"/>
        <v>7.8130822380240161E-4</v>
      </c>
      <c r="G71" s="909">
        <f t="shared" si="14"/>
        <v>9.5474944174882559E-3</v>
      </c>
      <c r="H71" s="741">
        <f t="shared" si="15"/>
        <v>31</v>
      </c>
      <c r="I71" s="1121">
        <f t="shared" si="16"/>
        <v>504682.40703822859</v>
      </c>
    </row>
    <row r="72" spans="1:9">
      <c r="A72" s="800">
        <v>42675</v>
      </c>
      <c r="B72" s="800">
        <v>42704</v>
      </c>
      <c r="C72" s="858">
        <f t="shared" si="11"/>
        <v>20836946.483378906</v>
      </c>
      <c r="D72" s="1657">
        <v>0.21990000000000001</v>
      </c>
      <c r="E72" s="1653">
        <f t="shared" si="12"/>
        <v>0.32985000000000003</v>
      </c>
      <c r="F72" s="1654">
        <f t="shared" si="13"/>
        <v>7.8130822380240161E-4</v>
      </c>
      <c r="G72" s="909">
        <f t="shared" si="14"/>
        <v>9.5474944174882559E-3</v>
      </c>
      <c r="H72" s="741">
        <f t="shared" si="15"/>
        <v>30</v>
      </c>
      <c r="I72" s="1121">
        <f t="shared" si="16"/>
        <v>488402.32939183415</v>
      </c>
    </row>
    <row r="73" spans="1:9">
      <c r="A73" s="800">
        <v>42705</v>
      </c>
      <c r="B73" s="800">
        <v>42735</v>
      </c>
      <c r="C73" s="858">
        <f t="shared" si="11"/>
        <v>20836946.483378906</v>
      </c>
      <c r="D73" s="1657">
        <v>0.21990000000000001</v>
      </c>
      <c r="E73" s="1653">
        <f t="shared" si="12"/>
        <v>0.32985000000000003</v>
      </c>
      <c r="F73" s="1654">
        <f t="shared" si="13"/>
        <v>7.8130822380240161E-4</v>
      </c>
      <c r="G73" s="909">
        <f t="shared" si="14"/>
        <v>9.5474944174882559E-3</v>
      </c>
      <c r="H73" s="741">
        <f t="shared" si="15"/>
        <v>31</v>
      </c>
      <c r="I73" s="1121">
        <f t="shared" si="16"/>
        <v>504682.40703822859</v>
      </c>
    </row>
    <row r="74" spans="1:9">
      <c r="A74" s="800">
        <v>42736</v>
      </c>
      <c r="B74" s="800">
        <v>42766</v>
      </c>
      <c r="C74" s="858">
        <f t="shared" si="11"/>
        <v>20836946.483378906</v>
      </c>
      <c r="D74" s="1655">
        <v>0.22339999999999999</v>
      </c>
      <c r="E74" s="1653">
        <f t="shared" si="12"/>
        <v>0.33509999999999995</v>
      </c>
      <c r="F74" s="1654">
        <f t="shared" si="13"/>
        <v>7.9211135028089963E-4</v>
      </c>
      <c r="G74" s="909">
        <f t="shared" si="14"/>
        <v>9.6800917586041813E-3</v>
      </c>
      <c r="H74" s="741">
        <f t="shared" si="15"/>
        <v>31</v>
      </c>
      <c r="I74" s="1121">
        <f t="shared" si="16"/>
        <v>511660.63625508337</v>
      </c>
    </row>
    <row r="75" spans="1:9">
      <c r="A75" s="800">
        <v>42767</v>
      </c>
      <c r="B75" s="800">
        <v>42794</v>
      </c>
      <c r="C75" s="858">
        <f t="shared" si="11"/>
        <v>20836946.483378906</v>
      </c>
      <c r="D75" s="1655">
        <v>0.22339999999999999</v>
      </c>
      <c r="E75" s="1653">
        <f t="shared" si="12"/>
        <v>0.33509999999999995</v>
      </c>
      <c r="F75" s="1654">
        <f t="shared" si="13"/>
        <v>7.9211135028089963E-4</v>
      </c>
      <c r="G75" s="909">
        <f t="shared" si="14"/>
        <v>9.6800917586041813E-3</v>
      </c>
      <c r="H75" s="741">
        <f t="shared" si="15"/>
        <v>28</v>
      </c>
      <c r="I75" s="1121">
        <f t="shared" si="16"/>
        <v>462145.09081104305</v>
      </c>
    </row>
    <row r="76" spans="1:9">
      <c r="A76" s="800">
        <v>42795</v>
      </c>
      <c r="B76" s="800">
        <v>42825</v>
      </c>
      <c r="C76" s="858">
        <f t="shared" si="11"/>
        <v>20836946.483378906</v>
      </c>
      <c r="D76" s="1655">
        <v>0.22339999999999999</v>
      </c>
      <c r="E76" s="1653">
        <f t="shared" si="12"/>
        <v>0.33509999999999995</v>
      </c>
      <c r="F76" s="1654">
        <f t="shared" si="13"/>
        <v>7.9211135028089963E-4</v>
      </c>
      <c r="G76" s="909">
        <f t="shared" si="14"/>
        <v>9.6800917586041813E-3</v>
      </c>
      <c r="H76" s="741">
        <f t="shared" si="15"/>
        <v>31</v>
      </c>
      <c r="I76" s="1121">
        <f t="shared" si="16"/>
        <v>511660.63625508337</v>
      </c>
    </row>
    <row r="77" spans="1:9">
      <c r="A77" s="800">
        <v>42826</v>
      </c>
      <c r="B77" s="800">
        <v>42855</v>
      </c>
      <c r="C77" s="858">
        <f t="shared" si="11"/>
        <v>20836946.483378906</v>
      </c>
      <c r="D77" s="1658">
        <v>0.2233</v>
      </c>
      <c r="E77" s="1653">
        <f t="shared" si="12"/>
        <v>0.33494999999999997</v>
      </c>
      <c r="F77" s="1654">
        <f t="shared" si="13"/>
        <v>7.9180327787309324E-4</v>
      </c>
      <c r="G77" s="909">
        <f t="shared" si="14"/>
        <v>9.6763102631187703E-3</v>
      </c>
      <c r="H77" s="741">
        <f t="shared" si="15"/>
        <v>30</v>
      </c>
      <c r="I77" s="1121">
        <f t="shared" si="16"/>
        <v>494962.87579216924</v>
      </c>
    </row>
    <row r="78" spans="1:9">
      <c r="A78" s="800">
        <v>42856</v>
      </c>
      <c r="B78" s="800">
        <v>42886</v>
      </c>
      <c r="C78" s="858">
        <f t="shared" si="11"/>
        <v>20836946.483378906</v>
      </c>
      <c r="D78" s="1658">
        <v>0.2233</v>
      </c>
      <c r="E78" s="1653">
        <f t="shared" si="12"/>
        <v>0.33494999999999997</v>
      </c>
      <c r="F78" s="1654">
        <f t="shared" si="13"/>
        <v>7.9180327787309324E-4</v>
      </c>
      <c r="G78" s="909">
        <f t="shared" si="14"/>
        <v>9.6763102631187703E-3</v>
      </c>
      <c r="H78" s="741">
        <f t="shared" si="15"/>
        <v>31</v>
      </c>
      <c r="I78" s="1121">
        <f t="shared" si="16"/>
        <v>511461.63831857487</v>
      </c>
    </row>
    <row r="79" spans="1:9">
      <c r="A79" s="800">
        <v>42887</v>
      </c>
      <c r="B79" s="800">
        <v>42916</v>
      </c>
      <c r="C79" s="858">
        <f t="shared" si="11"/>
        <v>20836946.483378906</v>
      </c>
      <c r="D79" s="1658">
        <v>0.2233</v>
      </c>
      <c r="E79" s="1653">
        <f t="shared" si="12"/>
        <v>0.33494999999999997</v>
      </c>
      <c r="F79" s="1654">
        <f t="shared" si="13"/>
        <v>7.9180327787309324E-4</v>
      </c>
      <c r="G79" s="909">
        <f t="shared" si="14"/>
        <v>9.6763102631187703E-3</v>
      </c>
      <c r="H79" s="741">
        <f t="shared" si="15"/>
        <v>30</v>
      </c>
      <c r="I79" s="1121">
        <f t="shared" si="16"/>
        <v>494962.87579216924</v>
      </c>
    </row>
    <row r="80" spans="1:9">
      <c r="A80" s="800">
        <v>42917</v>
      </c>
      <c r="B80" s="800">
        <v>42947</v>
      </c>
      <c r="C80" s="858">
        <f t="shared" si="11"/>
        <v>20836946.483378906</v>
      </c>
      <c r="D80" s="1655">
        <v>0.2198</v>
      </c>
      <c r="E80" s="1653">
        <f t="shared" si="12"/>
        <v>0.32969999999999999</v>
      </c>
      <c r="F80" s="1654">
        <f t="shared" si="13"/>
        <v>7.8099893845218205E-4</v>
      </c>
      <c r="G80" s="909">
        <f t="shared" si="14"/>
        <v>9.5436984911190237E-3</v>
      </c>
      <c r="H80" s="741">
        <f t="shared" si="15"/>
        <v>31</v>
      </c>
      <c r="I80" s="1121">
        <f t="shared" si="16"/>
        <v>504482.62560721941</v>
      </c>
    </row>
    <row r="81" spans="1:9">
      <c r="A81" s="800">
        <v>42948</v>
      </c>
      <c r="B81" s="800">
        <v>42978</v>
      </c>
      <c r="C81" s="858">
        <f t="shared" si="11"/>
        <v>20836946.483378906</v>
      </c>
      <c r="D81" s="1655">
        <v>0.2198</v>
      </c>
      <c r="E81" s="1653">
        <f t="shared" si="12"/>
        <v>0.32969999999999999</v>
      </c>
      <c r="F81" s="1654">
        <f t="shared" si="13"/>
        <v>7.8099893845218205E-4</v>
      </c>
      <c r="G81" s="909">
        <f t="shared" si="14"/>
        <v>9.5436984911190237E-3</v>
      </c>
      <c r="H81" s="741">
        <f t="shared" si="15"/>
        <v>31</v>
      </c>
      <c r="I81" s="1121">
        <f t="shared" si="16"/>
        <v>504482.62560721941</v>
      </c>
    </row>
    <row r="82" spans="1:9">
      <c r="A82" s="800">
        <v>42979</v>
      </c>
      <c r="B82" s="800">
        <v>43008</v>
      </c>
      <c r="C82" s="858">
        <f t="shared" si="11"/>
        <v>20836946.483378906</v>
      </c>
      <c r="D82" s="1655">
        <v>0.21479999999999999</v>
      </c>
      <c r="E82" s="1653">
        <f t="shared" si="12"/>
        <v>0.32219999999999999</v>
      </c>
      <c r="F82" s="1654">
        <f t="shared" si="13"/>
        <v>7.6549014202820231E-4</v>
      </c>
      <c r="G82" s="909">
        <f t="shared" si="14"/>
        <v>9.3533724562284704E-3</v>
      </c>
      <c r="H82" s="741">
        <f t="shared" si="15"/>
        <v>30</v>
      </c>
      <c r="I82" s="1121">
        <f t="shared" si="16"/>
        <v>478514.31368987309</v>
      </c>
    </row>
    <row r="83" spans="1:9">
      <c r="A83" s="800">
        <v>43009</v>
      </c>
      <c r="B83" s="800">
        <v>43039</v>
      </c>
      <c r="C83" s="858">
        <f t="shared" si="11"/>
        <v>20836946.483378906</v>
      </c>
      <c r="D83" s="1655">
        <v>0.21149999999999999</v>
      </c>
      <c r="E83" s="1653">
        <f t="shared" si="12"/>
        <v>0.31724999999999998</v>
      </c>
      <c r="F83" s="1654">
        <f t="shared" si="13"/>
        <v>7.5520620308799913E-4</v>
      </c>
      <c r="G83" s="909">
        <f t="shared" si="14"/>
        <v>9.2271847345526403E-3</v>
      </c>
      <c r="H83" s="741">
        <f t="shared" si="15"/>
        <v>31</v>
      </c>
      <c r="I83" s="1121">
        <f t="shared" si="16"/>
        <v>487821.92836747301</v>
      </c>
    </row>
    <row r="84" spans="1:9">
      <c r="A84" s="800">
        <v>43040</v>
      </c>
      <c r="B84" s="800">
        <v>43069</v>
      </c>
      <c r="C84" s="858">
        <f t="shared" si="11"/>
        <v>20836946.483378906</v>
      </c>
      <c r="D84" s="1657">
        <v>0.20960000000000001</v>
      </c>
      <c r="E84" s="1653">
        <f t="shared" si="12"/>
        <v>0.31440000000000001</v>
      </c>
      <c r="F84" s="1654">
        <f t="shared" si="13"/>
        <v>7.4926765057248268E-4</v>
      </c>
      <c r="G84" s="909">
        <f t="shared" si="14"/>
        <v>9.1543231009301174E-3</v>
      </c>
      <c r="H84" s="741">
        <f t="shared" si="15"/>
        <v>30</v>
      </c>
      <c r="I84" s="1121">
        <f t="shared" si="16"/>
        <v>468373.498101176</v>
      </c>
    </row>
    <row r="85" spans="1:9">
      <c r="A85" s="800">
        <v>43070</v>
      </c>
      <c r="B85" s="800">
        <v>43100</v>
      </c>
      <c r="C85" s="858">
        <f t="shared" si="11"/>
        <v>20836946.483378906</v>
      </c>
      <c r="D85" s="1655">
        <v>0.2077</v>
      </c>
      <c r="E85" s="1653">
        <f t="shared" si="12"/>
        <v>0.31154999999999999</v>
      </c>
      <c r="F85" s="1654">
        <f t="shared" si="13"/>
        <v>7.4331624292400811E-4</v>
      </c>
      <c r="G85" s="909">
        <f t="shared" si="14"/>
        <v>9.0813085880074862E-3</v>
      </c>
      <c r="H85" s="741">
        <f t="shared" si="15"/>
        <v>31</v>
      </c>
      <c r="I85" s="1121">
        <f t="shared" si="16"/>
        <v>480141.66399504879</v>
      </c>
    </row>
    <row r="86" spans="1:9">
      <c r="A86" s="800">
        <v>43101</v>
      </c>
      <c r="B86" s="800">
        <v>43131</v>
      </c>
      <c r="C86" s="858">
        <f t="shared" si="11"/>
        <v>20836946.483378906</v>
      </c>
      <c r="D86" s="1655">
        <v>0.2069</v>
      </c>
      <c r="E86" s="1653">
        <f t="shared" si="12"/>
        <v>0.31035000000000001</v>
      </c>
      <c r="F86" s="1654">
        <f t="shared" si="13"/>
        <v>7.4080652774299871E-4</v>
      </c>
      <c r="G86" s="909">
        <f t="shared" si="14"/>
        <v>9.0505197406969273E-3</v>
      </c>
      <c r="H86" s="741">
        <f t="shared" si="15"/>
        <v>31</v>
      </c>
      <c r="I86" s="1121">
        <f t="shared" si="16"/>
        <v>478520.52516667708</v>
      </c>
    </row>
    <row r="87" spans="1:9">
      <c r="A87" s="800">
        <v>43132</v>
      </c>
      <c r="B87" s="800">
        <v>43159</v>
      </c>
      <c r="C87" s="858">
        <f t="shared" si="11"/>
        <v>20836946.483378906</v>
      </c>
      <c r="D87" s="1655">
        <v>0.21010000000000001</v>
      </c>
      <c r="E87" s="1653">
        <f t="shared" si="12"/>
        <v>0.31515000000000004</v>
      </c>
      <c r="F87" s="1654">
        <f t="shared" si="13"/>
        <v>7.5083167162115494E-4</v>
      </c>
      <c r="G87" s="909">
        <f t="shared" si="14"/>
        <v>9.173512010532292E-3</v>
      </c>
      <c r="H87" s="741">
        <f t="shared" si="15"/>
        <v>28</v>
      </c>
      <c r="I87" s="1121">
        <f t="shared" si="16"/>
        <v>438061.10206868604</v>
      </c>
    </row>
    <row r="88" spans="1:9">
      <c r="A88" s="800">
        <v>43160</v>
      </c>
      <c r="B88" s="800">
        <v>43190</v>
      </c>
      <c r="C88" s="858">
        <f t="shared" si="11"/>
        <v>20836946.483378906</v>
      </c>
      <c r="D88" s="1655">
        <v>0.20680000000000001</v>
      </c>
      <c r="E88" s="1653">
        <f t="shared" si="12"/>
        <v>0.31020000000000003</v>
      </c>
      <c r="F88" s="1654">
        <f t="shared" si="13"/>
        <v>7.4049265219700011E-4</v>
      </c>
      <c r="G88" s="909">
        <f t="shared" si="14"/>
        <v>9.0466692184951736E-3</v>
      </c>
      <c r="H88" s="741">
        <f t="shared" si="15"/>
        <v>31</v>
      </c>
      <c r="I88" s="1121">
        <f t="shared" si="16"/>
        <v>478317.77872009022</v>
      </c>
    </row>
    <row r="89" spans="1:9">
      <c r="A89" s="800">
        <v>43191</v>
      </c>
      <c r="B89" s="800">
        <v>43220</v>
      </c>
      <c r="C89" s="858">
        <f t="shared" si="11"/>
        <v>20836946.483378906</v>
      </c>
      <c r="D89" s="1653">
        <v>0.20480000000000001</v>
      </c>
      <c r="E89" s="1653">
        <f t="shared" si="12"/>
        <v>0.30720000000000003</v>
      </c>
      <c r="F89" s="1654">
        <f t="shared" si="13"/>
        <v>7.34207604366377E-4</v>
      </c>
      <c r="G89" s="909">
        <f t="shared" si="14"/>
        <v>8.9695691527393873E-3</v>
      </c>
      <c r="H89" s="741">
        <f t="shared" si="15"/>
        <v>30</v>
      </c>
      <c r="I89" s="1121">
        <f t="shared" si="16"/>
        <v>458959.3367961609</v>
      </c>
    </row>
    <row r="90" spans="1:9">
      <c r="A90" s="800">
        <v>43221</v>
      </c>
      <c r="B90" s="800">
        <v>43251</v>
      </c>
      <c r="C90" s="858">
        <f t="shared" si="11"/>
        <v>20836946.483378906</v>
      </c>
      <c r="D90" s="1657">
        <v>0.2044</v>
      </c>
      <c r="E90" s="1653">
        <f t="shared" si="12"/>
        <v>0.30659999999999998</v>
      </c>
      <c r="F90" s="1654">
        <f t="shared" si="13"/>
        <v>7.3294886878794152E-4</v>
      </c>
      <c r="G90" s="909">
        <f t="shared" si="14"/>
        <v>8.9541286161018974E-3</v>
      </c>
      <c r="H90" s="741">
        <f t="shared" si="15"/>
        <v>31</v>
      </c>
      <c r="I90" s="1121">
        <f t="shared" si="16"/>
        <v>473444.90697361075</v>
      </c>
    </row>
    <row r="91" spans="1:9">
      <c r="A91" s="800">
        <v>43252</v>
      </c>
      <c r="B91" s="800">
        <v>43281</v>
      </c>
      <c r="C91" s="858">
        <f t="shared" si="11"/>
        <v>20836946.483378906</v>
      </c>
      <c r="D91" s="1655">
        <v>0.20280000000000001</v>
      </c>
      <c r="E91" s="1653">
        <f t="shared" si="12"/>
        <v>0.30420000000000003</v>
      </c>
      <c r="F91" s="1654">
        <f t="shared" si="13"/>
        <v>7.2790815549184096E-4</v>
      </c>
      <c r="G91" s="909">
        <f t="shared" si="14"/>
        <v>8.8922978517622653E-3</v>
      </c>
      <c r="H91" s="741">
        <f t="shared" si="15"/>
        <v>30</v>
      </c>
      <c r="I91" s="1121">
        <f t="shared" si="16"/>
        <v>455021.49842395628</v>
      </c>
    </row>
    <row r="92" spans="1:9">
      <c r="A92" s="800">
        <v>43282</v>
      </c>
      <c r="B92" s="800">
        <v>43312</v>
      </c>
      <c r="C92" s="858">
        <f t="shared" si="11"/>
        <v>20836946.483378906</v>
      </c>
      <c r="D92" s="1655">
        <v>0.20030000000000001</v>
      </c>
      <c r="E92" s="1653">
        <f t="shared" si="12"/>
        <v>0.30044999999999999</v>
      </c>
      <c r="F92" s="1654">
        <f t="shared" si="13"/>
        <v>7.2001349197825526E-4</v>
      </c>
      <c r="G92" s="909">
        <f t="shared" si="14"/>
        <v>8.7954667440723888E-3</v>
      </c>
      <c r="H92" s="741">
        <f t="shared" si="15"/>
        <v>31</v>
      </c>
      <c r="I92" s="1121">
        <f t="shared" si="16"/>
        <v>465089.36058951187</v>
      </c>
    </row>
    <row r="93" spans="1:9">
      <c r="A93" s="800">
        <v>43313</v>
      </c>
      <c r="B93" s="800">
        <v>43343</v>
      </c>
      <c r="C93" s="858">
        <f t="shared" si="11"/>
        <v>20836946.483378906</v>
      </c>
      <c r="D93" s="1657">
        <v>0.19939999999999999</v>
      </c>
      <c r="E93" s="1653">
        <f t="shared" si="12"/>
        <v>0.29909999999999998</v>
      </c>
      <c r="F93" s="1654">
        <f t="shared" si="13"/>
        <v>7.1716585429704161E-4</v>
      </c>
      <c r="G93" s="909">
        <f t="shared" si="14"/>
        <v>8.7605414575719909E-3</v>
      </c>
      <c r="H93" s="741">
        <f t="shared" si="15"/>
        <v>31</v>
      </c>
      <c r="I93" s="1121">
        <f t="shared" si="16"/>
        <v>463249.94229651924</v>
      </c>
    </row>
    <row r="94" spans="1:9">
      <c r="A94" s="800">
        <v>43344</v>
      </c>
      <c r="B94" s="800">
        <v>43373</v>
      </c>
      <c r="C94" s="858">
        <f t="shared" si="11"/>
        <v>20836946.483378906</v>
      </c>
      <c r="D94" s="1659">
        <v>0.1981</v>
      </c>
      <c r="E94" s="1653">
        <f t="shared" si="12"/>
        <v>0.29715000000000003</v>
      </c>
      <c r="F94" s="1654">
        <f t="shared" si="13"/>
        <v>7.1304738558919389E-4</v>
      </c>
      <c r="G94" s="909">
        <f t="shared" si="14"/>
        <v>8.7100318333463989E-3</v>
      </c>
      <c r="H94" s="741">
        <f t="shared" si="15"/>
        <v>30</v>
      </c>
      <c r="I94" s="1121">
        <f t="shared" si="16"/>
        <v>445731.90640905825</v>
      </c>
    </row>
    <row r="95" spans="1:9">
      <c r="A95" s="800">
        <v>43374</v>
      </c>
      <c r="B95" s="800">
        <v>43404</v>
      </c>
      <c r="C95" s="858">
        <f t="shared" si="11"/>
        <v>20836946.483378906</v>
      </c>
      <c r="D95" s="1659">
        <v>0.1963</v>
      </c>
      <c r="E95" s="1653">
        <f t="shared" si="12"/>
        <v>0.29444999999999999</v>
      </c>
      <c r="F95" s="1654">
        <f t="shared" si="13"/>
        <v>7.073346857742191E-4</v>
      </c>
      <c r="G95" s="909">
        <f t="shared" si="14"/>
        <v>8.6399741214495673E-3</v>
      </c>
      <c r="H95" s="741">
        <f t="shared" si="15"/>
        <v>31</v>
      </c>
      <c r="I95" s="1121">
        <f t="shared" si="16"/>
        <v>456899.54479276616</v>
      </c>
    </row>
    <row r="96" spans="1:9">
      <c r="A96" s="800">
        <v>43405</v>
      </c>
      <c r="B96" s="800">
        <v>43434</v>
      </c>
      <c r="C96" s="858">
        <f t="shared" si="11"/>
        <v>20836946.483378906</v>
      </c>
      <c r="D96" s="1659">
        <v>0.19489999999999999</v>
      </c>
      <c r="E96" s="1653">
        <f t="shared" si="12"/>
        <v>0.29235</v>
      </c>
      <c r="F96" s="1654">
        <f t="shared" si="13"/>
        <v>7.0288325333756063E-4</v>
      </c>
      <c r="G96" s="909">
        <f t="shared" si="14"/>
        <v>8.5853870616581229E-3</v>
      </c>
      <c r="H96" s="741">
        <f t="shared" si="15"/>
        <v>30</v>
      </c>
      <c r="I96" s="1121">
        <f t="shared" si="16"/>
        <v>439378.22201574023</v>
      </c>
    </row>
    <row r="97" spans="1:9">
      <c r="A97" s="800">
        <v>43435</v>
      </c>
      <c r="B97" s="800">
        <v>43465</v>
      </c>
      <c r="C97" s="858">
        <f t="shared" si="11"/>
        <v>20836946.483378906</v>
      </c>
      <c r="D97" s="1659">
        <v>0.19400000000000001</v>
      </c>
      <c r="E97" s="1653">
        <f t="shared" si="12"/>
        <v>0.29100000000000004</v>
      </c>
      <c r="F97" s="1654">
        <f t="shared" si="13"/>
        <v>7.0001780740103214E-4</v>
      </c>
      <c r="G97" s="909">
        <f t="shared" si="14"/>
        <v>8.5502500837320028E-3</v>
      </c>
      <c r="H97" s="741">
        <f t="shared" si="15"/>
        <v>31</v>
      </c>
      <c r="I97" s="1121">
        <f t="shared" si="16"/>
        <v>452173.24129705399</v>
      </c>
    </row>
    <row r="98" spans="1:9">
      <c r="A98" s="800">
        <v>43466</v>
      </c>
      <c r="B98" s="800">
        <v>43496</v>
      </c>
      <c r="C98" s="858">
        <f t="shared" si="11"/>
        <v>20836946.483378906</v>
      </c>
      <c r="D98" s="1659">
        <v>0.19159999999999999</v>
      </c>
      <c r="E98" s="1653">
        <f t="shared" si="12"/>
        <v>0.28739999999999999</v>
      </c>
      <c r="F98" s="1654">
        <f t="shared" si="13"/>
        <v>6.9236198468725085E-4</v>
      </c>
      <c r="G98" s="909">
        <f t="shared" si="14"/>
        <v>8.4563775455610557E-3</v>
      </c>
      <c r="H98" s="741">
        <f t="shared" si="15"/>
        <v>31</v>
      </c>
      <c r="I98" s="1121">
        <f t="shared" si="16"/>
        <v>447227.99828368181</v>
      </c>
    </row>
    <row r="99" spans="1:9">
      <c r="A99" s="800">
        <v>43497</v>
      </c>
      <c r="B99" s="800">
        <v>43524</v>
      </c>
      <c r="C99" s="858">
        <f t="shared" si="11"/>
        <v>20836946.483378906</v>
      </c>
      <c r="D99" s="1659">
        <v>0.19700000000000001</v>
      </c>
      <c r="E99" s="1653">
        <f t="shared" si="12"/>
        <v>0.29549999999999998</v>
      </c>
      <c r="F99" s="1654">
        <f t="shared" si="13"/>
        <v>7.0955770203506852E-4</v>
      </c>
      <c r="G99" s="909">
        <f t="shared" si="14"/>
        <v>8.667235557462849E-3</v>
      </c>
      <c r="H99" s="741">
        <f t="shared" si="15"/>
        <v>28</v>
      </c>
      <c r="I99" s="1121">
        <f t="shared" si="16"/>
        <v>413980.44419687305</v>
      </c>
    </row>
    <row r="100" spans="1:9">
      <c r="A100" s="800">
        <v>43525</v>
      </c>
      <c r="B100" s="800">
        <v>43555</v>
      </c>
      <c r="C100" s="858">
        <f t="shared" si="11"/>
        <v>20836946.483378906</v>
      </c>
      <c r="D100" s="1659">
        <v>0.19370000000000001</v>
      </c>
      <c r="E100" s="1653">
        <f t="shared" si="12"/>
        <v>0.29055000000000003</v>
      </c>
      <c r="F100" s="1654">
        <f t="shared" si="13"/>
        <v>6.9906199467517638E-4</v>
      </c>
      <c r="G100" s="909">
        <f t="shared" si="14"/>
        <v>8.5385298644817809E-3</v>
      </c>
      <c r="H100" s="741">
        <f t="shared" si="15"/>
        <v>31</v>
      </c>
      <c r="I100" s="1121">
        <f t="shared" si="16"/>
        <v>451555.83851993352</v>
      </c>
    </row>
    <row r="101" spans="1:9">
      <c r="A101" s="800">
        <v>43556</v>
      </c>
      <c r="B101" s="800">
        <v>43585</v>
      </c>
      <c r="C101" s="858">
        <f t="shared" si="11"/>
        <v>20836946.483378906</v>
      </c>
      <c r="D101" s="1659">
        <v>0.19320000000000001</v>
      </c>
      <c r="E101" s="1653">
        <f t="shared" si="12"/>
        <v>0.2898</v>
      </c>
      <c r="F101" s="1654">
        <f t="shared" si="13"/>
        <v>6.9746823462724095E-4</v>
      </c>
      <c r="G101" s="909">
        <f t="shared" si="14"/>
        <v>8.5189873840627595E-3</v>
      </c>
      <c r="H101" s="741">
        <f t="shared" si="15"/>
        <v>30</v>
      </c>
      <c r="I101" s="1121">
        <f t="shared" si="16"/>
        <v>435993.24836353748</v>
      </c>
    </row>
    <row r="102" spans="1:9">
      <c r="A102" s="800">
        <v>43586</v>
      </c>
      <c r="B102" s="800">
        <v>43616</v>
      </c>
      <c r="C102" s="858">
        <f t="shared" si="11"/>
        <v>20836946.483378906</v>
      </c>
      <c r="D102" s="1659">
        <v>0.19339999999999999</v>
      </c>
      <c r="E102" s="1653">
        <f t="shared" si="12"/>
        <v>0.29009999999999997</v>
      </c>
      <c r="F102" s="1654">
        <f t="shared" si="13"/>
        <v>6.9810584952367805E-4</v>
      </c>
      <c r="G102" s="909">
        <f t="shared" si="14"/>
        <v>8.5268056940830395E-3</v>
      </c>
      <c r="H102" s="741">
        <f t="shared" si="15"/>
        <v>31</v>
      </c>
      <c r="I102" s="1121">
        <f t="shared" si="16"/>
        <v>450938.22101401805</v>
      </c>
    </row>
    <row r="103" spans="1:9">
      <c r="A103" s="800">
        <v>43617</v>
      </c>
      <c r="B103" s="800">
        <v>43646</v>
      </c>
      <c r="C103" s="858">
        <f t="shared" si="11"/>
        <v>20836946.483378906</v>
      </c>
      <c r="D103" s="1659">
        <v>0.193</v>
      </c>
      <c r="E103" s="1653">
        <f t="shared" si="12"/>
        <v>0.28949999999999998</v>
      </c>
      <c r="F103" s="1654">
        <f t="shared" si="13"/>
        <v>6.9683047181468005E-4</v>
      </c>
      <c r="G103" s="909">
        <f t="shared" si="14"/>
        <v>8.5111673159674606E-3</v>
      </c>
      <c r="H103" s="741">
        <f t="shared" si="15"/>
        <v>30</v>
      </c>
      <c r="I103" s="1121">
        <f t="shared" si="16"/>
        <v>435594.57747570483</v>
      </c>
    </row>
    <row r="104" spans="1:9">
      <c r="A104" s="800">
        <v>43647</v>
      </c>
      <c r="B104" s="800">
        <v>43677</v>
      </c>
      <c r="C104" s="858">
        <f t="shared" si="11"/>
        <v>20836946.483378906</v>
      </c>
      <c r="D104" s="1659">
        <v>0.1928</v>
      </c>
      <c r="E104" s="1653">
        <f t="shared" si="12"/>
        <v>0.28920000000000001</v>
      </c>
      <c r="F104" s="1654">
        <f t="shared" si="13"/>
        <v>6.9619256101671745E-4</v>
      </c>
      <c r="G104" s="909">
        <f t="shared" si="14"/>
        <v>8.5033454889931193E-3</v>
      </c>
      <c r="H104" s="741">
        <f t="shared" si="15"/>
        <v>31</v>
      </c>
      <c r="I104" s="1121">
        <f t="shared" si="16"/>
        <v>449702.34121698723</v>
      </c>
    </row>
    <row r="105" spans="1:9">
      <c r="A105" s="800">
        <v>43678</v>
      </c>
      <c r="B105" s="800">
        <v>43708</v>
      </c>
      <c r="C105" s="858">
        <f t="shared" si="11"/>
        <v>20836946.483378906</v>
      </c>
      <c r="D105" s="1659">
        <v>0.19320000000000001</v>
      </c>
      <c r="E105" s="1653">
        <f t="shared" si="12"/>
        <v>0.2898</v>
      </c>
      <c r="F105" s="1654">
        <f t="shared" si="13"/>
        <v>6.9746823462724095E-4</v>
      </c>
      <c r="G105" s="909">
        <f t="shared" si="14"/>
        <v>8.5189873840627595E-3</v>
      </c>
      <c r="H105" s="741">
        <f t="shared" si="15"/>
        <v>31</v>
      </c>
      <c r="I105" s="1121">
        <f t="shared" si="16"/>
        <v>450526.35664232203</v>
      </c>
    </row>
    <row r="106" spans="1:9">
      <c r="A106" s="800">
        <v>43709</v>
      </c>
      <c r="B106" s="800">
        <v>43738</v>
      </c>
      <c r="C106" s="858">
        <f t="shared" si="11"/>
        <v>20836946.483378906</v>
      </c>
      <c r="D106" s="1659">
        <v>0.19320000000000001</v>
      </c>
      <c r="E106" s="1653">
        <f t="shared" si="12"/>
        <v>0.2898</v>
      </c>
      <c r="F106" s="1654">
        <f t="shared" si="13"/>
        <v>6.9746823462724095E-4</v>
      </c>
      <c r="G106" s="909">
        <f t="shared" si="14"/>
        <v>8.5189873840627595E-3</v>
      </c>
      <c r="H106" s="741">
        <f t="shared" si="15"/>
        <v>30</v>
      </c>
      <c r="I106" s="1121">
        <f t="shared" si="16"/>
        <v>435993.24836353748</v>
      </c>
    </row>
    <row r="107" spans="1:9">
      <c r="A107" s="800">
        <v>43739</v>
      </c>
      <c r="B107" s="800">
        <v>43769</v>
      </c>
      <c r="C107" s="858">
        <f t="shared" si="11"/>
        <v>20836946.483378906</v>
      </c>
      <c r="D107" s="1660">
        <v>0.191</v>
      </c>
      <c r="E107" s="1660">
        <f t="shared" si="12"/>
        <v>0.28649999999999998</v>
      </c>
      <c r="F107" s="1654">
        <f t="shared" si="13"/>
        <v>6.9044469314105683E-4</v>
      </c>
      <c r="G107" s="909">
        <f t="shared" si="14"/>
        <v>8.4328697636415484E-3</v>
      </c>
      <c r="H107" s="741">
        <f t="shared" si="15"/>
        <v>31</v>
      </c>
      <c r="I107" s="1121">
        <f t="shared" si="16"/>
        <v>445989.53274210833</v>
      </c>
    </row>
    <row r="108" spans="1:9">
      <c r="A108" s="800">
        <v>43770</v>
      </c>
      <c r="B108" s="800">
        <v>43799</v>
      </c>
      <c r="C108" s="858">
        <f t="shared" si="11"/>
        <v>20836946.483378906</v>
      </c>
      <c r="D108" s="1660">
        <v>0.1903</v>
      </c>
      <c r="E108" s="1660">
        <f t="shared" si="12"/>
        <v>0.28544999999999998</v>
      </c>
      <c r="F108" s="1654">
        <f t="shared" si="13"/>
        <v>6.8820616169262827E-4</v>
      </c>
      <c r="G108" s="909">
        <f t="shared" si="14"/>
        <v>8.4054239174173873E-3</v>
      </c>
      <c r="H108" s="741">
        <f t="shared" si="15"/>
        <v>30</v>
      </c>
      <c r="I108" s="1121">
        <f t="shared" si="16"/>
        <v>430203.44882162713</v>
      </c>
    </row>
    <row r="109" spans="1:9">
      <c r="A109" s="800">
        <v>43800</v>
      </c>
      <c r="B109" s="800">
        <v>43830</v>
      </c>
      <c r="C109" s="858">
        <f t="shared" si="11"/>
        <v>20836946.483378906</v>
      </c>
      <c r="D109" s="1660">
        <v>0.18909999999999999</v>
      </c>
      <c r="E109" s="1660">
        <f t="shared" si="12"/>
        <v>0.28364999999999996</v>
      </c>
      <c r="F109" s="1654">
        <f t="shared" si="13"/>
        <v>6.8436443340047504E-4</v>
      </c>
      <c r="G109" s="909">
        <f t="shared" si="14"/>
        <v>8.3583234368524995E-3</v>
      </c>
      <c r="H109" s="741">
        <f t="shared" si="15"/>
        <v>31</v>
      </c>
      <c r="I109" s="1121">
        <f t="shared" si="16"/>
        <v>442062.01729070238</v>
      </c>
    </row>
    <row r="110" spans="1:9">
      <c r="A110" s="800">
        <v>43831</v>
      </c>
      <c r="B110" s="800">
        <v>43861</v>
      </c>
      <c r="C110" s="858">
        <f t="shared" si="11"/>
        <v>20836946.483378906</v>
      </c>
      <c r="D110" s="1660">
        <v>0.18770000000000001</v>
      </c>
      <c r="E110" s="1660">
        <f t="shared" si="12"/>
        <v>0.28155000000000002</v>
      </c>
      <c r="F110" s="1654">
        <f t="shared" si="13"/>
        <v>6.7987562124560696E-4</v>
      </c>
      <c r="G110" s="909">
        <f t="shared" si="14"/>
        <v>8.3032921158678885E-3</v>
      </c>
      <c r="H110" s="741">
        <f t="shared" si="15"/>
        <v>31</v>
      </c>
      <c r="I110" s="1121">
        <f t="shared" si="16"/>
        <v>439162.48999270966</v>
      </c>
    </row>
    <row r="111" spans="1:9">
      <c r="A111" s="800">
        <v>43862</v>
      </c>
      <c r="B111" s="800">
        <v>43890</v>
      </c>
      <c r="C111" s="858">
        <f t="shared" si="11"/>
        <v>20836946.483378906</v>
      </c>
      <c r="D111" s="1660">
        <v>0.19059999999999999</v>
      </c>
      <c r="E111" s="1660">
        <f t="shared" si="12"/>
        <v>0.28589999999999999</v>
      </c>
      <c r="F111" s="1654">
        <f t="shared" si="13"/>
        <v>6.8916575551658532E-4</v>
      </c>
      <c r="G111" s="909">
        <f t="shared" si="14"/>
        <v>8.4171890756041812E-3</v>
      </c>
      <c r="H111" s="741">
        <f t="shared" si="15"/>
        <v>29</v>
      </c>
      <c r="I111" s="1121">
        <f t="shared" si="16"/>
        <v>416443.1890104179</v>
      </c>
    </row>
    <row r="112" spans="1:9">
      <c r="A112" s="800">
        <v>43891</v>
      </c>
      <c r="B112" s="800">
        <v>43921</v>
      </c>
      <c r="C112" s="858">
        <f t="shared" si="11"/>
        <v>20836946.483378906</v>
      </c>
      <c r="D112" s="1660">
        <v>0.1895</v>
      </c>
      <c r="E112" s="1660">
        <f t="shared" si="12"/>
        <v>0.28425</v>
      </c>
      <c r="F112" s="1654">
        <f t="shared" si="13"/>
        <v>6.8564560609574166E-4</v>
      </c>
      <c r="G112" s="909">
        <f t="shared" si="14"/>
        <v>8.3740306870629944E-3</v>
      </c>
      <c r="H112" s="741">
        <f t="shared" si="15"/>
        <v>31</v>
      </c>
      <c r="I112" s="1121">
        <f t="shared" si="16"/>
        <v>442889.58482420677</v>
      </c>
    </row>
    <row r="113" spans="1:9">
      <c r="A113" s="800">
        <v>43922</v>
      </c>
      <c r="B113" s="800">
        <v>43951</v>
      </c>
      <c r="C113" s="858">
        <f t="shared" si="11"/>
        <v>20836946.483378906</v>
      </c>
      <c r="D113" s="1660">
        <v>0.18690000000000001</v>
      </c>
      <c r="E113" s="1660">
        <f t="shared" si="12"/>
        <v>0.28034999999999999</v>
      </c>
      <c r="F113" s="1654">
        <f t="shared" si="13"/>
        <v>6.7730729113191224E-4</v>
      </c>
      <c r="G113" s="909">
        <f t="shared" si="14"/>
        <v>8.2718064958837711E-3</v>
      </c>
      <c r="H113" s="741">
        <f t="shared" si="15"/>
        <v>30</v>
      </c>
      <c r="I113" s="1121">
        <f t="shared" si="16"/>
        <v>423390.47334353975</v>
      </c>
    </row>
    <row r="114" spans="1:9">
      <c r="A114" s="800">
        <v>43952</v>
      </c>
      <c r="B114" s="800">
        <v>43982</v>
      </c>
      <c r="C114" s="858">
        <f t="shared" ref="C114:C133" si="17">+$B$11</f>
        <v>20836946.483378906</v>
      </c>
      <c r="D114" s="1344">
        <v>0.18190000000000001</v>
      </c>
      <c r="E114" s="1660">
        <f t="shared" ref="E114:E133" si="18">+D114*1.5</f>
        <v>0.27285000000000004</v>
      </c>
      <c r="F114" s="1654">
        <f t="shared" ref="F114:F133" si="19">(1+E114)^(1/365)-1</f>
        <v>6.6120063584418354E-4</v>
      </c>
      <c r="G114" s="909"/>
      <c r="H114" s="741">
        <f t="shared" ref="H114:H133" si="20">+_xlfn.DAYS(B114,A114)+1</f>
        <v>31</v>
      </c>
      <c r="I114" s="1121">
        <f t="shared" ref="I114:I133" si="21">C114*F114*H114</f>
        <v>427099.47017970204</v>
      </c>
    </row>
    <row r="115" spans="1:9">
      <c r="A115" s="800">
        <v>43983</v>
      </c>
      <c r="B115" s="800">
        <v>44012</v>
      </c>
      <c r="C115" s="858">
        <f t="shared" si="17"/>
        <v>20836946.483378906</v>
      </c>
      <c r="D115" s="1344">
        <v>0.1812</v>
      </c>
      <c r="E115" s="1660">
        <f t="shared" si="18"/>
        <v>0.27179999999999999</v>
      </c>
      <c r="F115" s="1654">
        <f t="shared" si="19"/>
        <v>6.5893815469997286E-4</v>
      </c>
      <c r="G115" s="909"/>
      <c r="H115" s="741">
        <f t="shared" si="20"/>
        <v>30</v>
      </c>
      <c r="I115" s="1121">
        <f t="shared" si="21"/>
        <v>411907.77196019358</v>
      </c>
    </row>
    <row r="116" spans="1:9">
      <c r="A116" s="800">
        <v>44013</v>
      </c>
      <c r="B116" s="800">
        <v>44043</v>
      </c>
      <c r="C116" s="858">
        <f t="shared" si="17"/>
        <v>20836946.483378906</v>
      </c>
      <c r="D116" s="1344">
        <v>0.1812</v>
      </c>
      <c r="E116" s="1660">
        <f t="shared" si="18"/>
        <v>0.27179999999999999</v>
      </c>
      <c r="F116" s="1654">
        <f t="shared" si="19"/>
        <v>6.5893815469997286E-4</v>
      </c>
      <c r="G116" s="909"/>
      <c r="H116" s="741">
        <f t="shared" si="20"/>
        <v>31</v>
      </c>
      <c r="I116" s="1121">
        <f t="shared" si="21"/>
        <v>425638.03102553333</v>
      </c>
    </row>
    <row r="117" spans="1:9">
      <c r="A117" s="800">
        <v>44044</v>
      </c>
      <c r="B117" s="800">
        <v>44074</v>
      </c>
      <c r="C117" s="858">
        <f t="shared" si="17"/>
        <v>20836946.483378906</v>
      </c>
      <c r="D117" s="1344">
        <v>0.18290000000000001</v>
      </c>
      <c r="E117" s="1660">
        <f t="shared" si="18"/>
        <v>0.27434999999999998</v>
      </c>
      <c r="F117" s="1654">
        <f t="shared" si="19"/>
        <v>6.6442952514544906E-4</v>
      </c>
      <c r="G117" s="909"/>
      <c r="H117" s="741">
        <f t="shared" si="20"/>
        <v>31</v>
      </c>
      <c r="I117" s="1121">
        <f t="shared" si="21"/>
        <v>429185.15618041006</v>
      </c>
    </row>
    <row r="118" spans="1:9">
      <c r="A118" s="800">
        <v>44075</v>
      </c>
      <c r="B118" s="800">
        <v>44104</v>
      </c>
      <c r="C118" s="858">
        <f t="shared" si="17"/>
        <v>20836946.483378906</v>
      </c>
      <c r="D118" s="1344">
        <v>0.1835</v>
      </c>
      <c r="E118" s="1660">
        <f t="shared" si="18"/>
        <v>0.27524999999999999</v>
      </c>
      <c r="F118" s="1654">
        <f t="shared" si="19"/>
        <v>6.6636503991857055E-4</v>
      </c>
      <c r="G118" s="909"/>
      <c r="H118" s="741">
        <f t="shared" si="20"/>
        <v>30</v>
      </c>
      <c r="I118" s="1121">
        <f t="shared" si="21"/>
        <v>416550.38025533711</v>
      </c>
    </row>
    <row r="119" spans="1:9">
      <c r="A119" s="800">
        <v>44105</v>
      </c>
      <c r="B119" s="800">
        <v>44135</v>
      </c>
      <c r="C119" s="858">
        <f t="shared" si="17"/>
        <v>20836946.483378906</v>
      </c>
      <c r="D119" s="1660">
        <v>0.18090000000000001</v>
      </c>
      <c r="E119" s="1660">
        <f t="shared" si="18"/>
        <v>0.27134999999999998</v>
      </c>
      <c r="F119" s="1654">
        <f t="shared" si="19"/>
        <v>6.5796794962613703E-4</v>
      </c>
      <c r="G119" s="909"/>
      <c r="H119" s="741">
        <f t="shared" si="20"/>
        <v>31</v>
      </c>
      <c r="I119" s="1121">
        <f t="shared" si="21"/>
        <v>425011.33157828933</v>
      </c>
    </row>
    <row r="120" spans="1:9">
      <c r="A120" s="800">
        <v>44136</v>
      </c>
      <c r="B120" s="800">
        <v>44165</v>
      </c>
      <c r="C120" s="858">
        <f t="shared" si="17"/>
        <v>20836946.483378906</v>
      </c>
      <c r="D120" s="1660">
        <v>0.1784</v>
      </c>
      <c r="E120" s="1660">
        <f t="shared" si="18"/>
        <v>0.2676</v>
      </c>
      <c r="F120" s="1654">
        <f t="shared" si="19"/>
        <v>6.4986956374091243E-4</v>
      </c>
      <c r="G120" s="909"/>
      <c r="H120" s="741">
        <f t="shared" si="20"/>
        <v>30</v>
      </c>
      <c r="I120" s="1121">
        <f t="shared" si="21"/>
        <v>406238.91962538566</v>
      </c>
    </row>
    <row r="121" spans="1:9">
      <c r="A121" s="800">
        <v>44166</v>
      </c>
      <c r="B121" s="800">
        <v>44196</v>
      </c>
      <c r="C121" s="858">
        <f t="shared" si="17"/>
        <v>20836946.483378906</v>
      </c>
      <c r="D121" s="1660">
        <v>0.17460000000000001</v>
      </c>
      <c r="E121" s="1660">
        <f t="shared" si="18"/>
        <v>0.26190000000000002</v>
      </c>
      <c r="F121" s="1654">
        <f t="shared" si="19"/>
        <v>6.3751414410861962E-4</v>
      </c>
      <c r="G121" s="909"/>
      <c r="H121" s="741">
        <f t="shared" si="20"/>
        <v>31</v>
      </c>
      <c r="I121" s="1121">
        <f t="shared" si="21"/>
        <v>411799.29119884083</v>
      </c>
    </row>
    <row r="122" spans="1:9">
      <c r="A122" s="800">
        <v>44197</v>
      </c>
      <c r="B122" s="800">
        <v>44227</v>
      </c>
      <c r="C122" s="858">
        <f t="shared" si="17"/>
        <v>20836946.483378906</v>
      </c>
      <c r="D122" s="1660">
        <v>0.17319999999999999</v>
      </c>
      <c r="E122" s="1660">
        <f t="shared" si="18"/>
        <v>0.25979999999999998</v>
      </c>
      <c r="F122" s="1654">
        <f t="shared" si="19"/>
        <v>6.3294811266723094E-4</v>
      </c>
      <c r="G122" s="909"/>
      <c r="H122" s="741">
        <f t="shared" si="20"/>
        <v>31</v>
      </c>
      <c r="I122" s="1121">
        <f t="shared" si="21"/>
        <v>408849.88446248596</v>
      </c>
    </row>
    <row r="123" spans="1:9">
      <c r="A123" s="800">
        <v>44228</v>
      </c>
      <c r="B123" s="800">
        <v>44255</v>
      </c>
      <c r="C123" s="858">
        <f t="shared" si="17"/>
        <v>20836946.483378906</v>
      </c>
      <c r="D123" s="1660">
        <v>0.1754</v>
      </c>
      <c r="E123" s="1660">
        <f t="shared" si="18"/>
        <v>0.2631</v>
      </c>
      <c r="F123" s="1654">
        <f t="shared" si="19"/>
        <v>6.4011990387169426E-4</v>
      </c>
      <c r="G123" s="909"/>
      <c r="H123" s="741">
        <f t="shared" si="20"/>
        <v>28</v>
      </c>
      <c r="I123" s="1121">
        <f t="shared" si="21"/>
        <v>373468.03703776404</v>
      </c>
    </row>
    <row r="124" spans="1:9">
      <c r="A124" s="800">
        <v>44256</v>
      </c>
      <c r="B124" s="800">
        <v>44286</v>
      </c>
      <c r="C124" s="858">
        <f t="shared" si="17"/>
        <v>20836946.483378906</v>
      </c>
      <c r="D124" s="1660">
        <v>0.1741</v>
      </c>
      <c r="E124" s="1660">
        <f t="shared" si="18"/>
        <v>0.26114999999999999</v>
      </c>
      <c r="F124" s="1654">
        <f t="shared" si="19"/>
        <v>6.3588428907812578E-4</v>
      </c>
      <c r="G124" s="909"/>
      <c r="H124" s="741">
        <f t="shared" si="20"/>
        <v>31</v>
      </c>
      <c r="I124" s="1121">
        <f t="shared" si="21"/>
        <v>410746.49393541279</v>
      </c>
    </row>
    <row r="125" spans="1:9">
      <c r="A125" s="800">
        <v>44287</v>
      </c>
      <c r="B125" s="800">
        <v>44316</v>
      </c>
      <c r="C125" s="858">
        <f t="shared" si="17"/>
        <v>20836946.483378906</v>
      </c>
      <c r="D125" s="1660">
        <v>0.1731</v>
      </c>
      <c r="E125" s="1660">
        <f t="shared" si="18"/>
        <v>0.25964999999999999</v>
      </c>
      <c r="F125" s="1654">
        <f t="shared" si="19"/>
        <v>6.326216771728177E-4</v>
      </c>
      <c r="G125" s="909"/>
      <c r="H125" s="741">
        <f t="shared" si="20"/>
        <v>30</v>
      </c>
      <c r="I125" s="1121">
        <f t="shared" si="21"/>
        <v>395457.12094426225</v>
      </c>
    </row>
    <row r="126" spans="1:9">
      <c r="A126" s="800">
        <v>44317</v>
      </c>
      <c r="B126" s="800">
        <v>44347</v>
      </c>
      <c r="C126" s="858">
        <f t="shared" si="17"/>
        <v>20836946.483378906</v>
      </c>
      <c r="D126" s="1660">
        <v>0.17219999999999999</v>
      </c>
      <c r="E126" s="1660">
        <f t="shared" si="18"/>
        <v>0.25829999999999997</v>
      </c>
      <c r="F126" s="1654">
        <f t="shared" si="19"/>
        <v>6.2968201205726437E-4</v>
      </c>
      <c r="G126" s="909"/>
      <c r="H126" s="741">
        <f t="shared" si="20"/>
        <v>31</v>
      </c>
      <c r="I126" s="1121">
        <f t="shared" si="21"/>
        <v>406740.16199029062</v>
      </c>
    </row>
    <row r="127" spans="1:9">
      <c r="A127" s="800">
        <v>44348</v>
      </c>
      <c r="B127" s="800">
        <v>44377</v>
      </c>
      <c r="C127" s="858">
        <f t="shared" si="17"/>
        <v>20836946.483378906</v>
      </c>
      <c r="D127" s="1660">
        <v>0.1721</v>
      </c>
      <c r="E127" s="1660">
        <f t="shared" si="18"/>
        <v>0.25814999999999999</v>
      </c>
      <c r="F127" s="1654">
        <f t="shared" si="19"/>
        <v>6.2935518846773952E-4</v>
      </c>
      <c r="G127" s="909"/>
      <c r="H127" s="741">
        <f t="shared" si="20"/>
        <v>30</v>
      </c>
      <c r="I127" s="1121">
        <f t="shared" si="21"/>
        <v>393415.21143417398</v>
      </c>
    </row>
    <row r="128" spans="1:9">
      <c r="A128" s="800">
        <v>44378</v>
      </c>
      <c r="B128" s="800">
        <v>44408</v>
      </c>
      <c r="C128" s="858">
        <f t="shared" si="17"/>
        <v>20836946.483378906</v>
      </c>
      <c r="D128" s="1660">
        <v>0.17180000000000001</v>
      </c>
      <c r="E128" s="1660">
        <f t="shared" si="18"/>
        <v>0.25770000000000004</v>
      </c>
      <c r="F128" s="1654">
        <f t="shared" si="19"/>
        <v>6.2837448450037137E-4</v>
      </c>
      <c r="G128" s="909"/>
      <c r="H128" s="741">
        <f t="shared" si="20"/>
        <v>31</v>
      </c>
      <c r="I128" s="1121">
        <f t="shared" si="21"/>
        <v>405895.5706567064</v>
      </c>
    </row>
    <row r="129" spans="1:9">
      <c r="A129" s="800">
        <v>44409</v>
      </c>
      <c r="B129" s="800">
        <v>44439</v>
      </c>
      <c r="C129" s="858">
        <f t="shared" si="17"/>
        <v>20836946.483378906</v>
      </c>
      <c r="D129" s="1660">
        <v>0.1724</v>
      </c>
      <c r="E129" s="1660">
        <f t="shared" si="18"/>
        <v>0.2586</v>
      </c>
      <c r="F129" s="1654">
        <f t="shared" si="19"/>
        <v>6.3033554269220637E-4</v>
      </c>
      <c r="G129" s="909"/>
      <c r="H129" s="741">
        <f t="shared" si="20"/>
        <v>31</v>
      </c>
      <c r="I129" s="1121">
        <f t="shared" si="21"/>
        <v>407162.30705912219</v>
      </c>
    </row>
    <row r="130" spans="1:9">
      <c r="A130" s="800">
        <v>44440</v>
      </c>
      <c r="B130" s="800">
        <v>44469</v>
      </c>
      <c r="C130" s="858">
        <f t="shared" si="17"/>
        <v>20836946.483378906</v>
      </c>
      <c r="D130" s="1660">
        <v>0.1719</v>
      </c>
      <c r="E130" s="1660">
        <f t="shared" si="18"/>
        <v>0.25785000000000002</v>
      </c>
      <c r="F130" s="1654">
        <f t="shared" si="19"/>
        <v>6.2870142469861889E-4</v>
      </c>
      <c r="G130" s="909"/>
      <c r="H130" s="741">
        <f t="shared" si="20"/>
        <v>30</v>
      </c>
      <c r="I130" s="1121">
        <f t="shared" si="21"/>
        <v>393006.53821407584</v>
      </c>
    </row>
    <row r="131" spans="1:9">
      <c r="A131" s="800">
        <v>44470</v>
      </c>
      <c r="B131" s="800">
        <v>44500</v>
      </c>
      <c r="C131" s="858">
        <f t="shared" si="17"/>
        <v>20836946.483378906</v>
      </c>
      <c r="D131" s="1660">
        <v>0.17080000000000001</v>
      </c>
      <c r="E131" s="1660">
        <f t="shared" si="18"/>
        <v>0.25619999999999998</v>
      </c>
      <c r="F131" s="1654">
        <f t="shared" si="19"/>
        <v>6.2510294214179751E-4</v>
      </c>
      <c r="G131" s="909"/>
      <c r="H131" s="741">
        <f t="shared" si="20"/>
        <v>31</v>
      </c>
      <c r="I131" s="1121">
        <f t="shared" si="21"/>
        <v>403782.33311235136</v>
      </c>
    </row>
    <row r="132" spans="1:9">
      <c r="A132" s="800">
        <v>44501</v>
      </c>
      <c r="B132" s="800">
        <v>44530</v>
      </c>
      <c r="C132" s="858">
        <f t="shared" si="17"/>
        <v>20836946.483378906</v>
      </c>
      <c r="D132" s="1660">
        <v>0.17269999999999999</v>
      </c>
      <c r="E132" s="1660">
        <f t="shared" si="18"/>
        <v>0.25905</v>
      </c>
      <c r="F132" s="1654">
        <f t="shared" si="19"/>
        <v>6.3131554742335005E-4</v>
      </c>
      <c r="G132" s="909"/>
      <c r="H132" s="741">
        <f t="shared" si="20"/>
        <v>30</v>
      </c>
      <c r="I132" s="1121">
        <f t="shared" si="21"/>
        <v>394640.64827356208</v>
      </c>
    </row>
    <row r="133" spans="1:9">
      <c r="A133" s="800">
        <v>44531</v>
      </c>
      <c r="B133" s="800">
        <v>44561</v>
      </c>
      <c r="C133" s="858">
        <f t="shared" si="17"/>
        <v>20836946.483378906</v>
      </c>
      <c r="D133" s="1660">
        <v>0.17460000000000001</v>
      </c>
      <c r="E133" s="1660">
        <f t="shared" si="18"/>
        <v>0.26190000000000002</v>
      </c>
      <c r="F133" s="1654">
        <f t="shared" si="19"/>
        <v>6.3751414410861962E-4</v>
      </c>
      <c r="G133" s="909"/>
      <c r="H133" s="741">
        <f t="shared" si="20"/>
        <v>31</v>
      </c>
      <c r="I133" s="1121">
        <f t="shared" si="21"/>
        <v>411799.29119884083</v>
      </c>
    </row>
    <row r="134" spans="1:9">
      <c r="F134" s="2812" t="s">
        <v>93</v>
      </c>
      <c r="G134" s="2812"/>
      <c r="H134" s="2812"/>
      <c r="I134" s="1121">
        <f>SUM(I50:I133)</f>
        <v>37291176.341116808</v>
      </c>
    </row>
    <row r="135" spans="1:9">
      <c r="A135" s="2686" t="s">
        <v>346</v>
      </c>
      <c r="B135" s="2686"/>
      <c r="F135" s="814"/>
    </row>
    <row r="136" spans="1:9">
      <c r="A136" s="741" t="s">
        <v>959</v>
      </c>
      <c r="B136" s="1121">
        <f>B11</f>
        <v>20836946.483378906</v>
      </c>
      <c r="F136" s="814"/>
    </row>
    <row r="137" spans="1:9">
      <c r="A137" s="741" t="s">
        <v>951</v>
      </c>
      <c r="B137" s="1121">
        <f>+I134</f>
        <v>37291176.341116808</v>
      </c>
    </row>
    <row r="138" spans="1:9">
      <c r="A138" s="726" t="s">
        <v>61</v>
      </c>
      <c r="B138" s="1125">
        <f>+B136+B137</f>
        <v>58128122.824495718</v>
      </c>
    </row>
    <row r="139" spans="1:9">
      <c r="A139" s="1651" t="s">
        <v>62</v>
      </c>
    </row>
    <row r="140" spans="1:9">
      <c r="A140" s="911"/>
    </row>
    <row r="141" spans="1:9">
      <c r="A141" s="911"/>
    </row>
    <row r="142" spans="1:9">
      <c r="A142" s="1651" t="s">
        <v>63</v>
      </c>
    </row>
    <row r="143" spans="1:9">
      <c r="A143" s="1651" t="s">
        <v>64</v>
      </c>
    </row>
    <row r="144" spans="1:9">
      <c r="A144" s="1651" t="s">
        <v>65</v>
      </c>
    </row>
  </sheetData>
  <mergeCells count="6">
    <mergeCell ref="A135:B135"/>
    <mergeCell ref="A14:I14"/>
    <mergeCell ref="G32:H32"/>
    <mergeCell ref="A33:B33"/>
    <mergeCell ref="A47:I47"/>
    <mergeCell ref="F134:H134"/>
  </mergeCells>
  <pageMargins left="0.7" right="0.7" top="0.75" bottom="0.75" header="0.3" footer="0.3"/>
  <pageSetup orientation="portrait" horizontalDpi="300" verticalDpi="300" r:id="rId1"/>
  <ignoredErrors>
    <ignoredError sqref="E17"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M66"/>
  <sheetViews>
    <sheetView zoomScale="91" zoomScaleNormal="91" workbookViewId="0">
      <selection activeCell="C35" sqref="C35"/>
    </sheetView>
  </sheetViews>
  <sheetFormatPr defaultColWidth="9.140625" defaultRowHeight="12.75"/>
  <cols>
    <col min="1" max="1" width="26.5703125" customWidth="1"/>
    <col min="2" max="2" width="21.85546875" customWidth="1"/>
    <col min="3" max="3" width="17.140625" customWidth="1"/>
    <col min="4" max="4" width="10.85546875" customWidth="1"/>
    <col min="5" max="5" width="10.42578125" customWidth="1"/>
    <col min="6" max="6" width="12.85546875" customWidth="1"/>
    <col min="7" max="7" width="12.42578125" customWidth="1"/>
    <col min="8" max="8" width="11.7109375" customWidth="1"/>
    <col min="9" max="9" width="16.7109375" customWidth="1"/>
    <col min="10" max="11" width="14.42578125" bestFit="1" customWidth="1"/>
    <col min="12" max="256" width="11.42578125" customWidth="1"/>
  </cols>
  <sheetData>
    <row r="1" spans="1:11" ht="13.5">
      <c r="A1" s="728" t="s">
        <v>0</v>
      </c>
      <c r="B1" s="728" t="s">
        <v>217</v>
      </c>
      <c r="C1" s="791"/>
      <c r="D1" s="791"/>
      <c r="E1" s="791"/>
      <c r="F1" s="791"/>
      <c r="G1" s="791"/>
      <c r="H1" s="791"/>
      <c r="I1" s="791"/>
    </row>
    <row r="2" spans="1:11" ht="13.5">
      <c r="A2" s="728" t="s">
        <v>11</v>
      </c>
      <c r="B2" s="980" t="s">
        <v>218</v>
      </c>
      <c r="C2" s="791"/>
      <c r="D2" s="791"/>
      <c r="E2" s="791"/>
      <c r="F2" s="791"/>
      <c r="G2" s="791"/>
      <c r="H2" s="791"/>
      <c r="I2" s="791"/>
    </row>
    <row r="3" spans="1:11" ht="13.5">
      <c r="A3" s="728" t="s">
        <v>219</v>
      </c>
      <c r="B3" s="981" t="str">
        <f>+A12</f>
        <v>ART. 4 NUM 8 Inciso segundo LEY 80 DE 1993</v>
      </c>
      <c r="C3" s="791"/>
      <c r="D3" s="791"/>
      <c r="E3" s="791"/>
      <c r="F3" s="791"/>
      <c r="G3" s="791"/>
      <c r="H3" s="791"/>
      <c r="I3" s="791"/>
    </row>
    <row r="4" spans="1:11" ht="13.5">
      <c r="A4" s="728" t="s">
        <v>220</v>
      </c>
      <c r="B4" s="737" t="s">
        <v>221</v>
      </c>
      <c r="C4" s="791"/>
      <c r="D4" s="791"/>
      <c r="E4" s="791"/>
      <c r="F4" s="791"/>
      <c r="G4" s="791"/>
      <c r="H4" s="791"/>
      <c r="I4" s="791"/>
    </row>
    <row r="5" spans="1:11" ht="13.5">
      <c r="A5" s="728" t="s">
        <v>180</v>
      </c>
      <c r="B5" s="724">
        <v>42579</v>
      </c>
      <c r="C5" s="791"/>
      <c r="D5" s="791"/>
      <c r="E5" s="791"/>
      <c r="F5" s="791"/>
      <c r="G5" s="791"/>
      <c r="H5" s="791"/>
      <c r="I5" s="791"/>
    </row>
    <row r="6" spans="1:11" ht="13.5">
      <c r="A6" s="893" t="s">
        <v>154</v>
      </c>
      <c r="B6" s="724">
        <v>42975</v>
      </c>
      <c r="C6" s="982"/>
      <c r="D6" s="791"/>
      <c r="E6" s="791"/>
      <c r="F6" s="791"/>
      <c r="G6" s="791"/>
      <c r="H6" s="791"/>
      <c r="I6" s="791"/>
    </row>
    <row r="7" spans="1:11" ht="25.5" customHeight="1">
      <c r="A7" s="946" t="s">
        <v>222</v>
      </c>
      <c r="B7" s="850">
        <v>14452438</v>
      </c>
      <c r="C7" s="982"/>
      <c r="D7" s="791"/>
      <c r="E7" s="791"/>
      <c r="F7" s="791"/>
      <c r="G7" s="791"/>
      <c r="H7" s="791"/>
      <c r="I7" s="791"/>
    </row>
    <row r="8" spans="1:11" ht="13.5">
      <c r="A8" s="983" t="s">
        <v>223</v>
      </c>
      <c r="B8" s="737">
        <v>92.68</v>
      </c>
      <c r="C8" s="982"/>
      <c r="D8" s="791"/>
      <c r="E8" s="791"/>
      <c r="F8" s="791"/>
      <c r="G8" s="791"/>
      <c r="H8" s="791"/>
      <c r="I8" s="791"/>
    </row>
    <row r="9" spans="1:11" ht="13.5">
      <c r="A9" s="845" t="s">
        <v>224</v>
      </c>
      <c r="B9" s="903">
        <v>92.1</v>
      </c>
      <c r="C9" s="982"/>
      <c r="D9" s="791"/>
      <c r="E9" s="791"/>
      <c r="F9" s="791"/>
      <c r="G9" s="791"/>
      <c r="H9" s="791"/>
      <c r="I9" s="791"/>
    </row>
    <row r="10" spans="1:11" ht="13.5">
      <c r="A10" s="845" t="s">
        <v>225</v>
      </c>
      <c r="B10" s="850">
        <f>(B8/B9)*B7</f>
        <v>14543452.26753529</v>
      </c>
      <c r="C10" s="982"/>
      <c r="D10" s="791"/>
      <c r="E10" s="791"/>
      <c r="F10" s="982"/>
      <c r="G10" s="791"/>
      <c r="H10" s="791"/>
      <c r="I10" s="791"/>
    </row>
    <row r="11" spans="1:11" ht="6" customHeight="1">
      <c r="A11" s="791"/>
      <c r="B11" s="982"/>
      <c r="C11" s="982"/>
      <c r="D11" s="791"/>
      <c r="E11" s="791"/>
      <c r="F11" s="791"/>
      <c r="G11" s="791"/>
      <c r="H11" s="791"/>
      <c r="I11" s="791"/>
    </row>
    <row r="12" spans="1:11" ht="14.25" customHeight="1">
      <c r="A12" s="848" t="s">
        <v>226</v>
      </c>
      <c r="B12" s="791"/>
      <c r="C12" s="791"/>
      <c r="D12" s="791"/>
      <c r="E12" s="791"/>
      <c r="F12" s="791"/>
      <c r="G12" s="791"/>
      <c r="H12" s="791"/>
      <c r="I12" s="791"/>
    </row>
    <row r="13" spans="1:11" ht="47.25" customHeight="1">
      <c r="A13" s="923" t="s">
        <v>147</v>
      </c>
      <c r="B13" s="923" t="s">
        <v>40</v>
      </c>
      <c r="C13" s="830" t="s">
        <v>227</v>
      </c>
      <c r="D13" s="984" t="s">
        <v>228</v>
      </c>
      <c r="E13" s="830" t="s">
        <v>229</v>
      </c>
      <c r="F13" s="830" t="s">
        <v>230</v>
      </c>
      <c r="G13" s="984" t="s">
        <v>231</v>
      </c>
      <c r="H13" s="830" t="s">
        <v>232</v>
      </c>
      <c r="I13" s="984" t="s">
        <v>233</v>
      </c>
    </row>
    <row r="14" spans="1:11" ht="13.5">
      <c r="A14" s="724">
        <v>40179</v>
      </c>
      <c r="B14" s="724">
        <v>40543</v>
      </c>
      <c r="C14" s="985">
        <v>11264960</v>
      </c>
      <c r="D14" s="896">
        <v>0.02</v>
      </c>
      <c r="E14" s="737">
        <v>10.7</v>
      </c>
      <c r="F14" s="896">
        <v>1.78E-2</v>
      </c>
      <c r="G14" s="929">
        <f>(((C14*D14)/12*E14))+C14</f>
        <v>11465851.786666667</v>
      </c>
      <c r="H14" s="986">
        <v>0.107</v>
      </c>
      <c r="I14" s="790">
        <v>1222957</v>
      </c>
      <c r="J14" s="15"/>
      <c r="K14" s="15"/>
    </row>
    <row r="15" spans="1:11" ht="13.5">
      <c r="A15" s="724">
        <v>40544</v>
      </c>
      <c r="B15" s="724">
        <v>40908</v>
      </c>
      <c r="C15" s="985">
        <f t="shared" ref="C15:C20" si="0">+G14</f>
        <v>11465851.786666667</v>
      </c>
      <c r="D15" s="896">
        <v>3.1699999999999999E-2</v>
      </c>
      <c r="E15" s="737">
        <v>12</v>
      </c>
      <c r="F15" s="896">
        <v>3.1699999999999999E-2</v>
      </c>
      <c r="G15" s="929">
        <f>(((C15*D15)/12*E15))+C15</f>
        <v>11829319.288304001</v>
      </c>
      <c r="H15" s="986">
        <v>0.12</v>
      </c>
      <c r="I15" s="790">
        <f t="shared" ref="I15:I20" si="1">+G15*H15</f>
        <v>1419518.31459648</v>
      </c>
      <c r="J15" s="15"/>
      <c r="K15" s="15"/>
    </row>
    <row r="16" spans="1:11" ht="13.5">
      <c r="A16" s="724">
        <v>40909</v>
      </c>
      <c r="B16" s="724">
        <v>41274</v>
      </c>
      <c r="C16" s="985">
        <f t="shared" si="0"/>
        <v>11829319.288304001</v>
      </c>
      <c r="D16" s="896">
        <v>3.73E-2</v>
      </c>
      <c r="E16" s="737">
        <v>12</v>
      </c>
      <c r="F16" s="896">
        <v>3.73E-2</v>
      </c>
      <c r="G16" s="929">
        <f>(((C16*D16)/12*E16))+C16</f>
        <v>12270552.897757741</v>
      </c>
      <c r="H16" s="986">
        <v>0.12</v>
      </c>
      <c r="I16" s="790">
        <f t="shared" si="1"/>
        <v>1472466.3477309288</v>
      </c>
      <c r="J16" s="15"/>
      <c r="K16" s="15"/>
    </row>
    <row r="17" spans="1:13" ht="13.5">
      <c r="A17" s="724">
        <v>41275</v>
      </c>
      <c r="B17" s="724">
        <v>41639</v>
      </c>
      <c r="C17" s="985">
        <f t="shared" si="0"/>
        <v>12270552.897757741</v>
      </c>
      <c r="D17" s="896">
        <v>1.9400000000000001E-2</v>
      </c>
      <c r="E17" s="737">
        <v>12</v>
      </c>
      <c r="F17" s="896">
        <v>1.9400000000000001E-2</v>
      </c>
      <c r="G17" s="929">
        <f t="shared" ref="G17:G24" si="2">(((C17*D17)/12*E17))+C17</f>
        <v>12508601.623974241</v>
      </c>
      <c r="H17" s="986">
        <v>0.12</v>
      </c>
      <c r="I17" s="790">
        <f t="shared" si="1"/>
        <v>1501032.1948769088</v>
      </c>
      <c r="J17" s="15"/>
      <c r="K17" s="15"/>
    </row>
    <row r="18" spans="1:13" ht="13.5">
      <c r="A18" s="724">
        <v>41640</v>
      </c>
      <c r="B18" s="724">
        <v>42004</v>
      </c>
      <c r="C18" s="985">
        <f t="shared" si="0"/>
        <v>12508601.623974241</v>
      </c>
      <c r="D18" s="896">
        <v>2.4400000000000002E-2</v>
      </c>
      <c r="E18" s="737">
        <v>12</v>
      </c>
      <c r="F18" s="896">
        <v>2.4400000000000002E-2</v>
      </c>
      <c r="G18" s="929">
        <f t="shared" si="2"/>
        <v>12813811.503599213</v>
      </c>
      <c r="H18" s="986">
        <v>0.12</v>
      </c>
      <c r="I18" s="790">
        <f t="shared" si="1"/>
        <v>1537657.3804319056</v>
      </c>
      <c r="J18" s="15"/>
      <c r="K18" s="15"/>
    </row>
    <row r="19" spans="1:13" ht="13.5" customHeight="1">
      <c r="A19" s="724">
        <v>42005</v>
      </c>
      <c r="B19" s="724">
        <v>42369</v>
      </c>
      <c r="C19" s="985">
        <f t="shared" si="0"/>
        <v>12813811.503599213</v>
      </c>
      <c r="D19" s="896">
        <v>3.6600000000000001E-2</v>
      </c>
      <c r="E19" s="737">
        <v>12</v>
      </c>
      <c r="F19" s="896">
        <v>3.6600000000000001E-2</v>
      </c>
      <c r="G19" s="929">
        <f>(((C19*D19)/12*E19))+C19</f>
        <v>13282797.004630944</v>
      </c>
      <c r="H19" s="986">
        <v>0.12</v>
      </c>
      <c r="I19" s="790">
        <f t="shared" si="1"/>
        <v>1593935.6405557131</v>
      </c>
      <c r="J19" s="15"/>
    </row>
    <row r="20" spans="1:13" ht="13.5">
      <c r="A20" s="724">
        <v>42005</v>
      </c>
      <c r="B20" s="724">
        <v>42628</v>
      </c>
      <c r="C20" s="985">
        <f t="shared" si="0"/>
        <v>13282797.004630944</v>
      </c>
      <c r="D20" s="896">
        <v>6.7699999999999996E-2</v>
      </c>
      <c r="E20" s="737">
        <v>8.5</v>
      </c>
      <c r="F20" s="896">
        <v>4.8000000000000001E-2</v>
      </c>
      <c r="G20" s="987">
        <f t="shared" si="2"/>
        <v>13919762.465990517</v>
      </c>
      <c r="H20" s="988">
        <v>8.5000000000000006E-2</v>
      </c>
      <c r="I20" s="790">
        <f t="shared" si="1"/>
        <v>1183179.8096091941</v>
      </c>
      <c r="J20" s="15"/>
      <c r="K20" s="15"/>
    </row>
    <row r="21" spans="1:13" ht="13.5">
      <c r="A21" s="724"/>
      <c r="B21" s="737"/>
      <c r="C21" s="985"/>
      <c r="D21" s="896"/>
      <c r="E21" s="737"/>
      <c r="F21" s="896"/>
      <c r="G21" s="989" t="s">
        <v>162</v>
      </c>
      <c r="H21" s="990"/>
      <c r="I21" s="991">
        <f>SUM(I14:I20)</f>
        <v>9930746.6878011301</v>
      </c>
    </row>
    <row r="22" spans="1:13" ht="6.75" customHeight="1">
      <c r="A22" s="724"/>
      <c r="B22" s="737"/>
      <c r="C22" s="985"/>
      <c r="D22" s="896"/>
      <c r="E22" s="737"/>
      <c r="F22" s="896"/>
      <c r="G22" s="929"/>
      <c r="H22" s="986"/>
      <c r="I22" s="790"/>
    </row>
    <row r="23" spans="1:13" ht="13.5">
      <c r="A23" s="724">
        <v>42629</v>
      </c>
      <c r="B23" s="724">
        <v>42735</v>
      </c>
      <c r="C23" s="985">
        <f>+B10</f>
        <v>14543452.26753529</v>
      </c>
      <c r="D23" s="896">
        <v>6.7699999999999996E-2</v>
      </c>
      <c r="E23" s="903">
        <v>3.5329999999999999</v>
      </c>
      <c r="F23" s="896">
        <v>4.8000000000000001E-2</v>
      </c>
      <c r="G23" s="929">
        <f>(((C23*D23)/12*E23))+C23</f>
        <v>14833332.479327239</v>
      </c>
      <c r="H23" s="986">
        <v>3.5299999999999998E-2</v>
      </c>
      <c r="I23" s="790">
        <f t="shared" ref="I23:I28" si="3">+G23*H23</f>
        <v>523616.63652025152</v>
      </c>
    </row>
    <row r="24" spans="1:13" ht="13.5">
      <c r="A24" s="724">
        <v>42736</v>
      </c>
      <c r="B24" s="724">
        <v>43100</v>
      </c>
      <c r="C24" s="985">
        <f>+G20</f>
        <v>13919762.465990517</v>
      </c>
      <c r="D24" s="896">
        <v>5.7500000000000002E-2</v>
      </c>
      <c r="E24" s="737">
        <v>12</v>
      </c>
      <c r="F24" s="896">
        <v>6.7699999999999996E-2</v>
      </c>
      <c r="G24" s="929">
        <f t="shared" si="2"/>
        <v>14720148.807784973</v>
      </c>
      <c r="H24" s="986">
        <v>0.12</v>
      </c>
      <c r="I24" s="790">
        <f t="shared" si="3"/>
        <v>1766417.8569341965</v>
      </c>
      <c r="K24">
        <v>30</v>
      </c>
      <c r="L24">
        <v>1</v>
      </c>
    </row>
    <row r="25" spans="1:13" ht="13.5">
      <c r="A25" s="724">
        <v>43101</v>
      </c>
      <c r="B25" s="724">
        <v>43465</v>
      </c>
      <c r="C25" s="985">
        <f>+G24</f>
        <v>14720148.807784973</v>
      </c>
      <c r="D25" s="896">
        <v>4.0899999999999999E-2</v>
      </c>
      <c r="E25" s="737">
        <v>12</v>
      </c>
      <c r="F25" s="896">
        <v>4.0899999999999999E-2</v>
      </c>
      <c r="G25" s="929">
        <f>(((C25*D25)/12*E25))+C25</f>
        <v>15322202.894023377</v>
      </c>
      <c r="H25" s="986">
        <v>0.12</v>
      </c>
      <c r="I25" s="790">
        <f t="shared" si="3"/>
        <v>1838664.3472828052</v>
      </c>
      <c r="K25">
        <f>+M26</f>
        <v>325</v>
      </c>
      <c r="L25" s="188" t="s">
        <v>234</v>
      </c>
      <c r="M25">
        <f>+K25*L24/K24</f>
        <v>10.833333333333334</v>
      </c>
    </row>
    <row r="26" spans="1:13" ht="13.5">
      <c r="A26" s="724">
        <v>43466</v>
      </c>
      <c r="B26" s="724">
        <v>43830</v>
      </c>
      <c r="C26" s="985">
        <f>+G25</f>
        <v>15322202.894023377</v>
      </c>
      <c r="D26" s="896">
        <v>3.1800000000000002E-2</v>
      </c>
      <c r="E26" s="737">
        <v>12</v>
      </c>
      <c r="F26" s="896">
        <v>3.1800000000000002E-2</v>
      </c>
      <c r="G26" s="929">
        <f>(((C26*D26)/12*E26))+C26</f>
        <v>15809448.946053321</v>
      </c>
      <c r="H26" s="986">
        <v>0.12</v>
      </c>
      <c r="I26" s="790">
        <f t="shared" si="3"/>
        <v>1897133.8735263983</v>
      </c>
      <c r="K26" s="7">
        <v>44197</v>
      </c>
      <c r="L26" s="7">
        <v>44522</v>
      </c>
      <c r="M26">
        <f>+_xlfn.DAYS(L26,K26)</f>
        <v>325</v>
      </c>
    </row>
    <row r="27" spans="1:13" ht="13.5">
      <c r="A27" s="724">
        <v>43831</v>
      </c>
      <c r="B27" s="724">
        <v>44196</v>
      </c>
      <c r="C27" s="985">
        <f>+G26</f>
        <v>15809448.946053321</v>
      </c>
      <c r="D27" s="896">
        <v>3.7999999999999999E-2</v>
      </c>
      <c r="E27" s="737">
        <v>12</v>
      </c>
      <c r="F27" s="896">
        <v>3.7999999999999999E-2</v>
      </c>
      <c r="G27" s="929">
        <f>(((C27*D27)/12*E27))+C27</f>
        <v>16410208.006003346</v>
      </c>
      <c r="H27" s="986">
        <v>0.12</v>
      </c>
      <c r="I27" s="790">
        <f t="shared" si="3"/>
        <v>1969224.9607204015</v>
      </c>
      <c r="K27" s="8">
        <v>31500000</v>
      </c>
    </row>
    <row r="28" spans="1:13" ht="13.5">
      <c r="A28" s="724">
        <v>44197</v>
      </c>
      <c r="B28" s="724">
        <v>44522</v>
      </c>
      <c r="C28" s="985">
        <f>+G27</f>
        <v>16410208.006003346</v>
      </c>
      <c r="D28" s="896">
        <v>1.61E-2</v>
      </c>
      <c r="E28" s="737">
        <v>10.83</v>
      </c>
      <c r="F28" s="896">
        <f>+D28/12*E28</f>
        <v>1.453025E-2</v>
      </c>
      <c r="G28" s="929">
        <f>(((C28*D28)/12*E28))+C28</f>
        <v>16648652.430882577</v>
      </c>
      <c r="H28" s="896">
        <v>0.10829999999999999</v>
      </c>
      <c r="I28" s="790">
        <f t="shared" si="3"/>
        <v>1803049.0582645829</v>
      </c>
    </row>
    <row r="29" spans="1:13" ht="14.25" thickBot="1">
      <c r="A29" s="724"/>
      <c r="B29" s="724"/>
      <c r="C29" s="737"/>
      <c r="D29" s="737"/>
      <c r="E29" s="737"/>
      <c r="F29" s="737"/>
      <c r="G29" s="992" t="s">
        <v>162</v>
      </c>
      <c r="H29" s="993"/>
      <c r="I29" s="994">
        <f>SUM(I23:I28)</f>
        <v>9798106.7332486361</v>
      </c>
    </row>
    <row r="30" spans="1:13" ht="14.25" thickTop="1">
      <c r="A30" s="2559" t="s">
        <v>55</v>
      </c>
      <c r="B30" s="2559"/>
      <c r="C30" s="147"/>
      <c r="D30" s="147"/>
      <c r="E30" s="147"/>
      <c r="F30" s="147"/>
      <c r="G30" s="147"/>
      <c r="H30" s="147"/>
      <c r="I30" s="147"/>
    </row>
    <row r="31" spans="1:13" ht="13.5">
      <c r="A31" s="845" t="s">
        <v>133</v>
      </c>
      <c r="B31" s="995">
        <f>+G28</f>
        <v>16648652.430882577</v>
      </c>
      <c r="C31" s="147"/>
      <c r="D31" s="147"/>
      <c r="E31" s="147"/>
      <c r="F31" s="147"/>
      <c r="G31" s="147"/>
      <c r="H31" s="147"/>
      <c r="I31" s="147"/>
    </row>
    <row r="32" spans="1:13" ht="13.5">
      <c r="A32" s="845" t="s">
        <v>235</v>
      </c>
      <c r="B32" s="995">
        <f>+I21</f>
        <v>9930746.6878011301</v>
      </c>
      <c r="C32" s="12"/>
      <c r="D32" s="147"/>
      <c r="E32" s="147"/>
      <c r="F32" s="147"/>
      <c r="G32" s="147"/>
      <c r="H32" s="147"/>
      <c r="I32" s="147"/>
    </row>
    <row r="33" spans="1:11" ht="25.5">
      <c r="A33" s="845" t="s">
        <v>236</v>
      </c>
      <c r="B33" s="790">
        <f>+I29</f>
        <v>9798106.7332486361</v>
      </c>
      <c r="C33" s="147"/>
      <c r="D33" s="147"/>
      <c r="E33" s="147"/>
      <c r="F33" s="147"/>
      <c r="G33" s="147"/>
      <c r="H33" s="147"/>
      <c r="I33" s="147"/>
    </row>
    <row r="34" spans="1:11" ht="13.5">
      <c r="A34" s="728" t="s">
        <v>97</v>
      </c>
      <c r="B34" s="996">
        <f>SUM(B31:B33)</f>
        <v>36377505.851932347</v>
      </c>
      <c r="C34" s="147"/>
      <c r="D34" s="147"/>
      <c r="E34" s="147"/>
      <c r="F34" s="147"/>
      <c r="G34" s="147"/>
      <c r="H34" s="147"/>
      <c r="I34" s="147"/>
    </row>
    <row r="35" spans="1:11">
      <c r="A35" s="236" t="s">
        <v>62</v>
      </c>
      <c r="B35" s="147"/>
      <c r="C35" s="147"/>
      <c r="D35" s="147"/>
      <c r="E35" s="147"/>
      <c r="F35" s="147"/>
      <c r="G35" s="147"/>
      <c r="H35" s="147"/>
      <c r="I35" s="147"/>
      <c r="K35" s="8"/>
    </row>
    <row r="36" spans="1:11">
      <c r="A36" s="234"/>
      <c r="B36" s="997"/>
      <c r="C36" s="147"/>
      <c r="D36" s="147"/>
      <c r="E36" s="147"/>
      <c r="F36" s="147"/>
      <c r="G36" s="147"/>
      <c r="H36" s="147"/>
      <c r="I36" s="147"/>
      <c r="J36" s="8"/>
      <c r="K36" s="8"/>
    </row>
    <row r="37" spans="1:11">
      <c r="A37" s="234"/>
      <c r="B37" s="997"/>
      <c r="C37" s="147"/>
      <c r="D37" s="147"/>
      <c r="E37" s="147"/>
      <c r="F37" s="147"/>
      <c r="G37" s="147"/>
      <c r="H37" s="147"/>
      <c r="I37" s="147"/>
      <c r="J37" s="8"/>
      <c r="K37" s="8"/>
    </row>
    <row r="38" spans="1:11">
      <c r="A38" s="476" t="s">
        <v>63</v>
      </c>
      <c r="B38" s="997"/>
      <c r="C38" s="147"/>
      <c r="D38" s="147"/>
      <c r="E38" s="147"/>
      <c r="F38" s="147"/>
      <c r="G38" s="147"/>
      <c r="H38" s="147"/>
      <c r="I38" s="147"/>
    </row>
    <row r="39" spans="1:11">
      <c r="A39" s="476" t="s">
        <v>64</v>
      </c>
      <c r="B39" s="997"/>
      <c r="C39" s="147"/>
      <c r="D39" s="147"/>
      <c r="E39" s="147"/>
      <c r="F39" s="147"/>
      <c r="G39" s="147"/>
      <c r="H39" s="147"/>
      <c r="I39" s="147"/>
    </row>
    <row r="40" spans="1:11">
      <c r="A40" s="236" t="s">
        <v>65</v>
      </c>
      <c r="B40" s="997"/>
      <c r="C40" s="147"/>
      <c r="D40" s="147"/>
      <c r="E40" s="147"/>
      <c r="F40" s="147"/>
      <c r="G40" s="147"/>
      <c r="H40" s="147"/>
      <c r="I40" s="147"/>
    </row>
    <row r="59" spans="3:10">
      <c r="I59" s="13"/>
      <c r="J59" s="27"/>
    </row>
    <row r="61" spans="3:10">
      <c r="F61" s="8"/>
    </row>
    <row r="62" spans="3:10">
      <c r="F62" s="8"/>
    </row>
    <row r="63" spans="3:10">
      <c r="F63" s="8"/>
    </row>
    <row r="64" spans="3:10">
      <c r="C64" s="7"/>
    </row>
    <row r="65" spans="3:3">
      <c r="C65" s="7"/>
    </row>
    <row r="66" spans="3:3">
      <c r="C66" s="27"/>
    </row>
  </sheetData>
  <mergeCells count="1">
    <mergeCell ref="A30:B30"/>
  </mergeCells>
  <phoneticPr fontId="27" type="noConversion"/>
  <pageMargins left="0.7" right="0.7" top="0.75" bottom="0.75" header="0.3" footer="0.3"/>
  <pageSetup scale="88" orientation="landscape" horizontalDpi="300" verticalDpi="300" r:id="rId1"/>
  <colBreaks count="1" manualBreakCount="1">
    <brk id="9" max="1048575" man="1"/>
  </col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82A1D-D318-424C-AB1F-E9F657E8FA84}">
  <sheetPr codeName="Hoja58"/>
  <dimension ref="A2:U162"/>
  <sheetViews>
    <sheetView topLeftCell="C13" workbookViewId="0">
      <selection activeCell="A6" sqref="A6"/>
    </sheetView>
  </sheetViews>
  <sheetFormatPr defaultColWidth="9.140625" defaultRowHeight="12.75"/>
  <cols>
    <col min="1" max="1" width="15.7109375" style="217" customWidth="1"/>
    <col min="2" max="2" width="29.7109375" style="217" customWidth="1"/>
    <col min="3" max="3" width="13.5703125" style="217" customWidth="1"/>
    <col min="4" max="12" width="11.42578125" style="217" customWidth="1"/>
    <col min="13" max="13" width="12.7109375" style="217" customWidth="1"/>
    <col min="14" max="14" width="13.140625" style="217" customWidth="1"/>
    <col min="15" max="15" width="13.28515625" style="217" customWidth="1"/>
    <col min="16" max="256" width="11.42578125" style="217" customWidth="1"/>
    <col min="257" max="16384" width="9.140625" style="217"/>
  </cols>
  <sheetData>
    <row r="2" spans="1:3">
      <c r="A2" s="215" t="s">
        <v>825</v>
      </c>
      <c r="B2" s="1550" t="s">
        <v>1540</v>
      </c>
    </row>
    <row r="3" spans="1:3" ht="27.75" customHeight="1">
      <c r="A3" s="1669" t="s">
        <v>1059</v>
      </c>
      <c r="B3" s="1550" t="s">
        <v>1541</v>
      </c>
    </row>
    <row r="4" spans="1:3">
      <c r="A4" s="1670" t="s">
        <v>124</v>
      </c>
      <c r="B4" s="220" t="s">
        <v>1542</v>
      </c>
    </row>
    <row r="5" spans="1:3">
      <c r="A5" s="1670" t="s">
        <v>1318</v>
      </c>
      <c r="B5" s="1671">
        <v>42587</v>
      </c>
    </row>
    <row r="6" spans="1:3" ht="89.25" customHeight="1">
      <c r="A6" s="219" t="s">
        <v>69</v>
      </c>
      <c r="B6" s="1579" t="s">
        <v>1543</v>
      </c>
    </row>
    <row r="7" spans="1:3">
      <c r="A7" s="216"/>
      <c r="B7" s="1672" t="s">
        <v>1544</v>
      </c>
    </row>
    <row r="8" spans="1:3">
      <c r="A8" s="219" t="s">
        <v>820</v>
      </c>
      <c r="B8" s="1672" t="s">
        <v>1545</v>
      </c>
    </row>
    <row r="9" spans="1:3" ht="25.5">
      <c r="A9" s="1579" t="s">
        <v>1546</v>
      </c>
      <c r="B9" s="1672" t="s">
        <v>1547</v>
      </c>
    </row>
    <row r="10" spans="1:3">
      <c r="A10" s="216"/>
      <c r="B10" s="1672" t="s">
        <v>1548</v>
      </c>
    </row>
    <row r="11" spans="1:3">
      <c r="A11" s="216"/>
      <c r="B11" s="1672" t="s">
        <v>1549</v>
      </c>
    </row>
    <row r="12" spans="1:3">
      <c r="A12" s="216"/>
      <c r="B12" s="1672" t="s">
        <v>1550</v>
      </c>
    </row>
    <row r="14" spans="1:3">
      <c r="A14" s="1673" t="s">
        <v>147</v>
      </c>
      <c r="B14" s="1673" t="s">
        <v>40</v>
      </c>
      <c r="C14" s="1674" t="s">
        <v>1551</v>
      </c>
    </row>
    <row r="15" spans="1:3">
      <c r="A15" s="1675">
        <v>36892</v>
      </c>
      <c r="B15" s="1675">
        <v>37256</v>
      </c>
      <c r="C15" s="1676">
        <v>457783</v>
      </c>
    </row>
    <row r="16" spans="1:3">
      <c r="A16" s="1675">
        <v>37257</v>
      </c>
      <c r="B16" s="1675">
        <v>37621</v>
      </c>
      <c r="C16" s="1677" t="s">
        <v>1552</v>
      </c>
    </row>
    <row r="17" spans="1:15">
      <c r="A17" s="1675">
        <v>37681</v>
      </c>
      <c r="B17" s="1675">
        <v>37986</v>
      </c>
      <c r="C17" s="218">
        <v>489828</v>
      </c>
    </row>
    <row r="18" spans="1:15">
      <c r="A18" s="1675">
        <v>37987</v>
      </c>
      <c r="B18" s="1675">
        <v>38122</v>
      </c>
      <c r="C18" s="218">
        <v>489828</v>
      </c>
    </row>
    <row r="19" spans="1:15">
      <c r="B19" s="1675"/>
    </row>
    <row r="20" spans="1:15">
      <c r="B20" s="1675"/>
      <c r="E20" s="547" t="s">
        <v>1553</v>
      </c>
      <c r="H20" s="1675">
        <f>+B5</f>
        <v>42587</v>
      </c>
      <c r="I20" s="217">
        <v>92.73</v>
      </c>
    </row>
    <row r="22" spans="1:15">
      <c r="A22" s="218"/>
      <c r="B22" s="218"/>
      <c r="E22" s="221" t="s">
        <v>1554</v>
      </c>
      <c r="H22" s="393" t="s">
        <v>1555</v>
      </c>
      <c r="L22" s="2813" t="s">
        <v>1556</v>
      </c>
      <c r="M22" s="2814"/>
      <c r="N22" s="2814"/>
      <c r="O22" s="2814"/>
    </row>
    <row r="23" spans="1:15">
      <c r="A23" s="228" t="s">
        <v>11</v>
      </c>
      <c r="B23" s="351" t="s">
        <v>75</v>
      </c>
      <c r="E23" s="229" t="s">
        <v>11</v>
      </c>
      <c r="F23" s="229" t="s">
        <v>78</v>
      </c>
      <c r="G23" s="229" t="s">
        <v>79</v>
      </c>
      <c r="H23" s="229" t="s">
        <v>80</v>
      </c>
      <c r="I23" s="229" t="s">
        <v>81</v>
      </c>
      <c r="J23" s="229" t="s">
        <v>82</v>
      </c>
      <c r="K23" s="229" t="s">
        <v>83</v>
      </c>
      <c r="L23" s="228" t="s">
        <v>76</v>
      </c>
      <c r="M23" s="472" t="s">
        <v>77</v>
      </c>
      <c r="N23" s="229" t="s">
        <v>1557</v>
      </c>
      <c r="O23" s="229" t="s">
        <v>1558</v>
      </c>
    </row>
    <row r="24" spans="1:15">
      <c r="A24" s="233" t="s">
        <v>16</v>
      </c>
      <c r="B24" s="353">
        <f t="shared" ref="B24:B35" si="0">+$C$15</f>
        <v>457783</v>
      </c>
      <c r="D24" s="218"/>
      <c r="E24" s="233" t="s">
        <v>16</v>
      </c>
      <c r="F24" s="229">
        <f t="shared" ref="F24:F35" si="1">+B24*0.04</f>
        <v>18311.32</v>
      </c>
      <c r="G24" s="229">
        <f t="shared" ref="G24:G35" si="2">+B24*0.0338</f>
        <v>15473.065399999998</v>
      </c>
      <c r="H24" s="229">
        <f t="shared" ref="H24:H35" si="3">+B24*0.08</f>
        <v>36622.639999999999</v>
      </c>
      <c r="I24" s="229">
        <f t="shared" ref="I24:I35" si="4">+B24*0.1013</f>
        <v>46373.4179</v>
      </c>
      <c r="J24" s="229">
        <f t="shared" ref="J24:J35" si="5">+F24+H24</f>
        <v>54933.96</v>
      </c>
      <c r="K24" s="229">
        <f t="shared" ref="K24:K35" si="6">+I24+G24</f>
        <v>61846.4833</v>
      </c>
      <c r="N24" s="229">
        <f t="shared" ref="N24:O35" si="7">(J24*$R$133/$K$133)*$H$153/$I$20</f>
        <v>61967.207408344068</v>
      </c>
      <c r="O24" s="229">
        <f t="shared" si="7"/>
        <v>69764.747673894031</v>
      </c>
    </row>
    <row r="25" spans="1:15">
      <c r="A25" s="233" t="s">
        <v>17</v>
      </c>
      <c r="B25" s="353">
        <f t="shared" si="0"/>
        <v>457783</v>
      </c>
      <c r="E25" s="233" t="s">
        <v>17</v>
      </c>
      <c r="F25" s="229">
        <f t="shared" si="1"/>
        <v>18311.32</v>
      </c>
      <c r="G25" s="229">
        <f t="shared" si="2"/>
        <v>15473.065399999998</v>
      </c>
      <c r="H25" s="229">
        <f t="shared" si="3"/>
        <v>36622.639999999999</v>
      </c>
      <c r="I25" s="229">
        <f t="shared" si="4"/>
        <v>46373.4179</v>
      </c>
      <c r="J25" s="229">
        <f t="shared" si="5"/>
        <v>54933.96</v>
      </c>
      <c r="K25" s="229">
        <f t="shared" si="6"/>
        <v>61846.4833</v>
      </c>
      <c r="N25" s="229">
        <f t="shared" si="7"/>
        <v>61967.207408344068</v>
      </c>
      <c r="O25" s="229">
        <f t="shared" si="7"/>
        <v>69764.747673894031</v>
      </c>
    </row>
    <row r="26" spans="1:15">
      <c r="A26" s="233" t="s">
        <v>19</v>
      </c>
      <c r="B26" s="353">
        <f t="shared" si="0"/>
        <v>457783</v>
      </c>
      <c r="E26" s="233" t="s">
        <v>19</v>
      </c>
      <c r="F26" s="229">
        <f t="shared" si="1"/>
        <v>18311.32</v>
      </c>
      <c r="G26" s="229">
        <f t="shared" si="2"/>
        <v>15473.065399999998</v>
      </c>
      <c r="H26" s="229">
        <f t="shared" si="3"/>
        <v>36622.639999999999</v>
      </c>
      <c r="I26" s="229">
        <f t="shared" si="4"/>
        <v>46373.4179</v>
      </c>
      <c r="J26" s="229">
        <f t="shared" si="5"/>
        <v>54933.96</v>
      </c>
      <c r="K26" s="229">
        <f t="shared" si="6"/>
        <v>61846.4833</v>
      </c>
      <c r="N26" s="229">
        <f t="shared" si="7"/>
        <v>61967.207408344068</v>
      </c>
      <c r="O26" s="229">
        <f t="shared" si="7"/>
        <v>69764.747673894031</v>
      </c>
    </row>
    <row r="27" spans="1:15">
      <c r="A27" s="233" t="s">
        <v>21</v>
      </c>
      <c r="B27" s="353">
        <f t="shared" si="0"/>
        <v>457783</v>
      </c>
      <c r="E27" s="233" t="s">
        <v>21</v>
      </c>
      <c r="F27" s="229">
        <f t="shared" si="1"/>
        <v>18311.32</v>
      </c>
      <c r="G27" s="229">
        <f t="shared" si="2"/>
        <v>15473.065399999998</v>
      </c>
      <c r="H27" s="229">
        <f t="shared" si="3"/>
        <v>36622.639999999999</v>
      </c>
      <c r="I27" s="229">
        <f t="shared" si="4"/>
        <v>46373.4179</v>
      </c>
      <c r="J27" s="229">
        <f t="shared" si="5"/>
        <v>54933.96</v>
      </c>
      <c r="K27" s="229">
        <f t="shared" si="6"/>
        <v>61846.4833</v>
      </c>
      <c r="N27" s="229">
        <f t="shared" si="7"/>
        <v>61967.207408344068</v>
      </c>
      <c r="O27" s="229">
        <f t="shared" si="7"/>
        <v>69764.747673894031</v>
      </c>
    </row>
    <row r="28" spans="1:15">
      <c r="A28" s="233" t="s">
        <v>23</v>
      </c>
      <c r="B28" s="353">
        <f t="shared" si="0"/>
        <v>457783</v>
      </c>
      <c r="E28" s="233" t="s">
        <v>23</v>
      </c>
      <c r="F28" s="229">
        <f t="shared" si="1"/>
        <v>18311.32</v>
      </c>
      <c r="G28" s="229">
        <f t="shared" si="2"/>
        <v>15473.065399999998</v>
      </c>
      <c r="H28" s="229">
        <f t="shared" si="3"/>
        <v>36622.639999999999</v>
      </c>
      <c r="I28" s="229">
        <f t="shared" si="4"/>
        <v>46373.4179</v>
      </c>
      <c r="J28" s="229">
        <f t="shared" si="5"/>
        <v>54933.96</v>
      </c>
      <c r="K28" s="229">
        <f t="shared" si="6"/>
        <v>61846.4833</v>
      </c>
      <c r="N28" s="229">
        <f t="shared" si="7"/>
        <v>61967.207408344068</v>
      </c>
      <c r="O28" s="229">
        <f t="shared" si="7"/>
        <v>69764.747673894031</v>
      </c>
    </row>
    <row r="29" spans="1:15">
      <c r="A29" s="233" t="s">
        <v>25</v>
      </c>
      <c r="B29" s="353">
        <f t="shared" si="0"/>
        <v>457783</v>
      </c>
      <c r="E29" s="233" t="s">
        <v>25</v>
      </c>
      <c r="F29" s="229">
        <f t="shared" si="1"/>
        <v>18311.32</v>
      </c>
      <c r="G29" s="229">
        <f t="shared" si="2"/>
        <v>15473.065399999998</v>
      </c>
      <c r="H29" s="229">
        <f t="shared" si="3"/>
        <v>36622.639999999999</v>
      </c>
      <c r="I29" s="229">
        <f t="shared" si="4"/>
        <v>46373.4179</v>
      </c>
      <c r="J29" s="229">
        <f t="shared" si="5"/>
        <v>54933.96</v>
      </c>
      <c r="K29" s="229">
        <f t="shared" si="6"/>
        <v>61846.4833</v>
      </c>
      <c r="N29" s="229">
        <f t="shared" si="7"/>
        <v>61967.207408344068</v>
      </c>
      <c r="O29" s="229">
        <f t="shared" si="7"/>
        <v>69764.747673894031</v>
      </c>
    </row>
    <row r="30" spans="1:15">
      <c r="A30" s="233" t="s">
        <v>27</v>
      </c>
      <c r="B30" s="353">
        <f t="shared" si="0"/>
        <v>457783</v>
      </c>
      <c r="E30" s="233" t="s">
        <v>27</v>
      </c>
      <c r="F30" s="229">
        <f t="shared" si="1"/>
        <v>18311.32</v>
      </c>
      <c r="G30" s="229">
        <f t="shared" si="2"/>
        <v>15473.065399999998</v>
      </c>
      <c r="H30" s="229">
        <f t="shared" si="3"/>
        <v>36622.639999999999</v>
      </c>
      <c r="I30" s="229">
        <f t="shared" si="4"/>
        <v>46373.4179</v>
      </c>
      <c r="J30" s="229">
        <f t="shared" si="5"/>
        <v>54933.96</v>
      </c>
      <c r="K30" s="229">
        <f t="shared" si="6"/>
        <v>61846.4833</v>
      </c>
      <c r="N30" s="229">
        <f t="shared" si="7"/>
        <v>61967.207408344068</v>
      </c>
      <c r="O30" s="229">
        <f t="shared" si="7"/>
        <v>69764.747673894031</v>
      </c>
    </row>
    <row r="31" spans="1:15">
      <c r="A31" s="233" t="s">
        <v>29</v>
      </c>
      <c r="B31" s="353">
        <f t="shared" si="0"/>
        <v>457783</v>
      </c>
      <c r="E31" s="233" t="s">
        <v>29</v>
      </c>
      <c r="F31" s="229">
        <f t="shared" si="1"/>
        <v>18311.32</v>
      </c>
      <c r="G31" s="229">
        <f t="shared" si="2"/>
        <v>15473.065399999998</v>
      </c>
      <c r="H31" s="229">
        <f t="shared" si="3"/>
        <v>36622.639999999999</v>
      </c>
      <c r="I31" s="229">
        <f t="shared" si="4"/>
        <v>46373.4179</v>
      </c>
      <c r="J31" s="229">
        <f t="shared" si="5"/>
        <v>54933.96</v>
      </c>
      <c r="K31" s="229">
        <f t="shared" si="6"/>
        <v>61846.4833</v>
      </c>
      <c r="N31" s="229">
        <f t="shared" si="7"/>
        <v>61967.207408344068</v>
      </c>
      <c r="O31" s="229">
        <f t="shared" si="7"/>
        <v>69764.747673894031</v>
      </c>
    </row>
    <row r="32" spans="1:15">
      <c r="A32" s="233" t="s">
        <v>31</v>
      </c>
      <c r="B32" s="353">
        <f t="shared" si="0"/>
        <v>457783</v>
      </c>
      <c r="E32" s="233" t="s">
        <v>31</v>
      </c>
      <c r="F32" s="229">
        <f t="shared" si="1"/>
        <v>18311.32</v>
      </c>
      <c r="G32" s="229">
        <f t="shared" si="2"/>
        <v>15473.065399999998</v>
      </c>
      <c r="H32" s="229">
        <f t="shared" si="3"/>
        <v>36622.639999999999</v>
      </c>
      <c r="I32" s="229">
        <f t="shared" si="4"/>
        <v>46373.4179</v>
      </c>
      <c r="J32" s="229">
        <f t="shared" si="5"/>
        <v>54933.96</v>
      </c>
      <c r="K32" s="229">
        <f t="shared" si="6"/>
        <v>61846.4833</v>
      </c>
      <c r="N32" s="229">
        <f t="shared" si="7"/>
        <v>61967.207408344068</v>
      </c>
      <c r="O32" s="229">
        <f t="shared" si="7"/>
        <v>69764.747673894031</v>
      </c>
    </row>
    <row r="33" spans="1:15">
      <c r="A33" s="233" t="s">
        <v>33</v>
      </c>
      <c r="B33" s="353">
        <f t="shared" si="0"/>
        <v>457783</v>
      </c>
      <c r="E33" s="233" t="s">
        <v>33</v>
      </c>
      <c r="F33" s="229">
        <f t="shared" si="1"/>
        <v>18311.32</v>
      </c>
      <c r="G33" s="229">
        <f t="shared" si="2"/>
        <v>15473.065399999998</v>
      </c>
      <c r="H33" s="229">
        <f t="shared" si="3"/>
        <v>36622.639999999999</v>
      </c>
      <c r="I33" s="229">
        <f t="shared" si="4"/>
        <v>46373.4179</v>
      </c>
      <c r="J33" s="229">
        <f t="shared" si="5"/>
        <v>54933.96</v>
      </c>
      <c r="K33" s="229">
        <f t="shared" si="6"/>
        <v>61846.4833</v>
      </c>
      <c r="N33" s="229">
        <f t="shared" si="7"/>
        <v>61967.207408344068</v>
      </c>
      <c r="O33" s="229">
        <f t="shared" si="7"/>
        <v>69764.747673894031</v>
      </c>
    </row>
    <row r="34" spans="1:15">
      <c r="A34" s="233" t="s">
        <v>34</v>
      </c>
      <c r="B34" s="353">
        <f t="shared" si="0"/>
        <v>457783</v>
      </c>
      <c r="E34" s="233" t="s">
        <v>34</v>
      </c>
      <c r="F34" s="229">
        <f t="shared" si="1"/>
        <v>18311.32</v>
      </c>
      <c r="G34" s="229">
        <f t="shared" si="2"/>
        <v>15473.065399999998</v>
      </c>
      <c r="H34" s="229">
        <f t="shared" si="3"/>
        <v>36622.639999999999</v>
      </c>
      <c r="I34" s="229">
        <f t="shared" si="4"/>
        <v>46373.4179</v>
      </c>
      <c r="J34" s="229">
        <f t="shared" si="5"/>
        <v>54933.96</v>
      </c>
      <c r="K34" s="229">
        <f t="shared" si="6"/>
        <v>61846.4833</v>
      </c>
      <c r="N34" s="229">
        <f t="shared" si="7"/>
        <v>61967.207408344068</v>
      </c>
      <c r="O34" s="229">
        <f t="shared" si="7"/>
        <v>69764.747673894031</v>
      </c>
    </row>
    <row r="35" spans="1:15">
      <c r="A35" s="233" t="s">
        <v>35</v>
      </c>
      <c r="B35" s="353">
        <f t="shared" si="0"/>
        <v>457783</v>
      </c>
      <c r="E35" s="233" t="s">
        <v>35</v>
      </c>
      <c r="F35" s="229">
        <f t="shared" si="1"/>
        <v>18311.32</v>
      </c>
      <c r="G35" s="229">
        <f t="shared" si="2"/>
        <v>15473.065399999998</v>
      </c>
      <c r="H35" s="229">
        <f t="shared" si="3"/>
        <v>36622.639999999999</v>
      </c>
      <c r="I35" s="229">
        <f t="shared" si="4"/>
        <v>46373.4179</v>
      </c>
      <c r="J35" s="229">
        <f t="shared" si="5"/>
        <v>54933.96</v>
      </c>
      <c r="K35" s="229">
        <f t="shared" si="6"/>
        <v>61846.4833</v>
      </c>
      <c r="N35" s="229">
        <f t="shared" si="7"/>
        <v>61967.207408344068</v>
      </c>
      <c r="O35" s="229">
        <f t="shared" si="7"/>
        <v>69764.747673894031</v>
      </c>
    </row>
    <row r="37" spans="1:15">
      <c r="F37" s="229">
        <f t="shared" ref="F37:K37" si="8">SUM(F24:F36)</f>
        <v>219735.84000000005</v>
      </c>
      <c r="G37" s="229">
        <f t="shared" si="8"/>
        <v>185676.78479999994</v>
      </c>
      <c r="H37" s="229">
        <f t="shared" si="8"/>
        <v>439471.68000000011</v>
      </c>
      <c r="I37" s="229">
        <f t="shared" si="8"/>
        <v>556481.0148</v>
      </c>
      <c r="J37" s="229">
        <f t="shared" si="8"/>
        <v>659207.52</v>
      </c>
      <c r="K37" s="229">
        <f t="shared" si="8"/>
        <v>742157.79959999991</v>
      </c>
      <c r="N37" s="353">
        <f>SUM(N24:N35)</f>
        <v>743606.48890012875</v>
      </c>
      <c r="O37" s="353">
        <f>SUM(O24:O35)</f>
        <v>837176.97208672843</v>
      </c>
    </row>
    <row r="39" spans="1:15">
      <c r="A39" s="218"/>
      <c r="B39" s="218"/>
      <c r="C39" s="218"/>
      <c r="E39" s="221" t="s">
        <v>1559</v>
      </c>
      <c r="H39" s="393" t="s">
        <v>1555</v>
      </c>
      <c r="L39" s="2815" t="s">
        <v>1556</v>
      </c>
      <c r="M39" s="2815"/>
      <c r="N39" s="2815"/>
      <c r="O39" s="2815"/>
    </row>
    <row r="40" spans="1:15">
      <c r="A40" s="228" t="s">
        <v>11</v>
      </c>
      <c r="B40" s="351" t="s">
        <v>100</v>
      </c>
      <c r="E40" s="229" t="s">
        <v>11</v>
      </c>
      <c r="F40" s="229" t="s">
        <v>78</v>
      </c>
      <c r="G40" s="229" t="s">
        <v>79</v>
      </c>
      <c r="H40" s="229" t="s">
        <v>80</v>
      </c>
      <c r="I40" s="229" t="s">
        <v>81</v>
      </c>
      <c r="J40" s="229" t="s">
        <v>82</v>
      </c>
      <c r="K40" s="229" t="s">
        <v>83</v>
      </c>
      <c r="L40" s="228" t="s">
        <v>76</v>
      </c>
      <c r="M40" s="472" t="s">
        <v>77</v>
      </c>
      <c r="N40" s="229" t="s">
        <v>1557</v>
      </c>
      <c r="O40" s="229" t="s">
        <v>1558</v>
      </c>
    </row>
    <row r="41" spans="1:15">
      <c r="A41" s="233" t="s">
        <v>191</v>
      </c>
      <c r="B41" s="353">
        <v>457783</v>
      </c>
      <c r="D41" s="218"/>
      <c r="E41" s="233" t="s">
        <v>191</v>
      </c>
      <c r="F41" s="229">
        <f>+B41*0.04</f>
        <v>18311.32</v>
      </c>
      <c r="G41" s="229">
        <f t="shared" ref="G41:G52" si="9">+B41*0.04</f>
        <v>18311.32</v>
      </c>
      <c r="H41" s="229">
        <f t="shared" ref="H41:H52" si="10">+B41*0.085</f>
        <v>38911.555</v>
      </c>
      <c r="I41" s="229">
        <f t="shared" ref="I41:I52" si="11">+B41*0.12</f>
        <v>54933.96</v>
      </c>
      <c r="J41" s="229">
        <f t="shared" ref="J41:J52" si="12">+F41+H41</f>
        <v>57222.875</v>
      </c>
      <c r="K41" s="229">
        <f t="shared" ref="K41:K52" si="13">+I41+G41</f>
        <v>73245.279999999999</v>
      </c>
      <c r="N41" s="229">
        <f>(J41*$R$133/$K$133)*$H$153/$I$20</f>
        <v>64549.174383691738</v>
      </c>
      <c r="O41" s="229">
        <f>(K41*$R$133/$K$133)*$H$153/$I$20</f>
        <v>82622.943211125414</v>
      </c>
    </row>
    <row r="42" spans="1:15">
      <c r="A42" s="233" t="s">
        <v>1560</v>
      </c>
      <c r="B42" s="353">
        <v>457783</v>
      </c>
      <c r="E42" s="233" t="s">
        <v>1560</v>
      </c>
      <c r="F42" s="229">
        <f t="shared" ref="F42:F52" si="14">+B42*0.04</f>
        <v>18311.32</v>
      </c>
      <c r="G42" s="229">
        <f t="shared" si="9"/>
        <v>18311.32</v>
      </c>
      <c r="H42" s="229">
        <f t="shared" si="10"/>
        <v>38911.555</v>
      </c>
      <c r="I42" s="229">
        <f t="shared" si="11"/>
        <v>54933.96</v>
      </c>
      <c r="J42" s="229">
        <f t="shared" si="12"/>
        <v>57222.875</v>
      </c>
      <c r="K42" s="229">
        <f t="shared" si="13"/>
        <v>73245.279999999999</v>
      </c>
      <c r="N42" s="229">
        <f t="shared" ref="N42:O52" si="15">(J42*$R$133/$K$133)*$H$153/$I$20</f>
        <v>64549.174383691738</v>
      </c>
      <c r="O42" s="229">
        <f t="shared" si="15"/>
        <v>82622.943211125414</v>
      </c>
    </row>
    <row r="43" spans="1:15">
      <c r="A43" s="233" t="s">
        <v>19</v>
      </c>
      <c r="B43" s="353">
        <v>457783</v>
      </c>
      <c r="E43" s="233" t="s">
        <v>19</v>
      </c>
      <c r="F43" s="229">
        <f t="shared" si="14"/>
        <v>18311.32</v>
      </c>
      <c r="G43" s="229">
        <f t="shared" si="9"/>
        <v>18311.32</v>
      </c>
      <c r="H43" s="229">
        <f t="shared" si="10"/>
        <v>38911.555</v>
      </c>
      <c r="I43" s="229">
        <f t="shared" si="11"/>
        <v>54933.96</v>
      </c>
      <c r="J43" s="229">
        <f t="shared" si="12"/>
        <v>57222.875</v>
      </c>
      <c r="K43" s="229">
        <f t="shared" si="13"/>
        <v>73245.279999999999</v>
      </c>
      <c r="N43" s="229">
        <f t="shared" si="15"/>
        <v>64549.174383691738</v>
      </c>
      <c r="O43" s="229">
        <f t="shared" si="15"/>
        <v>82622.943211125414</v>
      </c>
    </row>
    <row r="44" spans="1:15">
      <c r="A44" s="233" t="s">
        <v>21</v>
      </c>
      <c r="B44" s="353">
        <v>457783</v>
      </c>
      <c r="E44" s="233" t="s">
        <v>21</v>
      </c>
      <c r="F44" s="229">
        <f t="shared" si="14"/>
        <v>18311.32</v>
      </c>
      <c r="G44" s="229">
        <f t="shared" si="9"/>
        <v>18311.32</v>
      </c>
      <c r="H44" s="229">
        <f t="shared" si="10"/>
        <v>38911.555</v>
      </c>
      <c r="I44" s="229">
        <f t="shared" si="11"/>
        <v>54933.96</v>
      </c>
      <c r="J44" s="229">
        <f t="shared" si="12"/>
        <v>57222.875</v>
      </c>
      <c r="K44" s="229">
        <f t="shared" si="13"/>
        <v>73245.279999999999</v>
      </c>
      <c r="N44" s="229">
        <f t="shared" si="15"/>
        <v>64549.174383691738</v>
      </c>
      <c r="O44" s="229">
        <f t="shared" si="15"/>
        <v>82622.943211125414</v>
      </c>
    </row>
    <row r="45" spans="1:15">
      <c r="A45" s="233" t="s">
        <v>23</v>
      </c>
      <c r="B45" s="353">
        <v>457783</v>
      </c>
      <c r="E45" s="233" t="s">
        <v>23</v>
      </c>
      <c r="F45" s="229">
        <f t="shared" si="14"/>
        <v>18311.32</v>
      </c>
      <c r="G45" s="229">
        <f t="shared" si="9"/>
        <v>18311.32</v>
      </c>
      <c r="H45" s="229">
        <f t="shared" si="10"/>
        <v>38911.555</v>
      </c>
      <c r="I45" s="229">
        <f t="shared" si="11"/>
        <v>54933.96</v>
      </c>
      <c r="J45" s="229">
        <f t="shared" si="12"/>
        <v>57222.875</v>
      </c>
      <c r="K45" s="229">
        <f t="shared" si="13"/>
        <v>73245.279999999999</v>
      </c>
      <c r="N45" s="229">
        <f t="shared" si="15"/>
        <v>64549.174383691738</v>
      </c>
      <c r="O45" s="229">
        <f t="shared" si="15"/>
        <v>82622.943211125414</v>
      </c>
    </row>
    <row r="46" spans="1:15">
      <c r="A46" s="233" t="s">
        <v>25</v>
      </c>
      <c r="B46" s="353">
        <v>457783</v>
      </c>
      <c r="E46" s="233" t="s">
        <v>25</v>
      </c>
      <c r="F46" s="229">
        <f t="shared" si="14"/>
        <v>18311.32</v>
      </c>
      <c r="G46" s="229">
        <f t="shared" si="9"/>
        <v>18311.32</v>
      </c>
      <c r="H46" s="229">
        <f t="shared" si="10"/>
        <v>38911.555</v>
      </c>
      <c r="I46" s="229">
        <f t="shared" si="11"/>
        <v>54933.96</v>
      </c>
      <c r="J46" s="229">
        <f t="shared" si="12"/>
        <v>57222.875</v>
      </c>
      <c r="K46" s="229">
        <f t="shared" si="13"/>
        <v>73245.279999999999</v>
      </c>
      <c r="N46" s="229">
        <f t="shared" si="15"/>
        <v>64549.174383691738</v>
      </c>
      <c r="O46" s="229">
        <f t="shared" si="15"/>
        <v>82622.943211125414</v>
      </c>
    </row>
    <row r="47" spans="1:15">
      <c r="A47" s="233" t="s">
        <v>27</v>
      </c>
      <c r="B47" s="353">
        <v>457783</v>
      </c>
      <c r="E47" s="233" t="s">
        <v>27</v>
      </c>
      <c r="F47" s="229">
        <f t="shared" si="14"/>
        <v>18311.32</v>
      </c>
      <c r="G47" s="229">
        <f t="shared" si="9"/>
        <v>18311.32</v>
      </c>
      <c r="H47" s="229">
        <f t="shared" si="10"/>
        <v>38911.555</v>
      </c>
      <c r="I47" s="229">
        <f t="shared" si="11"/>
        <v>54933.96</v>
      </c>
      <c r="J47" s="229">
        <f t="shared" si="12"/>
        <v>57222.875</v>
      </c>
      <c r="K47" s="229">
        <f t="shared" si="13"/>
        <v>73245.279999999999</v>
      </c>
      <c r="N47" s="229">
        <f t="shared" si="15"/>
        <v>64549.174383691738</v>
      </c>
      <c r="O47" s="229">
        <f t="shared" si="15"/>
        <v>82622.943211125414</v>
      </c>
    </row>
    <row r="48" spans="1:15">
      <c r="A48" s="233" t="s">
        <v>29</v>
      </c>
      <c r="B48" s="353">
        <v>457783</v>
      </c>
      <c r="E48" s="233" t="s">
        <v>29</v>
      </c>
      <c r="F48" s="229">
        <f t="shared" si="14"/>
        <v>18311.32</v>
      </c>
      <c r="G48" s="229">
        <f t="shared" si="9"/>
        <v>18311.32</v>
      </c>
      <c r="H48" s="229">
        <f t="shared" si="10"/>
        <v>38911.555</v>
      </c>
      <c r="I48" s="229">
        <f t="shared" si="11"/>
        <v>54933.96</v>
      </c>
      <c r="J48" s="229">
        <f t="shared" si="12"/>
        <v>57222.875</v>
      </c>
      <c r="K48" s="229">
        <f t="shared" si="13"/>
        <v>73245.279999999999</v>
      </c>
      <c r="N48" s="229">
        <f t="shared" si="15"/>
        <v>64549.174383691738</v>
      </c>
      <c r="O48" s="229">
        <f t="shared" si="15"/>
        <v>82622.943211125414</v>
      </c>
    </row>
    <row r="49" spans="1:15">
      <c r="A49" s="233" t="s">
        <v>31</v>
      </c>
      <c r="B49" s="353">
        <v>457783</v>
      </c>
      <c r="E49" s="233" t="s">
        <v>31</v>
      </c>
      <c r="F49" s="229">
        <f t="shared" si="14"/>
        <v>18311.32</v>
      </c>
      <c r="G49" s="229">
        <f t="shared" si="9"/>
        <v>18311.32</v>
      </c>
      <c r="H49" s="229">
        <f t="shared" si="10"/>
        <v>38911.555</v>
      </c>
      <c r="I49" s="229">
        <f t="shared" si="11"/>
        <v>54933.96</v>
      </c>
      <c r="J49" s="229">
        <f t="shared" si="12"/>
        <v>57222.875</v>
      </c>
      <c r="K49" s="229">
        <f t="shared" si="13"/>
        <v>73245.279999999999</v>
      </c>
      <c r="N49" s="229">
        <f t="shared" si="15"/>
        <v>64549.174383691738</v>
      </c>
      <c r="O49" s="229">
        <f t="shared" si="15"/>
        <v>82622.943211125414</v>
      </c>
    </row>
    <row r="50" spans="1:15">
      <c r="A50" s="233" t="s">
        <v>33</v>
      </c>
      <c r="B50" s="353">
        <v>457783</v>
      </c>
      <c r="E50" s="233" t="s">
        <v>33</v>
      </c>
      <c r="F50" s="229">
        <f t="shared" si="14"/>
        <v>18311.32</v>
      </c>
      <c r="G50" s="229">
        <f t="shared" si="9"/>
        <v>18311.32</v>
      </c>
      <c r="H50" s="229">
        <f t="shared" si="10"/>
        <v>38911.555</v>
      </c>
      <c r="I50" s="229">
        <f t="shared" si="11"/>
        <v>54933.96</v>
      </c>
      <c r="J50" s="229">
        <f t="shared" si="12"/>
        <v>57222.875</v>
      </c>
      <c r="K50" s="229">
        <f t="shared" si="13"/>
        <v>73245.279999999999</v>
      </c>
      <c r="N50" s="229">
        <f t="shared" si="15"/>
        <v>64549.174383691738</v>
      </c>
      <c r="O50" s="229">
        <f t="shared" si="15"/>
        <v>82622.943211125414</v>
      </c>
    </row>
    <row r="51" spans="1:15">
      <c r="A51" s="233" t="s">
        <v>34</v>
      </c>
      <c r="B51" s="353">
        <v>457783</v>
      </c>
      <c r="E51" s="233" t="s">
        <v>34</v>
      </c>
      <c r="F51" s="229">
        <f t="shared" si="14"/>
        <v>18311.32</v>
      </c>
      <c r="G51" s="229">
        <f t="shared" si="9"/>
        <v>18311.32</v>
      </c>
      <c r="H51" s="229">
        <f t="shared" si="10"/>
        <v>38911.555</v>
      </c>
      <c r="I51" s="229">
        <f t="shared" si="11"/>
        <v>54933.96</v>
      </c>
      <c r="J51" s="229">
        <f t="shared" si="12"/>
        <v>57222.875</v>
      </c>
      <c r="K51" s="229">
        <f t="shared" si="13"/>
        <v>73245.279999999999</v>
      </c>
      <c r="N51" s="229">
        <f t="shared" si="15"/>
        <v>64549.174383691738</v>
      </c>
      <c r="O51" s="229">
        <f t="shared" si="15"/>
        <v>82622.943211125414</v>
      </c>
    </row>
    <row r="52" spans="1:15">
      <c r="A52" s="233" t="s">
        <v>35</v>
      </c>
      <c r="B52" s="353">
        <v>457783</v>
      </c>
      <c r="E52" s="233" t="s">
        <v>35</v>
      </c>
      <c r="F52" s="229">
        <f t="shared" si="14"/>
        <v>18311.32</v>
      </c>
      <c r="G52" s="229">
        <f t="shared" si="9"/>
        <v>18311.32</v>
      </c>
      <c r="H52" s="229">
        <f t="shared" si="10"/>
        <v>38911.555</v>
      </c>
      <c r="I52" s="229">
        <f t="shared" si="11"/>
        <v>54933.96</v>
      </c>
      <c r="J52" s="229">
        <f t="shared" si="12"/>
        <v>57222.875</v>
      </c>
      <c r="K52" s="229">
        <f t="shared" si="13"/>
        <v>73245.279999999999</v>
      </c>
      <c r="N52" s="229">
        <f t="shared" si="15"/>
        <v>64549.174383691738</v>
      </c>
      <c r="O52" s="229">
        <f t="shared" si="15"/>
        <v>82622.943211125414</v>
      </c>
    </row>
    <row r="54" spans="1:15">
      <c r="F54" s="229">
        <f t="shared" ref="F54:K54" si="16">SUM(F41:F53)</f>
        <v>219735.84000000005</v>
      </c>
      <c r="G54" s="229">
        <f t="shared" si="16"/>
        <v>219735.84000000005</v>
      </c>
      <c r="H54" s="229">
        <f t="shared" si="16"/>
        <v>466938.66</v>
      </c>
      <c r="I54" s="229">
        <f t="shared" si="16"/>
        <v>659207.52</v>
      </c>
      <c r="J54" s="229">
        <f t="shared" si="16"/>
        <v>686674.5</v>
      </c>
      <c r="K54" s="229">
        <f t="shared" si="16"/>
        <v>878943.36000000022</v>
      </c>
      <c r="N54" s="229">
        <f>SUM(N41:N52)</f>
        <v>774590.09260430082</v>
      </c>
      <c r="O54" s="229">
        <f>SUM(O41:O52)</f>
        <v>991475.3185335052</v>
      </c>
    </row>
    <row r="55" spans="1:15">
      <c r="A55" s="234"/>
    </row>
    <row r="57" spans="1:15">
      <c r="A57" s="218"/>
      <c r="B57" s="218"/>
      <c r="C57" s="218"/>
      <c r="E57" s="221" t="s">
        <v>1561</v>
      </c>
      <c r="H57" s="393" t="s">
        <v>1555</v>
      </c>
      <c r="L57" s="2813" t="s">
        <v>1556</v>
      </c>
      <c r="M57" s="2814"/>
      <c r="N57" s="2814"/>
      <c r="O57" s="2814"/>
    </row>
    <row r="58" spans="1:15">
      <c r="A58" s="228" t="s">
        <v>11</v>
      </c>
      <c r="B58" s="351" t="s">
        <v>105</v>
      </c>
      <c r="E58" s="229" t="s">
        <v>11</v>
      </c>
      <c r="F58" s="229" t="s">
        <v>78</v>
      </c>
      <c r="G58" s="229" t="s">
        <v>79</v>
      </c>
      <c r="H58" s="229" t="s">
        <v>80</v>
      </c>
      <c r="I58" s="229" t="s">
        <v>81</v>
      </c>
      <c r="J58" s="229" t="s">
        <v>82</v>
      </c>
      <c r="K58" s="229" t="s">
        <v>83</v>
      </c>
      <c r="L58" s="228" t="s">
        <v>76</v>
      </c>
      <c r="M58" s="472" t="s">
        <v>77</v>
      </c>
      <c r="N58" s="229" t="s">
        <v>1557</v>
      </c>
      <c r="O58" s="229" t="s">
        <v>1558</v>
      </c>
    </row>
    <row r="59" spans="1:15">
      <c r="A59" s="233" t="s">
        <v>191</v>
      </c>
      <c r="B59" s="353">
        <f t="shared" ref="B59:B70" si="17">+$C$17</f>
        <v>489828</v>
      </c>
      <c r="D59" s="218"/>
      <c r="E59" s="233" t="s">
        <v>191</v>
      </c>
      <c r="F59" s="229">
        <f t="shared" ref="F59:F70" si="18">+B59*0.04</f>
        <v>19593.12</v>
      </c>
      <c r="G59" s="229">
        <f t="shared" ref="G59:G70" si="19">+B59*0.0338</f>
        <v>16556.186399999999</v>
      </c>
      <c r="H59" s="229">
        <f t="shared" ref="H59:H70" si="20">+B59*0.08</f>
        <v>39186.239999999998</v>
      </c>
      <c r="I59" s="229">
        <f t="shared" ref="I59:I70" si="21">+B59*0.1013</f>
        <v>49619.576399999998</v>
      </c>
      <c r="J59" s="229">
        <f t="shared" ref="J59:J70" si="22">+F59+H59</f>
        <v>58779.360000000001</v>
      </c>
      <c r="K59" s="229">
        <f t="shared" ref="K59:K70" si="23">+I59+G59</f>
        <v>66175.762799999997</v>
      </c>
      <c r="L59" s="232">
        <v>50.42</v>
      </c>
      <c r="M59" s="216">
        <f>+$I$20/L59</f>
        <v>1.8391511305037684</v>
      </c>
      <c r="N59" s="220">
        <f t="shared" ref="N59:N70" si="24">+M59*H59</f>
        <v>72069.417596191983</v>
      </c>
      <c r="O59" s="220">
        <f t="shared" ref="O59:O70" si="25">+I59*M59</f>
        <v>91257.900031178098</v>
      </c>
    </row>
    <row r="60" spans="1:15">
      <c r="A60" s="233" t="s">
        <v>1560</v>
      </c>
      <c r="B60" s="353">
        <f t="shared" si="17"/>
        <v>489828</v>
      </c>
      <c r="E60" s="233" t="s">
        <v>1560</v>
      </c>
      <c r="F60" s="229">
        <f t="shared" si="18"/>
        <v>19593.12</v>
      </c>
      <c r="G60" s="229">
        <f t="shared" si="19"/>
        <v>16556.186399999999</v>
      </c>
      <c r="H60" s="229">
        <f t="shared" si="20"/>
        <v>39186.239999999998</v>
      </c>
      <c r="I60" s="229">
        <f t="shared" si="21"/>
        <v>49619.576399999998</v>
      </c>
      <c r="J60" s="229">
        <f t="shared" si="22"/>
        <v>58779.360000000001</v>
      </c>
      <c r="K60" s="229">
        <f t="shared" si="23"/>
        <v>66175.762799999997</v>
      </c>
      <c r="L60" s="232">
        <v>50.98</v>
      </c>
      <c r="M60" s="216">
        <f t="shared" ref="M60:M70" si="26">+$I$20/L60</f>
        <v>1.8189486072969794</v>
      </c>
      <c r="N60" s="220">
        <f t="shared" si="24"/>
        <v>71277.756673205178</v>
      </c>
      <c r="O60" s="220">
        <f t="shared" si="25"/>
        <v>90255.459387446055</v>
      </c>
    </row>
    <row r="61" spans="1:15">
      <c r="A61" s="233" t="s">
        <v>19</v>
      </c>
      <c r="B61" s="353">
        <f t="shared" si="17"/>
        <v>489828</v>
      </c>
      <c r="E61" s="233" t="s">
        <v>19</v>
      </c>
      <c r="F61" s="229">
        <f t="shared" si="18"/>
        <v>19593.12</v>
      </c>
      <c r="G61" s="229">
        <f t="shared" si="19"/>
        <v>16556.186399999999</v>
      </c>
      <c r="H61" s="229">
        <f t="shared" si="20"/>
        <v>39186.239999999998</v>
      </c>
      <c r="I61" s="229">
        <f t="shared" si="21"/>
        <v>49619.576399999998</v>
      </c>
      <c r="J61" s="229">
        <f t="shared" si="22"/>
        <v>58779.360000000001</v>
      </c>
      <c r="K61" s="229">
        <f t="shared" si="23"/>
        <v>66175.762799999997</v>
      </c>
      <c r="L61" s="232">
        <v>51.51</v>
      </c>
      <c r="M61" s="216">
        <f t="shared" si="26"/>
        <v>1.800232964472918</v>
      </c>
      <c r="N61" s="220">
        <f t="shared" si="24"/>
        <v>70544.361001747238</v>
      </c>
      <c r="O61" s="220">
        <f t="shared" si="25"/>
        <v>89326.797118462433</v>
      </c>
    </row>
    <row r="62" spans="1:15">
      <c r="A62" s="233" t="s">
        <v>21</v>
      </c>
      <c r="B62" s="353">
        <f t="shared" si="17"/>
        <v>489828</v>
      </c>
      <c r="E62" s="233" t="s">
        <v>21</v>
      </c>
      <c r="F62" s="229">
        <f t="shared" si="18"/>
        <v>19593.12</v>
      </c>
      <c r="G62" s="229">
        <f t="shared" si="19"/>
        <v>16556.186399999999</v>
      </c>
      <c r="H62" s="229">
        <f t="shared" si="20"/>
        <v>39186.239999999998</v>
      </c>
      <c r="I62" s="229">
        <f t="shared" si="21"/>
        <v>49619.576399999998</v>
      </c>
      <c r="J62" s="229">
        <f t="shared" si="22"/>
        <v>58779.360000000001</v>
      </c>
      <c r="K62" s="229">
        <f t="shared" si="23"/>
        <v>66175.762799999997</v>
      </c>
      <c r="L62" s="232">
        <v>52.1</v>
      </c>
      <c r="M62" s="216">
        <f t="shared" si="26"/>
        <v>1.7798464491362764</v>
      </c>
      <c r="N62" s="220">
        <f t="shared" si="24"/>
        <v>69745.490119001915</v>
      </c>
      <c r="O62" s="220">
        <f t="shared" si="25"/>
        <v>88315.226863186181</v>
      </c>
    </row>
    <row r="63" spans="1:15">
      <c r="A63" s="233" t="s">
        <v>23</v>
      </c>
      <c r="B63" s="353">
        <f t="shared" si="17"/>
        <v>489828</v>
      </c>
      <c r="E63" s="233" t="s">
        <v>23</v>
      </c>
      <c r="F63" s="229">
        <f t="shared" si="18"/>
        <v>19593.12</v>
      </c>
      <c r="G63" s="229">
        <f t="shared" si="19"/>
        <v>16556.186399999999</v>
      </c>
      <c r="H63" s="229">
        <f t="shared" si="20"/>
        <v>39186.239999999998</v>
      </c>
      <c r="I63" s="229">
        <f t="shared" si="21"/>
        <v>49619.576399999998</v>
      </c>
      <c r="J63" s="229">
        <f t="shared" si="22"/>
        <v>58779.360000000001</v>
      </c>
      <c r="K63" s="229">
        <f t="shared" si="23"/>
        <v>66175.762799999997</v>
      </c>
      <c r="L63" s="232">
        <v>52.36</v>
      </c>
      <c r="M63" s="216">
        <f t="shared" si="26"/>
        <v>1.7710084033613447</v>
      </c>
      <c r="N63" s="220">
        <f t="shared" si="24"/>
        <v>69399.160336134461</v>
      </c>
      <c r="O63" s="220">
        <f t="shared" si="25"/>
        <v>87876.686775630253</v>
      </c>
    </row>
    <row r="64" spans="1:15">
      <c r="A64" s="233" t="s">
        <v>25</v>
      </c>
      <c r="B64" s="353">
        <f t="shared" si="17"/>
        <v>489828</v>
      </c>
      <c r="E64" s="233" t="s">
        <v>25</v>
      </c>
      <c r="F64" s="229">
        <f t="shared" si="18"/>
        <v>19593.12</v>
      </c>
      <c r="G64" s="229">
        <f t="shared" si="19"/>
        <v>16556.186399999999</v>
      </c>
      <c r="H64" s="229">
        <f t="shared" si="20"/>
        <v>39186.239999999998</v>
      </c>
      <c r="I64" s="229">
        <f t="shared" si="21"/>
        <v>49619.576399999998</v>
      </c>
      <c r="J64" s="229">
        <f t="shared" si="22"/>
        <v>58779.360000000001</v>
      </c>
      <c r="K64" s="229">
        <f t="shared" si="23"/>
        <v>66175.762799999997</v>
      </c>
      <c r="L64" s="232">
        <v>52.33</v>
      </c>
      <c r="M64" s="216">
        <f t="shared" si="26"/>
        <v>1.7720236957768012</v>
      </c>
      <c r="N64" s="220">
        <f t="shared" si="24"/>
        <v>69438.945828396711</v>
      </c>
      <c r="O64" s="220">
        <f t="shared" si="25"/>
        <v>87927.06515520734</v>
      </c>
    </row>
    <row r="65" spans="1:15">
      <c r="A65" s="233" t="s">
        <v>27</v>
      </c>
      <c r="B65" s="353">
        <f t="shared" si="17"/>
        <v>489828</v>
      </c>
      <c r="E65" s="233" t="s">
        <v>27</v>
      </c>
      <c r="F65" s="229">
        <f t="shared" si="18"/>
        <v>19593.12</v>
      </c>
      <c r="G65" s="229">
        <f t="shared" si="19"/>
        <v>16556.186399999999</v>
      </c>
      <c r="H65" s="229">
        <f t="shared" si="20"/>
        <v>39186.239999999998</v>
      </c>
      <c r="I65" s="229">
        <f t="shared" si="21"/>
        <v>49619.576399999998</v>
      </c>
      <c r="J65" s="229">
        <f t="shared" si="22"/>
        <v>58779.360000000001</v>
      </c>
      <c r="K65" s="229">
        <f t="shared" si="23"/>
        <v>66175.762799999997</v>
      </c>
      <c r="L65" s="232">
        <v>52.26</v>
      </c>
      <c r="M65" s="216">
        <f t="shared" si="26"/>
        <v>1.7743972445464984</v>
      </c>
      <c r="N65" s="220">
        <f t="shared" si="24"/>
        <v>69531.956280137776</v>
      </c>
      <c r="O65" s="220">
        <f t="shared" si="25"/>
        <v>88044.839639724451</v>
      </c>
    </row>
    <row r="66" spans="1:15">
      <c r="A66" s="233" t="s">
        <v>29</v>
      </c>
      <c r="B66" s="353">
        <f t="shared" si="17"/>
        <v>489828</v>
      </c>
      <c r="E66" s="233" t="s">
        <v>29</v>
      </c>
      <c r="F66" s="229">
        <f t="shared" si="18"/>
        <v>19593.12</v>
      </c>
      <c r="G66" s="229">
        <f t="shared" si="19"/>
        <v>16556.186399999999</v>
      </c>
      <c r="H66" s="229">
        <f t="shared" si="20"/>
        <v>39186.239999999998</v>
      </c>
      <c r="I66" s="229">
        <f t="shared" si="21"/>
        <v>49619.576399999998</v>
      </c>
      <c r="J66" s="229">
        <f t="shared" si="22"/>
        <v>58779.360000000001</v>
      </c>
      <c r="K66" s="229">
        <f t="shared" si="23"/>
        <v>66175.762799999997</v>
      </c>
      <c r="L66" s="232">
        <v>52.42</v>
      </c>
      <c r="M66" s="216">
        <f t="shared" si="26"/>
        <v>1.7689813048454788</v>
      </c>
      <c r="N66" s="220">
        <f t="shared" si="24"/>
        <v>69319.725967188089</v>
      </c>
      <c r="O66" s="220">
        <f t="shared" si="25"/>
        <v>87776.103005951925</v>
      </c>
    </row>
    <row r="67" spans="1:15">
      <c r="A67" s="233" t="s">
        <v>31</v>
      </c>
      <c r="B67" s="353">
        <f t="shared" si="17"/>
        <v>489828</v>
      </c>
      <c r="E67" s="233" t="s">
        <v>31</v>
      </c>
      <c r="F67" s="229">
        <f t="shared" si="18"/>
        <v>19593.12</v>
      </c>
      <c r="G67" s="229">
        <f t="shared" si="19"/>
        <v>16556.186399999999</v>
      </c>
      <c r="H67" s="229">
        <f t="shared" si="20"/>
        <v>39186.239999999998</v>
      </c>
      <c r="I67" s="229">
        <f t="shared" si="21"/>
        <v>49619.576399999998</v>
      </c>
      <c r="J67" s="229">
        <f t="shared" si="22"/>
        <v>58779.360000000001</v>
      </c>
      <c r="K67" s="229">
        <f t="shared" si="23"/>
        <v>66175.762799999997</v>
      </c>
      <c r="L67" s="232">
        <v>52.53</v>
      </c>
      <c r="M67" s="216">
        <f t="shared" si="26"/>
        <v>1.7652769845802398</v>
      </c>
      <c r="N67" s="220">
        <f t="shared" si="24"/>
        <v>69174.567584237579</v>
      </c>
      <c r="O67" s="220">
        <f t="shared" si="25"/>
        <v>87592.296203540827</v>
      </c>
    </row>
    <row r="68" spans="1:15">
      <c r="A68" s="233" t="s">
        <v>33</v>
      </c>
      <c r="B68" s="353">
        <f t="shared" si="17"/>
        <v>489828</v>
      </c>
      <c r="E68" s="233" t="s">
        <v>33</v>
      </c>
      <c r="F68" s="229">
        <f t="shared" si="18"/>
        <v>19593.12</v>
      </c>
      <c r="G68" s="229">
        <f t="shared" si="19"/>
        <v>16556.186399999999</v>
      </c>
      <c r="H68" s="229">
        <f t="shared" si="20"/>
        <v>39186.239999999998</v>
      </c>
      <c r="I68" s="229">
        <f t="shared" si="21"/>
        <v>49619.576399999998</v>
      </c>
      <c r="J68" s="229">
        <f t="shared" si="22"/>
        <v>58779.360000000001</v>
      </c>
      <c r="K68" s="229">
        <f t="shared" si="23"/>
        <v>66175.762799999997</v>
      </c>
      <c r="L68" s="232">
        <v>52.56</v>
      </c>
      <c r="M68" s="216">
        <f t="shared" si="26"/>
        <v>1.764269406392694</v>
      </c>
      <c r="N68" s="220">
        <f t="shared" si="24"/>
        <v>69135.08438356164</v>
      </c>
      <c r="O68" s="220">
        <f t="shared" si="25"/>
        <v>87542.300600684932</v>
      </c>
    </row>
    <row r="69" spans="1:15">
      <c r="A69" s="233" t="s">
        <v>34</v>
      </c>
      <c r="B69" s="353">
        <f t="shared" si="17"/>
        <v>489828</v>
      </c>
      <c r="E69" s="233" t="s">
        <v>34</v>
      </c>
      <c r="F69" s="229">
        <f t="shared" si="18"/>
        <v>19593.12</v>
      </c>
      <c r="G69" s="229">
        <f t="shared" si="19"/>
        <v>16556.186399999999</v>
      </c>
      <c r="H69" s="229">
        <f t="shared" si="20"/>
        <v>39186.239999999998</v>
      </c>
      <c r="I69" s="229">
        <f t="shared" si="21"/>
        <v>49619.576399999998</v>
      </c>
      <c r="J69" s="229">
        <f t="shared" si="22"/>
        <v>58779.360000000001</v>
      </c>
      <c r="K69" s="229">
        <f t="shared" si="23"/>
        <v>66175.762799999997</v>
      </c>
      <c r="L69" s="232">
        <v>52.75</v>
      </c>
      <c r="M69" s="216">
        <f t="shared" si="26"/>
        <v>1.7579146919431281</v>
      </c>
      <c r="N69" s="220">
        <f t="shared" si="24"/>
        <v>68886.067018009475</v>
      </c>
      <c r="O69" s="220">
        <f t="shared" si="25"/>
        <v>87226.982361554503</v>
      </c>
    </row>
    <row r="70" spans="1:15">
      <c r="A70" s="233" t="s">
        <v>35</v>
      </c>
      <c r="B70" s="353">
        <f t="shared" si="17"/>
        <v>489828</v>
      </c>
      <c r="E70" s="233" t="s">
        <v>35</v>
      </c>
      <c r="F70" s="229">
        <f t="shared" si="18"/>
        <v>19593.12</v>
      </c>
      <c r="G70" s="229">
        <f t="shared" si="19"/>
        <v>16556.186399999999</v>
      </c>
      <c r="H70" s="229">
        <f t="shared" si="20"/>
        <v>39186.239999999998</v>
      </c>
      <c r="I70" s="229">
        <f t="shared" si="21"/>
        <v>49619.576399999998</v>
      </c>
      <c r="J70" s="229">
        <f t="shared" si="22"/>
        <v>58779.360000000001</v>
      </c>
      <c r="K70" s="229">
        <f t="shared" si="23"/>
        <v>66175.762799999997</v>
      </c>
      <c r="L70" s="232">
        <v>53.07</v>
      </c>
      <c r="M70" s="216">
        <f t="shared" si="26"/>
        <v>1.7473148671565857</v>
      </c>
      <c r="N70" s="220">
        <f t="shared" si="24"/>
        <v>68470.699739966076</v>
      </c>
      <c r="O70" s="220">
        <f t="shared" si="25"/>
        <v>86701.023545732052</v>
      </c>
    </row>
    <row r="71" spans="1:15">
      <c r="N71" s="1544"/>
      <c r="O71" s="1544"/>
    </row>
    <row r="72" spans="1:15">
      <c r="F72" s="229">
        <f t="shared" ref="F72:K72" si="27">SUM(F59:F71)</f>
        <v>235117.43999999997</v>
      </c>
      <c r="G72" s="229">
        <f t="shared" si="27"/>
        <v>198674.23680000004</v>
      </c>
      <c r="H72" s="229">
        <f t="shared" si="27"/>
        <v>470234.87999999995</v>
      </c>
      <c r="I72" s="229">
        <f t="shared" si="27"/>
        <v>595434.91680000012</v>
      </c>
      <c r="J72" s="229">
        <f t="shared" si="27"/>
        <v>705352.32</v>
      </c>
      <c r="K72" s="229">
        <f t="shared" si="27"/>
        <v>794109.15360000019</v>
      </c>
      <c r="L72" s="2816" t="s">
        <v>1562</v>
      </c>
      <c r="M72" s="2817"/>
      <c r="N72" s="1678">
        <f>SUM(N59:N71)</f>
        <v>836993.23252777813</v>
      </c>
      <c r="O72" s="1678">
        <f>SUM(O59:O71)</f>
        <v>1059842.6806882992</v>
      </c>
    </row>
    <row r="75" spans="1:15">
      <c r="A75" s="218"/>
      <c r="B75" s="218"/>
      <c r="C75" s="218"/>
      <c r="E75" s="221" t="s">
        <v>1563</v>
      </c>
      <c r="H75" s="393" t="s">
        <v>1555</v>
      </c>
      <c r="L75" s="2813" t="s">
        <v>1556</v>
      </c>
      <c r="M75" s="2814"/>
      <c r="N75" s="2814"/>
      <c r="O75" s="2814"/>
    </row>
    <row r="76" spans="1:15">
      <c r="A76" s="228" t="s">
        <v>11</v>
      </c>
      <c r="B76" s="351" t="s">
        <v>106</v>
      </c>
      <c r="E76" s="229" t="s">
        <v>11</v>
      </c>
      <c r="F76" s="229" t="s">
        <v>78</v>
      </c>
      <c r="G76" s="229" t="s">
        <v>79</v>
      </c>
      <c r="H76" s="229" t="s">
        <v>80</v>
      </c>
      <c r="I76" s="229" t="s">
        <v>81</v>
      </c>
      <c r="J76" s="229" t="s">
        <v>82</v>
      </c>
      <c r="K76" s="229" t="s">
        <v>83</v>
      </c>
      <c r="L76" s="228" t="s">
        <v>76</v>
      </c>
      <c r="M76" s="472" t="s">
        <v>77</v>
      </c>
      <c r="N76" s="229" t="s">
        <v>1557</v>
      </c>
      <c r="O76" s="229" t="s">
        <v>1558</v>
      </c>
    </row>
    <row r="77" spans="1:15">
      <c r="A77" s="233" t="s">
        <v>191</v>
      </c>
      <c r="B77" s="353">
        <f>+$C$18</f>
        <v>489828</v>
      </c>
      <c r="D77" s="218"/>
      <c r="E77" s="233" t="s">
        <v>191</v>
      </c>
      <c r="F77" s="229">
        <f t="shared" ref="F77:F88" si="28">+B77*0.04</f>
        <v>19593.12</v>
      </c>
      <c r="G77" s="229">
        <f>+B77*0.0363</f>
        <v>17780.756399999998</v>
      </c>
      <c r="H77" s="229">
        <f>+B77*0.08</f>
        <v>39186.239999999998</v>
      </c>
      <c r="I77" s="229">
        <f>+B77*11.25%</f>
        <v>55105.65</v>
      </c>
      <c r="J77" s="229">
        <f t="shared" ref="J77:J88" si="29">+F77+H77</f>
        <v>58779.360000000001</v>
      </c>
      <c r="K77" s="229">
        <f t="shared" ref="K77:K88" si="30">+I77+G77</f>
        <v>72886.406400000007</v>
      </c>
      <c r="L77" s="232">
        <v>53.54</v>
      </c>
      <c r="M77" s="216">
        <f>+$I$20/L70</f>
        <v>1.7473148671565857</v>
      </c>
      <c r="N77" s="220">
        <f>+M77*H77</f>
        <v>68470.699739966076</v>
      </c>
      <c r="O77" s="220">
        <f>+I77*M77</f>
        <v>96286.921509327309</v>
      </c>
    </row>
    <row r="78" spans="1:15">
      <c r="A78" s="233" t="s">
        <v>1560</v>
      </c>
      <c r="B78" s="353">
        <f>+$C$18</f>
        <v>489828</v>
      </c>
      <c r="E78" s="233" t="s">
        <v>1560</v>
      </c>
      <c r="F78" s="229">
        <f t="shared" si="28"/>
        <v>19593.12</v>
      </c>
      <c r="G78" s="229">
        <f>+B78*0.0363</f>
        <v>17780.756399999998</v>
      </c>
      <c r="H78" s="229">
        <f>+B78*0.08</f>
        <v>39186.239999999998</v>
      </c>
      <c r="I78" s="229">
        <f>+B78*11.25%</f>
        <v>55105.65</v>
      </c>
      <c r="J78" s="229">
        <f t="shared" si="29"/>
        <v>58779.360000000001</v>
      </c>
      <c r="K78" s="229">
        <f t="shared" si="30"/>
        <v>72886.406400000007</v>
      </c>
      <c r="L78" s="232">
        <v>54.18</v>
      </c>
      <c r="M78" s="216">
        <f>+$I$20/L77</f>
        <v>1.7319760926410162</v>
      </c>
      <c r="N78" s="220">
        <f>+M78*H78</f>
        <v>67869.63084049309</v>
      </c>
      <c r="O78" s="220">
        <f>+I78*M78</f>
        <v>95441.668369443418</v>
      </c>
    </row>
    <row r="79" spans="1:15">
      <c r="A79" s="233" t="s">
        <v>19</v>
      </c>
      <c r="B79" s="353">
        <f>+$C$18</f>
        <v>489828</v>
      </c>
      <c r="E79" s="233" t="s">
        <v>19</v>
      </c>
      <c r="F79" s="229">
        <f t="shared" si="28"/>
        <v>19593.12</v>
      </c>
      <c r="G79" s="229">
        <f>+B79*0.0363</f>
        <v>17780.756399999998</v>
      </c>
      <c r="H79" s="229">
        <f>+B79*0.08</f>
        <v>39186.239999999998</v>
      </c>
      <c r="I79" s="229">
        <f>+B79*11.25%</f>
        <v>55105.65</v>
      </c>
      <c r="J79" s="229">
        <f t="shared" si="29"/>
        <v>58779.360000000001</v>
      </c>
      <c r="K79" s="229">
        <f t="shared" si="30"/>
        <v>72886.406400000007</v>
      </c>
      <c r="L79" s="232">
        <v>54.71</v>
      </c>
      <c r="M79" s="216">
        <f>+$I$20/L78</f>
        <v>1.7115171650055372</v>
      </c>
      <c r="N79" s="220">
        <f>+M79*H79</f>
        <v>67067.922392026579</v>
      </c>
      <c r="O79" s="220">
        <f>+I79*M79</f>
        <v>94314.265863787383</v>
      </c>
    </row>
    <row r="80" spans="1:15">
      <c r="A80" s="233" t="s">
        <v>21</v>
      </c>
      <c r="B80" s="353">
        <f>+$C$18</f>
        <v>489828</v>
      </c>
      <c r="E80" s="233" t="s">
        <v>21</v>
      </c>
      <c r="F80" s="229">
        <f t="shared" si="28"/>
        <v>19593.12</v>
      </c>
      <c r="G80" s="229">
        <f>+B80*0.0363</f>
        <v>17780.756399999998</v>
      </c>
      <c r="H80" s="229">
        <f>+B80*0.08</f>
        <v>39186.239999999998</v>
      </c>
      <c r="I80" s="229">
        <f>+B80*11.25%</f>
        <v>55105.65</v>
      </c>
      <c r="J80" s="229">
        <f t="shared" si="29"/>
        <v>58779.360000000001</v>
      </c>
      <c r="K80" s="229">
        <f t="shared" si="30"/>
        <v>72886.406400000007</v>
      </c>
      <c r="L80" s="232">
        <v>54.96</v>
      </c>
      <c r="M80" s="216">
        <f>+$I$20/L79</f>
        <v>1.6949369402303054</v>
      </c>
      <c r="N80" s="220">
        <f>+M80*H80</f>
        <v>66418.205724730404</v>
      </c>
      <c r="O80" s="220">
        <f>+I80*M80</f>
        <v>93400.601800402132</v>
      </c>
    </row>
    <row r="81" spans="1:15">
      <c r="A81" s="233" t="s">
        <v>23</v>
      </c>
      <c r="B81" s="353">
        <f>($C$18/30)*15</f>
        <v>244914</v>
      </c>
      <c r="E81" s="233" t="s">
        <v>23</v>
      </c>
      <c r="F81" s="229">
        <f t="shared" si="28"/>
        <v>9796.56</v>
      </c>
      <c r="G81" s="229">
        <f>+B81*0.0363</f>
        <v>8890.3781999999992</v>
      </c>
      <c r="H81" s="229">
        <f>+B81*0.08</f>
        <v>19593.12</v>
      </c>
      <c r="I81" s="229">
        <f>+B81*11.25%</f>
        <v>27552.825000000001</v>
      </c>
      <c r="J81" s="229">
        <f t="shared" si="29"/>
        <v>29389.68</v>
      </c>
      <c r="K81" s="229">
        <f t="shared" si="30"/>
        <v>36443.203200000004</v>
      </c>
      <c r="L81" s="232">
        <v>55.17</v>
      </c>
      <c r="M81" s="216">
        <f>+$I$20/L80</f>
        <v>1.687227074235808</v>
      </c>
      <c r="N81" s="220">
        <f>+M81*H81</f>
        <v>33058.042532751089</v>
      </c>
      <c r="O81" s="220">
        <f>+I81*M81</f>
        <v>46487.872311681225</v>
      </c>
    </row>
    <row r="82" spans="1:15">
      <c r="A82" s="233" t="s">
        <v>25</v>
      </c>
      <c r="B82" s="353">
        <v>0</v>
      </c>
      <c r="E82" s="233" t="s">
        <v>25</v>
      </c>
      <c r="F82" s="229">
        <f t="shared" si="28"/>
        <v>0</v>
      </c>
      <c r="G82" s="229">
        <f t="shared" ref="G82:G88" si="31">+B82*0.04</f>
        <v>0</v>
      </c>
      <c r="H82" s="229">
        <f t="shared" ref="H82:H88" si="32">+B82*0.085</f>
        <v>0</v>
      </c>
      <c r="I82" s="229">
        <f t="shared" ref="I82:I88" si="33">+B82*0.085</f>
        <v>0</v>
      </c>
      <c r="J82" s="229">
        <f t="shared" si="29"/>
        <v>0</v>
      </c>
      <c r="K82" s="229">
        <f t="shared" si="30"/>
        <v>0</v>
      </c>
      <c r="L82" s="232"/>
      <c r="M82" s="216"/>
      <c r="N82" s="220"/>
      <c r="O82" s="220"/>
    </row>
    <row r="83" spans="1:15">
      <c r="A83" s="233" t="s">
        <v>27</v>
      </c>
      <c r="B83" s="353">
        <v>0</v>
      </c>
      <c r="E83" s="233" t="s">
        <v>27</v>
      </c>
      <c r="F83" s="229">
        <f t="shared" si="28"/>
        <v>0</v>
      </c>
      <c r="G83" s="229">
        <f t="shared" si="31"/>
        <v>0</v>
      </c>
      <c r="H83" s="229">
        <f t="shared" si="32"/>
        <v>0</v>
      </c>
      <c r="I83" s="229">
        <f t="shared" si="33"/>
        <v>0</v>
      </c>
      <c r="J83" s="229">
        <f t="shared" si="29"/>
        <v>0</v>
      </c>
      <c r="K83" s="229">
        <f t="shared" si="30"/>
        <v>0</v>
      </c>
      <c r="L83" s="232"/>
      <c r="M83" s="216"/>
      <c r="N83" s="220"/>
      <c r="O83" s="220"/>
    </row>
    <row r="84" spans="1:15">
      <c r="A84" s="233" t="s">
        <v>29</v>
      </c>
      <c r="B84" s="353">
        <v>0</v>
      </c>
      <c r="E84" s="233" t="s">
        <v>29</v>
      </c>
      <c r="F84" s="229">
        <f t="shared" si="28"/>
        <v>0</v>
      </c>
      <c r="G84" s="229">
        <f t="shared" si="31"/>
        <v>0</v>
      </c>
      <c r="H84" s="229">
        <f t="shared" si="32"/>
        <v>0</v>
      </c>
      <c r="I84" s="229">
        <f t="shared" si="33"/>
        <v>0</v>
      </c>
      <c r="J84" s="229">
        <f t="shared" si="29"/>
        <v>0</v>
      </c>
      <c r="K84" s="229">
        <f t="shared" si="30"/>
        <v>0</v>
      </c>
      <c r="L84" s="232"/>
      <c r="M84" s="216"/>
      <c r="N84" s="220"/>
      <c r="O84" s="220"/>
    </row>
    <row r="85" spans="1:15">
      <c r="A85" s="233" t="s">
        <v>31</v>
      </c>
      <c r="B85" s="353">
        <v>0</v>
      </c>
      <c r="E85" s="233" t="s">
        <v>31</v>
      </c>
      <c r="F85" s="229">
        <f t="shared" si="28"/>
        <v>0</v>
      </c>
      <c r="G85" s="229">
        <f t="shared" si="31"/>
        <v>0</v>
      </c>
      <c r="H85" s="229">
        <f t="shared" si="32"/>
        <v>0</v>
      </c>
      <c r="I85" s="229">
        <f t="shared" si="33"/>
        <v>0</v>
      </c>
      <c r="J85" s="229">
        <f t="shared" si="29"/>
        <v>0</v>
      </c>
      <c r="K85" s="229">
        <f t="shared" si="30"/>
        <v>0</v>
      </c>
      <c r="L85" s="232"/>
      <c r="M85" s="216"/>
      <c r="N85" s="220"/>
      <c r="O85" s="220"/>
    </row>
    <row r="86" spans="1:15">
      <c r="A86" s="233" t="s">
        <v>33</v>
      </c>
      <c r="B86" s="353">
        <v>0</v>
      </c>
      <c r="E86" s="233" t="s">
        <v>33</v>
      </c>
      <c r="F86" s="229">
        <f t="shared" si="28"/>
        <v>0</v>
      </c>
      <c r="G86" s="229">
        <f t="shared" si="31"/>
        <v>0</v>
      </c>
      <c r="H86" s="229">
        <f t="shared" si="32"/>
        <v>0</v>
      </c>
      <c r="I86" s="229">
        <f t="shared" si="33"/>
        <v>0</v>
      </c>
      <c r="J86" s="229">
        <f t="shared" si="29"/>
        <v>0</v>
      </c>
      <c r="K86" s="229">
        <f t="shared" si="30"/>
        <v>0</v>
      </c>
      <c r="L86" s="232"/>
      <c r="M86" s="216"/>
      <c r="N86" s="220"/>
      <c r="O86" s="220"/>
    </row>
    <row r="87" spans="1:15">
      <c r="A87" s="233" t="s">
        <v>34</v>
      </c>
      <c r="B87" s="353">
        <v>0</v>
      </c>
      <c r="E87" s="233" t="s">
        <v>34</v>
      </c>
      <c r="F87" s="229">
        <f t="shared" si="28"/>
        <v>0</v>
      </c>
      <c r="G87" s="229">
        <f t="shared" si="31"/>
        <v>0</v>
      </c>
      <c r="H87" s="229">
        <f t="shared" si="32"/>
        <v>0</v>
      </c>
      <c r="I87" s="229">
        <f t="shared" si="33"/>
        <v>0</v>
      </c>
      <c r="J87" s="229">
        <f t="shared" si="29"/>
        <v>0</v>
      </c>
      <c r="K87" s="229">
        <f t="shared" si="30"/>
        <v>0</v>
      </c>
      <c r="L87" s="232"/>
      <c r="M87" s="216"/>
      <c r="N87" s="220"/>
      <c r="O87" s="220"/>
    </row>
    <row r="88" spans="1:15">
      <c r="A88" s="233" t="s">
        <v>35</v>
      </c>
      <c r="B88" s="353">
        <v>0</v>
      </c>
      <c r="E88" s="233" t="s">
        <v>35</v>
      </c>
      <c r="F88" s="229">
        <f t="shared" si="28"/>
        <v>0</v>
      </c>
      <c r="G88" s="229">
        <f t="shared" si="31"/>
        <v>0</v>
      </c>
      <c r="H88" s="229">
        <f t="shared" si="32"/>
        <v>0</v>
      </c>
      <c r="I88" s="229">
        <f t="shared" si="33"/>
        <v>0</v>
      </c>
      <c r="J88" s="229">
        <f t="shared" si="29"/>
        <v>0</v>
      </c>
      <c r="K88" s="229">
        <f t="shared" si="30"/>
        <v>0</v>
      </c>
      <c r="L88" s="232"/>
      <c r="M88" s="216"/>
      <c r="N88" s="220"/>
      <c r="O88" s="220"/>
    </row>
    <row r="89" spans="1:15">
      <c r="N89" s="1544"/>
      <c r="O89" s="1544"/>
    </row>
    <row r="90" spans="1:15">
      <c r="F90" s="229">
        <f t="shared" ref="F90:K90" si="34">SUM(F77:F89)</f>
        <v>88169.04</v>
      </c>
      <c r="G90" s="229">
        <f t="shared" si="34"/>
        <v>80013.4038</v>
      </c>
      <c r="H90" s="229">
        <f t="shared" si="34"/>
        <v>176338.08</v>
      </c>
      <c r="I90" s="229">
        <f t="shared" si="34"/>
        <v>247975.42500000002</v>
      </c>
      <c r="J90" s="229">
        <f t="shared" si="34"/>
        <v>264507.12</v>
      </c>
      <c r="K90" s="229">
        <f t="shared" si="34"/>
        <v>327988.82880000002</v>
      </c>
      <c r="L90" s="2574" t="s">
        <v>1562</v>
      </c>
      <c r="M90" s="2574"/>
      <c r="N90" s="1679">
        <f>SUM(N77:N89)</f>
        <v>302884.50122996722</v>
      </c>
      <c r="O90" s="1679">
        <f>SUM(O77:O89)</f>
        <v>425931.32985464152</v>
      </c>
    </row>
    <row r="93" spans="1:15">
      <c r="L93" s="219" t="s">
        <v>1564</v>
      </c>
      <c r="M93" s="216"/>
      <c r="N93" s="1585">
        <f>+N37+N54+N72+N90</f>
        <v>2658074.3152621752</v>
      </c>
      <c r="O93" s="1585">
        <f>+O37+O54+O72+O90</f>
        <v>3314426.3011631747</v>
      </c>
    </row>
    <row r="117" spans="2:21">
      <c r="B117" s="234" t="s">
        <v>891</v>
      </c>
      <c r="C117" s="997"/>
      <c r="D117" s="234"/>
      <c r="E117" s="234"/>
      <c r="F117" s="997"/>
      <c r="G117" s="349"/>
      <c r="H117" s="234"/>
      <c r="I117" s="234"/>
      <c r="J117" s="234"/>
      <c r="K117" s="234"/>
      <c r="L117" s="234"/>
      <c r="M117" s="234"/>
      <c r="N117" s="234"/>
      <c r="O117" s="234"/>
      <c r="P117" s="234"/>
      <c r="Q117" s="234"/>
      <c r="R117" s="234"/>
      <c r="S117" s="234"/>
      <c r="T117" s="234"/>
      <c r="U117" s="234"/>
    </row>
    <row r="118" spans="2:21">
      <c r="B118" s="234" t="s">
        <v>892</v>
      </c>
      <c r="C118" s="997"/>
      <c r="D118" s="234"/>
      <c r="E118" s="234"/>
      <c r="F118" s="997"/>
      <c r="G118" s="349"/>
      <c r="H118" s="234"/>
      <c r="I118" s="234"/>
      <c r="J118" s="234"/>
      <c r="K118" s="234"/>
      <c r="L118" s="234"/>
      <c r="M118" s="234"/>
      <c r="N118" s="234"/>
      <c r="O118" s="234"/>
      <c r="P118" s="234"/>
      <c r="Q118" s="234"/>
      <c r="R118" s="234"/>
      <c r="S118" s="234"/>
      <c r="T118" s="234"/>
      <c r="U118" s="234"/>
    </row>
    <row r="119" spans="2:21">
      <c r="B119" s="234" t="s">
        <v>893</v>
      </c>
      <c r="C119" s="997"/>
      <c r="D119" s="234"/>
      <c r="E119" s="234"/>
      <c r="F119" s="997"/>
      <c r="G119" s="349"/>
      <c r="H119" s="234"/>
      <c r="I119" s="234"/>
      <c r="J119" s="234"/>
      <c r="K119" s="234"/>
      <c r="L119" s="234"/>
      <c r="M119" s="234"/>
      <c r="N119" s="234"/>
      <c r="O119" s="234"/>
      <c r="P119" s="234"/>
      <c r="Q119" s="234"/>
      <c r="R119" s="234"/>
      <c r="S119" s="234"/>
      <c r="T119" s="234"/>
      <c r="U119" s="234"/>
    </row>
    <row r="120" spans="2:21">
      <c r="B120" s="234"/>
      <c r="C120" s="997"/>
      <c r="D120" s="234"/>
      <c r="E120" s="234"/>
      <c r="F120" s="997"/>
      <c r="G120" s="349"/>
      <c r="H120" s="234"/>
      <c r="I120" s="234"/>
      <c r="J120" s="234"/>
      <c r="K120" s="234"/>
      <c r="L120" s="234"/>
      <c r="M120" s="234"/>
      <c r="N120" s="234"/>
      <c r="O120" s="234"/>
      <c r="P120" s="234" t="s">
        <v>894</v>
      </c>
      <c r="Q120" s="234"/>
      <c r="R120" s="234"/>
      <c r="S120" s="234"/>
      <c r="T120" s="234"/>
      <c r="U120" s="234"/>
    </row>
    <row r="121" spans="2:21">
      <c r="B121" s="234" t="s">
        <v>895</v>
      </c>
      <c r="C121" s="997">
        <v>1993</v>
      </c>
      <c r="D121" s="234">
        <v>1994</v>
      </c>
      <c r="E121" s="234">
        <v>1995</v>
      </c>
      <c r="F121" s="997">
        <v>1996</v>
      </c>
      <c r="G121" s="349">
        <v>1997</v>
      </c>
      <c r="H121" s="234">
        <v>1998</v>
      </c>
      <c r="I121" s="234">
        <v>1999</v>
      </c>
      <c r="J121" s="234">
        <v>2000</v>
      </c>
      <c r="K121" s="234">
        <v>2001</v>
      </c>
      <c r="L121" s="234">
        <v>2002</v>
      </c>
      <c r="M121" s="234">
        <v>2003</v>
      </c>
      <c r="N121" s="234">
        <v>2004</v>
      </c>
      <c r="O121" s="234">
        <v>2005</v>
      </c>
      <c r="P121" s="234">
        <v>2006</v>
      </c>
      <c r="Q121" s="234">
        <v>2007</v>
      </c>
      <c r="R121" s="234">
        <v>2008</v>
      </c>
      <c r="S121" s="234"/>
      <c r="T121" s="234"/>
      <c r="U121" s="234"/>
    </row>
    <row r="122" spans="2:21">
      <c r="B122" s="234" t="s">
        <v>16</v>
      </c>
      <c r="C122" s="997">
        <v>34.41281</v>
      </c>
      <c r="D122" s="234">
        <v>42.157960000000003</v>
      </c>
      <c r="E122" s="234">
        <v>51.0304</v>
      </c>
      <c r="F122" s="234">
        <v>61.363549999999996</v>
      </c>
      <c r="G122" s="349">
        <v>74.017989999999998</v>
      </c>
      <c r="H122" s="234">
        <v>87.223489999999998</v>
      </c>
      <c r="I122" s="234">
        <v>102.20906921</v>
      </c>
      <c r="J122" s="234">
        <v>110.64001808</v>
      </c>
      <c r="K122" s="234">
        <v>120.03575539000001</v>
      </c>
      <c r="L122" s="234">
        <v>128.88810169000001</v>
      </c>
      <c r="M122" s="234">
        <v>138.41844761999999</v>
      </c>
      <c r="N122" s="234">
        <v>146.98315106999999</v>
      </c>
      <c r="O122" s="234">
        <v>154.96504443000001</v>
      </c>
      <c r="P122" s="234">
        <v>162.03629368</v>
      </c>
      <c r="Q122" s="234">
        <v>169.67104361</v>
      </c>
      <c r="R122" s="234">
        <v>179.84629279000001</v>
      </c>
      <c r="S122" s="234"/>
      <c r="T122" s="234"/>
      <c r="U122" s="234"/>
    </row>
    <row r="123" spans="2:21">
      <c r="B123" s="234" t="s">
        <v>17</v>
      </c>
      <c r="C123" s="997">
        <v>35.533819999999999</v>
      </c>
      <c r="D123" s="234">
        <v>43.711770000000001</v>
      </c>
      <c r="E123" s="234">
        <v>52.83081</v>
      </c>
      <c r="F123" s="234">
        <v>63.824489999999997</v>
      </c>
      <c r="G123" s="349">
        <v>76.326689999999999</v>
      </c>
      <c r="H123" s="234">
        <v>90.088290000000001</v>
      </c>
      <c r="I123" s="234">
        <v>103.94487785</v>
      </c>
      <c r="J123" s="234">
        <v>113.18700803</v>
      </c>
      <c r="K123" s="234">
        <v>122.30791367</v>
      </c>
      <c r="L123" s="234">
        <v>130.50769692</v>
      </c>
      <c r="M123" s="234">
        <v>139.95561814999999</v>
      </c>
      <c r="N123" s="234">
        <v>148.74610769</v>
      </c>
      <c r="O123" s="234">
        <v>156.54950775</v>
      </c>
      <c r="P123" s="234">
        <v>163.10202199</v>
      </c>
      <c r="Q123" s="234">
        <v>171.65960598999999</v>
      </c>
      <c r="R123" s="234">
        <v>182.56343713000001</v>
      </c>
      <c r="S123" s="234"/>
      <c r="T123" s="234"/>
      <c r="U123" s="234"/>
    </row>
    <row r="124" spans="2:21">
      <c r="B124" s="234" t="s">
        <v>19</v>
      </c>
      <c r="C124" s="997">
        <v>36.201889999999999</v>
      </c>
      <c r="D124" s="234">
        <v>44.680540000000001</v>
      </c>
      <c r="E124" s="234">
        <v>54.214770000000001</v>
      </c>
      <c r="F124" s="234">
        <v>65.170699999999997</v>
      </c>
      <c r="G124" s="349">
        <v>77.513120000000001</v>
      </c>
      <c r="H124" s="234">
        <v>92.432209999999998</v>
      </c>
      <c r="I124" s="234">
        <v>104.91983184</v>
      </c>
      <c r="J124" s="234">
        <v>115.12348115</v>
      </c>
      <c r="K124" s="234">
        <v>124.11956954</v>
      </c>
      <c r="L124" s="234">
        <v>131.43211833999999</v>
      </c>
      <c r="M124" s="234">
        <v>141.42112886000001</v>
      </c>
      <c r="N124" s="234">
        <v>150.21019383000001</v>
      </c>
      <c r="O124" s="234">
        <v>157.76043562999999</v>
      </c>
      <c r="P124" s="234">
        <v>164.24755565000001</v>
      </c>
      <c r="Q124" s="234">
        <v>173.74182239999999</v>
      </c>
      <c r="R124" s="234">
        <v>184.03767880000001</v>
      </c>
      <c r="S124" s="234"/>
      <c r="T124" s="234"/>
      <c r="U124" s="234"/>
    </row>
    <row r="125" spans="2:21">
      <c r="B125" s="234" t="s">
        <v>21</v>
      </c>
      <c r="C125" s="997">
        <v>36.905200000000001</v>
      </c>
      <c r="D125" s="234">
        <v>45.741160000000001</v>
      </c>
      <c r="E125" s="234">
        <v>55.426360000000003</v>
      </c>
      <c r="F125" s="234">
        <v>66.459050000000005</v>
      </c>
      <c r="G125" s="349">
        <v>78.771259999999998</v>
      </c>
      <c r="H125" s="234">
        <v>95.117099999999994</v>
      </c>
      <c r="I125" s="234">
        <v>105.74219995</v>
      </c>
      <c r="J125" s="234">
        <v>116.27025052</v>
      </c>
      <c r="K125" s="234">
        <v>125.54388711</v>
      </c>
      <c r="L125" s="234">
        <v>132.63471425</v>
      </c>
      <c r="M125" s="234">
        <v>143.04406840999999</v>
      </c>
      <c r="N125" s="234">
        <v>150.89532851999999</v>
      </c>
      <c r="O125" s="234">
        <v>158.45251657</v>
      </c>
      <c r="P125" s="234">
        <v>164.98300617000001</v>
      </c>
      <c r="Q125" s="234">
        <v>175.30489800000001</v>
      </c>
      <c r="R125" s="234">
        <v>185.3463625</v>
      </c>
      <c r="S125" s="234"/>
      <c r="T125" s="234"/>
      <c r="U125" s="234"/>
    </row>
    <row r="126" spans="2:21">
      <c r="B126" s="234" t="s">
        <v>23</v>
      </c>
      <c r="C126" s="997">
        <v>37.499040000000001</v>
      </c>
      <c r="D126" s="234">
        <v>46.449489999999997</v>
      </c>
      <c r="E126" s="234">
        <v>56.346069999999997</v>
      </c>
      <c r="F126" s="234">
        <v>67.490729999999999</v>
      </c>
      <c r="G126" s="349">
        <v>80.050799999999995</v>
      </c>
      <c r="H126" s="234">
        <v>96.602969999999999</v>
      </c>
      <c r="I126" s="234">
        <v>106.24819869</v>
      </c>
      <c r="J126" s="234">
        <v>116.87634523</v>
      </c>
      <c r="K126" s="234">
        <v>126.06915261</v>
      </c>
      <c r="L126" s="234">
        <v>133.42888375999999</v>
      </c>
      <c r="M126" s="234">
        <v>143.74480954000001</v>
      </c>
      <c r="N126" s="234">
        <v>151.46999435000001</v>
      </c>
      <c r="O126" s="234">
        <v>159.09876929999999</v>
      </c>
      <c r="P126" s="234">
        <v>165.52385724999999</v>
      </c>
      <c r="Q126" s="234">
        <v>175.83009264</v>
      </c>
      <c r="R126" s="234">
        <v>187.07323116000001</v>
      </c>
      <c r="S126" s="234"/>
      <c r="T126" s="234"/>
      <c r="U126" s="234"/>
    </row>
    <row r="127" spans="2:21">
      <c r="B127" s="234" t="s">
        <v>25</v>
      </c>
      <c r="C127" s="997">
        <v>38.079050000000002</v>
      </c>
      <c r="D127" s="234">
        <v>46.87097</v>
      </c>
      <c r="E127" s="234">
        <v>57.026730000000001</v>
      </c>
      <c r="F127" s="234">
        <v>68.264489999999995</v>
      </c>
      <c r="G127" s="349">
        <v>81.013279999999995</v>
      </c>
      <c r="H127" s="234">
        <v>97.783109999999994</v>
      </c>
      <c r="I127" s="234">
        <v>106.54504429000001</v>
      </c>
      <c r="J127" s="234">
        <v>116.85370018</v>
      </c>
      <c r="K127" s="234">
        <v>126.11995761</v>
      </c>
      <c r="L127" s="234">
        <v>134.00106356000001</v>
      </c>
      <c r="M127" s="234">
        <v>143.66621954999999</v>
      </c>
      <c r="N127" s="234">
        <v>152.3840515</v>
      </c>
      <c r="O127" s="234">
        <v>159.73672411999999</v>
      </c>
      <c r="P127" s="234">
        <v>166.02755325000001</v>
      </c>
      <c r="Q127" s="234">
        <v>176.04535290999999</v>
      </c>
      <c r="R127" s="234">
        <v>188.68611719</v>
      </c>
      <c r="S127" s="234"/>
      <c r="T127" s="234"/>
      <c r="U127" s="234"/>
    </row>
    <row r="128" spans="2:21">
      <c r="B128" s="234" t="s">
        <v>27</v>
      </c>
      <c r="C128" s="997">
        <v>38.548340000000003</v>
      </c>
      <c r="D128" s="234">
        <v>47.298740000000002</v>
      </c>
      <c r="E128" s="234">
        <v>57.470849999999999</v>
      </c>
      <c r="F128" s="234">
        <v>69.296170000000004</v>
      </c>
      <c r="G128" s="349">
        <v>81.690160000000006</v>
      </c>
      <c r="H128" s="234">
        <v>98.249880000000005</v>
      </c>
      <c r="I128" s="234">
        <v>106.8774842</v>
      </c>
      <c r="J128" s="234">
        <v>116.80830609</v>
      </c>
      <c r="K128" s="234">
        <v>126.25753127</v>
      </c>
      <c r="L128" s="234">
        <v>134.03133172</v>
      </c>
      <c r="M128" s="234">
        <v>143.4606077</v>
      </c>
      <c r="N128" s="234">
        <v>152.33695084999999</v>
      </c>
      <c r="O128" s="234">
        <v>159.81446317000001</v>
      </c>
      <c r="P128" s="234">
        <v>166.7134284</v>
      </c>
      <c r="Q128" s="234">
        <v>176.33575191</v>
      </c>
      <c r="R128" s="234">
        <v>189.59547752</v>
      </c>
      <c r="S128" s="234"/>
      <c r="T128" s="234"/>
      <c r="U128" s="234"/>
    </row>
    <row r="129" spans="2:21">
      <c r="B129" s="234" t="s">
        <v>29</v>
      </c>
      <c r="C129" s="997">
        <v>39.03398</v>
      </c>
      <c r="D129" s="234">
        <v>47.761740000000003</v>
      </c>
      <c r="E129" s="234">
        <v>57.836970000000001</v>
      </c>
      <c r="F129" s="234">
        <v>70.061120000000003</v>
      </c>
      <c r="G129" s="349">
        <v>82.628739999999993</v>
      </c>
      <c r="H129" s="234">
        <v>98.282589999999999</v>
      </c>
      <c r="I129" s="234">
        <v>107.40664950999999</v>
      </c>
      <c r="J129" s="234">
        <v>117.17699838999999</v>
      </c>
      <c r="K129" s="234">
        <v>126.58658934</v>
      </c>
      <c r="L129" s="234">
        <v>134.15782843</v>
      </c>
      <c r="M129" s="234">
        <v>143.90377190000001</v>
      </c>
      <c r="N129" s="234">
        <v>152.38291136000001</v>
      </c>
      <c r="O129" s="234">
        <v>159.81692122999999</v>
      </c>
      <c r="P129" s="234">
        <v>167.36753210000001</v>
      </c>
      <c r="Q129" s="234">
        <v>176.10036446000001</v>
      </c>
      <c r="R129" s="234">
        <v>189.95817148</v>
      </c>
      <c r="S129" s="234"/>
      <c r="T129" s="234"/>
      <c r="U129" s="234"/>
    </row>
    <row r="130" spans="2:21">
      <c r="B130" s="234" t="s">
        <v>31</v>
      </c>
      <c r="C130" s="997">
        <v>39.474330000000002</v>
      </c>
      <c r="D130" s="234">
        <v>48.28387</v>
      </c>
      <c r="E130" s="234">
        <v>58.325130000000001</v>
      </c>
      <c r="F130" s="234">
        <v>70.895269999999996</v>
      </c>
      <c r="G130" s="349">
        <v>83.669229999999999</v>
      </c>
      <c r="H130" s="234">
        <v>98.566929999999999</v>
      </c>
      <c r="I130" s="234">
        <v>107.76198856000001</v>
      </c>
      <c r="J130" s="234">
        <v>117.67613745</v>
      </c>
      <c r="K130" s="234">
        <v>127.05628197</v>
      </c>
      <c r="L130" s="234">
        <v>134.64109142999999</v>
      </c>
      <c r="M130" s="234">
        <v>144.22053790000001</v>
      </c>
      <c r="N130" s="234">
        <v>152.83431748000001</v>
      </c>
      <c r="O130" s="234">
        <v>160.50063693999999</v>
      </c>
      <c r="P130" s="234">
        <v>167.84652473</v>
      </c>
      <c r="Q130" s="234">
        <v>176.24724653999999</v>
      </c>
      <c r="R130" s="234">
        <v>189.59571632999999</v>
      </c>
      <c r="S130" s="234"/>
      <c r="T130" s="234"/>
      <c r="U130" s="234"/>
    </row>
    <row r="131" spans="2:21">
      <c r="B131" s="234" t="s">
        <v>94</v>
      </c>
      <c r="C131" s="997">
        <v>39.895809999999997</v>
      </c>
      <c r="D131" s="234">
        <v>48.823610000000002</v>
      </c>
      <c r="E131" s="234">
        <v>58.842230000000001</v>
      </c>
      <c r="F131" s="234">
        <v>71.713059999999999</v>
      </c>
      <c r="G131" s="349">
        <v>84.478210000000004</v>
      </c>
      <c r="H131" s="234">
        <v>98.919210000000007</v>
      </c>
      <c r="I131" s="234">
        <v>108.13877069</v>
      </c>
      <c r="J131" s="234">
        <v>117.85621974999999</v>
      </c>
      <c r="K131" s="234">
        <v>127.29165599</v>
      </c>
      <c r="L131" s="234">
        <v>135.39389797000001</v>
      </c>
      <c r="M131" s="234">
        <v>144.3074661</v>
      </c>
      <c r="N131" s="234">
        <v>152.81911744000001</v>
      </c>
      <c r="O131" s="234">
        <v>160.86991824</v>
      </c>
      <c r="P131" s="234">
        <v>167.60381809</v>
      </c>
      <c r="Q131" s="234">
        <v>176.25770635000001</v>
      </c>
      <c r="R131" s="234">
        <v>190.25200333999999</v>
      </c>
      <c r="S131" s="234"/>
      <c r="T131" s="234"/>
      <c r="U131" s="234"/>
    </row>
    <row r="132" spans="2:21">
      <c r="B132" s="234" t="s">
        <v>34</v>
      </c>
      <c r="C132" s="997">
        <v>40.41039</v>
      </c>
      <c r="D132" s="234">
        <v>49.367130000000003</v>
      </c>
      <c r="E132" s="234">
        <v>59.308999999999997</v>
      </c>
      <c r="F132" s="234">
        <v>72.288039999999995</v>
      </c>
      <c r="G132" s="349">
        <v>85.16516</v>
      </c>
      <c r="H132" s="234">
        <v>99.094099999999997</v>
      </c>
      <c r="I132" s="234">
        <v>108.65660080000001</v>
      </c>
      <c r="J132" s="234">
        <v>118.24326372</v>
      </c>
      <c r="K132" s="234">
        <v>127.44043193</v>
      </c>
      <c r="L132" s="234">
        <v>136.44759371999999</v>
      </c>
      <c r="M132" s="234">
        <v>144.81011506999999</v>
      </c>
      <c r="N132" s="234">
        <v>153.24356617000001</v>
      </c>
      <c r="O132" s="234">
        <v>161.05381098999999</v>
      </c>
      <c r="P132" s="234">
        <v>168.00101168</v>
      </c>
      <c r="Q132" s="234">
        <v>177.09335311999999</v>
      </c>
      <c r="R132" s="234">
        <v>190.78283531</v>
      </c>
      <c r="S132" s="234"/>
      <c r="T132" s="234"/>
      <c r="U132" s="234"/>
    </row>
    <row r="133" spans="2:21">
      <c r="B133" s="234" t="s">
        <v>35</v>
      </c>
      <c r="C133" s="997">
        <v>40.869610000000002</v>
      </c>
      <c r="D133" s="234">
        <v>50.104410000000001</v>
      </c>
      <c r="E133" s="234">
        <v>59.857550000000003</v>
      </c>
      <c r="F133" s="234">
        <v>72.811430000000001</v>
      </c>
      <c r="G133" s="349">
        <v>85.687290000000004</v>
      </c>
      <c r="H133" s="1424">
        <v>100</v>
      </c>
      <c r="I133" s="1425">
        <v>109.23169707</v>
      </c>
      <c r="J133" s="1426">
        <v>118.78748418000001</v>
      </c>
      <c r="K133" s="234">
        <v>127.87039523999999</v>
      </c>
      <c r="L133" s="234">
        <v>136.81208273999999</v>
      </c>
      <c r="M133" s="234">
        <v>145.69205986</v>
      </c>
      <c r="N133" s="234">
        <v>153.70151419999999</v>
      </c>
      <c r="O133" s="234">
        <v>161.16357144</v>
      </c>
      <c r="P133" s="234">
        <v>168.38033317</v>
      </c>
      <c r="Q133" s="234">
        <v>177.96801500999999</v>
      </c>
      <c r="R133" s="234">
        <v>191.62663025000001</v>
      </c>
      <c r="S133" s="234"/>
      <c r="T133" s="234"/>
      <c r="U133" s="234"/>
    </row>
    <row r="134" spans="2:21">
      <c r="B134" s="234" t="s">
        <v>896</v>
      </c>
      <c r="C134" s="997"/>
      <c r="D134" s="234"/>
      <c r="E134" s="234"/>
      <c r="F134" s="997"/>
      <c r="G134" s="349"/>
      <c r="H134" s="234"/>
      <c r="I134" s="234"/>
      <c r="J134" s="234"/>
      <c r="K134" s="234"/>
      <c r="L134" s="234"/>
      <c r="M134" s="234"/>
      <c r="N134" s="234"/>
      <c r="O134" s="234"/>
      <c r="P134" s="234"/>
      <c r="Q134" s="234"/>
      <c r="R134" s="234"/>
      <c r="S134" s="234"/>
      <c r="T134" s="234"/>
      <c r="U134" s="234"/>
    </row>
    <row r="135" spans="2:21">
      <c r="B135" s="234" t="s">
        <v>897</v>
      </c>
      <c r="C135" s="997"/>
      <c r="D135" s="234"/>
      <c r="E135" s="234"/>
      <c r="F135" s="997"/>
      <c r="G135" s="349"/>
      <c r="H135" s="234"/>
      <c r="I135" s="234"/>
      <c r="J135" s="234"/>
      <c r="K135" s="234"/>
      <c r="L135" s="234"/>
      <c r="M135" s="234"/>
      <c r="N135" s="234"/>
      <c r="O135" s="234"/>
      <c r="P135" s="234"/>
      <c r="Q135" s="234"/>
      <c r="R135" s="234"/>
      <c r="S135" s="234"/>
      <c r="T135" s="234"/>
      <c r="U135" s="234"/>
    </row>
    <row r="136" spans="2:21">
      <c r="B136" s="234"/>
      <c r="C136" s="997"/>
      <c r="D136" s="234"/>
      <c r="E136" s="234"/>
      <c r="F136" s="997"/>
      <c r="G136" s="349"/>
      <c r="H136" s="234"/>
      <c r="I136" s="234"/>
      <c r="J136" s="234"/>
      <c r="K136" s="234"/>
      <c r="L136" s="234"/>
      <c r="M136" s="234"/>
      <c r="N136" s="234"/>
      <c r="O136" s="234"/>
      <c r="P136" s="234"/>
      <c r="Q136" s="234"/>
      <c r="R136" s="234"/>
      <c r="S136" s="234"/>
      <c r="T136" s="234"/>
      <c r="U136" s="234"/>
    </row>
    <row r="137" spans="2:21">
      <c r="B137" s="234" t="s">
        <v>898</v>
      </c>
      <c r="C137" s="997"/>
      <c r="D137" s="234"/>
      <c r="E137" s="234"/>
      <c r="F137" s="997"/>
      <c r="G137" s="349"/>
      <c r="H137" s="234"/>
      <c r="I137" s="234"/>
      <c r="J137" s="234"/>
      <c r="K137" s="234"/>
      <c r="L137" s="234"/>
      <c r="M137" s="234"/>
      <c r="N137" s="234"/>
      <c r="O137" s="234"/>
      <c r="P137" s="234"/>
      <c r="Q137" s="234"/>
      <c r="R137" s="234"/>
      <c r="S137" s="234"/>
      <c r="T137" s="234"/>
      <c r="U137" s="234"/>
    </row>
    <row r="138" spans="2:21">
      <c r="B138" s="234"/>
      <c r="C138" s="997"/>
      <c r="D138" s="234"/>
      <c r="E138" s="234"/>
      <c r="F138" s="997"/>
      <c r="G138" s="349"/>
      <c r="H138" s="234"/>
      <c r="I138" s="234"/>
      <c r="J138" s="234"/>
      <c r="K138" s="234"/>
      <c r="L138" s="234"/>
      <c r="M138" s="234"/>
      <c r="N138" s="234"/>
      <c r="O138" s="234"/>
      <c r="P138" s="234"/>
      <c r="Q138" s="234"/>
      <c r="R138" s="234"/>
      <c r="S138" s="234"/>
      <c r="T138" s="234"/>
      <c r="U138" s="234"/>
    </row>
    <row r="139" spans="2:21">
      <c r="B139" s="234"/>
      <c r="C139" s="997"/>
      <c r="D139" s="234"/>
      <c r="E139" s="234"/>
      <c r="F139" s="997"/>
      <c r="G139" s="349"/>
      <c r="H139" s="234"/>
      <c r="I139" s="234"/>
      <c r="J139" s="234"/>
      <c r="K139" s="234"/>
      <c r="L139" s="234"/>
      <c r="M139" s="234"/>
      <c r="N139" s="234"/>
      <c r="O139" s="234"/>
      <c r="P139" s="234"/>
      <c r="Q139" s="234"/>
      <c r="R139" s="234"/>
      <c r="S139" s="234"/>
      <c r="T139" s="234"/>
      <c r="U139" s="234"/>
    </row>
    <row r="140" spans="2:21">
      <c r="B140" s="234"/>
      <c r="C140" s="997"/>
      <c r="D140" s="234"/>
      <c r="E140" s="234"/>
      <c r="F140" s="997"/>
      <c r="G140" s="349"/>
      <c r="H140" s="234"/>
      <c r="I140" s="234"/>
      <c r="J140" s="234"/>
      <c r="K140" s="234"/>
      <c r="L140" s="234"/>
      <c r="M140" s="234"/>
      <c r="N140" s="234"/>
      <c r="O140" s="234"/>
      <c r="P140" s="234"/>
      <c r="Q140" s="234"/>
      <c r="R140" s="234"/>
      <c r="S140" s="234" t="s">
        <v>899</v>
      </c>
      <c r="T140" s="234"/>
      <c r="U140" s="234"/>
    </row>
    <row r="141" spans="2:21">
      <c r="B141" s="234" t="s">
        <v>895</v>
      </c>
      <c r="C141" s="997">
        <v>2003</v>
      </c>
      <c r="D141" s="234">
        <v>2004</v>
      </c>
      <c r="E141" s="234">
        <v>2005</v>
      </c>
      <c r="F141" s="997">
        <v>2006</v>
      </c>
      <c r="G141" s="349">
        <v>2007</v>
      </c>
      <c r="H141" s="234">
        <v>2008</v>
      </c>
      <c r="I141" s="234">
        <v>2009</v>
      </c>
      <c r="J141" s="234">
        <v>2010</v>
      </c>
      <c r="K141" s="234">
        <v>2011</v>
      </c>
      <c r="L141" s="234">
        <v>2012</v>
      </c>
      <c r="M141" s="234">
        <v>2013</v>
      </c>
      <c r="N141" s="234">
        <v>2014</v>
      </c>
      <c r="O141" s="234">
        <v>2015</v>
      </c>
      <c r="P141" s="234">
        <v>2016</v>
      </c>
      <c r="Q141" s="234">
        <v>2017</v>
      </c>
      <c r="R141" s="234">
        <v>2018</v>
      </c>
      <c r="S141" s="234">
        <v>2019</v>
      </c>
      <c r="T141" s="234">
        <v>2020</v>
      </c>
      <c r="U141" s="234">
        <v>2021</v>
      </c>
    </row>
    <row r="142" spans="2:21">
      <c r="B142" s="234" t="s">
        <v>16</v>
      </c>
      <c r="C142" s="997">
        <v>50.42</v>
      </c>
      <c r="D142" s="234">
        <v>53.54</v>
      </c>
      <c r="E142" s="234">
        <v>56.45</v>
      </c>
      <c r="F142" s="997">
        <v>59.02</v>
      </c>
      <c r="G142" s="349">
        <v>61.8</v>
      </c>
      <c r="H142" s="234">
        <v>65.510000000000005</v>
      </c>
      <c r="I142" s="234">
        <v>70.209999999999994</v>
      </c>
      <c r="J142" s="234">
        <v>71.69</v>
      </c>
      <c r="K142" s="234">
        <v>74.12</v>
      </c>
      <c r="L142" s="234">
        <v>76.75</v>
      </c>
      <c r="M142" s="234">
        <v>78.28</v>
      </c>
      <c r="N142" s="234">
        <v>79.95</v>
      </c>
      <c r="O142" s="234">
        <v>83</v>
      </c>
      <c r="P142" s="234">
        <v>89.19</v>
      </c>
      <c r="Q142" s="234">
        <v>94.07</v>
      </c>
      <c r="R142" s="234">
        <v>97.53</v>
      </c>
      <c r="S142" s="234">
        <v>100.6</v>
      </c>
      <c r="T142" s="234">
        <v>104.24</v>
      </c>
      <c r="U142" s="234">
        <v>105.91</v>
      </c>
    </row>
    <row r="143" spans="2:21">
      <c r="B143" s="234" t="s">
        <v>17</v>
      </c>
      <c r="C143" s="997">
        <v>50.98</v>
      </c>
      <c r="D143" s="234">
        <v>54.18</v>
      </c>
      <c r="E143" s="234">
        <v>57.02</v>
      </c>
      <c r="F143" s="997">
        <v>59.41</v>
      </c>
      <c r="G143" s="349">
        <v>62.53</v>
      </c>
      <c r="H143" s="234">
        <v>66.5</v>
      </c>
      <c r="I143" s="234">
        <v>70.8</v>
      </c>
      <c r="J143" s="234">
        <v>72.28</v>
      </c>
      <c r="K143" s="234">
        <v>74.569999999999993</v>
      </c>
      <c r="L143" s="234">
        <v>77.22</v>
      </c>
      <c r="M143" s="234">
        <v>78.63</v>
      </c>
      <c r="N143" s="234">
        <v>80.45</v>
      </c>
      <c r="O143" s="234">
        <v>83.96</v>
      </c>
      <c r="P143" s="234">
        <v>90.33</v>
      </c>
      <c r="Q143" s="234">
        <v>95.01</v>
      </c>
      <c r="R143" s="234">
        <v>98.22</v>
      </c>
      <c r="S143" s="234">
        <v>101.18</v>
      </c>
      <c r="T143" s="234">
        <v>104.94</v>
      </c>
      <c r="U143" s="234">
        <v>106.58</v>
      </c>
    </row>
    <row r="144" spans="2:21">
      <c r="B144" s="234" t="s">
        <v>19</v>
      </c>
      <c r="C144" s="997">
        <v>51.51</v>
      </c>
      <c r="D144" s="234">
        <v>54.71</v>
      </c>
      <c r="E144" s="234">
        <v>57.46</v>
      </c>
      <c r="F144" s="997">
        <v>59.83</v>
      </c>
      <c r="G144" s="349">
        <v>63.29</v>
      </c>
      <c r="H144" s="234">
        <v>67.040000000000006</v>
      </c>
      <c r="I144" s="234">
        <v>71.150000000000006</v>
      </c>
      <c r="J144" s="234">
        <v>72.459999999999994</v>
      </c>
      <c r="K144" s="234">
        <v>74.77</v>
      </c>
      <c r="L144" s="234">
        <v>77.31</v>
      </c>
      <c r="M144" s="234">
        <v>78.790000000000006</v>
      </c>
      <c r="N144" s="234">
        <v>80.77</v>
      </c>
      <c r="O144" s="234">
        <v>84.45</v>
      </c>
      <c r="P144" s="234">
        <v>91.18</v>
      </c>
      <c r="Q144" s="234">
        <v>95.46</v>
      </c>
      <c r="R144" s="234">
        <v>98.45</v>
      </c>
      <c r="S144" s="234">
        <v>101.62</v>
      </c>
      <c r="T144" s="234">
        <v>105.53</v>
      </c>
      <c r="U144" s="234">
        <v>107.12</v>
      </c>
    </row>
    <row r="145" spans="2:21">
      <c r="B145" s="234" t="s">
        <v>21</v>
      </c>
      <c r="C145" s="997">
        <v>52.1</v>
      </c>
      <c r="D145" s="234">
        <v>54.96</v>
      </c>
      <c r="E145" s="234">
        <v>57.72</v>
      </c>
      <c r="F145" s="997">
        <v>60.09</v>
      </c>
      <c r="G145" s="349">
        <v>63.85</v>
      </c>
      <c r="H145" s="234">
        <v>67.510000000000005</v>
      </c>
      <c r="I145" s="234">
        <v>71.38</v>
      </c>
      <c r="J145" s="234">
        <v>72.790000000000006</v>
      </c>
      <c r="K145" s="234">
        <v>74.86</v>
      </c>
      <c r="L145" s="234">
        <v>77.42</v>
      </c>
      <c r="M145" s="234">
        <v>78.989999999999995</v>
      </c>
      <c r="N145" s="234">
        <v>81.14</v>
      </c>
      <c r="O145" s="234">
        <v>84.9</v>
      </c>
      <c r="P145" s="234">
        <v>91.63</v>
      </c>
      <c r="Q145" s="234">
        <v>95.91</v>
      </c>
      <c r="R145" s="234">
        <v>98.91</v>
      </c>
      <c r="S145" s="234">
        <v>102.12</v>
      </c>
      <c r="T145" s="234">
        <v>105.7</v>
      </c>
      <c r="U145" s="234">
        <v>107.76</v>
      </c>
    </row>
    <row r="146" spans="2:21">
      <c r="B146" s="234" t="s">
        <v>23</v>
      </c>
      <c r="C146" s="997">
        <v>52.36</v>
      </c>
      <c r="D146" s="234">
        <v>55.17</v>
      </c>
      <c r="E146" s="234">
        <v>57.95</v>
      </c>
      <c r="F146" s="997">
        <v>60.29</v>
      </c>
      <c r="G146" s="349">
        <v>64.05</v>
      </c>
      <c r="H146" s="234">
        <v>68.14</v>
      </c>
      <c r="I146" s="234">
        <v>71.39</v>
      </c>
      <c r="J146" s="234">
        <v>72.87</v>
      </c>
      <c r="K146" s="234">
        <v>75.069999999999993</v>
      </c>
      <c r="L146" s="234">
        <v>77.66</v>
      </c>
      <c r="M146" s="234">
        <v>79.209999999999994</v>
      </c>
      <c r="N146" s="234">
        <v>81.53</v>
      </c>
      <c r="O146" s="234">
        <v>85.12</v>
      </c>
      <c r="P146" s="234">
        <v>92.1</v>
      </c>
      <c r="Q146" s="234">
        <v>96.12</v>
      </c>
      <c r="R146" s="234">
        <v>99.16</v>
      </c>
      <c r="S146" s="234">
        <v>102.44</v>
      </c>
      <c r="T146" s="234">
        <v>105.36</v>
      </c>
      <c r="U146" s="234">
        <v>108.84</v>
      </c>
    </row>
    <row r="147" spans="2:21">
      <c r="B147" s="234" t="s">
        <v>25</v>
      </c>
      <c r="C147" s="997">
        <v>52.33</v>
      </c>
      <c r="D147" s="234">
        <v>55.51</v>
      </c>
      <c r="E147" s="234">
        <v>58.18</v>
      </c>
      <c r="F147" s="997">
        <v>60.48</v>
      </c>
      <c r="G147" s="349">
        <v>64.12</v>
      </c>
      <c r="H147" s="234">
        <v>68.73</v>
      </c>
      <c r="I147" s="234">
        <v>71.349999999999994</v>
      </c>
      <c r="J147" s="234">
        <v>72.95</v>
      </c>
      <c r="K147" s="234">
        <v>75.31</v>
      </c>
      <c r="L147" s="234">
        <v>77.72</v>
      </c>
      <c r="M147" s="234">
        <v>79.39</v>
      </c>
      <c r="N147" s="234">
        <v>81.61</v>
      </c>
      <c r="O147" s="234">
        <v>85.21</v>
      </c>
      <c r="P147" s="234">
        <v>92.54</v>
      </c>
      <c r="Q147" s="234">
        <v>96.23</v>
      </c>
      <c r="R147" s="234">
        <v>99.31</v>
      </c>
      <c r="S147" s="234">
        <v>102.71</v>
      </c>
      <c r="T147" s="234">
        <v>104.97</v>
      </c>
      <c r="U147" s="234">
        <v>108.78</v>
      </c>
    </row>
    <row r="148" spans="2:21">
      <c r="B148" s="234" t="s">
        <v>27</v>
      </c>
      <c r="C148" s="997">
        <v>52.26</v>
      </c>
      <c r="D148" s="234">
        <v>55.49</v>
      </c>
      <c r="E148" s="234">
        <v>58.21</v>
      </c>
      <c r="F148" s="997">
        <v>60.73</v>
      </c>
      <c r="G148" s="349">
        <v>64.23</v>
      </c>
      <c r="H148" s="234">
        <v>69.06</v>
      </c>
      <c r="I148" s="234">
        <v>71.319999999999993</v>
      </c>
      <c r="J148" s="234">
        <v>72.92</v>
      </c>
      <c r="K148" s="234">
        <v>75.42</v>
      </c>
      <c r="L148" s="234">
        <v>77.7</v>
      </c>
      <c r="M148" s="234">
        <v>79.430000000000007</v>
      </c>
      <c r="N148" s="234">
        <v>81.73</v>
      </c>
      <c r="O148" s="234">
        <v>85.37</v>
      </c>
      <c r="P148" s="234">
        <v>93.02</v>
      </c>
      <c r="Q148" s="234">
        <v>96.18</v>
      </c>
      <c r="R148" s="234">
        <v>99.18</v>
      </c>
      <c r="S148" s="234">
        <v>102.94</v>
      </c>
      <c r="T148" s="234">
        <v>104.97</v>
      </c>
      <c r="U148" s="234">
        <v>109.14</v>
      </c>
    </row>
    <row r="149" spans="2:21">
      <c r="B149" s="234" t="s">
        <v>29</v>
      </c>
      <c r="C149" s="997">
        <v>52.42</v>
      </c>
      <c r="D149" s="234">
        <v>55.51</v>
      </c>
      <c r="E149" s="234">
        <v>58.21</v>
      </c>
      <c r="F149" s="997">
        <v>60.96</v>
      </c>
      <c r="G149" s="349">
        <v>64.14</v>
      </c>
      <c r="H149" s="234">
        <v>69.19</v>
      </c>
      <c r="I149" s="234">
        <v>71.349999999999994</v>
      </c>
      <c r="J149" s="234">
        <v>73</v>
      </c>
      <c r="K149" s="234">
        <v>75.39</v>
      </c>
      <c r="L149" s="234">
        <v>77.73</v>
      </c>
      <c r="M149" s="234">
        <v>79.5</v>
      </c>
      <c r="N149" s="234">
        <v>81.900000000000006</v>
      </c>
      <c r="O149" s="234">
        <v>85.78</v>
      </c>
      <c r="P149" s="234">
        <v>92.73</v>
      </c>
      <c r="Q149" s="234">
        <v>96.32</v>
      </c>
      <c r="R149" s="234">
        <v>99.3</v>
      </c>
      <c r="S149" s="234">
        <v>103.03</v>
      </c>
      <c r="T149" s="234">
        <v>104.96</v>
      </c>
      <c r="U149" s="234">
        <v>109.62</v>
      </c>
    </row>
    <row r="150" spans="2:21">
      <c r="B150" s="234" t="s">
        <v>31</v>
      </c>
      <c r="C150" s="997">
        <v>52.53</v>
      </c>
      <c r="D150" s="234">
        <v>55.67</v>
      </c>
      <c r="E150" s="234">
        <v>58.46</v>
      </c>
      <c r="F150" s="997">
        <v>61.14</v>
      </c>
      <c r="G150" s="349">
        <v>64.2</v>
      </c>
      <c r="H150" s="234">
        <v>69.06</v>
      </c>
      <c r="I150" s="234">
        <v>71.28</v>
      </c>
      <c r="J150" s="234">
        <v>72.900000000000006</v>
      </c>
      <c r="K150" s="234">
        <v>75.62</v>
      </c>
      <c r="L150" s="234">
        <v>77.959999999999994</v>
      </c>
      <c r="M150" s="234">
        <v>79.73</v>
      </c>
      <c r="N150" s="234">
        <v>82.01</v>
      </c>
      <c r="O150" s="234">
        <v>86.39</v>
      </c>
      <c r="P150" s="234">
        <v>92.68</v>
      </c>
      <c r="Q150" s="234">
        <v>96.36</v>
      </c>
      <c r="R150" s="234">
        <v>99.47</v>
      </c>
      <c r="S150" s="234">
        <v>103.26</v>
      </c>
      <c r="T150" s="234">
        <v>105.29</v>
      </c>
      <c r="U150" s="234"/>
    </row>
    <row r="151" spans="2:21">
      <c r="B151" s="234" t="s">
        <v>94</v>
      </c>
      <c r="C151" s="997">
        <v>52.56</v>
      </c>
      <c r="D151" s="234">
        <v>55.66</v>
      </c>
      <c r="E151" s="234">
        <v>58.6</v>
      </c>
      <c r="F151" s="997">
        <v>61.05</v>
      </c>
      <c r="G151" s="349">
        <v>64.2</v>
      </c>
      <c r="H151" s="234">
        <v>69.3</v>
      </c>
      <c r="I151" s="234">
        <v>71.19</v>
      </c>
      <c r="J151" s="234">
        <v>72.84</v>
      </c>
      <c r="K151" s="234">
        <v>75.77</v>
      </c>
      <c r="L151" s="234">
        <v>78.08</v>
      </c>
      <c r="M151" s="234">
        <v>79.52</v>
      </c>
      <c r="N151" s="234">
        <v>82.14</v>
      </c>
      <c r="O151" s="234">
        <v>86.98</v>
      </c>
      <c r="P151" s="234">
        <v>92.62</v>
      </c>
      <c r="Q151" s="234">
        <v>96.37</v>
      </c>
      <c r="R151" s="234">
        <v>99.59</v>
      </c>
      <c r="S151" s="234">
        <v>103.43</v>
      </c>
      <c r="T151" s="234">
        <v>105.23</v>
      </c>
      <c r="U151" s="234"/>
    </row>
    <row r="152" spans="2:21">
      <c r="B152" s="234" t="s">
        <v>34</v>
      </c>
      <c r="C152" s="997">
        <v>52.75</v>
      </c>
      <c r="D152" s="234">
        <v>55.82</v>
      </c>
      <c r="E152" s="234">
        <v>58.66</v>
      </c>
      <c r="F152" s="997">
        <v>61.19</v>
      </c>
      <c r="G152" s="349">
        <v>64.510000000000005</v>
      </c>
      <c r="H152" s="234">
        <v>69.489999999999995</v>
      </c>
      <c r="I152" s="234">
        <v>71.14</v>
      </c>
      <c r="J152" s="234">
        <v>72.98</v>
      </c>
      <c r="K152" s="234">
        <v>75.87</v>
      </c>
      <c r="L152" s="234">
        <v>77.98</v>
      </c>
      <c r="M152" s="234">
        <v>79.349999999999994</v>
      </c>
      <c r="N152" s="234">
        <v>82.25</v>
      </c>
      <c r="O152" s="234">
        <v>87.51</v>
      </c>
      <c r="P152" s="234">
        <v>92.73</v>
      </c>
      <c r="Q152" s="234">
        <v>96.55</v>
      </c>
      <c r="R152" s="234">
        <v>99.7</v>
      </c>
      <c r="S152" s="234">
        <v>103.54</v>
      </c>
      <c r="T152" s="234">
        <v>105.08</v>
      </c>
      <c r="U152" s="234"/>
    </row>
    <row r="153" spans="2:21">
      <c r="B153" s="234" t="s">
        <v>35</v>
      </c>
      <c r="C153" s="997">
        <v>53.07</v>
      </c>
      <c r="D153" s="234">
        <v>55.99</v>
      </c>
      <c r="E153" s="234">
        <v>58.7</v>
      </c>
      <c r="F153" s="997">
        <v>61.33</v>
      </c>
      <c r="G153" s="349">
        <v>64.819999999999993</v>
      </c>
      <c r="H153" s="1427">
        <v>69.8</v>
      </c>
      <c r="I153" s="234">
        <v>71.2</v>
      </c>
      <c r="J153" s="234">
        <v>73.45</v>
      </c>
      <c r="K153" s="234">
        <v>76.19</v>
      </c>
      <c r="L153" s="234">
        <v>78.05</v>
      </c>
      <c r="M153" s="234">
        <v>79.56</v>
      </c>
      <c r="N153" s="234">
        <v>82.47</v>
      </c>
      <c r="O153" s="234">
        <v>88.05</v>
      </c>
      <c r="P153" s="234">
        <v>93.11</v>
      </c>
      <c r="Q153" s="234">
        <v>96.92</v>
      </c>
      <c r="R153" s="234">
        <v>100</v>
      </c>
      <c r="S153" s="234">
        <v>103.8</v>
      </c>
      <c r="T153" s="234">
        <v>105.48</v>
      </c>
      <c r="U153" s="234"/>
    </row>
    <row r="154" spans="2:21">
      <c r="B154" s="234"/>
      <c r="C154" s="997"/>
      <c r="D154" s="234"/>
      <c r="E154" s="234"/>
      <c r="F154" s="997"/>
      <c r="G154" s="349"/>
      <c r="H154" s="234"/>
      <c r="I154" s="234"/>
      <c r="J154" s="234"/>
      <c r="K154" s="234"/>
      <c r="L154" s="234"/>
      <c r="M154" s="234"/>
      <c r="N154" s="234"/>
      <c r="O154" s="234"/>
      <c r="P154" s="234"/>
      <c r="Q154" s="234"/>
      <c r="R154" s="234"/>
      <c r="S154" s="234"/>
      <c r="T154" s="234"/>
      <c r="U154" s="234"/>
    </row>
    <row r="155" spans="2:21">
      <c r="B155" s="234"/>
      <c r="C155" s="997"/>
      <c r="D155" s="234"/>
      <c r="E155" s="234"/>
      <c r="F155" s="997"/>
      <c r="G155" s="349"/>
      <c r="H155" s="234"/>
      <c r="I155" s="234"/>
      <c r="J155" s="234"/>
      <c r="K155" s="234"/>
      <c r="L155" s="234"/>
      <c r="M155" s="234"/>
      <c r="N155" s="234"/>
      <c r="O155" s="234"/>
      <c r="P155" s="234"/>
      <c r="Q155" s="234"/>
      <c r="R155" s="234"/>
      <c r="S155" s="234"/>
      <c r="T155" s="234"/>
      <c r="U155" s="234"/>
    </row>
    <row r="156" spans="2:21">
      <c r="B156" s="234" t="s">
        <v>900</v>
      </c>
      <c r="C156" s="997"/>
      <c r="D156" s="234"/>
      <c r="E156" s="234"/>
      <c r="F156" s="997"/>
      <c r="G156" s="349"/>
      <c r="H156" s="234"/>
      <c r="I156" s="234"/>
      <c r="J156" s="234"/>
      <c r="K156" s="234"/>
      <c r="L156" s="234"/>
      <c r="M156" s="234"/>
      <c r="N156" s="234"/>
      <c r="O156" s="234"/>
      <c r="P156" s="234"/>
      <c r="Q156" s="234"/>
      <c r="R156" s="234"/>
      <c r="S156" s="234"/>
      <c r="T156" s="234"/>
      <c r="U156" s="234"/>
    </row>
    <row r="157" spans="2:21">
      <c r="B157" s="234" t="s">
        <v>901</v>
      </c>
      <c r="C157" s="997"/>
      <c r="D157" s="234"/>
      <c r="E157" s="234"/>
      <c r="F157" s="997"/>
      <c r="G157" s="349"/>
      <c r="H157" s="234"/>
      <c r="I157" s="234"/>
      <c r="J157" s="234"/>
      <c r="K157" s="234"/>
      <c r="L157" s="234"/>
      <c r="M157" s="234"/>
      <c r="N157" s="234"/>
      <c r="O157" s="234"/>
      <c r="P157" s="234"/>
      <c r="Q157" s="234"/>
      <c r="R157" s="234"/>
      <c r="S157" s="234"/>
      <c r="T157" s="234"/>
      <c r="U157" s="234"/>
    </row>
    <row r="158" spans="2:21">
      <c r="B158" s="234" t="s">
        <v>902</v>
      </c>
      <c r="C158" s="997"/>
      <c r="D158" s="234"/>
      <c r="E158" s="234"/>
      <c r="F158" s="997"/>
      <c r="G158" s="349"/>
      <c r="H158" s="234"/>
      <c r="I158" s="234"/>
      <c r="J158" s="234"/>
      <c r="K158" s="234"/>
      <c r="L158" s="234"/>
      <c r="M158" s="234"/>
      <c r="N158" s="234"/>
      <c r="O158" s="234"/>
      <c r="P158" s="234"/>
      <c r="Q158" s="234"/>
      <c r="R158" s="234"/>
      <c r="S158" s="234"/>
      <c r="T158" s="234"/>
      <c r="U158" s="234"/>
    </row>
    <row r="159" spans="2:21">
      <c r="B159" s="234"/>
      <c r="C159" s="997"/>
      <c r="D159" s="234"/>
      <c r="E159" s="234"/>
      <c r="F159" s="997"/>
      <c r="G159" s="349"/>
      <c r="H159" s="234"/>
      <c r="I159" s="234"/>
      <c r="J159" s="234"/>
      <c r="K159" s="234"/>
      <c r="L159" s="234"/>
      <c r="M159" s="234"/>
      <c r="N159" s="234"/>
      <c r="O159" s="234"/>
      <c r="P159" s="234"/>
      <c r="Q159" s="234"/>
      <c r="R159" s="234"/>
      <c r="S159" s="234"/>
      <c r="T159" s="234"/>
      <c r="U159" s="234"/>
    </row>
    <row r="160" spans="2:21">
      <c r="B160" s="234"/>
      <c r="C160" s="997"/>
      <c r="D160" s="234"/>
      <c r="E160" s="234"/>
      <c r="F160" s="997"/>
      <c r="G160" s="349"/>
      <c r="H160" s="234"/>
      <c r="I160" s="234"/>
      <c r="J160" s="234"/>
      <c r="K160" s="234"/>
      <c r="L160" s="234"/>
      <c r="M160" s="234"/>
      <c r="N160" s="234"/>
      <c r="O160" s="234"/>
      <c r="P160" s="234"/>
      <c r="Q160" s="234"/>
      <c r="R160" s="234"/>
      <c r="S160" s="234"/>
      <c r="T160" s="234"/>
      <c r="U160" s="234"/>
    </row>
    <row r="161" spans="2:21">
      <c r="B161" s="234"/>
      <c r="C161" s="997"/>
      <c r="D161" s="234"/>
      <c r="E161" s="234"/>
      <c r="F161" s="997"/>
      <c r="G161" s="349"/>
      <c r="H161" s="234"/>
      <c r="I161" s="234"/>
      <c r="J161" s="234"/>
      <c r="K161" s="234"/>
      <c r="L161" s="234"/>
      <c r="M161" s="234"/>
      <c r="N161" s="234"/>
      <c r="O161" s="234"/>
      <c r="P161" s="234"/>
      <c r="Q161" s="234"/>
      <c r="R161" s="234"/>
      <c r="S161" s="234"/>
      <c r="T161" s="234"/>
      <c r="U161" s="234"/>
    </row>
    <row r="162" spans="2:21">
      <c r="B162" s="234"/>
      <c r="C162" s="997"/>
      <c r="D162" s="234"/>
      <c r="E162" s="234"/>
      <c r="F162" s="997"/>
      <c r="G162" s="349"/>
      <c r="H162" s="234"/>
      <c r="I162" s="234"/>
      <c r="J162" s="234"/>
      <c r="K162" s="234"/>
      <c r="L162" s="234"/>
      <c r="M162" s="234"/>
      <c r="N162" s="234"/>
      <c r="O162" s="234"/>
      <c r="P162" s="234"/>
      <c r="Q162" s="234"/>
      <c r="R162" s="234"/>
      <c r="S162" s="234"/>
      <c r="T162" s="234"/>
      <c r="U162" s="234"/>
    </row>
  </sheetData>
  <mergeCells count="6">
    <mergeCell ref="L90:M90"/>
    <mergeCell ref="L22:O22"/>
    <mergeCell ref="L39:O39"/>
    <mergeCell ref="L57:O57"/>
    <mergeCell ref="L72:M72"/>
    <mergeCell ref="L75:O75"/>
  </mergeCells>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94D61-CDF0-44EB-A920-0D9B7124C5C0}">
  <sheetPr codeName="Hoja109"/>
  <dimension ref="A2:N258"/>
  <sheetViews>
    <sheetView topLeftCell="A174" zoomScaleNormal="100" workbookViewId="0">
      <selection activeCell="E194" sqref="E194"/>
    </sheetView>
  </sheetViews>
  <sheetFormatPr defaultColWidth="11.42578125" defaultRowHeight="12.75"/>
  <cols>
    <col min="1" max="1" width="2.7109375" customWidth="1"/>
    <col min="2" max="2" width="18.42578125" customWidth="1"/>
    <col min="4" max="4" width="12.140625" bestFit="1" customWidth="1"/>
    <col min="7" max="7" width="12.85546875" bestFit="1" customWidth="1"/>
    <col min="8" max="8" width="13.85546875" bestFit="1" customWidth="1"/>
  </cols>
  <sheetData>
    <row r="2" spans="2:14" ht="31.5">
      <c r="B2" s="1627" t="s">
        <v>508</v>
      </c>
      <c r="C2" s="284" t="s">
        <v>1565</v>
      </c>
    </row>
    <row r="3" spans="2:14" ht="42">
      <c r="B3" s="1627" t="s">
        <v>814</v>
      </c>
      <c r="C3" s="269" t="s">
        <v>851</v>
      </c>
    </row>
    <row r="4" spans="2:14" ht="31.5">
      <c r="B4" s="1627" t="s">
        <v>220</v>
      </c>
      <c r="C4" s="412" t="s">
        <v>1566</v>
      </c>
    </row>
    <row r="5" spans="2:14" ht="13.5">
      <c r="B5" s="1627" t="s">
        <v>1338</v>
      </c>
      <c r="C5" s="724">
        <v>44435</v>
      </c>
    </row>
    <row r="6" spans="2:14" ht="13.5">
      <c r="B6" s="1627" t="s">
        <v>700</v>
      </c>
      <c r="C6" s="196" t="s">
        <v>820</v>
      </c>
    </row>
    <row r="7" spans="2:14" ht="27">
      <c r="B7" s="683" t="s">
        <v>1002</v>
      </c>
      <c r="C7" s="2"/>
    </row>
    <row r="8" spans="2:14" ht="14.25" thickBot="1">
      <c r="B8" s="2533" t="s">
        <v>69</v>
      </c>
      <c r="C8" s="188" t="s">
        <v>1567</v>
      </c>
    </row>
    <row r="9" spans="2:14">
      <c r="B9" s="188" t="s">
        <v>1568</v>
      </c>
      <c r="C9" s="188"/>
    </row>
    <row r="10" spans="2:14">
      <c r="B10" s="188" t="s">
        <v>1569</v>
      </c>
      <c r="C10" s="188"/>
    </row>
    <row r="11" spans="2:14">
      <c r="B11" s="188"/>
      <c r="C11" s="1" t="s">
        <v>76</v>
      </c>
    </row>
    <row r="12" spans="2:14" ht="13.5">
      <c r="B12" s="724">
        <f>+C5</f>
        <v>44435</v>
      </c>
      <c r="C12" s="232">
        <v>109.62</v>
      </c>
      <c r="D12" s="106" t="s">
        <v>1570</v>
      </c>
      <c r="E12" s="1">
        <f>26+31</f>
        <v>57</v>
      </c>
      <c r="H12" s="2818" t="s">
        <v>1571</v>
      </c>
      <c r="I12" s="2819"/>
      <c r="J12" s="2819"/>
      <c r="K12" s="2819"/>
      <c r="L12" s="2819"/>
      <c r="M12" s="2819"/>
      <c r="N12" s="2819"/>
    </row>
    <row r="13" spans="2:14" ht="22.5">
      <c r="B13" s="226" t="s">
        <v>11</v>
      </c>
      <c r="C13" s="351" t="s">
        <v>110</v>
      </c>
      <c r="D13" s="228" t="s">
        <v>76</v>
      </c>
      <c r="E13" s="228" t="s">
        <v>77</v>
      </c>
      <c r="F13" s="229" t="s">
        <v>57</v>
      </c>
      <c r="G13" s="8"/>
      <c r="H13" s="226" t="s">
        <v>11</v>
      </c>
      <c r="I13" s="2121" t="s">
        <v>1006</v>
      </c>
      <c r="J13" s="2121" t="s">
        <v>1572</v>
      </c>
      <c r="K13" s="2121" t="s">
        <v>1573</v>
      </c>
      <c r="L13" s="2121" t="s">
        <v>1574</v>
      </c>
      <c r="M13" s="2121" t="s">
        <v>82</v>
      </c>
      <c r="N13" s="2121" t="s">
        <v>83</v>
      </c>
    </row>
    <row r="14" spans="2:14">
      <c r="B14" s="2120">
        <v>44869</v>
      </c>
      <c r="C14" s="353">
        <f>(461000/30)*26</f>
        <v>399533.33333333331</v>
      </c>
      <c r="D14" s="232">
        <v>69.489999999999995</v>
      </c>
      <c r="E14" s="233">
        <f>+$C$12/D14</f>
        <v>1.5774931644840986</v>
      </c>
      <c r="F14" s="231">
        <f>ROUND(C14*E14,0)</f>
        <v>630261</v>
      </c>
      <c r="H14" s="2120">
        <v>44869</v>
      </c>
      <c r="I14" s="229">
        <f>+C14*0.04</f>
        <v>15981.333333333332</v>
      </c>
      <c r="J14" s="229">
        <f>+C14*0.04</f>
        <v>15981.333333333332</v>
      </c>
      <c r="K14" s="229">
        <f>+C14*0.08</f>
        <v>31962.666666666664</v>
      </c>
      <c r="L14" s="229">
        <f>+C14*0.125</f>
        <v>49941.666666666664</v>
      </c>
      <c r="M14" s="229">
        <f>+I14+K14</f>
        <v>47944</v>
      </c>
      <c r="N14" s="229">
        <f>+L14+J14</f>
        <v>65923</v>
      </c>
    </row>
    <row r="15" spans="2:14">
      <c r="B15" s="233" t="s">
        <v>35</v>
      </c>
      <c r="C15" s="353">
        <v>461500</v>
      </c>
      <c r="D15" s="232">
        <v>69.8</v>
      </c>
      <c r="E15" s="233">
        <f t="shared" ref="E15:E20" si="0">+$C$12/D15</f>
        <v>1.5704871060171921</v>
      </c>
      <c r="F15" s="231">
        <f>ROUND(C15*E15,0)</f>
        <v>724780</v>
      </c>
      <c r="H15" s="233" t="s">
        <v>35</v>
      </c>
      <c r="I15" s="229">
        <f>+C15*0.04</f>
        <v>18460</v>
      </c>
      <c r="J15" s="229">
        <f>+C15*0.04</f>
        <v>18460</v>
      </c>
      <c r="K15" s="229">
        <f>+C15*0.08</f>
        <v>36920</v>
      </c>
      <c r="L15" s="229">
        <f>+C15*0.125</f>
        <v>57687.5</v>
      </c>
      <c r="M15" s="229">
        <f>+I15+K15</f>
        <v>55380</v>
      </c>
      <c r="N15" s="229">
        <f>+L15+J15</f>
        <v>76147.5</v>
      </c>
    </row>
    <row r="16" spans="2:14">
      <c r="B16" s="233" t="s">
        <v>101</v>
      </c>
      <c r="C16" s="353">
        <f>(C15*0.35*57)/360</f>
        <v>25574.791666666668</v>
      </c>
      <c r="D16" s="232">
        <v>69.8</v>
      </c>
      <c r="E16" s="233">
        <f t="shared" si="0"/>
        <v>1.5704871060171921</v>
      </c>
      <c r="F16" s="231">
        <f t="shared" ref="F16:F20" si="1">ROUND(C16*E16,0)</f>
        <v>40165</v>
      </c>
      <c r="H16" s="2"/>
      <c r="I16" s="229"/>
      <c r="J16" s="229"/>
      <c r="K16" s="229"/>
      <c r="L16" s="229"/>
      <c r="M16" s="229"/>
      <c r="N16" s="229"/>
    </row>
    <row r="17" spans="2:14">
      <c r="B17" s="233" t="s">
        <v>102</v>
      </c>
      <c r="C17" s="353">
        <f>(((C15/30)*20))*57/360</f>
        <v>48713.888888888891</v>
      </c>
      <c r="D17" s="232">
        <v>69.8</v>
      </c>
      <c r="E17" s="233">
        <f t="shared" si="0"/>
        <v>1.5704871060171921</v>
      </c>
      <c r="F17" s="231">
        <f t="shared" si="1"/>
        <v>76505</v>
      </c>
      <c r="H17" s="2"/>
      <c r="I17" s="229"/>
      <c r="J17" s="229"/>
      <c r="K17" s="229"/>
      <c r="L17" s="229"/>
      <c r="M17" s="353"/>
      <c r="N17" s="353"/>
    </row>
    <row r="18" spans="2:14">
      <c r="B18" s="233" t="s">
        <v>103</v>
      </c>
      <c r="C18" s="353">
        <f>((C15/30)*2*E12)/360</f>
        <v>4871.3888888888887</v>
      </c>
      <c r="D18" s="232">
        <f>+D14</f>
        <v>69.489999999999995</v>
      </c>
      <c r="E18" s="233">
        <f t="shared" si="0"/>
        <v>1.5774931644840986</v>
      </c>
      <c r="F18" s="231">
        <f t="shared" si="1"/>
        <v>7685</v>
      </c>
      <c r="H18" s="196" t="s">
        <v>1011</v>
      </c>
      <c r="I18" s="229">
        <f t="shared" ref="I18:N18" si="2">SUM(I14:I17)</f>
        <v>34441.333333333328</v>
      </c>
      <c r="J18" s="229">
        <f t="shared" si="2"/>
        <v>34441.333333333328</v>
      </c>
      <c r="K18" s="229">
        <f t="shared" si="2"/>
        <v>68882.666666666657</v>
      </c>
      <c r="L18" s="229">
        <f t="shared" si="2"/>
        <v>107629.16666666666</v>
      </c>
      <c r="M18" s="229">
        <f t="shared" si="2"/>
        <v>103324</v>
      </c>
      <c r="N18" s="229">
        <f t="shared" si="2"/>
        <v>142070.5</v>
      </c>
    </row>
    <row r="19" spans="2:14">
      <c r="B19" s="233" t="s">
        <v>104</v>
      </c>
      <c r="C19" s="353">
        <f>(((C15/30)*21)*57)/360</f>
        <v>51149.583333333336</v>
      </c>
      <c r="D19" s="232">
        <f>+D14</f>
        <v>69.489999999999995</v>
      </c>
      <c r="E19" s="233">
        <f t="shared" si="0"/>
        <v>1.5774931644840986</v>
      </c>
      <c r="F19" s="231">
        <f t="shared" si="1"/>
        <v>80688</v>
      </c>
    </row>
    <row r="20" spans="2:14">
      <c r="B20" s="233" t="s">
        <v>95</v>
      </c>
      <c r="C20" s="353">
        <f>+C15*E12/360</f>
        <v>73070.833333333328</v>
      </c>
      <c r="D20" s="232">
        <f>+D15</f>
        <v>69.8</v>
      </c>
      <c r="E20" s="233">
        <f t="shared" si="0"/>
        <v>1.5704871060171921</v>
      </c>
      <c r="F20" s="231">
        <f t="shared" si="1"/>
        <v>114757</v>
      </c>
    </row>
    <row r="21" spans="2:14">
      <c r="B21" s="233" t="s">
        <v>96</v>
      </c>
      <c r="C21" s="216"/>
      <c r="D21" s="216"/>
      <c r="E21" s="216"/>
      <c r="F21" s="231">
        <f>SUM(F14:F20)</f>
        <v>1674841</v>
      </c>
    </row>
    <row r="22" spans="2:14">
      <c r="B22" s="233" t="s">
        <v>98</v>
      </c>
      <c r="C22" s="216"/>
      <c r="D22" s="216"/>
      <c r="E22" s="216"/>
      <c r="F22" s="231">
        <f>+I18+J18</f>
        <v>68882.666666666657</v>
      </c>
    </row>
    <row r="23" spans="2:14">
      <c r="B23" s="233" t="s">
        <v>99</v>
      </c>
      <c r="C23" s="216"/>
      <c r="D23" s="216"/>
      <c r="E23" s="216"/>
      <c r="F23" s="231">
        <f>+F21-F22</f>
        <v>1605958.3333333333</v>
      </c>
    </row>
    <row r="25" spans="2:14">
      <c r="H25" s="2818" t="s">
        <v>1575</v>
      </c>
      <c r="I25" s="2819"/>
      <c r="J25" s="2819"/>
      <c r="K25" s="2819"/>
      <c r="L25" s="2819"/>
      <c r="M25" s="2819"/>
      <c r="N25" s="2819"/>
    </row>
    <row r="26" spans="2:14" ht="22.5">
      <c r="B26" s="226" t="s">
        <v>11</v>
      </c>
      <c r="C26" s="351" t="s">
        <v>111</v>
      </c>
      <c r="D26" s="226" t="s">
        <v>76</v>
      </c>
      <c r="E26" s="226" t="s">
        <v>77</v>
      </c>
      <c r="F26" s="351" t="s">
        <v>57</v>
      </c>
      <c r="H26" s="226" t="s">
        <v>11</v>
      </c>
      <c r="I26" s="1179" t="s">
        <v>1006</v>
      </c>
      <c r="J26" s="1179" t="s">
        <v>1572</v>
      </c>
      <c r="K26" s="1179" t="s">
        <v>1573</v>
      </c>
      <c r="L26" s="1179" t="s">
        <v>1574</v>
      </c>
      <c r="M26" s="1179" t="s">
        <v>82</v>
      </c>
      <c r="N26" s="1179" t="s">
        <v>83</v>
      </c>
    </row>
    <row r="27" spans="2:14">
      <c r="B27" s="233" t="s">
        <v>16</v>
      </c>
      <c r="C27" s="353">
        <v>496900</v>
      </c>
      <c r="D27" s="232">
        <v>70.209999999999994</v>
      </c>
      <c r="E27" s="233">
        <f>+$C$12/D27</f>
        <v>1.5613160518444669</v>
      </c>
      <c r="F27" s="231">
        <f>INT(C27*E27)</f>
        <v>775817</v>
      </c>
      <c r="H27" s="233" t="s">
        <v>16</v>
      </c>
      <c r="I27" s="229">
        <f>+C27*0.04</f>
        <v>19876</v>
      </c>
      <c r="J27" s="229">
        <f>+C27*0.04</f>
        <v>19876</v>
      </c>
      <c r="K27" s="229">
        <f>+C27*0.08</f>
        <v>39752</v>
      </c>
      <c r="L27" s="229">
        <f>+C27*0.125</f>
        <v>62112.5</v>
      </c>
      <c r="M27" s="229">
        <f>+I27+K27</f>
        <v>59628</v>
      </c>
      <c r="N27" s="229">
        <f>+L27+J27</f>
        <v>81988.5</v>
      </c>
    </row>
    <row r="28" spans="2:14">
      <c r="B28" s="233" t="s">
        <v>17</v>
      </c>
      <c r="C28" s="353">
        <v>496900</v>
      </c>
      <c r="D28" s="232">
        <v>70.8</v>
      </c>
      <c r="E28" s="233">
        <f t="shared" ref="E28:E37" si="3">+$C$12/D28</f>
        <v>1.5483050847457629</v>
      </c>
      <c r="F28" s="231">
        <f t="shared" ref="F28:F43" si="4">INT(C28*E28)</f>
        <v>769352</v>
      </c>
      <c r="H28" s="233" t="s">
        <v>17</v>
      </c>
      <c r="I28" s="229">
        <f t="shared" ref="I28:I38" si="5">+C28*0.04</f>
        <v>19876</v>
      </c>
      <c r="J28" s="229">
        <f t="shared" ref="J28:J38" si="6">+C28*0.04</f>
        <v>19876</v>
      </c>
      <c r="K28" s="229">
        <f t="shared" ref="K28:K38" si="7">+C28*0.08</f>
        <v>39752</v>
      </c>
      <c r="L28" s="229">
        <f t="shared" ref="L28:L38" si="8">+C28*0.125</f>
        <v>62112.5</v>
      </c>
      <c r="M28" s="229">
        <f t="shared" ref="M28:M38" si="9">+I28+K28</f>
        <v>59628</v>
      </c>
      <c r="N28" s="229">
        <f t="shared" ref="N28:N38" si="10">+L28+J28</f>
        <v>81988.5</v>
      </c>
    </row>
    <row r="29" spans="2:14">
      <c r="B29" s="233" t="s">
        <v>19</v>
      </c>
      <c r="C29" s="353">
        <v>496900</v>
      </c>
      <c r="D29" s="232">
        <v>71.150000000000006</v>
      </c>
      <c r="E29" s="233">
        <f t="shared" si="3"/>
        <v>1.540688685874912</v>
      </c>
      <c r="F29" s="231">
        <f t="shared" si="4"/>
        <v>765568</v>
      </c>
      <c r="H29" s="233" t="s">
        <v>19</v>
      </c>
      <c r="I29" s="229">
        <f t="shared" si="5"/>
        <v>19876</v>
      </c>
      <c r="J29" s="229">
        <f t="shared" si="6"/>
        <v>19876</v>
      </c>
      <c r="K29" s="229">
        <f t="shared" si="7"/>
        <v>39752</v>
      </c>
      <c r="L29" s="229">
        <f t="shared" si="8"/>
        <v>62112.5</v>
      </c>
      <c r="M29" s="229">
        <f t="shared" si="9"/>
        <v>59628</v>
      </c>
      <c r="N29" s="229">
        <f t="shared" si="10"/>
        <v>81988.5</v>
      </c>
    </row>
    <row r="30" spans="2:14">
      <c r="B30" s="233" t="s">
        <v>21</v>
      </c>
      <c r="C30" s="353">
        <v>496900</v>
      </c>
      <c r="D30" s="232">
        <v>71.38</v>
      </c>
      <c r="E30" s="233">
        <f t="shared" si="3"/>
        <v>1.535724292518913</v>
      </c>
      <c r="F30" s="231">
        <f t="shared" si="4"/>
        <v>763101</v>
      </c>
      <c r="H30" s="233" t="s">
        <v>21</v>
      </c>
      <c r="I30" s="229">
        <f t="shared" si="5"/>
        <v>19876</v>
      </c>
      <c r="J30" s="229">
        <f t="shared" si="6"/>
        <v>19876</v>
      </c>
      <c r="K30" s="229">
        <f t="shared" si="7"/>
        <v>39752</v>
      </c>
      <c r="L30" s="229">
        <f t="shared" si="8"/>
        <v>62112.5</v>
      </c>
      <c r="M30" s="229">
        <f t="shared" si="9"/>
        <v>59628</v>
      </c>
      <c r="N30" s="229">
        <f t="shared" si="10"/>
        <v>81988.5</v>
      </c>
    </row>
    <row r="31" spans="2:14">
      <c r="B31" s="233" t="s">
        <v>23</v>
      </c>
      <c r="C31" s="353">
        <v>496900</v>
      </c>
      <c r="D31" s="232">
        <v>71.39</v>
      </c>
      <c r="E31" s="233">
        <f t="shared" si="3"/>
        <v>1.5355091749544754</v>
      </c>
      <c r="F31" s="231">
        <f t="shared" si="4"/>
        <v>762994</v>
      </c>
      <c r="H31" s="233" t="s">
        <v>23</v>
      </c>
      <c r="I31" s="229">
        <f t="shared" si="5"/>
        <v>19876</v>
      </c>
      <c r="J31" s="229">
        <f t="shared" si="6"/>
        <v>19876</v>
      </c>
      <c r="K31" s="229">
        <f t="shared" si="7"/>
        <v>39752</v>
      </c>
      <c r="L31" s="229">
        <f t="shared" si="8"/>
        <v>62112.5</v>
      </c>
      <c r="M31" s="229">
        <f t="shared" si="9"/>
        <v>59628</v>
      </c>
      <c r="N31" s="229">
        <f t="shared" si="10"/>
        <v>81988.5</v>
      </c>
    </row>
    <row r="32" spans="2:14">
      <c r="B32" s="233" t="s">
        <v>25</v>
      </c>
      <c r="C32" s="353">
        <v>496900</v>
      </c>
      <c r="D32" s="232">
        <v>71.349999999999994</v>
      </c>
      <c r="E32" s="233">
        <f t="shared" si="3"/>
        <v>1.5363700070077086</v>
      </c>
      <c r="F32" s="231">
        <f t="shared" si="4"/>
        <v>763422</v>
      </c>
      <c r="H32" s="233" t="s">
        <v>25</v>
      </c>
      <c r="I32" s="229">
        <f t="shared" si="5"/>
        <v>19876</v>
      </c>
      <c r="J32" s="229">
        <f t="shared" si="6"/>
        <v>19876</v>
      </c>
      <c r="K32" s="229">
        <f t="shared" si="7"/>
        <v>39752</v>
      </c>
      <c r="L32" s="229">
        <f t="shared" si="8"/>
        <v>62112.5</v>
      </c>
      <c r="M32" s="229">
        <f t="shared" si="9"/>
        <v>59628</v>
      </c>
      <c r="N32" s="229">
        <f t="shared" si="10"/>
        <v>81988.5</v>
      </c>
    </row>
    <row r="33" spans="2:14">
      <c r="B33" s="233" t="s">
        <v>27</v>
      </c>
      <c r="C33" s="353">
        <v>496900</v>
      </c>
      <c r="D33" s="232">
        <v>71.319999999999993</v>
      </c>
      <c r="E33" s="233">
        <f t="shared" si="3"/>
        <v>1.5370162647223782</v>
      </c>
      <c r="F33" s="231">
        <f t="shared" si="4"/>
        <v>763743</v>
      </c>
      <c r="H33" s="233" t="s">
        <v>27</v>
      </c>
      <c r="I33" s="229">
        <f t="shared" si="5"/>
        <v>19876</v>
      </c>
      <c r="J33" s="229">
        <f t="shared" si="6"/>
        <v>19876</v>
      </c>
      <c r="K33" s="229">
        <f t="shared" si="7"/>
        <v>39752</v>
      </c>
      <c r="L33" s="229">
        <f t="shared" si="8"/>
        <v>62112.5</v>
      </c>
      <c r="M33" s="229">
        <f t="shared" si="9"/>
        <v>59628</v>
      </c>
      <c r="N33" s="229">
        <f t="shared" si="10"/>
        <v>81988.5</v>
      </c>
    </row>
    <row r="34" spans="2:14">
      <c r="B34" s="233" t="s">
        <v>29</v>
      </c>
      <c r="C34" s="353">
        <v>496900</v>
      </c>
      <c r="D34" s="232">
        <v>71.349999999999994</v>
      </c>
      <c r="E34" s="233">
        <f t="shared" si="3"/>
        <v>1.5363700070077086</v>
      </c>
      <c r="F34" s="231">
        <f t="shared" si="4"/>
        <v>763422</v>
      </c>
      <c r="H34" s="233" t="s">
        <v>29</v>
      </c>
      <c r="I34" s="229">
        <f t="shared" si="5"/>
        <v>19876</v>
      </c>
      <c r="J34" s="229">
        <f t="shared" si="6"/>
        <v>19876</v>
      </c>
      <c r="K34" s="229">
        <f t="shared" si="7"/>
        <v>39752</v>
      </c>
      <c r="L34" s="229">
        <f t="shared" si="8"/>
        <v>62112.5</v>
      </c>
      <c r="M34" s="229">
        <f t="shared" si="9"/>
        <v>59628</v>
      </c>
      <c r="N34" s="229">
        <f t="shared" si="10"/>
        <v>81988.5</v>
      </c>
    </row>
    <row r="35" spans="2:14">
      <c r="B35" s="233" t="s">
        <v>31</v>
      </c>
      <c r="C35" s="353">
        <v>496900</v>
      </c>
      <c r="D35" s="232">
        <v>71.28</v>
      </c>
      <c r="E35" s="233">
        <f t="shared" si="3"/>
        <v>1.5378787878787878</v>
      </c>
      <c r="F35" s="231">
        <f t="shared" si="4"/>
        <v>764171</v>
      </c>
      <c r="H35" s="233" t="s">
        <v>31</v>
      </c>
      <c r="I35" s="229">
        <f t="shared" si="5"/>
        <v>19876</v>
      </c>
      <c r="J35" s="229">
        <f t="shared" si="6"/>
        <v>19876</v>
      </c>
      <c r="K35" s="229">
        <f t="shared" si="7"/>
        <v>39752</v>
      </c>
      <c r="L35" s="229">
        <f t="shared" si="8"/>
        <v>62112.5</v>
      </c>
      <c r="M35" s="229">
        <f t="shared" si="9"/>
        <v>59628</v>
      </c>
      <c r="N35" s="229">
        <f t="shared" si="10"/>
        <v>81988.5</v>
      </c>
    </row>
    <row r="36" spans="2:14">
      <c r="B36" s="233" t="s">
        <v>33</v>
      </c>
      <c r="C36" s="353">
        <v>496900</v>
      </c>
      <c r="D36" s="232">
        <v>71.19</v>
      </c>
      <c r="E36" s="233">
        <f t="shared" si="3"/>
        <v>1.5398230088495577</v>
      </c>
      <c r="F36" s="231">
        <f t="shared" si="4"/>
        <v>765138</v>
      </c>
      <c r="H36" s="233" t="s">
        <v>33</v>
      </c>
      <c r="I36" s="229">
        <f t="shared" si="5"/>
        <v>19876</v>
      </c>
      <c r="J36" s="229">
        <f t="shared" si="6"/>
        <v>19876</v>
      </c>
      <c r="K36" s="229">
        <f t="shared" si="7"/>
        <v>39752</v>
      </c>
      <c r="L36" s="229">
        <f t="shared" si="8"/>
        <v>62112.5</v>
      </c>
      <c r="M36" s="229">
        <f t="shared" si="9"/>
        <v>59628</v>
      </c>
      <c r="N36" s="229">
        <f t="shared" si="10"/>
        <v>81988.5</v>
      </c>
    </row>
    <row r="37" spans="2:14">
      <c r="B37" s="233" t="s">
        <v>34</v>
      </c>
      <c r="C37" s="353">
        <v>496900</v>
      </c>
      <c r="D37" s="232">
        <v>71.14</v>
      </c>
      <c r="E37" s="233">
        <f t="shared" si="3"/>
        <v>1.5409052572392465</v>
      </c>
      <c r="F37" s="231">
        <f t="shared" si="4"/>
        <v>765675</v>
      </c>
      <c r="H37" s="233" t="s">
        <v>34</v>
      </c>
      <c r="I37" s="229">
        <f t="shared" si="5"/>
        <v>19876</v>
      </c>
      <c r="J37" s="229">
        <f t="shared" si="6"/>
        <v>19876</v>
      </c>
      <c r="K37" s="229">
        <f t="shared" si="7"/>
        <v>39752</v>
      </c>
      <c r="L37" s="229">
        <f t="shared" si="8"/>
        <v>62112.5</v>
      </c>
      <c r="M37" s="229">
        <f t="shared" si="9"/>
        <v>59628</v>
      </c>
      <c r="N37" s="229">
        <f t="shared" si="10"/>
        <v>81988.5</v>
      </c>
    </row>
    <row r="38" spans="2:14">
      <c r="B38" s="233" t="s">
        <v>35</v>
      </c>
      <c r="C38" s="353">
        <v>496900</v>
      </c>
      <c r="D38" s="232">
        <v>71.2</v>
      </c>
      <c r="E38" s="233">
        <f>+$C$12/D38</f>
        <v>1.5396067415730337</v>
      </c>
      <c r="F38" s="231">
        <f t="shared" si="4"/>
        <v>765030</v>
      </c>
      <c r="H38" s="233" t="s">
        <v>35</v>
      </c>
      <c r="I38" s="229">
        <f t="shared" si="5"/>
        <v>19876</v>
      </c>
      <c r="J38" s="229">
        <f t="shared" si="6"/>
        <v>19876</v>
      </c>
      <c r="K38" s="229">
        <f t="shared" si="7"/>
        <v>39752</v>
      </c>
      <c r="L38" s="229">
        <f t="shared" si="8"/>
        <v>62112.5</v>
      </c>
      <c r="M38" s="229">
        <f t="shared" si="9"/>
        <v>59628</v>
      </c>
      <c r="N38" s="229">
        <f t="shared" si="10"/>
        <v>81988.5</v>
      </c>
    </row>
    <row r="39" spans="2:14">
      <c r="B39" s="233" t="s">
        <v>101</v>
      </c>
      <c r="C39" s="353">
        <f>(C38*0.35*360)/360</f>
        <v>173915</v>
      </c>
      <c r="D39" s="232">
        <f>+D33</f>
        <v>71.319999999999993</v>
      </c>
      <c r="E39" s="233">
        <f>+E38</f>
        <v>1.5396067415730337</v>
      </c>
      <c r="F39" s="231">
        <f t="shared" si="4"/>
        <v>267760</v>
      </c>
      <c r="H39" s="3" t="s">
        <v>1011</v>
      </c>
      <c r="I39" s="229">
        <f t="shared" ref="I39:N39" si="11">SUM(I27:I38)</f>
        <v>238512</v>
      </c>
      <c r="J39" s="229">
        <f t="shared" si="11"/>
        <v>238512</v>
      </c>
      <c r="K39" s="229">
        <f t="shared" si="11"/>
        <v>477024</v>
      </c>
      <c r="L39" s="229">
        <f t="shared" si="11"/>
        <v>745350</v>
      </c>
      <c r="M39" s="229">
        <f t="shared" si="11"/>
        <v>715536</v>
      </c>
      <c r="N39" s="229">
        <f t="shared" si="11"/>
        <v>983862</v>
      </c>
    </row>
    <row r="40" spans="2:14">
      <c r="B40" s="233" t="s">
        <v>102</v>
      </c>
      <c r="C40" s="353">
        <f>(((C38/30)*20))*360/360</f>
        <v>331266.66666666663</v>
      </c>
      <c r="D40" s="232">
        <f>+D35</f>
        <v>71.28</v>
      </c>
      <c r="E40" s="233">
        <f>+E39</f>
        <v>1.5396067415730337</v>
      </c>
      <c r="F40" s="231">
        <f t="shared" si="4"/>
        <v>510020</v>
      </c>
    </row>
    <row r="41" spans="2:14">
      <c r="B41" s="233" t="s">
        <v>103</v>
      </c>
      <c r="C41" s="353">
        <f>((C38/30)*2*360)/360</f>
        <v>33126.666666666664</v>
      </c>
      <c r="D41" s="232">
        <f>+D35</f>
        <v>71.28</v>
      </c>
      <c r="E41" s="233">
        <f>+E40</f>
        <v>1.5396067415730337</v>
      </c>
      <c r="F41" s="231">
        <f t="shared" si="4"/>
        <v>51002</v>
      </c>
    </row>
    <row r="42" spans="2:14">
      <c r="B42" s="233" t="s">
        <v>104</v>
      </c>
      <c r="C42" s="353">
        <f>(((C38/30)*21)*360)/360</f>
        <v>347830</v>
      </c>
      <c r="D42" s="232">
        <f>+D37</f>
        <v>71.14</v>
      </c>
      <c r="E42" s="233">
        <f>+E41</f>
        <v>1.5396067415730337</v>
      </c>
      <c r="F42" s="231">
        <f t="shared" si="4"/>
        <v>535521</v>
      </c>
    </row>
    <row r="43" spans="2:14">
      <c r="B43" s="233" t="s">
        <v>95</v>
      </c>
      <c r="C43" s="353">
        <f>+C38*360/360</f>
        <v>496900</v>
      </c>
      <c r="D43" s="232">
        <f>+D38</f>
        <v>71.2</v>
      </c>
      <c r="E43" s="233">
        <f>+E42</f>
        <v>1.5396067415730337</v>
      </c>
      <c r="F43" s="231">
        <f t="shared" si="4"/>
        <v>765030</v>
      </c>
    </row>
    <row r="44" spans="2:14">
      <c r="B44" s="233" t="s">
        <v>96</v>
      </c>
      <c r="C44" s="353"/>
      <c r="D44" s="216"/>
      <c r="E44" s="216"/>
      <c r="F44" s="231">
        <f>SUM(F27:F43)</f>
        <v>11316766</v>
      </c>
    </row>
    <row r="45" spans="2:14">
      <c r="B45" s="233" t="s">
        <v>98</v>
      </c>
      <c r="C45" s="216"/>
      <c r="D45" s="216"/>
      <c r="E45" s="216"/>
      <c r="F45" s="231">
        <f>+I39+J39</f>
        <v>477024</v>
      </c>
    </row>
    <row r="46" spans="2:14">
      <c r="B46" s="233" t="s">
        <v>99</v>
      </c>
      <c r="C46" s="216"/>
      <c r="D46" s="216"/>
      <c r="E46" s="216"/>
      <c r="F46" s="231">
        <f>+F44-F45</f>
        <v>10839742</v>
      </c>
    </row>
    <row r="47" spans="2:14">
      <c r="H47" s="2818" t="s">
        <v>1576</v>
      </c>
      <c r="I47" s="2819"/>
      <c r="J47" s="2819"/>
      <c r="K47" s="2819"/>
      <c r="L47" s="2819"/>
      <c r="M47" s="2819"/>
      <c r="N47" s="2819"/>
    </row>
    <row r="48" spans="2:14" ht="22.5">
      <c r="B48" s="226" t="s">
        <v>11</v>
      </c>
      <c r="C48" s="351" t="s">
        <v>112</v>
      </c>
      <c r="D48" s="228" t="s">
        <v>76</v>
      </c>
      <c r="E48" s="228" t="s">
        <v>77</v>
      </c>
      <c r="F48" s="229" t="s">
        <v>57</v>
      </c>
      <c r="H48" s="226" t="s">
        <v>11</v>
      </c>
      <c r="I48" s="1179" t="s">
        <v>1006</v>
      </c>
      <c r="J48" s="1179" t="s">
        <v>1572</v>
      </c>
      <c r="K48" s="1179" t="s">
        <v>1573</v>
      </c>
      <c r="L48" s="1179" t="s">
        <v>1574</v>
      </c>
      <c r="M48" s="1179" t="s">
        <v>82</v>
      </c>
      <c r="N48" s="1179" t="s">
        <v>83</v>
      </c>
    </row>
    <row r="49" spans="2:14">
      <c r="B49" s="233" t="s">
        <v>16</v>
      </c>
      <c r="C49" s="353">
        <v>515000</v>
      </c>
      <c r="D49" s="232">
        <v>71.69</v>
      </c>
      <c r="E49" s="233">
        <f>+$C$12/D49</f>
        <v>1.5290835541916585</v>
      </c>
      <c r="F49" s="231">
        <f>INT(C49*E49)</f>
        <v>787478</v>
      </c>
      <c r="H49" s="233" t="s">
        <v>16</v>
      </c>
      <c r="I49" s="229">
        <f>+C49*0.04</f>
        <v>20600</v>
      </c>
      <c r="J49" s="229">
        <f>+C49*0.04</f>
        <v>20600</v>
      </c>
      <c r="K49" s="229">
        <f>+C49*0.08</f>
        <v>41200</v>
      </c>
      <c r="L49" s="229">
        <f>+C49*0.125</f>
        <v>64375</v>
      </c>
      <c r="M49" s="229">
        <f>+I49+K49</f>
        <v>61800</v>
      </c>
      <c r="N49" s="229">
        <f>+L49+J49</f>
        <v>84975</v>
      </c>
    </row>
    <row r="50" spans="2:14">
      <c r="B50" s="233" t="s">
        <v>17</v>
      </c>
      <c r="C50" s="353">
        <v>515000</v>
      </c>
      <c r="D50" s="232">
        <v>72.28</v>
      </c>
      <c r="E50" s="233">
        <f t="shared" ref="E50:E65" si="12">+$C$12/D50</f>
        <v>1.5166021029330383</v>
      </c>
      <c r="F50" s="231">
        <f t="shared" ref="F50:F64" si="13">INT(C50*E50)</f>
        <v>781050</v>
      </c>
      <c r="H50" s="233" t="s">
        <v>17</v>
      </c>
      <c r="I50" s="229">
        <f t="shared" ref="I50:I60" si="14">+C50*0.04</f>
        <v>20600</v>
      </c>
      <c r="J50" s="229">
        <f t="shared" ref="J50:J60" si="15">+C50*0.04</f>
        <v>20600</v>
      </c>
      <c r="K50" s="229">
        <f t="shared" ref="K50:K60" si="16">+C50*0.08</f>
        <v>41200</v>
      </c>
      <c r="L50" s="229">
        <f t="shared" ref="L50:L60" si="17">+C50*0.125</f>
        <v>64375</v>
      </c>
      <c r="M50" s="229">
        <f t="shared" ref="M50:M60" si="18">+I50+K50</f>
        <v>61800</v>
      </c>
      <c r="N50" s="229">
        <f t="shared" ref="N50:N60" si="19">+L50+J50</f>
        <v>84975</v>
      </c>
    </row>
    <row r="51" spans="2:14">
      <c r="B51" s="233" t="s">
        <v>19</v>
      </c>
      <c r="C51" s="353">
        <v>515000</v>
      </c>
      <c r="D51" s="232">
        <v>72.459999999999994</v>
      </c>
      <c r="E51" s="233">
        <f t="shared" si="12"/>
        <v>1.5128346674027051</v>
      </c>
      <c r="F51" s="231">
        <f t="shared" si="13"/>
        <v>779109</v>
      </c>
      <c r="H51" s="233" t="s">
        <v>19</v>
      </c>
      <c r="I51" s="229">
        <f t="shared" si="14"/>
        <v>20600</v>
      </c>
      <c r="J51" s="229">
        <f t="shared" si="15"/>
        <v>20600</v>
      </c>
      <c r="K51" s="229">
        <f t="shared" si="16"/>
        <v>41200</v>
      </c>
      <c r="L51" s="229">
        <f t="shared" si="17"/>
        <v>64375</v>
      </c>
      <c r="M51" s="229">
        <f t="shared" si="18"/>
        <v>61800</v>
      </c>
      <c r="N51" s="229">
        <f t="shared" si="19"/>
        <v>84975</v>
      </c>
    </row>
    <row r="52" spans="2:14">
      <c r="B52" s="233" t="s">
        <v>21</v>
      </c>
      <c r="C52" s="353">
        <v>515000</v>
      </c>
      <c r="D52" s="232">
        <v>72.790000000000006</v>
      </c>
      <c r="E52" s="233">
        <f t="shared" si="12"/>
        <v>1.5059760956175299</v>
      </c>
      <c r="F52" s="231">
        <f t="shared" si="13"/>
        <v>775577</v>
      </c>
      <c r="H52" s="233" t="s">
        <v>21</v>
      </c>
      <c r="I52" s="229">
        <f t="shared" si="14"/>
        <v>20600</v>
      </c>
      <c r="J52" s="229">
        <f t="shared" si="15"/>
        <v>20600</v>
      </c>
      <c r="K52" s="229">
        <f t="shared" si="16"/>
        <v>41200</v>
      </c>
      <c r="L52" s="229">
        <f t="shared" si="17"/>
        <v>64375</v>
      </c>
      <c r="M52" s="229">
        <f t="shared" si="18"/>
        <v>61800</v>
      </c>
      <c r="N52" s="229">
        <f t="shared" si="19"/>
        <v>84975</v>
      </c>
    </row>
    <row r="53" spans="2:14">
      <c r="B53" s="233" t="s">
        <v>23</v>
      </c>
      <c r="C53" s="353">
        <v>515000</v>
      </c>
      <c r="D53" s="232">
        <v>72.87</v>
      </c>
      <c r="E53" s="233">
        <f t="shared" si="12"/>
        <v>1.5043227665706052</v>
      </c>
      <c r="F53" s="231">
        <f t="shared" si="13"/>
        <v>774726</v>
      </c>
      <c r="H53" s="233" t="s">
        <v>23</v>
      </c>
      <c r="I53" s="229">
        <f t="shared" si="14"/>
        <v>20600</v>
      </c>
      <c r="J53" s="229">
        <f t="shared" si="15"/>
        <v>20600</v>
      </c>
      <c r="K53" s="229">
        <f t="shared" si="16"/>
        <v>41200</v>
      </c>
      <c r="L53" s="229">
        <f t="shared" si="17"/>
        <v>64375</v>
      </c>
      <c r="M53" s="229">
        <f t="shared" si="18"/>
        <v>61800</v>
      </c>
      <c r="N53" s="229">
        <f t="shared" si="19"/>
        <v>84975</v>
      </c>
    </row>
    <row r="54" spans="2:14">
      <c r="B54" s="233" t="s">
        <v>25</v>
      </c>
      <c r="C54" s="353">
        <v>515000</v>
      </c>
      <c r="D54" s="232">
        <v>72.95</v>
      </c>
      <c r="E54" s="233">
        <f t="shared" si="12"/>
        <v>1.5026730637422892</v>
      </c>
      <c r="F54" s="231">
        <f t="shared" si="13"/>
        <v>773876</v>
      </c>
      <c r="H54" s="233" t="s">
        <v>25</v>
      </c>
      <c r="I54" s="229">
        <f t="shared" si="14"/>
        <v>20600</v>
      </c>
      <c r="J54" s="229">
        <f t="shared" si="15"/>
        <v>20600</v>
      </c>
      <c r="K54" s="229">
        <f t="shared" si="16"/>
        <v>41200</v>
      </c>
      <c r="L54" s="229">
        <f t="shared" si="17"/>
        <v>64375</v>
      </c>
      <c r="M54" s="229">
        <f t="shared" si="18"/>
        <v>61800</v>
      </c>
      <c r="N54" s="229">
        <f t="shared" si="19"/>
        <v>84975</v>
      </c>
    </row>
    <row r="55" spans="2:14">
      <c r="B55" s="233" t="s">
        <v>27</v>
      </c>
      <c r="C55" s="353">
        <v>515000</v>
      </c>
      <c r="D55" s="232">
        <v>72.92</v>
      </c>
      <c r="E55" s="233">
        <f t="shared" si="12"/>
        <v>1.5032912781130006</v>
      </c>
      <c r="F55" s="231">
        <f t="shared" si="13"/>
        <v>774195</v>
      </c>
      <c r="H55" s="233" t="s">
        <v>27</v>
      </c>
      <c r="I55" s="229">
        <f t="shared" si="14"/>
        <v>20600</v>
      </c>
      <c r="J55" s="229">
        <f t="shared" si="15"/>
        <v>20600</v>
      </c>
      <c r="K55" s="229">
        <f t="shared" si="16"/>
        <v>41200</v>
      </c>
      <c r="L55" s="229">
        <f t="shared" si="17"/>
        <v>64375</v>
      </c>
      <c r="M55" s="229">
        <f t="shared" si="18"/>
        <v>61800</v>
      </c>
      <c r="N55" s="229">
        <f t="shared" si="19"/>
        <v>84975</v>
      </c>
    </row>
    <row r="56" spans="2:14">
      <c r="B56" s="233" t="s">
        <v>29</v>
      </c>
      <c r="C56" s="353">
        <v>515000</v>
      </c>
      <c r="D56" s="232">
        <v>73</v>
      </c>
      <c r="E56" s="233">
        <f t="shared" si="12"/>
        <v>1.5016438356164383</v>
      </c>
      <c r="F56" s="231">
        <f t="shared" si="13"/>
        <v>773346</v>
      </c>
      <c r="H56" s="233" t="s">
        <v>29</v>
      </c>
      <c r="I56" s="229">
        <f t="shared" si="14"/>
        <v>20600</v>
      </c>
      <c r="J56" s="229">
        <f t="shared" si="15"/>
        <v>20600</v>
      </c>
      <c r="K56" s="229">
        <f t="shared" si="16"/>
        <v>41200</v>
      </c>
      <c r="L56" s="229">
        <f t="shared" si="17"/>
        <v>64375</v>
      </c>
      <c r="M56" s="229">
        <f t="shared" si="18"/>
        <v>61800</v>
      </c>
      <c r="N56" s="229">
        <f t="shared" si="19"/>
        <v>84975</v>
      </c>
    </row>
    <row r="57" spans="2:14">
      <c r="B57" s="233" t="s">
        <v>31</v>
      </c>
      <c r="C57" s="353">
        <v>515000</v>
      </c>
      <c r="D57" s="232">
        <v>72.900000000000006</v>
      </c>
      <c r="E57" s="233">
        <f t="shared" si="12"/>
        <v>1.5037037037037035</v>
      </c>
      <c r="F57" s="231">
        <f t="shared" si="13"/>
        <v>774407</v>
      </c>
      <c r="H57" s="233" t="s">
        <v>31</v>
      </c>
      <c r="I57" s="229">
        <f t="shared" si="14"/>
        <v>20600</v>
      </c>
      <c r="J57" s="229">
        <f t="shared" si="15"/>
        <v>20600</v>
      </c>
      <c r="K57" s="229">
        <f t="shared" si="16"/>
        <v>41200</v>
      </c>
      <c r="L57" s="229">
        <f t="shared" si="17"/>
        <v>64375</v>
      </c>
      <c r="M57" s="229">
        <f t="shared" si="18"/>
        <v>61800</v>
      </c>
      <c r="N57" s="229">
        <f t="shared" si="19"/>
        <v>84975</v>
      </c>
    </row>
    <row r="58" spans="2:14">
      <c r="B58" s="233" t="s">
        <v>33</v>
      </c>
      <c r="C58" s="353">
        <v>515000</v>
      </c>
      <c r="D58" s="232">
        <v>72.84</v>
      </c>
      <c r="E58" s="233">
        <f t="shared" si="12"/>
        <v>1.5049423393739703</v>
      </c>
      <c r="F58" s="231">
        <f t="shared" si="13"/>
        <v>775045</v>
      </c>
      <c r="H58" s="233" t="s">
        <v>33</v>
      </c>
      <c r="I58" s="229">
        <f t="shared" si="14"/>
        <v>20600</v>
      </c>
      <c r="J58" s="229">
        <f t="shared" si="15"/>
        <v>20600</v>
      </c>
      <c r="K58" s="229">
        <f t="shared" si="16"/>
        <v>41200</v>
      </c>
      <c r="L58" s="229">
        <f t="shared" si="17"/>
        <v>64375</v>
      </c>
      <c r="M58" s="229">
        <f t="shared" si="18"/>
        <v>61800</v>
      </c>
      <c r="N58" s="229">
        <f t="shared" si="19"/>
        <v>84975</v>
      </c>
    </row>
    <row r="59" spans="2:14">
      <c r="B59" s="233" t="s">
        <v>34</v>
      </c>
      <c r="C59" s="353">
        <v>515000</v>
      </c>
      <c r="D59" s="232">
        <v>72.98</v>
      </c>
      <c r="E59" s="233">
        <f t="shared" si="12"/>
        <v>1.502055357632228</v>
      </c>
      <c r="F59" s="231">
        <f t="shared" si="13"/>
        <v>773558</v>
      </c>
      <c r="H59" s="233" t="s">
        <v>34</v>
      </c>
      <c r="I59" s="229">
        <f t="shared" si="14"/>
        <v>20600</v>
      </c>
      <c r="J59" s="229">
        <f t="shared" si="15"/>
        <v>20600</v>
      </c>
      <c r="K59" s="229">
        <f t="shared" si="16"/>
        <v>41200</v>
      </c>
      <c r="L59" s="229">
        <f t="shared" si="17"/>
        <v>64375</v>
      </c>
      <c r="M59" s="229">
        <f t="shared" si="18"/>
        <v>61800</v>
      </c>
      <c r="N59" s="229">
        <f t="shared" si="19"/>
        <v>84975</v>
      </c>
    </row>
    <row r="60" spans="2:14">
      <c r="B60" s="233" t="s">
        <v>35</v>
      </c>
      <c r="C60" s="353">
        <v>515000</v>
      </c>
      <c r="D60" s="232">
        <v>73.45</v>
      </c>
      <c r="E60" s="233">
        <f t="shared" si="12"/>
        <v>1.4924438393464943</v>
      </c>
      <c r="F60" s="231">
        <f t="shared" si="13"/>
        <v>768608</v>
      </c>
      <c r="H60" s="233" t="s">
        <v>35</v>
      </c>
      <c r="I60" s="229">
        <f t="shared" si="14"/>
        <v>20600</v>
      </c>
      <c r="J60" s="229">
        <f t="shared" si="15"/>
        <v>20600</v>
      </c>
      <c r="K60" s="229">
        <f t="shared" si="16"/>
        <v>41200</v>
      </c>
      <c r="L60" s="229">
        <f t="shared" si="17"/>
        <v>64375</v>
      </c>
      <c r="M60" s="229">
        <f t="shared" si="18"/>
        <v>61800</v>
      </c>
      <c r="N60" s="229">
        <f t="shared" si="19"/>
        <v>84975</v>
      </c>
    </row>
    <row r="61" spans="2:14">
      <c r="B61" s="233" t="s">
        <v>101</v>
      </c>
      <c r="C61" s="353">
        <f>(C60*0.35*360)/360</f>
        <v>180250</v>
      </c>
      <c r="D61" s="232">
        <f>+D55</f>
        <v>72.92</v>
      </c>
      <c r="E61" s="233">
        <f t="shared" si="12"/>
        <v>1.5032912781130006</v>
      </c>
      <c r="F61" s="231">
        <f t="shared" si="13"/>
        <v>270968</v>
      </c>
      <c r="H61" s="3" t="s">
        <v>1011</v>
      </c>
      <c r="I61" s="229">
        <f t="shared" ref="I61:N61" si="20">SUM(I49:I60)</f>
        <v>247200</v>
      </c>
      <c r="J61" s="229">
        <f t="shared" si="20"/>
        <v>247200</v>
      </c>
      <c r="K61" s="229">
        <f t="shared" si="20"/>
        <v>494400</v>
      </c>
      <c r="L61" s="229">
        <f t="shared" si="20"/>
        <v>772500</v>
      </c>
      <c r="M61" s="229">
        <f t="shared" si="20"/>
        <v>741600</v>
      </c>
      <c r="N61" s="229">
        <f t="shared" si="20"/>
        <v>1019700</v>
      </c>
    </row>
    <row r="62" spans="2:14">
      <c r="B62" s="233" t="s">
        <v>102</v>
      </c>
      <c r="C62" s="353">
        <f>(((C60/30)*20))*360/360</f>
        <v>343333.33333333337</v>
      </c>
      <c r="D62" s="232">
        <f>+D59</f>
        <v>72.98</v>
      </c>
      <c r="E62" s="233">
        <f t="shared" si="12"/>
        <v>1.502055357632228</v>
      </c>
      <c r="F62" s="231">
        <f t="shared" si="13"/>
        <v>515705</v>
      </c>
    </row>
    <row r="63" spans="2:14">
      <c r="B63" s="233" t="s">
        <v>103</v>
      </c>
      <c r="C63" s="353">
        <f>((C60/30)*2*360)/360</f>
        <v>34333.333333333336</v>
      </c>
      <c r="D63" s="232">
        <f>+D60</f>
        <v>73.45</v>
      </c>
      <c r="E63" s="233">
        <f t="shared" si="12"/>
        <v>1.4924438393464943</v>
      </c>
      <c r="F63" s="231">
        <f t="shared" si="13"/>
        <v>51240</v>
      </c>
    </row>
    <row r="64" spans="2:14">
      <c r="B64" s="233" t="s">
        <v>104</v>
      </c>
      <c r="C64" s="353">
        <f>(((C60/30)*21)*360)/360</f>
        <v>360500</v>
      </c>
      <c r="D64" s="232">
        <f>+D59</f>
        <v>72.98</v>
      </c>
      <c r="E64" s="233">
        <f t="shared" si="12"/>
        <v>1.502055357632228</v>
      </c>
      <c r="F64" s="231">
        <f t="shared" si="13"/>
        <v>541490</v>
      </c>
    </row>
    <row r="65" spans="2:14">
      <c r="B65" s="233" t="s">
        <v>95</v>
      </c>
      <c r="C65" s="353">
        <f>+C60*360/360</f>
        <v>515000</v>
      </c>
      <c r="D65" s="232">
        <f>+D60</f>
        <v>73.45</v>
      </c>
      <c r="E65" s="233">
        <f t="shared" si="12"/>
        <v>1.4924438393464943</v>
      </c>
      <c r="F65" s="231">
        <f>INT(C65*E65)</f>
        <v>768608</v>
      </c>
    </row>
    <row r="66" spans="2:14">
      <c r="B66" s="233" t="s">
        <v>96</v>
      </c>
      <c r="C66" s="353"/>
      <c r="D66" s="216"/>
      <c r="E66" s="216"/>
      <c r="F66" s="231">
        <f>SUM(F49:F65)</f>
        <v>11458986</v>
      </c>
    </row>
    <row r="67" spans="2:14">
      <c r="B67" s="233" t="s">
        <v>98</v>
      </c>
      <c r="C67" s="216"/>
      <c r="D67" s="216"/>
      <c r="E67" s="216"/>
      <c r="F67" s="231">
        <f>+I61+J61</f>
        <v>494400</v>
      </c>
    </row>
    <row r="68" spans="2:14">
      <c r="B68" s="233" t="s">
        <v>99</v>
      </c>
      <c r="C68" s="216"/>
      <c r="D68" s="216"/>
      <c r="E68" s="216"/>
      <c r="F68" s="231">
        <f>+F66-F67</f>
        <v>10964586</v>
      </c>
    </row>
    <row r="70" spans="2:14">
      <c r="H70" s="2818" t="s">
        <v>1577</v>
      </c>
      <c r="I70" s="2819"/>
      <c r="J70" s="2819"/>
      <c r="K70" s="2819"/>
      <c r="L70" s="2819"/>
      <c r="M70" s="2819"/>
      <c r="N70" s="2819"/>
    </row>
    <row r="71" spans="2:14" ht="22.5">
      <c r="B71" s="226" t="s">
        <v>11</v>
      </c>
      <c r="C71" s="351" t="s">
        <v>113</v>
      </c>
      <c r="D71" s="226" t="s">
        <v>76</v>
      </c>
      <c r="E71" s="226" t="s">
        <v>77</v>
      </c>
      <c r="F71" s="351" t="s">
        <v>57</v>
      </c>
      <c r="H71" s="226" t="s">
        <v>11</v>
      </c>
      <c r="I71" s="1179" t="s">
        <v>1006</v>
      </c>
      <c r="J71" s="1179" t="s">
        <v>1572</v>
      </c>
      <c r="K71" s="1179" t="s">
        <v>1573</v>
      </c>
      <c r="L71" s="1179" t="s">
        <v>1574</v>
      </c>
      <c r="M71" s="1179" t="s">
        <v>82</v>
      </c>
      <c r="N71" s="1179" t="s">
        <v>83</v>
      </c>
    </row>
    <row r="72" spans="2:14">
      <c r="B72" s="233" t="s">
        <v>16</v>
      </c>
      <c r="C72" s="353">
        <v>535600</v>
      </c>
      <c r="D72" s="232">
        <v>74.12</v>
      </c>
      <c r="E72" s="233">
        <f>+$C$12/D72</f>
        <v>1.4789530491095519</v>
      </c>
      <c r="F72" s="231">
        <f t="shared" ref="F72:F88" si="21">INT(C72*E72)</f>
        <v>792127</v>
      </c>
      <c r="H72" s="233" t="s">
        <v>16</v>
      </c>
      <c r="I72" s="229">
        <f>+C72*0.04</f>
        <v>21424</v>
      </c>
      <c r="J72" s="229">
        <f>+C72*0.04</f>
        <v>21424</v>
      </c>
      <c r="K72" s="229">
        <f>+C72*0.08</f>
        <v>42848</v>
      </c>
      <c r="L72" s="229">
        <f>+C72*0.125</f>
        <v>66950</v>
      </c>
      <c r="M72" s="229">
        <f>+I72+K72</f>
        <v>64272</v>
      </c>
      <c r="N72" s="229">
        <f>+L72+J72</f>
        <v>88374</v>
      </c>
    </row>
    <row r="73" spans="2:14">
      <c r="B73" s="233" t="s">
        <v>17</v>
      </c>
      <c r="C73" s="353">
        <v>535600</v>
      </c>
      <c r="D73" s="232">
        <v>74.569999999999993</v>
      </c>
      <c r="E73" s="233">
        <f t="shared" ref="E73:E88" si="22">+$C$12/D73</f>
        <v>1.470028161459032</v>
      </c>
      <c r="F73" s="231">
        <f t="shared" si="21"/>
        <v>787347</v>
      </c>
      <c r="H73" s="233" t="s">
        <v>17</v>
      </c>
      <c r="I73" s="229">
        <f t="shared" ref="I73:I83" si="23">+C73*0.04</f>
        <v>21424</v>
      </c>
      <c r="J73" s="229">
        <f t="shared" ref="J73:J83" si="24">+C73*0.04</f>
        <v>21424</v>
      </c>
      <c r="K73" s="229">
        <f t="shared" ref="K73:K83" si="25">+C73*0.08</f>
        <v>42848</v>
      </c>
      <c r="L73" s="229">
        <f t="shared" ref="L73:L83" si="26">+C73*0.125</f>
        <v>66950</v>
      </c>
      <c r="M73" s="229">
        <f t="shared" ref="M73:M83" si="27">+I73+K73</f>
        <v>64272</v>
      </c>
      <c r="N73" s="229">
        <f t="shared" ref="N73:N83" si="28">+L73+J73</f>
        <v>88374</v>
      </c>
    </row>
    <row r="74" spans="2:14">
      <c r="B74" s="233" t="s">
        <v>19</v>
      </c>
      <c r="C74" s="353">
        <v>535600</v>
      </c>
      <c r="D74" s="232">
        <v>74.77</v>
      </c>
      <c r="E74" s="233">
        <f t="shared" si="22"/>
        <v>1.4660960278186439</v>
      </c>
      <c r="F74" s="231">
        <f t="shared" si="21"/>
        <v>785241</v>
      </c>
      <c r="H74" s="233" t="s">
        <v>19</v>
      </c>
      <c r="I74" s="229">
        <f t="shared" si="23"/>
        <v>21424</v>
      </c>
      <c r="J74" s="229">
        <f t="shared" si="24"/>
        <v>21424</v>
      </c>
      <c r="K74" s="229">
        <f t="shared" si="25"/>
        <v>42848</v>
      </c>
      <c r="L74" s="229">
        <f t="shared" si="26"/>
        <v>66950</v>
      </c>
      <c r="M74" s="229">
        <f t="shared" si="27"/>
        <v>64272</v>
      </c>
      <c r="N74" s="229">
        <f t="shared" si="28"/>
        <v>88374</v>
      </c>
    </row>
    <row r="75" spans="2:14">
      <c r="B75" s="233" t="s">
        <v>21</v>
      </c>
      <c r="C75" s="353">
        <v>535600</v>
      </c>
      <c r="D75" s="232">
        <v>74.86</v>
      </c>
      <c r="E75" s="233">
        <f t="shared" si="22"/>
        <v>1.4643334223884585</v>
      </c>
      <c r="F75" s="231">
        <f t="shared" si="21"/>
        <v>784296</v>
      </c>
      <c r="H75" s="233" t="s">
        <v>21</v>
      </c>
      <c r="I75" s="229">
        <f t="shared" si="23"/>
        <v>21424</v>
      </c>
      <c r="J75" s="229">
        <f t="shared" si="24"/>
        <v>21424</v>
      </c>
      <c r="K75" s="229">
        <f t="shared" si="25"/>
        <v>42848</v>
      </c>
      <c r="L75" s="229">
        <f t="shared" si="26"/>
        <v>66950</v>
      </c>
      <c r="M75" s="229">
        <f t="shared" si="27"/>
        <v>64272</v>
      </c>
      <c r="N75" s="229">
        <f t="shared" si="28"/>
        <v>88374</v>
      </c>
    </row>
    <row r="76" spans="2:14">
      <c r="B76" s="233" t="s">
        <v>23</v>
      </c>
      <c r="C76" s="353">
        <v>535600</v>
      </c>
      <c r="D76" s="232">
        <v>75.069999999999993</v>
      </c>
      <c r="E76" s="233">
        <f t="shared" si="22"/>
        <v>1.4602371120287734</v>
      </c>
      <c r="F76" s="231">
        <f t="shared" si="21"/>
        <v>782102</v>
      </c>
      <c r="H76" s="233" t="s">
        <v>23</v>
      </c>
      <c r="I76" s="229">
        <f t="shared" si="23"/>
        <v>21424</v>
      </c>
      <c r="J76" s="229">
        <f t="shared" si="24"/>
        <v>21424</v>
      </c>
      <c r="K76" s="229">
        <f t="shared" si="25"/>
        <v>42848</v>
      </c>
      <c r="L76" s="229">
        <f t="shared" si="26"/>
        <v>66950</v>
      </c>
      <c r="M76" s="229">
        <f t="shared" si="27"/>
        <v>64272</v>
      </c>
      <c r="N76" s="229">
        <f t="shared" si="28"/>
        <v>88374</v>
      </c>
    </row>
    <row r="77" spans="2:14">
      <c r="B77" s="233" t="s">
        <v>25</v>
      </c>
      <c r="C77" s="353">
        <v>535600</v>
      </c>
      <c r="D77" s="232">
        <v>75.31</v>
      </c>
      <c r="E77" s="233">
        <f t="shared" si="22"/>
        <v>1.4555835878369408</v>
      </c>
      <c r="F77" s="231">
        <f t="shared" si="21"/>
        <v>779610</v>
      </c>
      <c r="H77" s="233" t="s">
        <v>25</v>
      </c>
      <c r="I77" s="229">
        <f t="shared" si="23"/>
        <v>21424</v>
      </c>
      <c r="J77" s="229">
        <f t="shared" si="24"/>
        <v>21424</v>
      </c>
      <c r="K77" s="229">
        <f t="shared" si="25"/>
        <v>42848</v>
      </c>
      <c r="L77" s="229">
        <f t="shared" si="26"/>
        <v>66950</v>
      </c>
      <c r="M77" s="229">
        <f t="shared" si="27"/>
        <v>64272</v>
      </c>
      <c r="N77" s="229">
        <f t="shared" si="28"/>
        <v>88374</v>
      </c>
    </row>
    <row r="78" spans="2:14">
      <c r="B78" s="233" t="s">
        <v>27</v>
      </c>
      <c r="C78" s="353">
        <v>535600</v>
      </c>
      <c r="D78" s="232">
        <v>75.42</v>
      </c>
      <c r="E78" s="233">
        <f t="shared" si="22"/>
        <v>1.4534606205250598</v>
      </c>
      <c r="F78" s="231">
        <f t="shared" si="21"/>
        <v>778473</v>
      </c>
      <c r="H78" s="233" t="s">
        <v>27</v>
      </c>
      <c r="I78" s="229">
        <f t="shared" si="23"/>
        <v>21424</v>
      </c>
      <c r="J78" s="229">
        <f t="shared" si="24"/>
        <v>21424</v>
      </c>
      <c r="K78" s="229">
        <f t="shared" si="25"/>
        <v>42848</v>
      </c>
      <c r="L78" s="229">
        <f t="shared" si="26"/>
        <v>66950</v>
      </c>
      <c r="M78" s="229">
        <f t="shared" si="27"/>
        <v>64272</v>
      </c>
      <c r="N78" s="229">
        <f t="shared" si="28"/>
        <v>88374</v>
      </c>
    </row>
    <row r="79" spans="2:14">
      <c r="B79" s="233" t="s">
        <v>29</v>
      </c>
      <c r="C79" s="353">
        <v>535600</v>
      </c>
      <c r="D79" s="232">
        <v>75.39</v>
      </c>
      <c r="E79" s="233">
        <f t="shared" si="22"/>
        <v>1.4540389972144847</v>
      </c>
      <c r="F79" s="231">
        <f t="shared" si="21"/>
        <v>778783</v>
      </c>
      <c r="H79" s="233" t="s">
        <v>29</v>
      </c>
      <c r="I79" s="229">
        <f t="shared" si="23"/>
        <v>21424</v>
      </c>
      <c r="J79" s="229">
        <f t="shared" si="24"/>
        <v>21424</v>
      </c>
      <c r="K79" s="229">
        <f t="shared" si="25"/>
        <v>42848</v>
      </c>
      <c r="L79" s="229">
        <f t="shared" si="26"/>
        <v>66950</v>
      </c>
      <c r="M79" s="229">
        <f t="shared" si="27"/>
        <v>64272</v>
      </c>
      <c r="N79" s="229">
        <f t="shared" si="28"/>
        <v>88374</v>
      </c>
    </row>
    <row r="80" spans="2:14">
      <c r="B80" s="233" t="s">
        <v>31</v>
      </c>
      <c r="C80" s="353">
        <v>535600</v>
      </c>
      <c r="D80" s="232">
        <v>75.62</v>
      </c>
      <c r="E80" s="233">
        <f t="shared" si="22"/>
        <v>1.449616503570484</v>
      </c>
      <c r="F80" s="231">
        <f t="shared" si="21"/>
        <v>776414</v>
      </c>
      <c r="H80" s="233" t="s">
        <v>31</v>
      </c>
      <c r="I80" s="229">
        <f t="shared" si="23"/>
        <v>21424</v>
      </c>
      <c r="J80" s="229">
        <f t="shared" si="24"/>
        <v>21424</v>
      </c>
      <c r="K80" s="229">
        <f t="shared" si="25"/>
        <v>42848</v>
      </c>
      <c r="L80" s="229">
        <f t="shared" si="26"/>
        <v>66950</v>
      </c>
      <c r="M80" s="229">
        <f t="shared" si="27"/>
        <v>64272</v>
      </c>
      <c r="N80" s="229">
        <f t="shared" si="28"/>
        <v>88374</v>
      </c>
    </row>
    <row r="81" spans="2:14">
      <c r="B81" s="233" t="s">
        <v>33</v>
      </c>
      <c r="C81" s="353">
        <v>535600</v>
      </c>
      <c r="D81" s="232">
        <v>75.77</v>
      </c>
      <c r="E81" s="233">
        <f t="shared" si="22"/>
        <v>1.4467467335357003</v>
      </c>
      <c r="F81" s="231">
        <f t="shared" si="21"/>
        <v>774877</v>
      </c>
      <c r="H81" s="233" t="s">
        <v>33</v>
      </c>
      <c r="I81" s="229">
        <f t="shared" si="23"/>
        <v>21424</v>
      </c>
      <c r="J81" s="229">
        <f t="shared" si="24"/>
        <v>21424</v>
      </c>
      <c r="K81" s="229">
        <f t="shared" si="25"/>
        <v>42848</v>
      </c>
      <c r="L81" s="229">
        <f t="shared" si="26"/>
        <v>66950</v>
      </c>
      <c r="M81" s="229">
        <f t="shared" si="27"/>
        <v>64272</v>
      </c>
      <c r="N81" s="229">
        <f t="shared" si="28"/>
        <v>88374</v>
      </c>
    </row>
    <row r="82" spans="2:14">
      <c r="B82" s="233" t="s">
        <v>34</v>
      </c>
      <c r="C82" s="353">
        <v>535600</v>
      </c>
      <c r="D82" s="232">
        <v>75.87</v>
      </c>
      <c r="E82" s="233">
        <f t="shared" si="22"/>
        <v>1.4448398576512456</v>
      </c>
      <c r="F82" s="231">
        <f t="shared" si="21"/>
        <v>773856</v>
      </c>
      <c r="H82" s="233" t="s">
        <v>34</v>
      </c>
      <c r="I82" s="229">
        <f t="shared" si="23"/>
        <v>21424</v>
      </c>
      <c r="J82" s="229">
        <f t="shared" si="24"/>
        <v>21424</v>
      </c>
      <c r="K82" s="229">
        <f t="shared" si="25"/>
        <v>42848</v>
      </c>
      <c r="L82" s="229">
        <f t="shared" si="26"/>
        <v>66950</v>
      </c>
      <c r="M82" s="229">
        <f t="shared" si="27"/>
        <v>64272</v>
      </c>
      <c r="N82" s="229">
        <f t="shared" si="28"/>
        <v>88374</v>
      </c>
    </row>
    <row r="83" spans="2:14">
      <c r="B83" s="233" t="s">
        <v>35</v>
      </c>
      <c r="C83" s="353">
        <v>535600</v>
      </c>
      <c r="D83" s="232">
        <v>76.19</v>
      </c>
      <c r="E83" s="233">
        <f t="shared" si="22"/>
        <v>1.4387714923218271</v>
      </c>
      <c r="F83" s="231">
        <f t="shared" si="21"/>
        <v>770606</v>
      </c>
      <c r="H83" s="233" t="s">
        <v>35</v>
      </c>
      <c r="I83" s="229">
        <f t="shared" si="23"/>
        <v>21424</v>
      </c>
      <c r="J83" s="229">
        <f t="shared" si="24"/>
        <v>21424</v>
      </c>
      <c r="K83" s="229">
        <f t="shared" si="25"/>
        <v>42848</v>
      </c>
      <c r="L83" s="229">
        <f t="shared" si="26"/>
        <v>66950</v>
      </c>
      <c r="M83" s="229">
        <f t="shared" si="27"/>
        <v>64272</v>
      </c>
      <c r="N83" s="229">
        <f t="shared" si="28"/>
        <v>88374</v>
      </c>
    </row>
    <row r="84" spans="2:14">
      <c r="B84" s="233" t="s">
        <v>101</v>
      </c>
      <c r="C84" s="353">
        <f>(C83*0.35*360)/360</f>
        <v>187460</v>
      </c>
      <c r="D84" s="232">
        <f>+D78</f>
        <v>75.42</v>
      </c>
      <c r="E84" s="233">
        <f t="shared" si="22"/>
        <v>1.4534606205250598</v>
      </c>
      <c r="F84" s="231">
        <f t="shared" si="21"/>
        <v>272465</v>
      </c>
      <c r="H84" s="3" t="s">
        <v>1011</v>
      </c>
      <c r="I84" s="229">
        <f t="shared" ref="I84:N84" si="29">SUM(I72:I83)</f>
        <v>257088</v>
      </c>
      <c r="J84" s="229">
        <f t="shared" si="29"/>
        <v>257088</v>
      </c>
      <c r="K84" s="229">
        <f t="shared" si="29"/>
        <v>514176</v>
      </c>
      <c r="L84" s="229">
        <f t="shared" si="29"/>
        <v>803400</v>
      </c>
      <c r="M84" s="229">
        <f t="shared" si="29"/>
        <v>771264</v>
      </c>
      <c r="N84" s="229">
        <f t="shared" si="29"/>
        <v>1060488</v>
      </c>
    </row>
    <row r="85" spans="2:14">
      <c r="B85" s="233" t="s">
        <v>102</v>
      </c>
      <c r="C85" s="353">
        <f>(((C83/30)*20))*360/360</f>
        <v>357066.66666666663</v>
      </c>
      <c r="D85" s="232">
        <f>+D82</f>
        <v>75.87</v>
      </c>
      <c r="E85" s="233">
        <f t="shared" si="22"/>
        <v>1.4448398576512456</v>
      </c>
      <c r="F85" s="231">
        <f t="shared" si="21"/>
        <v>515904</v>
      </c>
    </row>
    <row r="86" spans="2:14">
      <c r="B86" s="233" t="s">
        <v>103</v>
      </c>
      <c r="C86" s="353">
        <f>((C83/30)*2*360)/360</f>
        <v>35706.666666666664</v>
      </c>
      <c r="D86" s="232">
        <f>+D83</f>
        <v>76.19</v>
      </c>
      <c r="E86" s="233">
        <f t="shared" si="22"/>
        <v>1.4387714923218271</v>
      </c>
      <c r="F86" s="231">
        <f t="shared" si="21"/>
        <v>51373</v>
      </c>
    </row>
    <row r="87" spans="2:14">
      <c r="B87" s="233" t="s">
        <v>104</v>
      </c>
      <c r="C87" s="353">
        <f>(((C83/30)*21)*360)/360</f>
        <v>374920</v>
      </c>
      <c r="D87" s="232">
        <f>+D82</f>
        <v>75.87</v>
      </c>
      <c r="E87" s="233">
        <f t="shared" si="22"/>
        <v>1.4448398576512456</v>
      </c>
      <c r="F87" s="231">
        <f t="shared" si="21"/>
        <v>541699</v>
      </c>
    </row>
    <row r="88" spans="2:14">
      <c r="B88" s="233" t="s">
        <v>95</v>
      </c>
      <c r="C88" s="353">
        <f>+C83*360/360</f>
        <v>535600</v>
      </c>
      <c r="D88" s="232">
        <f>+D83</f>
        <v>76.19</v>
      </c>
      <c r="E88" s="233">
        <f t="shared" si="22"/>
        <v>1.4387714923218271</v>
      </c>
      <c r="F88" s="231">
        <f t="shared" si="21"/>
        <v>770606</v>
      </c>
    </row>
    <row r="89" spans="2:14">
      <c r="B89" s="233" t="s">
        <v>96</v>
      </c>
      <c r="C89" s="353"/>
      <c r="D89" s="216"/>
      <c r="E89" s="216"/>
      <c r="F89" s="231">
        <f>SUM(F72:F88)</f>
        <v>11515779</v>
      </c>
    </row>
    <row r="90" spans="2:14">
      <c r="B90" s="233" t="s">
        <v>98</v>
      </c>
      <c r="C90" s="216"/>
      <c r="D90" s="216"/>
      <c r="E90" s="216"/>
      <c r="F90" s="231">
        <f>+I84+J84</f>
        <v>514176</v>
      </c>
    </row>
    <row r="91" spans="2:14">
      <c r="B91" s="233" t="s">
        <v>99</v>
      </c>
      <c r="C91" s="216"/>
      <c r="D91" s="216"/>
      <c r="E91" s="216"/>
      <c r="F91" s="231">
        <f>+F89-F90</f>
        <v>11001603</v>
      </c>
    </row>
    <row r="92" spans="2:14">
      <c r="B92" s="217"/>
      <c r="C92" s="217"/>
      <c r="D92" s="217"/>
      <c r="E92" s="217"/>
      <c r="F92" s="217"/>
      <c r="H92" s="2818" t="s">
        <v>1578</v>
      </c>
      <c r="I92" s="2819"/>
      <c r="J92" s="2819"/>
      <c r="K92" s="2819"/>
      <c r="L92" s="2819"/>
      <c r="M92" s="2819"/>
      <c r="N92" s="2819"/>
    </row>
    <row r="93" spans="2:14" ht="22.5">
      <c r="B93" s="226" t="s">
        <v>11</v>
      </c>
      <c r="C93" s="351" t="s">
        <v>114</v>
      </c>
      <c r="D93" s="228" t="s">
        <v>76</v>
      </c>
      <c r="E93" s="228" t="s">
        <v>77</v>
      </c>
      <c r="F93" s="229" t="s">
        <v>57</v>
      </c>
      <c r="G93" s="8"/>
      <c r="H93" s="226" t="s">
        <v>11</v>
      </c>
      <c r="I93" s="1179" t="s">
        <v>1006</v>
      </c>
      <c r="J93" s="1179" t="s">
        <v>1572</v>
      </c>
      <c r="K93" s="1179" t="s">
        <v>1573</v>
      </c>
      <c r="L93" s="1179" t="s">
        <v>1574</v>
      </c>
      <c r="M93" s="1179" t="s">
        <v>82</v>
      </c>
      <c r="N93" s="1179" t="s">
        <v>83</v>
      </c>
    </row>
    <row r="94" spans="2:14">
      <c r="B94" s="233" t="s">
        <v>16</v>
      </c>
      <c r="C94" s="353">
        <v>1245000</v>
      </c>
      <c r="D94" s="232">
        <v>76.75</v>
      </c>
      <c r="E94" s="233">
        <f>+$C$12/D94</f>
        <v>1.4282736156351792</v>
      </c>
      <c r="F94" s="231">
        <f t="shared" ref="F94:F110" si="30">INT(C94*E94)</f>
        <v>1778200</v>
      </c>
      <c r="G94" s="8"/>
      <c r="H94" s="233" t="s">
        <v>16</v>
      </c>
      <c r="I94" s="229">
        <f>+C94*0.04</f>
        <v>49800</v>
      </c>
      <c r="J94" s="229">
        <f>+C94*0.04</f>
        <v>49800</v>
      </c>
      <c r="K94" s="229">
        <f>+C94*0.08</f>
        <v>99600</v>
      </c>
      <c r="L94" s="229">
        <f>+C94*0.125</f>
        <v>155625</v>
      </c>
      <c r="M94" s="229">
        <f>+I94+K94</f>
        <v>149400</v>
      </c>
      <c r="N94" s="229">
        <f>+L94+J94</f>
        <v>205425</v>
      </c>
    </row>
    <row r="95" spans="2:14">
      <c r="B95" s="233" t="s">
        <v>17</v>
      </c>
      <c r="C95" s="353">
        <v>1245000</v>
      </c>
      <c r="D95" s="232">
        <v>77.22</v>
      </c>
      <c r="E95" s="233">
        <f t="shared" ref="E95:E110" si="31">+$C$12/D95</f>
        <v>1.4195804195804196</v>
      </c>
      <c r="F95" s="231">
        <f t="shared" si="30"/>
        <v>1767377</v>
      </c>
      <c r="G95" s="8"/>
      <c r="H95" s="233" t="s">
        <v>17</v>
      </c>
      <c r="I95" s="229">
        <f t="shared" ref="I95:I105" si="32">+C95*0.04</f>
        <v>49800</v>
      </c>
      <c r="J95" s="229">
        <f t="shared" ref="J95:J105" si="33">+C95*0.04</f>
        <v>49800</v>
      </c>
      <c r="K95" s="229">
        <f t="shared" ref="K95:K105" si="34">+C95*0.08</f>
        <v>99600</v>
      </c>
      <c r="L95" s="229">
        <f t="shared" ref="L95:L105" si="35">+C95*0.125</f>
        <v>155625</v>
      </c>
      <c r="M95" s="229">
        <f t="shared" ref="M95:M105" si="36">+I95+K95</f>
        <v>149400</v>
      </c>
      <c r="N95" s="229">
        <f t="shared" ref="N95:N105" si="37">+L95+J95</f>
        <v>205425</v>
      </c>
    </row>
    <row r="96" spans="2:14">
      <c r="B96" s="233" t="s">
        <v>19</v>
      </c>
      <c r="C96" s="353">
        <v>1245000</v>
      </c>
      <c r="D96" s="232">
        <v>77.31</v>
      </c>
      <c r="E96" s="233">
        <f t="shared" si="31"/>
        <v>1.4179278230500583</v>
      </c>
      <c r="F96" s="231">
        <f t="shared" si="30"/>
        <v>1765320</v>
      </c>
      <c r="G96" s="8"/>
      <c r="H96" s="233" t="s">
        <v>19</v>
      </c>
      <c r="I96" s="229">
        <f t="shared" si="32"/>
        <v>49800</v>
      </c>
      <c r="J96" s="229">
        <f t="shared" si="33"/>
        <v>49800</v>
      </c>
      <c r="K96" s="229">
        <f t="shared" si="34"/>
        <v>99600</v>
      </c>
      <c r="L96" s="229">
        <f t="shared" si="35"/>
        <v>155625</v>
      </c>
      <c r="M96" s="229">
        <f t="shared" si="36"/>
        <v>149400</v>
      </c>
      <c r="N96" s="229">
        <f t="shared" si="37"/>
        <v>205425</v>
      </c>
    </row>
    <row r="97" spans="2:14">
      <c r="B97" s="233" t="s">
        <v>21</v>
      </c>
      <c r="C97" s="353">
        <v>1245000</v>
      </c>
      <c r="D97" s="232">
        <v>77.42</v>
      </c>
      <c r="E97" s="233">
        <f t="shared" si="31"/>
        <v>1.4159132007233273</v>
      </c>
      <c r="F97" s="231">
        <f t="shared" si="30"/>
        <v>1762811</v>
      </c>
      <c r="H97" s="233" t="s">
        <v>21</v>
      </c>
      <c r="I97" s="229">
        <f t="shared" si="32"/>
        <v>49800</v>
      </c>
      <c r="J97" s="229">
        <f t="shared" si="33"/>
        <v>49800</v>
      </c>
      <c r="K97" s="229">
        <f t="shared" si="34"/>
        <v>99600</v>
      </c>
      <c r="L97" s="229">
        <f t="shared" si="35"/>
        <v>155625</v>
      </c>
      <c r="M97" s="229">
        <f t="shared" si="36"/>
        <v>149400</v>
      </c>
      <c r="N97" s="229">
        <f t="shared" si="37"/>
        <v>205425</v>
      </c>
    </row>
    <row r="98" spans="2:14">
      <c r="B98" s="233" t="s">
        <v>23</v>
      </c>
      <c r="C98" s="353">
        <v>1245000</v>
      </c>
      <c r="D98" s="232">
        <v>77.66</v>
      </c>
      <c r="E98" s="233">
        <f t="shared" si="31"/>
        <v>1.4115374710275561</v>
      </c>
      <c r="F98" s="231">
        <f t="shared" si="30"/>
        <v>1757364</v>
      </c>
      <c r="H98" s="233" t="s">
        <v>23</v>
      </c>
      <c r="I98" s="229">
        <f t="shared" si="32"/>
        <v>49800</v>
      </c>
      <c r="J98" s="229">
        <f t="shared" si="33"/>
        <v>49800</v>
      </c>
      <c r="K98" s="229">
        <f t="shared" si="34"/>
        <v>99600</v>
      </c>
      <c r="L98" s="229">
        <f t="shared" si="35"/>
        <v>155625</v>
      </c>
      <c r="M98" s="229">
        <f t="shared" si="36"/>
        <v>149400</v>
      </c>
      <c r="N98" s="229">
        <f t="shared" si="37"/>
        <v>205425</v>
      </c>
    </row>
    <row r="99" spans="2:14">
      <c r="B99" s="233" t="s">
        <v>25</v>
      </c>
      <c r="C99" s="353">
        <v>1245000</v>
      </c>
      <c r="D99" s="232">
        <v>77.72</v>
      </c>
      <c r="E99" s="233">
        <f t="shared" si="31"/>
        <v>1.41044776119403</v>
      </c>
      <c r="F99" s="231">
        <f t="shared" si="30"/>
        <v>1756007</v>
      </c>
      <c r="H99" s="233" t="s">
        <v>25</v>
      </c>
      <c r="I99" s="229">
        <f t="shared" si="32"/>
        <v>49800</v>
      </c>
      <c r="J99" s="229">
        <f t="shared" si="33"/>
        <v>49800</v>
      </c>
      <c r="K99" s="229">
        <f t="shared" si="34"/>
        <v>99600</v>
      </c>
      <c r="L99" s="229">
        <f t="shared" si="35"/>
        <v>155625</v>
      </c>
      <c r="M99" s="229">
        <f t="shared" si="36"/>
        <v>149400</v>
      </c>
      <c r="N99" s="229">
        <f t="shared" si="37"/>
        <v>205425</v>
      </c>
    </row>
    <row r="100" spans="2:14">
      <c r="B100" s="233" t="s">
        <v>27</v>
      </c>
      <c r="C100" s="353">
        <v>1245000</v>
      </c>
      <c r="D100" s="232">
        <v>77.7</v>
      </c>
      <c r="E100" s="233">
        <f t="shared" si="31"/>
        <v>1.4108108108108108</v>
      </c>
      <c r="F100" s="231">
        <f t="shared" si="30"/>
        <v>1756459</v>
      </c>
      <c r="H100" s="233" t="s">
        <v>27</v>
      </c>
      <c r="I100" s="229">
        <f t="shared" si="32"/>
        <v>49800</v>
      </c>
      <c r="J100" s="229">
        <f t="shared" si="33"/>
        <v>49800</v>
      </c>
      <c r="K100" s="229">
        <f t="shared" si="34"/>
        <v>99600</v>
      </c>
      <c r="L100" s="229">
        <f t="shared" si="35"/>
        <v>155625</v>
      </c>
      <c r="M100" s="229">
        <f t="shared" si="36"/>
        <v>149400</v>
      </c>
      <c r="N100" s="229">
        <f t="shared" si="37"/>
        <v>205425</v>
      </c>
    </row>
    <row r="101" spans="2:14">
      <c r="B101" s="233" t="s">
        <v>29</v>
      </c>
      <c r="C101" s="353">
        <v>1245000</v>
      </c>
      <c r="D101" s="232">
        <v>77.73</v>
      </c>
      <c r="E101" s="233">
        <f t="shared" si="31"/>
        <v>1.410266306445388</v>
      </c>
      <c r="F101" s="231">
        <f t="shared" si="30"/>
        <v>1755781</v>
      </c>
      <c r="H101" s="233" t="s">
        <v>29</v>
      </c>
      <c r="I101" s="229">
        <f t="shared" si="32"/>
        <v>49800</v>
      </c>
      <c r="J101" s="229">
        <f t="shared" si="33"/>
        <v>49800</v>
      </c>
      <c r="K101" s="229">
        <f t="shared" si="34"/>
        <v>99600</v>
      </c>
      <c r="L101" s="229">
        <f t="shared" si="35"/>
        <v>155625</v>
      </c>
      <c r="M101" s="229">
        <f t="shared" si="36"/>
        <v>149400</v>
      </c>
      <c r="N101" s="229">
        <f t="shared" si="37"/>
        <v>205425</v>
      </c>
    </row>
    <row r="102" spans="2:14">
      <c r="B102" s="233" t="s">
        <v>31</v>
      </c>
      <c r="C102" s="353">
        <v>1245000</v>
      </c>
      <c r="D102" s="232">
        <v>77.959999999999994</v>
      </c>
      <c r="E102" s="233">
        <f t="shared" si="31"/>
        <v>1.4061056952283224</v>
      </c>
      <c r="F102" s="231">
        <f t="shared" si="30"/>
        <v>1750601</v>
      </c>
      <c r="H102" s="233" t="s">
        <v>31</v>
      </c>
      <c r="I102" s="229">
        <f t="shared" si="32"/>
        <v>49800</v>
      </c>
      <c r="J102" s="229">
        <f t="shared" si="33"/>
        <v>49800</v>
      </c>
      <c r="K102" s="229">
        <f t="shared" si="34"/>
        <v>99600</v>
      </c>
      <c r="L102" s="229">
        <f t="shared" si="35"/>
        <v>155625</v>
      </c>
      <c r="M102" s="229">
        <f t="shared" si="36"/>
        <v>149400</v>
      </c>
      <c r="N102" s="229">
        <f t="shared" si="37"/>
        <v>205425</v>
      </c>
    </row>
    <row r="103" spans="2:14">
      <c r="B103" s="233" t="s">
        <v>33</v>
      </c>
      <c r="C103" s="353">
        <v>1245000</v>
      </c>
      <c r="D103" s="232">
        <v>78.08</v>
      </c>
      <c r="E103" s="233">
        <f t="shared" si="31"/>
        <v>1.4039446721311477</v>
      </c>
      <c r="F103" s="231">
        <f t="shared" si="30"/>
        <v>1747911</v>
      </c>
      <c r="H103" s="233" t="s">
        <v>33</v>
      </c>
      <c r="I103" s="229">
        <f t="shared" si="32"/>
        <v>49800</v>
      </c>
      <c r="J103" s="229">
        <f t="shared" si="33"/>
        <v>49800</v>
      </c>
      <c r="K103" s="229">
        <f t="shared" si="34"/>
        <v>99600</v>
      </c>
      <c r="L103" s="229">
        <f t="shared" si="35"/>
        <v>155625</v>
      </c>
      <c r="M103" s="229">
        <f t="shared" si="36"/>
        <v>149400</v>
      </c>
      <c r="N103" s="229">
        <f t="shared" si="37"/>
        <v>205425</v>
      </c>
    </row>
    <row r="104" spans="2:14">
      <c r="B104" s="233" t="s">
        <v>34</v>
      </c>
      <c r="C104" s="353">
        <v>1245000</v>
      </c>
      <c r="D104" s="232">
        <v>77.98</v>
      </c>
      <c r="E104" s="233">
        <f t="shared" si="31"/>
        <v>1.4057450628366248</v>
      </c>
      <c r="F104" s="231">
        <f t="shared" si="30"/>
        <v>1750152</v>
      </c>
      <c r="H104" s="233" t="s">
        <v>34</v>
      </c>
      <c r="I104" s="229">
        <f t="shared" si="32"/>
        <v>49800</v>
      </c>
      <c r="J104" s="229">
        <f t="shared" si="33"/>
        <v>49800</v>
      </c>
      <c r="K104" s="229">
        <f t="shared" si="34"/>
        <v>99600</v>
      </c>
      <c r="L104" s="229">
        <f t="shared" si="35"/>
        <v>155625</v>
      </c>
      <c r="M104" s="229">
        <f t="shared" si="36"/>
        <v>149400</v>
      </c>
      <c r="N104" s="229">
        <f t="shared" si="37"/>
        <v>205425</v>
      </c>
    </row>
    <row r="105" spans="2:14">
      <c r="B105" s="233" t="s">
        <v>35</v>
      </c>
      <c r="C105" s="353">
        <v>1245000</v>
      </c>
      <c r="D105" s="232">
        <v>78.05</v>
      </c>
      <c r="E105" s="233">
        <f t="shared" si="31"/>
        <v>1.4044843049327356</v>
      </c>
      <c r="F105" s="231">
        <f t="shared" si="30"/>
        <v>1748582</v>
      </c>
      <c r="H105" s="233" t="s">
        <v>35</v>
      </c>
      <c r="I105" s="229">
        <f t="shared" si="32"/>
        <v>49800</v>
      </c>
      <c r="J105" s="229">
        <f t="shared" si="33"/>
        <v>49800</v>
      </c>
      <c r="K105" s="229">
        <f t="shared" si="34"/>
        <v>99600</v>
      </c>
      <c r="L105" s="229">
        <f t="shared" si="35"/>
        <v>155625</v>
      </c>
      <c r="M105" s="229">
        <f t="shared" si="36"/>
        <v>149400</v>
      </c>
      <c r="N105" s="229">
        <f t="shared" si="37"/>
        <v>205425</v>
      </c>
    </row>
    <row r="106" spans="2:14">
      <c r="B106" s="233" t="s">
        <v>101</v>
      </c>
      <c r="C106" s="353">
        <f>(C105*0.35*360)/360</f>
        <v>435750</v>
      </c>
      <c r="D106" s="232">
        <f>+D100</f>
        <v>77.7</v>
      </c>
      <c r="E106" s="233">
        <f t="shared" si="31"/>
        <v>1.4108108108108108</v>
      </c>
      <c r="F106" s="231">
        <f t="shared" si="30"/>
        <v>614760</v>
      </c>
      <c r="H106" s="3" t="s">
        <v>1011</v>
      </c>
      <c r="I106" s="229">
        <f t="shared" ref="I106:N106" si="38">SUM(I94:I105)</f>
        <v>597600</v>
      </c>
      <c r="J106" s="229">
        <f t="shared" si="38"/>
        <v>597600</v>
      </c>
      <c r="K106" s="229">
        <f t="shared" si="38"/>
        <v>1195200</v>
      </c>
      <c r="L106" s="229">
        <f t="shared" si="38"/>
        <v>1867500</v>
      </c>
      <c r="M106" s="229">
        <f t="shared" si="38"/>
        <v>1792800</v>
      </c>
      <c r="N106" s="229">
        <f t="shared" si="38"/>
        <v>2465100</v>
      </c>
    </row>
    <row r="107" spans="2:14">
      <c r="B107" s="233" t="s">
        <v>102</v>
      </c>
      <c r="C107" s="353">
        <f>(((C105/30)*20))*360/360</f>
        <v>830000</v>
      </c>
      <c r="D107" s="232">
        <f>+D104</f>
        <v>77.98</v>
      </c>
      <c r="E107" s="233">
        <f t="shared" si="31"/>
        <v>1.4057450628366248</v>
      </c>
      <c r="F107" s="231">
        <f t="shared" si="30"/>
        <v>1166768</v>
      </c>
    </row>
    <row r="108" spans="2:14">
      <c r="B108" s="233" t="s">
        <v>103</v>
      </c>
      <c r="C108" s="353">
        <f>((C105/30)*2*360)/360</f>
        <v>83000</v>
      </c>
      <c r="D108" s="232">
        <f>+D105</f>
        <v>78.05</v>
      </c>
      <c r="E108" s="233">
        <f t="shared" si="31"/>
        <v>1.4044843049327356</v>
      </c>
      <c r="F108" s="231">
        <f t="shared" si="30"/>
        <v>116572</v>
      </c>
    </row>
    <row r="109" spans="2:14">
      <c r="B109" s="233" t="s">
        <v>104</v>
      </c>
      <c r="C109" s="353">
        <f>(((C105/30)*21)*360)/360</f>
        <v>871500</v>
      </c>
      <c r="D109" s="232">
        <f>+D104</f>
        <v>77.98</v>
      </c>
      <c r="E109" s="233">
        <f t="shared" si="31"/>
        <v>1.4057450628366248</v>
      </c>
      <c r="F109" s="231">
        <f t="shared" si="30"/>
        <v>1225106</v>
      </c>
    </row>
    <row r="110" spans="2:14">
      <c r="B110" s="233" t="s">
        <v>95</v>
      </c>
      <c r="C110" s="353">
        <f>+C105*360/360</f>
        <v>1245000</v>
      </c>
      <c r="D110" s="232">
        <f>+D105</f>
        <v>78.05</v>
      </c>
      <c r="E110" s="233">
        <f t="shared" si="31"/>
        <v>1.4044843049327356</v>
      </c>
      <c r="F110" s="231">
        <f t="shared" si="30"/>
        <v>1748582</v>
      </c>
    </row>
    <row r="111" spans="2:14">
      <c r="B111" s="233" t="s">
        <v>96</v>
      </c>
      <c r="C111" s="353"/>
      <c r="D111" s="216"/>
      <c r="E111" s="216"/>
      <c r="F111" s="231">
        <f>SUM(F94:F110)</f>
        <v>25968353</v>
      </c>
    </row>
    <row r="112" spans="2:14">
      <c r="B112" s="233" t="s">
        <v>98</v>
      </c>
      <c r="C112" s="216"/>
      <c r="D112" s="216"/>
      <c r="E112" s="216"/>
      <c r="F112" s="231">
        <f>+I106+J106</f>
        <v>1195200</v>
      </c>
    </row>
    <row r="113" spans="2:14">
      <c r="B113" s="233" t="s">
        <v>99</v>
      </c>
      <c r="C113" s="216"/>
      <c r="D113" s="216"/>
      <c r="E113" s="216"/>
      <c r="F113" s="231">
        <f>+F111-F112</f>
        <v>24773153</v>
      </c>
    </row>
    <row r="114" spans="2:14">
      <c r="B114" s="217"/>
      <c r="C114" s="217"/>
      <c r="D114" s="217"/>
      <c r="E114" s="217"/>
      <c r="F114" s="217"/>
    </row>
    <row r="115" spans="2:14">
      <c r="B115" s="217"/>
      <c r="C115" s="217"/>
      <c r="D115" s="217"/>
      <c r="E115" s="217"/>
      <c r="F115" s="217"/>
      <c r="H115" s="2818" t="s">
        <v>1579</v>
      </c>
      <c r="I115" s="2819"/>
      <c r="J115" s="2819"/>
      <c r="K115" s="2819"/>
      <c r="L115" s="2819"/>
      <c r="M115" s="2819"/>
      <c r="N115" s="2819"/>
    </row>
    <row r="116" spans="2:14" ht="22.5">
      <c r="B116" s="226" t="s">
        <v>11</v>
      </c>
      <c r="C116" s="351" t="s">
        <v>115</v>
      </c>
      <c r="D116" s="228" t="s">
        <v>76</v>
      </c>
      <c r="E116" s="228" t="s">
        <v>77</v>
      </c>
      <c r="F116" s="229" t="s">
        <v>57</v>
      </c>
      <c r="H116" s="226" t="s">
        <v>11</v>
      </c>
      <c r="I116" s="1179" t="s">
        <v>1006</v>
      </c>
      <c r="J116" s="1179" t="s">
        <v>1572</v>
      </c>
      <c r="K116" s="1179" t="s">
        <v>1573</v>
      </c>
      <c r="L116" s="1179" t="s">
        <v>1574</v>
      </c>
      <c r="M116" s="1179" t="s">
        <v>82</v>
      </c>
      <c r="N116" s="1179" t="s">
        <v>83</v>
      </c>
    </row>
    <row r="117" spans="2:14">
      <c r="B117" s="233" t="s">
        <v>16</v>
      </c>
      <c r="C117" s="353">
        <v>1606000</v>
      </c>
      <c r="D117" s="232">
        <v>78.28</v>
      </c>
      <c r="E117" s="233">
        <f>+$C$12/D117</f>
        <v>1.4003576903423607</v>
      </c>
      <c r="F117" s="231">
        <f>INT(C117*E117)</f>
        <v>2248974</v>
      </c>
      <c r="G117" s="8"/>
      <c r="H117" s="233" t="s">
        <v>16</v>
      </c>
      <c r="I117" s="229">
        <f>+C117*0.04</f>
        <v>64240</v>
      </c>
      <c r="J117" s="229">
        <f>+C117*0.04</f>
        <v>64240</v>
      </c>
      <c r="K117" s="229">
        <f>+C117*0.08</f>
        <v>128480</v>
      </c>
      <c r="L117" s="229">
        <f>+C117*0.125</f>
        <v>200750</v>
      </c>
      <c r="M117" s="229">
        <f>+I117+K117</f>
        <v>192720</v>
      </c>
      <c r="N117" s="229">
        <f>+L117+J117</f>
        <v>264990</v>
      </c>
    </row>
    <row r="118" spans="2:14">
      <c r="B118" s="233" t="s">
        <v>17</v>
      </c>
      <c r="C118" s="353">
        <v>1606000</v>
      </c>
      <c r="D118" s="232">
        <v>78.63</v>
      </c>
      <c r="E118" s="233">
        <f t="shared" ref="E118:E133" si="39">+$C$12/D118</f>
        <v>1.3941243800076308</v>
      </c>
      <c r="F118" s="231">
        <f t="shared" ref="F118:F133" si="40">INT(C118*E118)</f>
        <v>2238963</v>
      </c>
      <c r="G118" s="8"/>
      <c r="H118" s="233" t="s">
        <v>17</v>
      </c>
      <c r="I118" s="229">
        <f t="shared" ref="I118:I128" si="41">+C118*0.04</f>
        <v>64240</v>
      </c>
      <c r="J118" s="229">
        <f t="shared" ref="J118:J128" si="42">+C118*0.04</f>
        <v>64240</v>
      </c>
      <c r="K118" s="229">
        <f t="shared" ref="K118:K128" si="43">+C118*0.08</f>
        <v>128480</v>
      </c>
      <c r="L118" s="229">
        <f t="shared" ref="L118:L128" si="44">+C118*0.125</f>
        <v>200750</v>
      </c>
      <c r="M118" s="229">
        <f t="shared" ref="M118:M128" si="45">+I118+K118</f>
        <v>192720</v>
      </c>
      <c r="N118" s="229">
        <f t="shared" ref="N118:N128" si="46">+L118+J118</f>
        <v>264990</v>
      </c>
    </row>
    <row r="119" spans="2:14">
      <c r="B119" s="233" t="s">
        <v>19</v>
      </c>
      <c r="C119" s="353">
        <v>1606000</v>
      </c>
      <c r="D119" s="232">
        <v>78.790000000000006</v>
      </c>
      <c r="E119" s="233">
        <f t="shared" si="39"/>
        <v>1.3912933113339256</v>
      </c>
      <c r="F119" s="231">
        <f t="shared" si="40"/>
        <v>2234417</v>
      </c>
      <c r="H119" s="233" t="s">
        <v>19</v>
      </c>
      <c r="I119" s="229">
        <f t="shared" si="41"/>
        <v>64240</v>
      </c>
      <c r="J119" s="229">
        <f t="shared" si="42"/>
        <v>64240</v>
      </c>
      <c r="K119" s="229">
        <f t="shared" si="43"/>
        <v>128480</v>
      </c>
      <c r="L119" s="229">
        <f t="shared" si="44"/>
        <v>200750</v>
      </c>
      <c r="M119" s="229">
        <f t="shared" si="45"/>
        <v>192720</v>
      </c>
      <c r="N119" s="229">
        <f t="shared" si="46"/>
        <v>264990</v>
      </c>
    </row>
    <row r="120" spans="2:14">
      <c r="B120" s="233" t="s">
        <v>21</v>
      </c>
      <c r="C120" s="353">
        <v>1606000</v>
      </c>
      <c r="D120" s="232">
        <v>78.989999999999995</v>
      </c>
      <c r="E120" s="233">
        <f t="shared" si="39"/>
        <v>1.3877706038739082</v>
      </c>
      <c r="F120" s="231">
        <f t="shared" si="40"/>
        <v>2228759</v>
      </c>
      <c r="H120" s="233" t="s">
        <v>21</v>
      </c>
      <c r="I120" s="229">
        <f t="shared" si="41"/>
        <v>64240</v>
      </c>
      <c r="J120" s="229">
        <f t="shared" si="42"/>
        <v>64240</v>
      </c>
      <c r="K120" s="229">
        <f t="shared" si="43"/>
        <v>128480</v>
      </c>
      <c r="L120" s="229">
        <f t="shared" si="44"/>
        <v>200750</v>
      </c>
      <c r="M120" s="229">
        <f t="shared" si="45"/>
        <v>192720</v>
      </c>
      <c r="N120" s="229">
        <f t="shared" si="46"/>
        <v>264990</v>
      </c>
    </row>
    <row r="121" spans="2:14">
      <c r="B121" s="233" t="s">
        <v>23</v>
      </c>
      <c r="C121" s="353">
        <v>1606000</v>
      </c>
      <c r="D121" s="232">
        <v>79.209999999999994</v>
      </c>
      <c r="E121" s="233">
        <f t="shared" si="39"/>
        <v>1.3839161722004798</v>
      </c>
      <c r="F121" s="231">
        <f t="shared" si="40"/>
        <v>2222569</v>
      </c>
      <c r="H121" s="233" t="s">
        <v>23</v>
      </c>
      <c r="I121" s="229">
        <f t="shared" si="41"/>
        <v>64240</v>
      </c>
      <c r="J121" s="229">
        <f t="shared" si="42"/>
        <v>64240</v>
      </c>
      <c r="K121" s="229">
        <f t="shared" si="43"/>
        <v>128480</v>
      </c>
      <c r="L121" s="229">
        <f t="shared" si="44"/>
        <v>200750</v>
      </c>
      <c r="M121" s="229">
        <f t="shared" si="45"/>
        <v>192720</v>
      </c>
      <c r="N121" s="229">
        <f t="shared" si="46"/>
        <v>264990</v>
      </c>
    </row>
    <row r="122" spans="2:14">
      <c r="B122" s="233" t="s">
        <v>25</v>
      </c>
      <c r="C122" s="353">
        <v>1606000</v>
      </c>
      <c r="D122" s="232">
        <v>79.39</v>
      </c>
      <c r="E122" s="233">
        <f t="shared" si="39"/>
        <v>1.3807784355712307</v>
      </c>
      <c r="F122" s="231">
        <f t="shared" si="40"/>
        <v>2217530</v>
      </c>
      <c r="H122" s="233" t="s">
        <v>25</v>
      </c>
      <c r="I122" s="229">
        <f t="shared" si="41"/>
        <v>64240</v>
      </c>
      <c r="J122" s="229">
        <f t="shared" si="42"/>
        <v>64240</v>
      </c>
      <c r="K122" s="229">
        <f t="shared" si="43"/>
        <v>128480</v>
      </c>
      <c r="L122" s="229">
        <f t="shared" si="44"/>
        <v>200750</v>
      </c>
      <c r="M122" s="229">
        <f t="shared" si="45"/>
        <v>192720</v>
      </c>
      <c r="N122" s="229">
        <f t="shared" si="46"/>
        <v>264990</v>
      </c>
    </row>
    <row r="123" spans="2:14">
      <c r="B123" s="233" t="s">
        <v>27</v>
      </c>
      <c r="C123" s="353">
        <v>1606000</v>
      </c>
      <c r="D123" s="232">
        <v>79.430000000000007</v>
      </c>
      <c r="E123" s="233">
        <f t="shared" si="39"/>
        <v>1.3800830920307188</v>
      </c>
      <c r="F123" s="231">
        <f t="shared" si="40"/>
        <v>2216413</v>
      </c>
      <c r="H123" s="233" t="s">
        <v>27</v>
      </c>
      <c r="I123" s="229">
        <f t="shared" si="41"/>
        <v>64240</v>
      </c>
      <c r="J123" s="229">
        <f t="shared" si="42"/>
        <v>64240</v>
      </c>
      <c r="K123" s="229">
        <f t="shared" si="43"/>
        <v>128480</v>
      </c>
      <c r="L123" s="229">
        <f t="shared" si="44"/>
        <v>200750</v>
      </c>
      <c r="M123" s="229">
        <f t="shared" si="45"/>
        <v>192720</v>
      </c>
      <c r="N123" s="229">
        <f t="shared" si="46"/>
        <v>264990</v>
      </c>
    </row>
    <row r="124" spans="2:14">
      <c r="B124" s="233" t="s">
        <v>29</v>
      </c>
      <c r="C124" s="353">
        <v>1606000</v>
      </c>
      <c r="D124" s="232">
        <v>79.5</v>
      </c>
      <c r="E124" s="233">
        <f t="shared" si="39"/>
        <v>1.378867924528302</v>
      </c>
      <c r="F124" s="231">
        <f t="shared" si="40"/>
        <v>2214461</v>
      </c>
      <c r="H124" s="233" t="s">
        <v>29</v>
      </c>
      <c r="I124" s="229">
        <f t="shared" si="41"/>
        <v>64240</v>
      </c>
      <c r="J124" s="229">
        <f t="shared" si="42"/>
        <v>64240</v>
      </c>
      <c r="K124" s="229">
        <f t="shared" si="43"/>
        <v>128480</v>
      </c>
      <c r="L124" s="229">
        <f t="shared" si="44"/>
        <v>200750</v>
      </c>
      <c r="M124" s="229">
        <f t="shared" si="45"/>
        <v>192720</v>
      </c>
      <c r="N124" s="229">
        <f t="shared" si="46"/>
        <v>264990</v>
      </c>
    </row>
    <row r="125" spans="2:14">
      <c r="B125" s="233" t="s">
        <v>31</v>
      </c>
      <c r="C125" s="353">
        <v>1606000</v>
      </c>
      <c r="D125" s="232">
        <v>79.73</v>
      </c>
      <c r="E125" s="233">
        <f t="shared" si="39"/>
        <v>1.3748902546093065</v>
      </c>
      <c r="F125" s="231">
        <f t="shared" si="40"/>
        <v>2208073</v>
      </c>
      <c r="H125" s="233" t="s">
        <v>31</v>
      </c>
      <c r="I125" s="229">
        <f t="shared" si="41"/>
        <v>64240</v>
      </c>
      <c r="J125" s="229">
        <f t="shared" si="42"/>
        <v>64240</v>
      </c>
      <c r="K125" s="229">
        <f t="shared" si="43"/>
        <v>128480</v>
      </c>
      <c r="L125" s="229">
        <f t="shared" si="44"/>
        <v>200750</v>
      </c>
      <c r="M125" s="229">
        <f t="shared" si="45"/>
        <v>192720</v>
      </c>
      <c r="N125" s="229">
        <f t="shared" si="46"/>
        <v>264990</v>
      </c>
    </row>
    <row r="126" spans="2:14">
      <c r="B126" s="233" t="s">
        <v>33</v>
      </c>
      <c r="C126" s="353">
        <v>1606000</v>
      </c>
      <c r="D126" s="232">
        <v>79.52</v>
      </c>
      <c r="E126" s="233">
        <f t="shared" si="39"/>
        <v>1.3785211267605635</v>
      </c>
      <c r="F126" s="231">
        <f t="shared" si="40"/>
        <v>2213904</v>
      </c>
      <c r="H126" s="233" t="s">
        <v>33</v>
      </c>
      <c r="I126" s="229">
        <f t="shared" si="41"/>
        <v>64240</v>
      </c>
      <c r="J126" s="229">
        <f t="shared" si="42"/>
        <v>64240</v>
      </c>
      <c r="K126" s="229">
        <f t="shared" si="43"/>
        <v>128480</v>
      </c>
      <c r="L126" s="229">
        <f t="shared" si="44"/>
        <v>200750</v>
      </c>
      <c r="M126" s="229">
        <f t="shared" si="45"/>
        <v>192720</v>
      </c>
      <c r="N126" s="229">
        <f t="shared" si="46"/>
        <v>264990</v>
      </c>
    </row>
    <row r="127" spans="2:14">
      <c r="B127" s="233" t="s">
        <v>34</v>
      </c>
      <c r="C127" s="353">
        <v>1606000</v>
      </c>
      <c r="D127" s="232">
        <v>79.349999999999994</v>
      </c>
      <c r="E127" s="233">
        <f t="shared" si="39"/>
        <v>1.3814744801512289</v>
      </c>
      <c r="F127" s="231">
        <f t="shared" si="40"/>
        <v>2218648</v>
      </c>
      <c r="H127" s="233" t="s">
        <v>34</v>
      </c>
      <c r="I127" s="229">
        <f t="shared" si="41"/>
        <v>64240</v>
      </c>
      <c r="J127" s="229">
        <f t="shared" si="42"/>
        <v>64240</v>
      </c>
      <c r="K127" s="229">
        <f t="shared" si="43"/>
        <v>128480</v>
      </c>
      <c r="L127" s="229">
        <f t="shared" si="44"/>
        <v>200750</v>
      </c>
      <c r="M127" s="229">
        <f t="shared" si="45"/>
        <v>192720</v>
      </c>
      <c r="N127" s="229">
        <f t="shared" si="46"/>
        <v>264990</v>
      </c>
    </row>
    <row r="128" spans="2:14">
      <c r="B128" s="233" t="s">
        <v>35</v>
      </c>
      <c r="C128" s="353">
        <v>1606000</v>
      </c>
      <c r="D128" s="232">
        <v>79.56</v>
      </c>
      <c r="E128" s="233">
        <f t="shared" si="39"/>
        <v>1.3778280542986425</v>
      </c>
      <c r="F128" s="231">
        <f t="shared" si="40"/>
        <v>2212791</v>
      </c>
      <c r="H128" s="233" t="s">
        <v>35</v>
      </c>
      <c r="I128" s="229">
        <f t="shared" si="41"/>
        <v>64240</v>
      </c>
      <c r="J128" s="229">
        <f t="shared" si="42"/>
        <v>64240</v>
      </c>
      <c r="K128" s="229">
        <f t="shared" si="43"/>
        <v>128480</v>
      </c>
      <c r="L128" s="229">
        <f t="shared" si="44"/>
        <v>200750</v>
      </c>
      <c r="M128" s="229">
        <f t="shared" si="45"/>
        <v>192720</v>
      </c>
      <c r="N128" s="229">
        <f t="shared" si="46"/>
        <v>264990</v>
      </c>
    </row>
    <row r="129" spans="2:14">
      <c r="B129" s="233" t="s">
        <v>101</v>
      </c>
      <c r="C129" s="353">
        <f>(C128*0.35*360)/360</f>
        <v>562100</v>
      </c>
      <c r="D129" s="232">
        <f>+D123</f>
        <v>79.430000000000007</v>
      </c>
      <c r="E129" s="233">
        <f t="shared" si="39"/>
        <v>1.3800830920307188</v>
      </c>
      <c r="F129" s="231">
        <f t="shared" si="40"/>
        <v>775744</v>
      </c>
      <c r="H129" s="3" t="s">
        <v>1011</v>
      </c>
      <c r="I129" s="229">
        <f t="shared" ref="I129:N129" si="47">SUM(I117:I128)</f>
        <v>770880</v>
      </c>
      <c r="J129" s="229">
        <f t="shared" si="47"/>
        <v>770880</v>
      </c>
      <c r="K129" s="229">
        <f t="shared" si="47"/>
        <v>1541760</v>
      </c>
      <c r="L129" s="229">
        <f t="shared" si="47"/>
        <v>2409000</v>
      </c>
      <c r="M129" s="229">
        <f t="shared" si="47"/>
        <v>2312640</v>
      </c>
      <c r="N129" s="229">
        <f t="shared" si="47"/>
        <v>3179880</v>
      </c>
    </row>
    <row r="130" spans="2:14">
      <c r="B130" s="233" t="s">
        <v>102</v>
      </c>
      <c r="C130" s="353">
        <f>(((C128/30)*20))*360/360</f>
        <v>1070666.6666666667</v>
      </c>
      <c r="D130" s="232">
        <f>+D127</f>
        <v>79.349999999999994</v>
      </c>
      <c r="E130" s="233">
        <f t="shared" si="39"/>
        <v>1.3814744801512289</v>
      </c>
      <c r="F130" s="231">
        <f t="shared" si="40"/>
        <v>1479098</v>
      </c>
    </row>
    <row r="131" spans="2:14">
      <c r="B131" s="233" t="s">
        <v>103</v>
      </c>
      <c r="C131" s="353">
        <f>((C128/30)*2*360)/360</f>
        <v>107066.66666666667</v>
      </c>
      <c r="D131" s="232">
        <f>+D123</f>
        <v>79.430000000000007</v>
      </c>
      <c r="E131" s="233">
        <f t="shared" si="39"/>
        <v>1.3800830920307188</v>
      </c>
      <c r="F131" s="231">
        <f t="shared" si="40"/>
        <v>147760</v>
      </c>
    </row>
    <row r="132" spans="2:14">
      <c r="B132" s="233" t="s">
        <v>104</v>
      </c>
      <c r="C132" s="353">
        <f>(((C128/30)*21)*360)/360</f>
        <v>1124200</v>
      </c>
      <c r="D132" s="232">
        <f>+D127</f>
        <v>79.349999999999994</v>
      </c>
      <c r="E132" s="233">
        <f t="shared" si="39"/>
        <v>1.3814744801512289</v>
      </c>
      <c r="F132" s="231">
        <f t="shared" si="40"/>
        <v>1553053</v>
      </c>
    </row>
    <row r="133" spans="2:14">
      <c r="B133" s="233" t="s">
        <v>95</v>
      </c>
      <c r="C133" s="353">
        <f>+C128*360/360</f>
        <v>1606000</v>
      </c>
      <c r="D133" s="232">
        <f>+D128</f>
        <v>79.56</v>
      </c>
      <c r="E133" s="233">
        <f t="shared" si="39"/>
        <v>1.3778280542986425</v>
      </c>
      <c r="F133" s="231">
        <f t="shared" si="40"/>
        <v>2212791</v>
      </c>
    </row>
    <row r="134" spans="2:14">
      <c r="B134" s="233" t="s">
        <v>96</v>
      </c>
      <c r="C134" s="353"/>
      <c r="D134" s="216"/>
      <c r="E134" s="216"/>
      <c r="F134" s="231">
        <f>SUM(F117:F133)</f>
        <v>32843948</v>
      </c>
    </row>
    <row r="135" spans="2:14">
      <c r="B135" s="233" t="s">
        <v>98</v>
      </c>
      <c r="C135" s="216"/>
      <c r="D135" s="216"/>
      <c r="E135" s="216"/>
      <c r="F135" s="231">
        <f>+I129+J129</f>
        <v>1541760</v>
      </c>
    </row>
    <row r="136" spans="2:14">
      <c r="B136" s="233" t="s">
        <v>99</v>
      </c>
      <c r="C136" s="216"/>
      <c r="D136" s="216"/>
      <c r="E136" s="216"/>
      <c r="F136" s="231">
        <f>+F134-F135</f>
        <v>31302188</v>
      </c>
    </row>
    <row r="137" spans="2:14">
      <c r="B137" s="217"/>
      <c r="C137" s="217"/>
      <c r="D137" s="217"/>
      <c r="E137" s="217"/>
      <c r="F137" s="217"/>
    </row>
    <row r="138" spans="2:14">
      <c r="B138" s="217"/>
      <c r="C138" s="217"/>
      <c r="D138" s="217"/>
      <c r="E138" s="217"/>
      <c r="F138" s="217"/>
      <c r="H138" s="2818" t="s">
        <v>1580</v>
      </c>
      <c r="I138" s="2819"/>
      <c r="J138" s="2819"/>
      <c r="K138" s="2819"/>
      <c r="L138" s="2819"/>
      <c r="M138" s="2819"/>
      <c r="N138" s="2819"/>
    </row>
    <row r="139" spans="2:14" ht="22.5">
      <c r="B139" s="226" t="s">
        <v>11</v>
      </c>
      <c r="C139" s="351" t="s">
        <v>12</v>
      </c>
      <c r="D139" s="228" t="s">
        <v>76</v>
      </c>
      <c r="E139" s="228" t="s">
        <v>77</v>
      </c>
      <c r="F139" s="229" t="s">
        <v>57</v>
      </c>
      <c r="H139" s="226" t="s">
        <v>11</v>
      </c>
      <c r="I139" s="1179" t="s">
        <v>1006</v>
      </c>
      <c r="J139" s="1179" t="s">
        <v>1572</v>
      </c>
      <c r="K139" s="1179" t="s">
        <v>1573</v>
      </c>
      <c r="L139" s="1179" t="s">
        <v>1574</v>
      </c>
      <c r="M139" s="1179" t="s">
        <v>82</v>
      </c>
      <c r="N139" s="1179" t="s">
        <v>83</v>
      </c>
    </row>
    <row r="140" spans="2:14">
      <c r="B140" s="233" t="s">
        <v>16</v>
      </c>
      <c r="C140" s="353">
        <v>1500000</v>
      </c>
      <c r="D140" s="232">
        <v>79.95</v>
      </c>
      <c r="E140" s="233">
        <f>+$C$12/D140</f>
        <v>1.3711069418386492</v>
      </c>
      <c r="F140" s="231">
        <f>INT(C140*E140)</f>
        <v>2056660</v>
      </c>
      <c r="G140" s="8"/>
      <c r="H140" s="233" t="s">
        <v>16</v>
      </c>
      <c r="I140" s="229">
        <f>+C140*0.04</f>
        <v>60000</v>
      </c>
      <c r="J140" s="229">
        <f>+C140*0.04</f>
        <v>60000</v>
      </c>
      <c r="K140" s="229">
        <f>+C140*0.08</f>
        <v>120000</v>
      </c>
      <c r="L140" s="229">
        <f>+C140*0.125</f>
        <v>187500</v>
      </c>
      <c r="M140" s="229">
        <f>+I140+K140</f>
        <v>180000</v>
      </c>
      <c r="N140" s="229">
        <f>+L140+J140</f>
        <v>247500</v>
      </c>
    </row>
    <row r="141" spans="2:14">
      <c r="B141" s="233" t="s">
        <v>17</v>
      </c>
      <c r="C141" s="353">
        <v>1500000</v>
      </c>
      <c r="D141" s="232">
        <v>80.45</v>
      </c>
      <c r="E141" s="233">
        <f t="shared" ref="E141:E156" si="48">+$C$12/D141</f>
        <v>1.3625854568054692</v>
      </c>
      <c r="F141" s="231">
        <f t="shared" ref="F141:F156" si="49">INT(C141*E141)</f>
        <v>2043878</v>
      </c>
      <c r="H141" s="233" t="s">
        <v>17</v>
      </c>
      <c r="I141" s="229">
        <f t="shared" ref="I141:I151" si="50">+C141*0.04</f>
        <v>60000</v>
      </c>
      <c r="J141" s="229">
        <f t="shared" ref="J141:J151" si="51">+C141*0.04</f>
        <v>60000</v>
      </c>
      <c r="K141" s="229">
        <f t="shared" ref="K141:K151" si="52">+C141*0.08</f>
        <v>120000</v>
      </c>
      <c r="L141" s="229">
        <f t="shared" ref="L141:L151" si="53">+C141*0.125</f>
        <v>187500</v>
      </c>
      <c r="M141" s="229">
        <f t="shared" ref="M141:M151" si="54">+I141+K141</f>
        <v>180000</v>
      </c>
      <c r="N141" s="229">
        <f t="shared" ref="N141:N151" si="55">+L141+J141</f>
        <v>247500</v>
      </c>
    </row>
    <row r="142" spans="2:14">
      <c r="B142" s="233" t="s">
        <v>19</v>
      </c>
      <c r="C142" s="353">
        <v>1500000</v>
      </c>
      <c r="D142" s="232">
        <v>80.77</v>
      </c>
      <c r="E142" s="233">
        <f t="shared" si="48"/>
        <v>1.3571870744088153</v>
      </c>
      <c r="F142" s="231">
        <f t="shared" si="49"/>
        <v>2035780</v>
      </c>
      <c r="H142" s="233" t="s">
        <v>19</v>
      </c>
      <c r="I142" s="229">
        <f t="shared" si="50"/>
        <v>60000</v>
      </c>
      <c r="J142" s="229">
        <f t="shared" si="51"/>
        <v>60000</v>
      </c>
      <c r="K142" s="229">
        <f t="shared" si="52"/>
        <v>120000</v>
      </c>
      <c r="L142" s="229">
        <f t="shared" si="53"/>
        <v>187500</v>
      </c>
      <c r="M142" s="229">
        <f t="shared" si="54"/>
        <v>180000</v>
      </c>
      <c r="N142" s="229">
        <f t="shared" si="55"/>
        <v>247500</v>
      </c>
    </row>
    <row r="143" spans="2:14">
      <c r="B143" s="233" t="s">
        <v>21</v>
      </c>
      <c r="C143" s="353">
        <v>1500000</v>
      </c>
      <c r="D143" s="232">
        <v>81.14</v>
      </c>
      <c r="E143" s="233">
        <f t="shared" si="48"/>
        <v>1.3509982745871334</v>
      </c>
      <c r="F143" s="231">
        <f t="shared" si="49"/>
        <v>2026497</v>
      </c>
      <c r="H143" s="233" t="s">
        <v>21</v>
      </c>
      <c r="I143" s="229">
        <f t="shared" si="50"/>
        <v>60000</v>
      </c>
      <c r="J143" s="229">
        <f t="shared" si="51"/>
        <v>60000</v>
      </c>
      <c r="K143" s="229">
        <f t="shared" si="52"/>
        <v>120000</v>
      </c>
      <c r="L143" s="229">
        <f t="shared" si="53"/>
        <v>187500</v>
      </c>
      <c r="M143" s="229">
        <f t="shared" si="54"/>
        <v>180000</v>
      </c>
      <c r="N143" s="229">
        <f t="shared" si="55"/>
        <v>247500</v>
      </c>
    </row>
    <row r="144" spans="2:14">
      <c r="B144" s="233" t="s">
        <v>23</v>
      </c>
      <c r="C144" s="353">
        <v>1500000</v>
      </c>
      <c r="D144" s="232">
        <v>81.53</v>
      </c>
      <c r="E144" s="233">
        <f t="shared" si="48"/>
        <v>1.3445357537102907</v>
      </c>
      <c r="F144" s="231">
        <f t="shared" si="49"/>
        <v>2016803</v>
      </c>
      <c r="H144" s="233" t="s">
        <v>23</v>
      </c>
      <c r="I144" s="229">
        <f t="shared" si="50"/>
        <v>60000</v>
      </c>
      <c r="J144" s="229">
        <f t="shared" si="51"/>
        <v>60000</v>
      </c>
      <c r="K144" s="229">
        <f t="shared" si="52"/>
        <v>120000</v>
      </c>
      <c r="L144" s="229">
        <f t="shared" si="53"/>
        <v>187500</v>
      </c>
      <c r="M144" s="229">
        <f t="shared" si="54"/>
        <v>180000</v>
      </c>
      <c r="N144" s="229">
        <f t="shared" si="55"/>
        <v>247500</v>
      </c>
    </row>
    <row r="145" spans="2:14">
      <c r="B145" s="233" t="s">
        <v>25</v>
      </c>
      <c r="C145" s="353">
        <v>1500000</v>
      </c>
      <c r="D145" s="232">
        <v>81.61</v>
      </c>
      <c r="E145" s="233">
        <f t="shared" si="48"/>
        <v>1.3432177429236614</v>
      </c>
      <c r="F145" s="231">
        <f t="shared" si="49"/>
        <v>2014826</v>
      </c>
      <c r="H145" s="233" t="s">
        <v>25</v>
      </c>
      <c r="I145" s="229">
        <f t="shared" si="50"/>
        <v>60000</v>
      </c>
      <c r="J145" s="229">
        <f t="shared" si="51"/>
        <v>60000</v>
      </c>
      <c r="K145" s="229">
        <f t="shared" si="52"/>
        <v>120000</v>
      </c>
      <c r="L145" s="229">
        <f t="shared" si="53"/>
        <v>187500</v>
      </c>
      <c r="M145" s="229">
        <f t="shared" si="54"/>
        <v>180000</v>
      </c>
      <c r="N145" s="229">
        <f t="shared" si="55"/>
        <v>247500</v>
      </c>
    </row>
    <row r="146" spans="2:14">
      <c r="B146" s="233" t="s">
        <v>27</v>
      </c>
      <c r="C146" s="353">
        <v>1500000</v>
      </c>
      <c r="D146" s="232">
        <v>81.73</v>
      </c>
      <c r="E146" s="233">
        <f>+$C$12/D146</f>
        <v>1.3412455646641379</v>
      </c>
      <c r="F146" s="231">
        <f t="shared" si="49"/>
        <v>2011868</v>
      </c>
      <c r="H146" s="233" t="s">
        <v>27</v>
      </c>
      <c r="I146" s="229">
        <f t="shared" si="50"/>
        <v>60000</v>
      </c>
      <c r="J146" s="229">
        <f t="shared" si="51"/>
        <v>60000</v>
      </c>
      <c r="K146" s="229">
        <f t="shared" si="52"/>
        <v>120000</v>
      </c>
      <c r="L146" s="229">
        <f t="shared" si="53"/>
        <v>187500</v>
      </c>
      <c r="M146" s="229">
        <f t="shared" si="54"/>
        <v>180000</v>
      </c>
      <c r="N146" s="229">
        <f t="shared" si="55"/>
        <v>247500</v>
      </c>
    </row>
    <row r="147" spans="2:14">
      <c r="B147" s="233" t="s">
        <v>29</v>
      </c>
      <c r="C147" s="353">
        <v>1500000</v>
      </c>
      <c r="D147" s="232">
        <v>81.900000000000006</v>
      </c>
      <c r="E147" s="233">
        <f t="shared" si="48"/>
        <v>1.3384615384615384</v>
      </c>
      <c r="F147" s="231">
        <f t="shared" si="49"/>
        <v>2007692</v>
      </c>
      <c r="H147" s="233" t="s">
        <v>29</v>
      </c>
      <c r="I147" s="229">
        <f t="shared" si="50"/>
        <v>60000</v>
      </c>
      <c r="J147" s="229">
        <f t="shared" si="51"/>
        <v>60000</v>
      </c>
      <c r="K147" s="229">
        <f t="shared" si="52"/>
        <v>120000</v>
      </c>
      <c r="L147" s="229">
        <f t="shared" si="53"/>
        <v>187500</v>
      </c>
      <c r="M147" s="229">
        <f t="shared" si="54"/>
        <v>180000</v>
      </c>
      <c r="N147" s="229">
        <f t="shared" si="55"/>
        <v>247500</v>
      </c>
    </row>
    <row r="148" spans="2:14">
      <c r="B148" s="233" t="s">
        <v>31</v>
      </c>
      <c r="C148" s="353">
        <v>1500000</v>
      </c>
      <c r="D148" s="232">
        <v>82.01</v>
      </c>
      <c r="E148" s="233">
        <f t="shared" si="48"/>
        <v>1.3366662602121693</v>
      </c>
      <c r="F148" s="231">
        <f t="shared" si="49"/>
        <v>2004999</v>
      </c>
      <c r="H148" s="233" t="s">
        <v>31</v>
      </c>
      <c r="I148" s="229">
        <f t="shared" si="50"/>
        <v>60000</v>
      </c>
      <c r="J148" s="229">
        <f t="shared" si="51"/>
        <v>60000</v>
      </c>
      <c r="K148" s="229">
        <f t="shared" si="52"/>
        <v>120000</v>
      </c>
      <c r="L148" s="229">
        <f t="shared" si="53"/>
        <v>187500</v>
      </c>
      <c r="M148" s="229">
        <f t="shared" si="54"/>
        <v>180000</v>
      </c>
      <c r="N148" s="229">
        <f t="shared" si="55"/>
        <v>247500</v>
      </c>
    </row>
    <row r="149" spans="2:14">
      <c r="B149" s="233" t="s">
        <v>33</v>
      </c>
      <c r="C149" s="353">
        <v>1500000</v>
      </c>
      <c r="D149" s="232">
        <v>82.14</v>
      </c>
      <c r="E149" s="233">
        <f t="shared" si="48"/>
        <v>1.3345507669831995</v>
      </c>
      <c r="F149" s="231">
        <f t="shared" si="49"/>
        <v>2001826</v>
      </c>
      <c r="H149" s="233" t="s">
        <v>33</v>
      </c>
      <c r="I149" s="229">
        <f t="shared" si="50"/>
        <v>60000</v>
      </c>
      <c r="J149" s="229">
        <f t="shared" si="51"/>
        <v>60000</v>
      </c>
      <c r="K149" s="229">
        <f t="shared" si="52"/>
        <v>120000</v>
      </c>
      <c r="L149" s="229">
        <f t="shared" si="53"/>
        <v>187500</v>
      </c>
      <c r="M149" s="229">
        <f t="shared" si="54"/>
        <v>180000</v>
      </c>
      <c r="N149" s="229">
        <f t="shared" si="55"/>
        <v>247500</v>
      </c>
    </row>
    <row r="150" spans="2:14">
      <c r="B150" s="233" t="s">
        <v>34</v>
      </c>
      <c r="C150" s="353">
        <v>1500000</v>
      </c>
      <c r="D150" s="232">
        <v>82.25</v>
      </c>
      <c r="E150" s="233">
        <f t="shared" si="48"/>
        <v>1.3327659574468085</v>
      </c>
      <c r="F150" s="231">
        <f t="shared" si="49"/>
        <v>1999148</v>
      </c>
      <c r="H150" s="233" t="s">
        <v>34</v>
      </c>
      <c r="I150" s="229">
        <f t="shared" si="50"/>
        <v>60000</v>
      </c>
      <c r="J150" s="229">
        <f t="shared" si="51"/>
        <v>60000</v>
      </c>
      <c r="K150" s="229">
        <f t="shared" si="52"/>
        <v>120000</v>
      </c>
      <c r="L150" s="229">
        <f t="shared" si="53"/>
        <v>187500</v>
      </c>
      <c r="M150" s="229">
        <f t="shared" si="54"/>
        <v>180000</v>
      </c>
      <c r="N150" s="229">
        <f t="shared" si="55"/>
        <v>247500</v>
      </c>
    </row>
    <row r="151" spans="2:14">
      <c r="B151" s="233" t="s">
        <v>35</v>
      </c>
      <c r="C151" s="353">
        <v>1500000</v>
      </c>
      <c r="D151" s="232">
        <v>82.47</v>
      </c>
      <c r="E151" s="233">
        <f>+$C$12/D151</f>
        <v>1.3292106220443798</v>
      </c>
      <c r="F151" s="231">
        <f t="shared" si="49"/>
        <v>1993815</v>
      </c>
      <c r="H151" s="233" t="s">
        <v>35</v>
      </c>
      <c r="I151" s="229">
        <f t="shared" si="50"/>
        <v>60000</v>
      </c>
      <c r="J151" s="229">
        <f t="shared" si="51"/>
        <v>60000</v>
      </c>
      <c r="K151" s="229">
        <f t="shared" si="52"/>
        <v>120000</v>
      </c>
      <c r="L151" s="229">
        <f t="shared" si="53"/>
        <v>187500</v>
      </c>
      <c r="M151" s="229">
        <f t="shared" si="54"/>
        <v>180000</v>
      </c>
      <c r="N151" s="229">
        <f t="shared" si="55"/>
        <v>247500</v>
      </c>
    </row>
    <row r="152" spans="2:14">
      <c r="B152" s="233" t="s">
        <v>101</v>
      </c>
      <c r="C152" s="353">
        <f>(C151*0.35*360)/360</f>
        <v>525000</v>
      </c>
      <c r="D152" s="232">
        <f>+D146</f>
        <v>81.73</v>
      </c>
      <c r="E152" s="233">
        <f t="shared" si="48"/>
        <v>1.3412455646641379</v>
      </c>
      <c r="F152" s="231">
        <f t="shared" si="49"/>
        <v>704153</v>
      </c>
      <c r="H152" s="3" t="s">
        <v>1011</v>
      </c>
      <c r="I152" s="229">
        <f t="shared" ref="I152:N152" si="56">SUM(I140:I151)</f>
        <v>720000</v>
      </c>
      <c r="J152" s="229">
        <f t="shared" si="56"/>
        <v>720000</v>
      </c>
      <c r="K152" s="229">
        <f t="shared" si="56"/>
        <v>1440000</v>
      </c>
      <c r="L152" s="229">
        <f t="shared" si="56"/>
        <v>2250000</v>
      </c>
      <c r="M152" s="229">
        <f t="shared" si="56"/>
        <v>2160000</v>
      </c>
      <c r="N152" s="229">
        <f t="shared" si="56"/>
        <v>2970000</v>
      </c>
    </row>
    <row r="153" spans="2:14">
      <c r="B153" s="233" t="s">
        <v>102</v>
      </c>
      <c r="C153" s="353">
        <f>(((C151/30)*20))*360/360</f>
        <v>1000000</v>
      </c>
      <c r="D153" s="232">
        <f>+D150</f>
        <v>82.25</v>
      </c>
      <c r="E153" s="233">
        <f t="shared" si="48"/>
        <v>1.3327659574468085</v>
      </c>
      <c r="F153" s="231">
        <f t="shared" si="49"/>
        <v>1332765</v>
      </c>
    </row>
    <row r="154" spans="2:14">
      <c r="B154" s="233" t="s">
        <v>103</v>
      </c>
      <c r="C154" s="353">
        <f>((C151/30)*2*360)/360</f>
        <v>100000</v>
      </c>
      <c r="D154" s="232">
        <f>+D146</f>
        <v>81.73</v>
      </c>
      <c r="E154" s="233">
        <f t="shared" si="48"/>
        <v>1.3412455646641379</v>
      </c>
      <c r="F154" s="231">
        <f t="shared" si="49"/>
        <v>134124</v>
      </c>
    </row>
    <row r="155" spans="2:14">
      <c r="B155" s="233" t="s">
        <v>104</v>
      </c>
      <c r="C155" s="353">
        <f>(((C151/30)*21)*360)/360</f>
        <v>1050000</v>
      </c>
      <c r="D155" s="232">
        <f>+D150</f>
        <v>82.25</v>
      </c>
      <c r="E155" s="233">
        <f t="shared" si="48"/>
        <v>1.3327659574468085</v>
      </c>
      <c r="F155" s="231">
        <f t="shared" si="49"/>
        <v>1399404</v>
      </c>
    </row>
    <row r="156" spans="2:14">
      <c r="B156" s="233" t="s">
        <v>95</v>
      </c>
      <c r="C156" s="353">
        <f>+C151*360/360</f>
        <v>1500000</v>
      </c>
      <c r="D156" s="232">
        <f>+D151</f>
        <v>82.47</v>
      </c>
      <c r="E156" s="233">
        <f t="shared" si="48"/>
        <v>1.3292106220443798</v>
      </c>
      <c r="F156" s="231">
        <f t="shared" si="49"/>
        <v>1993815</v>
      </c>
    </row>
    <row r="157" spans="2:14">
      <c r="B157" s="233" t="s">
        <v>96</v>
      </c>
      <c r="C157" s="353"/>
      <c r="D157" s="216"/>
      <c r="E157" s="216"/>
      <c r="F157" s="231">
        <f>SUM(F140:F156)</f>
        <v>29778053</v>
      </c>
    </row>
    <row r="158" spans="2:14">
      <c r="B158" s="233" t="s">
        <v>98</v>
      </c>
      <c r="C158" s="216"/>
      <c r="D158" s="216"/>
      <c r="E158" s="216"/>
      <c r="F158" s="231">
        <f>+I152+J152</f>
        <v>1440000</v>
      </c>
    </row>
    <row r="159" spans="2:14">
      <c r="B159" s="233" t="s">
        <v>99</v>
      </c>
      <c r="C159" s="216"/>
      <c r="D159" s="216"/>
      <c r="E159" s="216"/>
      <c r="F159" s="231">
        <f>+F157-F158</f>
        <v>28338053</v>
      </c>
    </row>
    <row r="160" spans="2:14">
      <c r="H160" s="2549" t="s">
        <v>1581</v>
      </c>
      <c r="I160" s="2549"/>
      <c r="J160" s="2549"/>
      <c r="K160" s="2549"/>
      <c r="L160" s="2549"/>
      <c r="M160" s="2549"/>
      <c r="N160" s="2549"/>
    </row>
    <row r="161" spans="2:14" ht="22.5">
      <c r="B161" s="226" t="s">
        <v>11</v>
      </c>
      <c r="C161" s="351" t="s">
        <v>13</v>
      </c>
      <c r="D161" s="228" t="s">
        <v>76</v>
      </c>
      <c r="E161" s="228" t="s">
        <v>77</v>
      </c>
      <c r="F161" s="229" t="s">
        <v>57</v>
      </c>
      <c r="H161" s="226" t="s">
        <v>11</v>
      </c>
      <c r="I161" s="1179" t="s">
        <v>1006</v>
      </c>
      <c r="J161" s="1179" t="s">
        <v>1572</v>
      </c>
      <c r="K161" s="1179" t="s">
        <v>1573</v>
      </c>
      <c r="L161" s="1179" t="s">
        <v>1574</v>
      </c>
      <c r="M161" s="1179" t="s">
        <v>82</v>
      </c>
      <c r="N161" s="1179" t="s">
        <v>83</v>
      </c>
    </row>
    <row r="162" spans="2:14">
      <c r="B162" s="233" t="s">
        <v>16</v>
      </c>
      <c r="C162" s="353">
        <v>1500000</v>
      </c>
      <c r="D162" s="232">
        <v>83</v>
      </c>
      <c r="E162" s="233">
        <f>+$C$12/D162</f>
        <v>1.3207228915662652</v>
      </c>
      <c r="F162" s="231">
        <f>INT(C162*E162)</f>
        <v>1981084</v>
      </c>
      <c r="H162" s="233" t="s">
        <v>16</v>
      </c>
      <c r="I162" s="229">
        <f>+C162*0.04</f>
        <v>60000</v>
      </c>
      <c r="J162" s="229">
        <f>+C162*0.04</f>
        <v>60000</v>
      </c>
      <c r="K162" s="229">
        <f>+C162*0.08</f>
        <v>120000</v>
      </c>
      <c r="L162" s="229">
        <f>+C162*0.125</f>
        <v>187500</v>
      </c>
      <c r="M162" s="229">
        <f>+I162+K162</f>
        <v>180000</v>
      </c>
      <c r="N162" s="229">
        <f>+L162+J162</f>
        <v>247500</v>
      </c>
    </row>
    <row r="163" spans="2:14">
      <c r="B163" s="233" t="s">
        <v>17</v>
      </c>
      <c r="C163" s="353">
        <v>1500000</v>
      </c>
      <c r="D163" s="232">
        <v>83.96</v>
      </c>
      <c r="E163" s="233">
        <f t="shared" ref="E163:E178" si="57">+$C$12/D163</f>
        <v>1.3056217246307766</v>
      </c>
      <c r="F163" s="231">
        <f t="shared" ref="F163:F178" si="58">INT(C163*E163)</f>
        <v>1958432</v>
      </c>
      <c r="H163" s="233" t="s">
        <v>17</v>
      </c>
      <c r="I163" s="229">
        <f t="shared" ref="I163:I173" si="59">+C163*0.04</f>
        <v>60000</v>
      </c>
      <c r="J163" s="229">
        <f t="shared" ref="J163:J173" si="60">+C163*0.04</f>
        <v>60000</v>
      </c>
      <c r="K163" s="229">
        <f t="shared" ref="K163:K173" si="61">+C163*0.08</f>
        <v>120000</v>
      </c>
      <c r="L163" s="229">
        <f t="shared" ref="L163:L173" si="62">+C163*0.125</f>
        <v>187500</v>
      </c>
      <c r="M163" s="229">
        <f t="shared" ref="M163:M173" si="63">+I163+K163</f>
        <v>180000</v>
      </c>
      <c r="N163" s="229">
        <f t="shared" ref="N163:N173" si="64">+L163+J163</f>
        <v>247500</v>
      </c>
    </row>
    <row r="164" spans="2:14">
      <c r="B164" s="233" t="s">
        <v>19</v>
      </c>
      <c r="C164" s="353">
        <v>1500000</v>
      </c>
      <c r="D164" s="232">
        <v>84.45</v>
      </c>
      <c r="E164" s="233">
        <f t="shared" si="57"/>
        <v>1.2980461811722912</v>
      </c>
      <c r="F164" s="231">
        <f t="shared" si="58"/>
        <v>1947069</v>
      </c>
      <c r="H164" s="233" t="s">
        <v>19</v>
      </c>
      <c r="I164" s="229">
        <f t="shared" si="59"/>
        <v>60000</v>
      </c>
      <c r="J164" s="229">
        <f t="shared" si="60"/>
        <v>60000</v>
      </c>
      <c r="K164" s="229">
        <f t="shared" si="61"/>
        <v>120000</v>
      </c>
      <c r="L164" s="229">
        <f t="shared" si="62"/>
        <v>187500</v>
      </c>
      <c r="M164" s="229">
        <f t="shared" si="63"/>
        <v>180000</v>
      </c>
      <c r="N164" s="229">
        <f t="shared" si="64"/>
        <v>247500</v>
      </c>
    </row>
    <row r="165" spans="2:14">
      <c r="B165" s="233" t="s">
        <v>21</v>
      </c>
      <c r="C165" s="353">
        <v>1500000</v>
      </c>
      <c r="D165" s="232">
        <v>84.9</v>
      </c>
      <c r="E165" s="233">
        <f t="shared" si="57"/>
        <v>1.2911660777385159</v>
      </c>
      <c r="F165" s="231">
        <f t="shared" si="58"/>
        <v>1936749</v>
      </c>
      <c r="H165" s="233" t="s">
        <v>21</v>
      </c>
      <c r="I165" s="229">
        <f t="shared" si="59"/>
        <v>60000</v>
      </c>
      <c r="J165" s="229">
        <f t="shared" si="60"/>
        <v>60000</v>
      </c>
      <c r="K165" s="229">
        <f t="shared" si="61"/>
        <v>120000</v>
      </c>
      <c r="L165" s="229">
        <f t="shared" si="62"/>
        <v>187500</v>
      </c>
      <c r="M165" s="229">
        <f t="shared" si="63"/>
        <v>180000</v>
      </c>
      <c r="N165" s="229">
        <f t="shared" si="64"/>
        <v>247500</v>
      </c>
    </row>
    <row r="166" spans="2:14">
      <c r="B166" s="233" t="s">
        <v>23</v>
      </c>
      <c r="C166" s="353">
        <v>1500000</v>
      </c>
      <c r="D166" s="232">
        <v>85.12</v>
      </c>
      <c r="E166" s="233">
        <f t="shared" si="57"/>
        <v>1.287828947368421</v>
      </c>
      <c r="F166" s="231">
        <f t="shared" si="58"/>
        <v>1931743</v>
      </c>
      <c r="H166" s="233" t="s">
        <v>23</v>
      </c>
      <c r="I166" s="229">
        <f t="shared" si="59"/>
        <v>60000</v>
      </c>
      <c r="J166" s="229">
        <f t="shared" si="60"/>
        <v>60000</v>
      </c>
      <c r="K166" s="229">
        <f t="shared" si="61"/>
        <v>120000</v>
      </c>
      <c r="L166" s="229">
        <f t="shared" si="62"/>
        <v>187500</v>
      </c>
      <c r="M166" s="229">
        <f t="shared" si="63"/>
        <v>180000</v>
      </c>
      <c r="N166" s="229">
        <f t="shared" si="64"/>
        <v>247500</v>
      </c>
    </row>
    <row r="167" spans="2:14">
      <c r="B167" s="233" t="s">
        <v>25</v>
      </c>
      <c r="C167" s="353">
        <v>1500000</v>
      </c>
      <c r="D167" s="232">
        <v>85.21</v>
      </c>
      <c r="E167" s="233">
        <f t="shared" si="57"/>
        <v>1.2864687243281308</v>
      </c>
      <c r="F167" s="231">
        <f t="shared" si="58"/>
        <v>1929703</v>
      </c>
      <c r="H167" s="233" t="s">
        <v>25</v>
      </c>
      <c r="I167" s="229">
        <f t="shared" si="59"/>
        <v>60000</v>
      </c>
      <c r="J167" s="229">
        <f t="shared" si="60"/>
        <v>60000</v>
      </c>
      <c r="K167" s="229">
        <f t="shared" si="61"/>
        <v>120000</v>
      </c>
      <c r="L167" s="229">
        <f t="shared" si="62"/>
        <v>187500</v>
      </c>
      <c r="M167" s="229">
        <f t="shared" si="63"/>
        <v>180000</v>
      </c>
      <c r="N167" s="229">
        <f t="shared" si="64"/>
        <v>247500</v>
      </c>
    </row>
    <row r="168" spans="2:14">
      <c r="B168" s="233" t="s">
        <v>27</v>
      </c>
      <c r="C168" s="353">
        <v>1500000</v>
      </c>
      <c r="D168" s="232">
        <v>85.37</v>
      </c>
      <c r="E168" s="233">
        <f>+$C$12/D168</f>
        <v>1.2840576314864707</v>
      </c>
      <c r="F168" s="231">
        <f t="shared" si="58"/>
        <v>1926086</v>
      </c>
      <c r="H168" s="233" t="s">
        <v>27</v>
      </c>
      <c r="I168" s="229">
        <f t="shared" si="59"/>
        <v>60000</v>
      </c>
      <c r="J168" s="229">
        <f t="shared" si="60"/>
        <v>60000</v>
      </c>
      <c r="K168" s="229">
        <f t="shared" si="61"/>
        <v>120000</v>
      </c>
      <c r="L168" s="229">
        <f t="shared" si="62"/>
        <v>187500</v>
      </c>
      <c r="M168" s="229">
        <f t="shared" si="63"/>
        <v>180000</v>
      </c>
      <c r="N168" s="229">
        <f t="shared" si="64"/>
        <v>247500</v>
      </c>
    </row>
    <row r="169" spans="2:14">
      <c r="B169" s="233" t="s">
        <v>29</v>
      </c>
      <c r="C169" s="353">
        <v>1500000</v>
      </c>
      <c r="D169" s="232">
        <v>85.78</v>
      </c>
      <c r="E169" s="233">
        <f t="shared" si="57"/>
        <v>1.2779202611331313</v>
      </c>
      <c r="F169" s="231">
        <f t="shared" si="58"/>
        <v>1916880</v>
      </c>
      <c r="H169" s="233" t="s">
        <v>29</v>
      </c>
      <c r="I169" s="229">
        <f t="shared" si="59"/>
        <v>60000</v>
      </c>
      <c r="J169" s="229">
        <f t="shared" si="60"/>
        <v>60000</v>
      </c>
      <c r="K169" s="229">
        <f t="shared" si="61"/>
        <v>120000</v>
      </c>
      <c r="L169" s="229">
        <f t="shared" si="62"/>
        <v>187500</v>
      </c>
      <c r="M169" s="229">
        <f t="shared" si="63"/>
        <v>180000</v>
      </c>
      <c r="N169" s="229">
        <f t="shared" si="64"/>
        <v>247500</v>
      </c>
    </row>
    <row r="170" spans="2:14">
      <c r="B170" s="233" t="s">
        <v>31</v>
      </c>
      <c r="C170" s="353">
        <v>1500000</v>
      </c>
      <c r="D170" s="232">
        <v>86.39</v>
      </c>
      <c r="E170" s="233">
        <f t="shared" si="57"/>
        <v>1.2688968630628545</v>
      </c>
      <c r="F170" s="231">
        <f t="shared" si="58"/>
        <v>1903345</v>
      </c>
      <c r="H170" s="233" t="s">
        <v>31</v>
      </c>
      <c r="I170" s="229">
        <f t="shared" si="59"/>
        <v>60000</v>
      </c>
      <c r="J170" s="229">
        <f t="shared" si="60"/>
        <v>60000</v>
      </c>
      <c r="K170" s="229">
        <f t="shared" si="61"/>
        <v>120000</v>
      </c>
      <c r="L170" s="229">
        <f t="shared" si="62"/>
        <v>187500</v>
      </c>
      <c r="M170" s="229">
        <f t="shared" si="63"/>
        <v>180000</v>
      </c>
      <c r="N170" s="229">
        <f t="shared" si="64"/>
        <v>247500</v>
      </c>
    </row>
    <row r="171" spans="2:14">
      <c r="B171" s="233" t="s">
        <v>33</v>
      </c>
      <c r="C171" s="353">
        <v>1500000</v>
      </c>
      <c r="D171" s="232">
        <v>86.98</v>
      </c>
      <c r="E171" s="233">
        <f t="shared" si="57"/>
        <v>1.2602897217751208</v>
      </c>
      <c r="F171" s="231">
        <f t="shared" si="58"/>
        <v>1890434</v>
      </c>
      <c r="H171" s="233" t="s">
        <v>33</v>
      </c>
      <c r="I171" s="229">
        <f t="shared" si="59"/>
        <v>60000</v>
      </c>
      <c r="J171" s="229">
        <f t="shared" si="60"/>
        <v>60000</v>
      </c>
      <c r="K171" s="229">
        <f t="shared" si="61"/>
        <v>120000</v>
      </c>
      <c r="L171" s="229">
        <f t="shared" si="62"/>
        <v>187500</v>
      </c>
      <c r="M171" s="229">
        <f t="shared" si="63"/>
        <v>180000</v>
      </c>
      <c r="N171" s="229">
        <f t="shared" si="64"/>
        <v>247500</v>
      </c>
    </row>
    <row r="172" spans="2:14">
      <c r="B172" s="233" t="s">
        <v>34</v>
      </c>
      <c r="C172" s="353">
        <v>1500000</v>
      </c>
      <c r="D172" s="232">
        <v>87.51</v>
      </c>
      <c r="E172" s="233">
        <f t="shared" si="57"/>
        <v>1.252656839218375</v>
      </c>
      <c r="F172" s="231">
        <f t="shared" si="58"/>
        <v>1878985</v>
      </c>
      <c r="H172" s="233" t="s">
        <v>34</v>
      </c>
      <c r="I172" s="229">
        <f t="shared" si="59"/>
        <v>60000</v>
      </c>
      <c r="J172" s="229">
        <f t="shared" si="60"/>
        <v>60000</v>
      </c>
      <c r="K172" s="229">
        <f t="shared" si="61"/>
        <v>120000</v>
      </c>
      <c r="L172" s="229">
        <f t="shared" si="62"/>
        <v>187500</v>
      </c>
      <c r="M172" s="229">
        <f t="shared" si="63"/>
        <v>180000</v>
      </c>
      <c r="N172" s="229">
        <f t="shared" si="64"/>
        <v>247500</v>
      </c>
    </row>
    <row r="173" spans="2:14">
      <c r="B173" s="233" t="s">
        <v>35</v>
      </c>
      <c r="C173" s="353">
        <v>1500000</v>
      </c>
      <c r="D173" s="232">
        <v>88.05</v>
      </c>
      <c r="E173" s="233">
        <f>+$C$12/D173</f>
        <v>1.2449744463373085</v>
      </c>
      <c r="F173" s="231">
        <f t="shared" si="58"/>
        <v>1867461</v>
      </c>
      <c r="H173" s="233" t="s">
        <v>35</v>
      </c>
      <c r="I173" s="229">
        <f t="shared" si="59"/>
        <v>60000</v>
      </c>
      <c r="J173" s="229">
        <f t="shared" si="60"/>
        <v>60000</v>
      </c>
      <c r="K173" s="229">
        <f t="shared" si="61"/>
        <v>120000</v>
      </c>
      <c r="L173" s="229">
        <f t="shared" si="62"/>
        <v>187500</v>
      </c>
      <c r="M173" s="229">
        <f t="shared" si="63"/>
        <v>180000</v>
      </c>
      <c r="N173" s="229">
        <f t="shared" si="64"/>
        <v>247500</v>
      </c>
    </row>
    <row r="174" spans="2:14">
      <c r="B174" s="233" t="s">
        <v>101</v>
      </c>
      <c r="C174" s="353">
        <f>(C173*0.35*360)/360</f>
        <v>525000</v>
      </c>
      <c r="D174" s="232">
        <v>88.05</v>
      </c>
      <c r="E174" s="233">
        <f t="shared" si="57"/>
        <v>1.2449744463373085</v>
      </c>
      <c r="F174" s="231">
        <f t="shared" si="58"/>
        <v>653611</v>
      </c>
      <c r="H174" s="3" t="s">
        <v>1011</v>
      </c>
      <c r="I174" s="229">
        <f t="shared" ref="I174:N174" si="65">SUM(I162:I173)</f>
        <v>720000</v>
      </c>
      <c r="J174" s="229">
        <f t="shared" si="65"/>
        <v>720000</v>
      </c>
      <c r="K174" s="229">
        <f t="shared" si="65"/>
        <v>1440000</v>
      </c>
      <c r="L174" s="229">
        <f t="shared" si="65"/>
        <v>2250000</v>
      </c>
      <c r="M174" s="229">
        <f t="shared" si="65"/>
        <v>2160000</v>
      </c>
      <c r="N174" s="229">
        <f t="shared" si="65"/>
        <v>2970000</v>
      </c>
    </row>
    <row r="175" spans="2:14">
      <c r="B175" s="233" t="s">
        <v>102</v>
      </c>
      <c r="C175" s="353">
        <f>(((C173/30)*20))*360/360</f>
        <v>1000000</v>
      </c>
      <c r="D175" s="232">
        <v>88.05</v>
      </c>
      <c r="E175" s="233">
        <f t="shared" si="57"/>
        <v>1.2449744463373085</v>
      </c>
      <c r="F175" s="231">
        <f t="shared" si="58"/>
        <v>1244974</v>
      </c>
    </row>
    <row r="176" spans="2:14">
      <c r="B176" s="233" t="s">
        <v>103</v>
      </c>
      <c r="C176" s="353">
        <f>((C173/30)*2*360)/360</f>
        <v>100000</v>
      </c>
      <c r="D176" s="232">
        <v>88.05</v>
      </c>
      <c r="E176" s="233">
        <f t="shared" si="57"/>
        <v>1.2449744463373085</v>
      </c>
      <c r="F176" s="231">
        <f t="shared" si="58"/>
        <v>124497</v>
      </c>
    </row>
    <row r="177" spans="1:8">
      <c r="B177" s="233" t="s">
        <v>104</v>
      </c>
      <c r="C177" s="353">
        <f>(((C173/30)*21)*360)/360</f>
        <v>1050000</v>
      </c>
      <c r="D177" s="232">
        <v>88.05</v>
      </c>
      <c r="E177" s="233">
        <f t="shared" si="57"/>
        <v>1.2449744463373085</v>
      </c>
      <c r="F177" s="231">
        <f t="shared" si="58"/>
        <v>1307223</v>
      </c>
    </row>
    <row r="178" spans="1:8">
      <c r="B178" s="233" t="s">
        <v>95</v>
      </c>
      <c r="C178" s="353">
        <f>+C173*360/360</f>
        <v>1500000</v>
      </c>
      <c r="D178" s="232">
        <v>88.05</v>
      </c>
      <c r="E178" s="233">
        <f t="shared" si="57"/>
        <v>1.2449744463373085</v>
      </c>
      <c r="F178" s="231">
        <f t="shared" si="58"/>
        <v>1867461</v>
      </c>
    </row>
    <row r="179" spans="1:8">
      <c r="B179" s="233" t="s">
        <v>96</v>
      </c>
      <c r="C179" s="353"/>
      <c r="D179" s="216"/>
      <c r="E179" s="216"/>
      <c r="F179" s="231">
        <f>SUM(F162:F178)</f>
        <v>28265737</v>
      </c>
    </row>
    <row r="180" spans="1:8">
      <c r="B180" s="233" t="s">
        <v>98</v>
      </c>
      <c r="C180" s="216"/>
      <c r="D180" s="216"/>
      <c r="E180" s="216"/>
      <c r="F180" s="231">
        <f>+I174+J174</f>
        <v>1440000</v>
      </c>
    </row>
    <row r="181" spans="1:8">
      <c r="B181" s="233" t="s">
        <v>99</v>
      </c>
      <c r="C181" s="216"/>
      <c r="D181" s="216"/>
      <c r="E181" s="216"/>
      <c r="F181" s="231">
        <f>+F179-F180</f>
        <v>26825737</v>
      </c>
    </row>
    <row r="184" spans="1:8">
      <c r="B184" s="233" t="s">
        <v>1582</v>
      </c>
      <c r="C184" s="231">
        <f>+F21+F44+F66+F89+F111+F134+F157+F179</f>
        <v>152822463</v>
      </c>
    </row>
    <row r="185" spans="1:8">
      <c r="B185" s="233" t="s">
        <v>1583</v>
      </c>
      <c r="C185" s="231">
        <f>+F22+F45+F67+F90+F112+F135+F158+F158+F180</f>
        <v>8611442.666666666</v>
      </c>
    </row>
    <row r="186" spans="1:8" ht="33.75">
      <c r="B186" s="2124" t="s">
        <v>1584</v>
      </c>
      <c r="C186" s="2125">
        <f>+C184-C185</f>
        <v>144211020.33333334</v>
      </c>
    </row>
    <row r="188" spans="1:8" ht="13.5">
      <c r="B188" s="1627" t="s">
        <v>1338</v>
      </c>
      <c r="C188" s="724">
        <f>+C5</f>
        <v>44435</v>
      </c>
    </row>
    <row r="190" spans="1:8">
      <c r="B190" s="2820" t="s">
        <v>84</v>
      </c>
      <c r="C190" s="2821"/>
      <c r="D190" s="2821"/>
      <c r="E190" s="2821"/>
      <c r="F190" s="2821"/>
      <c r="G190" s="2821"/>
      <c r="H190" s="2822"/>
    </row>
    <row r="191" spans="1:8" ht="38.25">
      <c r="B191" s="969" t="s">
        <v>206</v>
      </c>
      <c r="C191" s="969" t="s">
        <v>10</v>
      </c>
      <c r="D191" s="2752" t="s">
        <v>536</v>
      </c>
      <c r="E191" s="2752"/>
      <c r="F191" s="969" t="s">
        <v>204</v>
      </c>
      <c r="G191" s="2122" t="s">
        <v>537</v>
      </c>
      <c r="H191" s="969" t="s">
        <v>205</v>
      </c>
    </row>
    <row r="192" spans="1:8" ht="13.5">
      <c r="A192">
        <v>1</v>
      </c>
      <c r="B192" s="724">
        <v>43223</v>
      </c>
      <c r="C192" s="724">
        <v>43251</v>
      </c>
      <c r="D192" s="2123">
        <v>0</v>
      </c>
      <c r="E192" s="2123">
        <v>4.7E-2</v>
      </c>
      <c r="F192" s="2123">
        <f>((1+E192)^(1/365)-1)</f>
        <v>1.2584060737030889E-4</v>
      </c>
      <c r="G192" s="931">
        <f>DAYS360(B192,C192)+1</f>
        <v>29</v>
      </c>
      <c r="H192" s="941">
        <f>ROUND($C$186*G192*F192,2)</f>
        <v>526280.47</v>
      </c>
    </row>
    <row r="193" spans="1:8" ht="13.5">
      <c r="A193">
        <v>2</v>
      </c>
      <c r="B193" s="724">
        <v>43252</v>
      </c>
      <c r="C193" s="724">
        <v>43281</v>
      </c>
      <c r="D193" s="2123">
        <v>0</v>
      </c>
      <c r="E193" s="2123">
        <v>4.5999999999999999E-2</v>
      </c>
      <c r="F193" s="2123">
        <f t="shared" ref="F193:F200" si="66">((1+E193)^(1/365)-1)</f>
        <v>1.2322229163408416E-4</v>
      </c>
      <c r="G193" s="931">
        <f t="shared" ref="G193:G247" si="67">DAYS360(B193,C193)+1</f>
        <v>30</v>
      </c>
      <c r="H193" s="941">
        <f t="shared" ref="H193:H247" si="68">ROUND($C$186*G193*F193,2)</f>
        <v>533100.37</v>
      </c>
    </row>
    <row r="194" spans="1:8" ht="13.5">
      <c r="A194">
        <v>3</v>
      </c>
      <c r="B194" s="724">
        <v>43282</v>
      </c>
      <c r="C194" s="724">
        <v>43312</v>
      </c>
      <c r="D194" s="2123">
        <v>0</v>
      </c>
      <c r="E194" s="2123">
        <v>4.5699999999999998E-2</v>
      </c>
      <c r="F194" s="2123">
        <f t="shared" si="66"/>
        <v>1.2243631011710221E-4</v>
      </c>
      <c r="G194" s="931">
        <f t="shared" si="67"/>
        <v>31</v>
      </c>
      <c r="H194" s="941">
        <f t="shared" si="68"/>
        <v>547356.62</v>
      </c>
    </row>
    <row r="195" spans="1:8" ht="13.5">
      <c r="A195">
        <v>4</v>
      </c>
      <c r="B195" s="724">
        <v>43313</v>
      </c>
      <c r="C195" s="724">
        <v>43343</v>
      </c>
      <c r="D195" s="2123">
        <v>0</v>
      </c>
      <c r="E195" s="2123">
        <v>4.53E-2</v>
      </c>
      <c r="F195" s="2123">
        <f t="shared" si="66"/>
        <v>1.2138798488825486E-4</v>
      </c>
      <c r="G195" s="931">
        <f t="shared" si="67"/>
        <v>31</v>
      </c>
      <c r="H195" s="941">
        <f t="shared" si="68"/>
        <v>542670.04</v>
      </c>
    </row>
    <row r="196" spans="1:8" ht="13.5">
      <c r="A196">
        <v>5</v>
      </c>
      <c r="B196" s="724">
        <v>43344</v>
      </c>
      <c r="C196" s="724">
        <v>43373</v>
      </c>
      <c r="D196" s="2123">
        <v>0</v>
      </c>
      <c r="E196" s="2123">
        <v>4.53E-2</v>
      </c>
      <c r="F196" s="2123">
        <f t="shared" si="66"/>
        <v>1.2138798488825486E-4</v>
      </c>
      <c r="G196" s="931">
        <f t="shared" si="67"/>
        <v>30</v>
      </c>
      <c r="H196" s="941">
        <f t="shared" si="68"/>
        <v>525164.55000000005</v>
      </c>
    </row>
    <row r="197" spans="1:8" ht="13.5">
      <c r="A197">
        <v>6</v>
      </c>
      <c r="B197" s="724">
        <v>43374</v>
      </c>
      <c r="C197" s="724">
        <v>43404</v>
      </c>
      <c r="D197" s="2123">
        <v>0</v>
      </c>
      <c r="E197" s="2123">
        <v>4.4299999999999999E-2</v>
      </c>
      <c r="F197" s="2123">
        <f t="shared" si="66"/>
        <v>1.187654205565547E-4</v>
      </c>
      <c r="G197" s="931">
        <f t="shared" si="67"/>
        <v>31</v>
      </c>
      <c r="H197" s="941">
        <f t="shared" si="68"/>
        <v>530945.76</v>
      </c>
    </row>
    <row r="198" spans="1:8" ht="13.5">
      <c r="A198">
        <v>7</v>
      </c>
      <c r="B198" s="724">
        <v>43405</v>
      </c>
      <c r="C198" s="724">
        <v>43434</v>
      </c>
      <c r="D198" s="2123">
        <v>0</v>
      </c>
      <c r="E198" s="2123">
        <v>4.4200000000000003E-2</v>
      </c>
      <c r="F198" s="2123">
        <f t="shared" si="66"/>
        <v>1.185030263928244E-4</v>
      </c>
      <c r="G198" s="931">
        <f t="shared" si="67"/>
        <v>30</v>
      </c>
      <c r="H198" s="941">
        <f t="shared" si="68"/>
        <v>512683.27</v>
      </c>
    </row>
    <row r="199" spans="1:8" ht="13.5">
      <c r="A199">
        <v>8</v>
      </c>
      <c r="B199" s="724">
        <v>43435</v>
      </c>
      <c r="C199" s="724">
        <v>43465</v>
      </c>
      <c r="D199" s="2123">
        <v>0</v>
      </c>
      <c r="E199" s="2123">
        <v>4.5400000000000003E-2</v>
      </c>
      <c r="F199" s="2123">
        <f t="shared" si="66"/>
        <v>1.2165010369624696E-4</v>
      </c>
      <c r="G199" s="931">
        <f t="shared" si="67"/>
        <v>31</v>
      </c>
      <c r="H199" s="941">
        <f t="shared" si="68"/>
        <v>543841.85</v>
      </c>
    </row>
    <row r="200" spans="1:8" ht="13.5">
      <c r="A200">
        <v>9</v>
      </c>
      <c r="B200" s="724">
        <v>43466</v>
      </c>
      <c r="C200" s="724">
        <v>43496</v>
      </c>
      <c r="D200" s="2123">
        <v>0</v>
      </c>
      <c r="E200" s="2123">
        <v>4.5600000000000002E-2</v>
      </c>
      <c r="F200" s="2123">
        <f t="shared" si="66"/>
        <v>1.2217426630578565E-4</v>
      </c>
      <c r="G200" s="931">
        <f t="shared" si="67"/>
        <v>31</v>
      </c>
      <c r="H200" s="941">
        <f t="shared" si="68"/>
        <v>546185.14</v>
      </c>
    </row>
    <row r="201" spans="1:8" ht="13.5">
      <c r="A201">
        <v>10</v>
      </c>
      <c r="B201" s="724">
        <v>43497</v>
      </c>
      <c r="C201" s="724">
        <v>43524</v>
      </c>
      <c r="D201" s="2123">
        <v>0</v>
      </c>
      <c r="E201" s="2123">
        <v>4.5699999999999998E-2</v>
      </c>
      <c r="F201" s="2123">
        <f>((1+E201)^(1/365)-1)</f>
        <v>1.2243631011710221E-4</v>
      </c>
      <c r="G201" s="931">
        <f t="shared" si="67"/>
        <v>28</v>
      </c>
      <c r="H201" s="941">
        <f>ROUND($C$186*G201*F201,2)</f>
        <v>494386.63</v>
      </c>
    </row>
    <row r="202" spans="1:8" ht="13.5">
      <c r="A202">
        <v>11</v>
      </c>
      <c r="B202" s="724">
        <v>43525</v>
      </c>
      <c r="C202" s="724">
        <v>43555</v>
      </c>
      <c r="D202" s="2123">
        <v>0.19370000000000001</v>
      </c>
      <c r="E202" s="2123">
        <f t="shared" ref="E202:E243" si="69">+D202*1.5</f>
        <v>0.29055000000000003</v>
      </c>
      <c r="F202" s="2123">
        <f t="shared" ref="F202:F243" si="70">((1+E202)^(1/365)-1)</f>
        <v>6.9906199467517638E-4</v>
      </c>
      <c r="G202" s="931">
        <f t="shared" si="67"/>
        <v>31</v>
      </c>
      <c r="H202" s="941">
        <f t="shared" si="68"/>
        <v>3125185.75</v>
      </c>
    </row>
    <row r="203" spans="1:8" ht="13.5">
      <c r="A203">
        <v>12</v>
      </c>
      <c r="B203" s="724">
        <v>43556</v>
      </c>
      <c r="C203" s="724">
        <v>43585</v>
      </c>
      <c r="D203" s="2123">
        <v>0.19320000000000001</v>
      </c>
      <c r="E203" s="2123">
        <f t="shared" si="69"/>
        <v>0.2898</v>
      </c>
      <c r="F203" s="2123">
        <f t="shared" si="70"/>
        <v>6.9746823462724095E-4</v>
      </c>
      <c r="G203" s="931">
        <f t="shared" si="67"/>
        <v>30</v>
      </c>
      <c r="H203" s="941">
        <f t="shared" si="68"/>
        <v>3017478.17</v>
      </c>
    </row>
    <row r="204" spans="1:8" ht="13.5">
      <c r="A204">
        <v>13</v>
      </c>
      <c r="B204" s="724">
        <v>43586</v>
      </c>
      <c r="C204" s="724">
        <v>43616</v>
      </c>
      <c r="D204" s="2123">
        <v>0.19339999999999999</v>
      </c>
      <c r="E204" s="2123">
        <f t="shared" si="69"/>
        <v>0.29009999999999997</v>
      </c>
      <c r="F204" s="2123">
        <f t="shared" si="70"/>
        <v>6.9810584952367805E-4</v>
      </c>
      <c r="G204" s="931">
        <f t="shared" si="67"/>
        <v>31</v>
      </c>
      <c r="H204" s="941">
        <f t="shared" si="68"/>
        <v>3120911.26</v>
      </c>
    </row>
    <row r="205" spans="1:8" ht="13.5">
      <c r="A205">
        <v>14</v>
      </c>
      <c r="B205" s="724">
        <v>43617</v>
      </c>
      <c r="C205" s="724">
        <v>43646</v>
      </c>
      <c r="D205" s="2123">
        <v>0.193</v>
      </c>
      <c r="E205" s="2123">
        <f t="shared" si="69"/>
        <v>0.28949999999999998</v>
      </c>
      <c r="F205" s="2123">
        <f t="shared" si="70"/>
        <v>6.9683047181468005E-4</v>
      </c>
      <c r="G205" s="931">
        <f t="shared" si="67"/>
        <v>30</v>
      </c>
      <c r="H205" s="941">
        <f t="shared" si="68"/>
        <v>3014719</v>
      </c>
    </row>
    <row r="206" spans="1:8" ht="13.5">
      <c r="A206">
        <v>15</v>
      </c>
      <c r="B206" s="724">
        <v>43647</v>
      </c>
      <c r="C206" s="724">
        <v>43677</v>
      </c>
      <c r="D206" s="2123">
        <v>0.1928</v>
      </c>
      <c r="E206" s="2123">
        <f t="shared" si="69"/>
        <v>0.28920000000000001</v>
      </c>
      <c r="F206" s="2123">
        <f t="shared" si="70"/>
        <v>6.9619256101671745E-4</v>
      </c>
      <c r="G206" s="931">
        <f t="shared" si="67"/>
        <v>31</v>
      </c>
      <c r="H206" s="941">
        <f t="shared" si="68"/>
        <v>3112357.83</v>
      </c>
    </row>
    <row r="207" spans="1:8" ht="13.5">
      <c r="A207">
        <v>16</v>
      </c>
      <c r="B207" s="724">
        <v>43678</v>
      </c>
      <c r="C207" s="724">
        <v>43708</v>
      </c>
      <c r="D207" s="2123">
        <v>0.19320000000000001</v>
      </c>
      <c r="E207" s="2123">
        <f t="shared" si="69"/>
        <v>0.2898</v>
      </c>
      <c r="F207" s="2123">
        <f t="shared" si="70"/>
        <v>6.9746823462724095E-4</v>
      </c>
      <c r="G207" s="931">
        <f t="shared" si="67"/>
        <v>31</v>
      </c>
      <c r="H207" s="941">
        <f t="shared" si="68"/>
        <v>3118060.78</v>
      </c>
    </row>
    <row r="208" spans="1:8" ht="13.5">
      <c r="A208">
        <v>17</v>
      </c>
      <c r="B208" s="724">
        <v>43709</v>
      </c>
      <c r="C208" s="724">
        <v>43738</v>
      </c>
      <c r="D208" s="2123">
        <v>0.19320000000000001</v>
      </c>
      <c r="E208" s="2123">
        <f t="shared" si="69"/>
        <v>0.2898</v>
      </c>
      <c r="F208" s="2123">
        <f t="shared" si="70"/>
        <v>6.9746823462724095E-4</v>
      </c>
      <c r="G208" s="931">
        <f t="shared" si="67"/>
        <v>30</v>
      </c>
      <c r="H208" s="941">
        <f t="shared" si="68"/>
        <v>3017478.17</v>
      </c>
    </row>
    <row r="209" spans="1:8" ht="13.5">
      <c r="A209">
        <v>18</v>
      </c>
      <c r="B209" s="724">
        <v>43739</v>
      </c>
      <c r="C209" s="724">
        <v>43769</v>
      </c>
      <c r="D209" s="2123">
        <v>0.191</v>
      </c>
      <c r="E209" s="2123">
        <f t="shared" si="69"/>
        <v>0.28649999999999998</v>
      </c>
      <c r="F209" s="2123">
        <f t="shared" si="70"/>
        <v>6.9044469314105683E-4</v>
      </c>
      <c r="G209" s="931">
        <f t="shared" si="67"/>
        <v>31</v>
      </c>
      <c r="H209" s="941">
        <f t="shared" si="68"/>
        <v>3086661.74</v>
      </c>
    </row>
    <row r="210" spans="1:8" ht="13.5">
      <c r="A210">
        <v>19</v>
      </c>
      <c r="B210" s="724">
        <v>43770</v>
      </c>
      <c r="C210" s="724">
        <v>43799</v>
      </c>
      <c r="D210" s="2123">
        <v>0.1903</v>
      </c>
      <c r="E210" s="2123">
        <f t="shared" si="69"/>
        <v>0.28544999999999998</v>
      </c>
      <c r="F210" s="2123">
        <f t="shared" si="70"/>
        <v>6.8820616169262827E-4</v>
      </c>
      <c r="G210" s="931">
        <f t="shared" si="67"/>
        <v>30</v>
      </c>
      <c r="H210" s="941">
        <f t="shared" si="68"/>
        <v>2977407.38</v>
      </c>
    </row>
    <row r="211" spans="1:8" ht="13.5">
      <c r="A211">
        <v>20</v>
      </c>
      <c r="B211" s="724">
        <v>43800</v>
      </c>
      <c r="C211" s="724">
        <v>43830</v>
      </c>
      <c r="D211" s="2123">
        <v>0.18909999999999999</v>
      </c>
      <c r="E211" s="2123">
        <f t="shared" si="69"/>
        <v>0.28364999999999996</v>
      </c>
      <c r="F211" s="2123">
        <f t="shared" si="70"/>
        <v>6.8436443340047504E-4</v>
      </c>
      <c r="G211" s="931">
        <f t="shared" si="67"/>
        <v>31</v>
      </c>
      <c r="H211" s="941">
        <f t="shared" si="68"/>
        <v>3059479.69</v>
      </c>
    </row>
    <row r="212" spans="1:8" ht="13.5">
      <c r="A212">
        <v>21</v>
      </c>
      <c r="B212" s="724">
        <v>43831</v>
      </c>
      <c r="C212" s="724">
        <v>43861</v>
      </c>
      <c r="D212" s="2123">
        <v>0.18770000000000001</v>
      </c>
      <c r="E212" s="2123">
        <f t="shared" si="69"/>
        <v>0.28155000000000002</v>
      </c>
      <c r="F212" s="2123">
        <f t="shared" si="70"/>
        <v>6.7987562124560696E-4</v>
      </c>
      <c r="G212" s="931">
        <f t="shared" si="67"/>
        <v>31</v>
      </c>
      <c r="H212" s="941">
        <f t="shared" si="68"/>
        <v>3039412.27</v>
      </c>
    </row>
    <row r="213" spans="1:8" ht="13.5">
      <c r="A213">
        <v>22</v>
      </c>
      <c r="B213" s="724">
        <v>43862</v>
      </c>
      <c r="C213" s="724">
        <v>43890</v>
      </c>
      <c r="D213" s="2123">
        <v>0.19059999999999999</v>
      </c>
      <c r="E213" s="2123">
        <f t="shared" si="69"/>
        <v>0.28589999999999999</v>
      </c>
      <c r="F213" s="2123">
        <f t="shared" si="70"/>
        <v>6.8916575551658532E-4</v>
      </c>
      <c r="G213" s="931">
        <f t="shared" si="67"/>
        <v>29</v>
      </c>
      <c r="H213" s="941">
        <f t="shared" si="68"/>
        <v>2882173.61</v>
      </c>
    </row>
    <row r="214" spans="1:8" ht="13.5">
      <c r="A214">
        <v>23</v>
      </c>
      <c r="B214" s="724">
        <v>43891</v>
      </c>
      <c r="C214" s="724">
        <v>43921</v>
      </c>
      <c r="D214" s="2123">
        <v>0.1895</v>
      </c>
      <c r="E214" s="2123">
        <f t="shared" si="69"/>
        <v>0.28425</v>
      </c>
      <c r="F214" s="2123">
        <f t="shared" si="70"/>
        <v>6.8564560609574166E-4</v>
      </c>
      <c r="G214" s="931">
        <f t="shared" si="67"/>
        <v>31</v>
      </c>
      <c r="H214" s="941">
        <f t="shared" si="68"/>
        <v>3065207.23</v>
      </c>
    </row>
    <row r="215" spans="1:8" ht="13.5">
      <c r="A215">
        <v>24</v>
      </c>
      <c r="B215" s="724">
        <v>43922</v>
      </c>
      <c r="C215" s="724">
        <v>43951</v>
      </c>
      <c r="D215" s="2123">
        <v>0.18690000000000001</v>
      </c>
      <c r="E215" s="2123">
        <f t="shared" si="69"/>
        <v>0.28034999999999999</v>
      </c>
      <c r="F215" s="2123">
        <f t="shared" si="70"/>
        <v>6.7730729113191224E-4</v>
      </c>
      <c r="G215" s="931">
        <f t="shared" si="67"/>
        <v>30</v>
      </c>
      <c r="H215" s="941">
        <f t="shared" si="68"/>
        <v>2930255.27</v>
      </c>
    </row>
    <row r="216" spans="1:8" ht="13.5">
      <c r="A216">
        <v>25</v>
      </c>
      <c r="B216" s="724">
        <v>43952</v>
      </c>
      <c r="C216" s="724">
        <v>43982</v>
      </c>
      <c r="D216" s="2123">
        <v>0.18190000000000001</v>
      </c>
      <c r="E216" s="2123">
        <f t="shared" si="69"/>
        <v>0.27285000000000004</v>
      </c>
      <c r="F216" s="2123">
        <f t="shared" si="70"/>
        <v>6.6120063584418354E-4</v>
      </c>
      <c r="G216" s="931">
        <f t="shared" si="67"/>
        <v>31</v>
      </c>
      <c r="H216" s="941">
        <f t="shared" si="68"/>
        <v>2955924.97</v>
      </c>
    </row>
    <row r="217" spans="1:8" ht="13.5">
      <c r="A217">
        <v>26</v>
      </c>
      <c r="B217" s="724">
        <v>43983</v>
      </c>
      <c r="C217" s="724">
        <v>44012</v>
      </c>
      <c r="D217" s="2123">
        <v>0.1812</v>
      </c>
      <c r="E217" s="2123">
        <f t="shared" si="69"/>
        <v>0.27179999999999999</v>
      </c>
      <c r="F217" s="2123">
        <f t="shared" si="70"/>
        <v>6.5893815469997286E-4</v>
      </c>
      <c r="G217" s="931">
        <f t="shared" si="67"/>
        <v>30</v>
      </c>
      <c r="H217" s="941">
        <f t="shared" si="68"/>
        <v>2850784.31</v>
      </c>
    </row>
    <row r="218" spans="1:8" ht="13.5">
      <c r="A218">
        <v>27</v>
      </c>
      <c r="B218" s="724">
        <v>44013</v>
      </c>
      <c r="C218" s="724">
        <v>44043</v>
      </c>
      <c r="D218" s="2123">
        <v>0.1812</v>
      </c>
      <c r="E218" s="2123">
        <f t="shared" si="69"/>
        <v>0.27179999999999999</v>
      </c>
      <c r="F218" s="2123">
        <f t="shared" si="70"/>
        <v>6.5893815469997286E-4</v>
      </c>
      <c r="G218" s="931">
        <f t="shared" si="67"/>
        <v>31</v>
      </c>
      <c r="H218" s="941">
        <f t="shared" si="68"/>
        <v>2945810.45</v>
      </c>
    </row>
    <row r="219" spans="1:8" ht="13.5">
      <c r="A219">
        <v>28</v>
      </c>
      <c r="B219" s="724">
        <v>44044</v>
      </c>
      <c r="C219" s="724">
        <v>44074</v>
      </c>
      <c r="D219" s="2123">
        <v>0.18290000000000001</v>
      </c>
      <c r="E219" s="2123">
        <f t="shared" si="69"/>
        <v>0.27434999999999998</v>
      </c>
      <c r="F219" s="2123">
        <f t="shared" si="70"/>
        <v>6.6442952514544906E-4</v>
      </c>
      <c r="G219" s="931">
        <f t="shared" si="67"/>
        <v>31</v>
      </c>
      <c r="H219" s="941">
        <f t="shared" si="68"/>
        <v>2970359.85</v>
      </c>
    </row>
    <row r="220" spans="1:8" ht="13.5">
      <c r="A220">
        <v>29</v>
      </c>
      <c r="B220" s="724">
        <v>44075</v>
      </c>
      <c r="C220" s="724">
        <v>44104</v>
      </c>
      <c r="D220" s="2123">
        <v>0.1835</v>
      </c>
      <c r="E220" s="2123">
        <f t="shared" si="69"/>
        <v>0.27524999999999999</v>
      </c>
      <c r="F220" s="2123">
        <f t="shared" si="70"/>
        <v>6.6636503991857055E-4</v>
      </c>
      <c r="G220" s="931">
        <f t="shared" si="67"/>
        <v>30</v>
      </c>
      <c r="H220" s="941">
        <f t="shared" si="68"/>
        <v>2882915.47</v>
      </c>
    </row>
    <row r="221" spans="1:8" ht="13.5">
      <c r="A221">
        <v>30</v>
      </c>
      <c r="B221" s="724">
        <v>44105</v>
      </c>
      <c r="C221" s="724">
        <v>44135</v>
      </c>
      <c r="D221" s="2123">
        <v>0.18090000000000001</v>
      </c>
      <c r="E221" s="2123">
        <f t="shared" si="69"/>
        <v>0.27134999999999998</v>
      </c>
      <c r="F221" s="2123">
        <f t="shared" si="70"/>
        <v>6.5796794962613703E-4</v>
      </c>
      <c r="G221" s="931">
        <f t="shared" si="67"/>
        <v>31</v>
      </c>
      <c r="H221" s="941">
        <f t="shared" si="68"/>
        <v>2941473.11</v>
      </c>
    </row>
    <row r="222" spans="1:8" ht="13.5">
      <c r="A222">
        <v>31</v>
      </c>
      <c r="B222" s="724">
        <v>44136</v>
      </c>
      <c r="C222" s="724">
        <v>44165</v>
      </c>
      <c r="D222" s="2123">
        <v>0.1784</v>
      </c>
      <c r="E222" s="2123">
        <f t="shared" si="69"/>
        <v>0.2676</v>
      </c>
      <c r="F222" s="2123">
        <f t="shared" si="70"/>
        <v>6.4986956374091243E-4</v>
      </c>
      <c r="G222" s="931">
        <f t="shared" si="67"/>
        <v>30</v>
      </c>
      <c r="H222" s="941">
        <f t="shared" si="68"/>
        <v>2811550.59</v>
      </c>
    </row>
    <row r="223" spans="1:8" ht="13.5">
      <c r="A223">
        <v>32</v>
      </c>
      <c r="B223" s="724">
        <v>44166</v>
      </c>
      <c r="C223" s="724">
        <v>44196</v>
      </c>
      <c r="D223" s="2123">
        <v>0.17460000000000001</v>
      </c>
      <c r="E223" s="2123">
        <f t="shared" si="69"/>
        <v>0.26190000000000002</v>
      </c>
      <c r="F223" s="2123">
        <f t="shared" si="70"/>
        <v>6.3751414410861962E-4</v>
      </c>
      <c r="G223" s="931">
        <f t="shared" si="67"/>
        <v>31</v>
      </c>
      <c r="H223" s="941">
        <f t="shared" si="68"/>
        <v>2850033.52</v>
      </c>
    </row>
    <row r="224" spans="1:8" ht="13.5">
      <c r="A224">
        <v>33</v>
      </c>
      <c r="B224" s="724">
        <v>44197</v>
      </c>
      <c r="C224" s="724">
        <v>44227</v>
      </c>
      <c r="D224" s="2123">
        <v>0.17319999999999999</v>
      </c>
      <c r="E224" s="2123">
        <f t="shared" si="69"/>
        <v>0.25979999999999998</v>
      </c>
      <c r="F224" s="2123">
        <f t="shared" si="70"/>
        <v>6.3294811266723094E-4</v>
      </c>
      <c r="G224" s="931">
        <f t="shared" si="67"/>
        <v>31</v>
      </c>
      <c r="H224" s="941">
        <f t="shared" si="68"/>
        <v>2829620.89</v>
      </c>
    </row>
    <row r="225" spans="1:8" ht="13.5">
      <c r="A225">
        <v>34</v>
      </c>
      <c r="B225" s="724">
        <v>44228</v>
      </c>
      <c r="C225" s="724">
        <v>44255</v>
      </c>
      <c r="D225" s="2123">
        <v>0.1754</v>
      </c>
      <c r="E225" s="2123">
        <f t="shared" si="69"/>
        <v>0.2631</v>
      </c>
      <c r="F225" s="2123">
        <f t="shared" si="70"/>
        <v>6.4011990387169426E-4</v>
      </c>
      <c r="G225" s="931">
        <f t="shared" si="67"/>
        <v>28</v>
      </c>
      <c r="H225" s="941">
        <f t="shared" si="68"/>
        <v>2584745.65</v>
      </c>
    </row>
    <row r="226" spans="1:8" ht="13.5">
      <c r="A226">
        <v>35</v>
      </c>
      <c r="B226" s="724">
        <v>44256</v>
      </c>
      <c r="C226" s="724">
        <v>44286</v>
      </c>
      <c r="D226" s="2123">
        <v>0.1741</v>
      </c>
      <c r="E226" s="2123">
        <f t="shared" si="69"/>
        <v>0.26114999999999999</v>
      </c>
      <c r="F226" s="2123">
        <f t="shared" si="70"/>
        <v>6.3588428907812578E-4</v>
      </c>
      <c r="G226" s="931">
        <f t="shared" si="67"/>
        <v>31</v>
      </c>
      <c r="H226" s="941">
        <f t="shared" si="68"/>
        <v>2842747.19</v>
      </c>
    </row>
    <row r="227" spans="1:8" ht="13.5">
      <c r="A227">
        <v>36</v>
      </c>
      <c r="B227" s="724">
        <v>44287</v>
      </c>
      <c r="C227" s="724">
        <v>44316</v>
      </c>
      <c r="D227" s="2123">
        <v>0.1731</v>
      </c>
      <c r="E227" s="2123">
        <f t="shared" si="69"/>
        <v>0.25964999999999999</v>
      </c>
      <c r="F227" s="2123">
        <f t="shared" si="70"/>
        <v>6.326216771728177E-4</v>
      </c>
      <c r="G227" s="931">
        <f t="shared" si="67"/>
        <v>30</v>
      </c>
      <c r="H227" s="941">
        <f t="shared" si="68"/>
        <v>2736930.53</v>
      </c>
    </row>
    <row r="228" spans="1:8" ht="13.5">
      <c r="A228">
        <v>37</v>
      </c>
      <c r="B228" s="724">
        <v>44317</v>
      </c>
      <c r="C228" s="724">
        <v>44347</v>
      </c>
      <c r="D228" s="2123">
        <v>0.17219999999999999</v>
      </c>
      <c r="E228" s="2123">
        <f t="shared" si="69"/>
        <v>0.25829999999999997</v>
      </c>
      <c r="F228" s="2123">
        <f t="shared" si="70"/>
        <v>6.2968201205726437E-4</v>
      </c>
      <c r="G228" s="931">
        <f t="shared" si="67"/>
        <v>31</v>
      </c>
      <c r="H228" s="941">
        <f t="shared" si="68"/>
        <v>2815019.65</v>
      </c>
    </row>
    <row r="229" spans="1:8" ht="13.5">
      <c r="A229">
        <v>38</v>
      </c>
      <c r="B229" s="724">
        <v>44348</v>
      </c>
      <c r="C229" s="724">
        <v>44377</v>
      </c>
      <c r="D229" s="2123">
        <v>0.1721</v>
      </c>
      <c r="E229" s="2123">
        <f t="shared" si="69"/>
        <v>0.25814999999999999</v>
      </c>
      <c r="F229" s="2123">
        <f t="shared" si="70"/>
        <v>6.2935518846773952E-4</v>
      </c>
      <c r="G229" s="931">
        <f t="shared" si="67"/>
        <v>30</v>
      </c>
      <c r="H229" s="941">
        <f t="shared" si="68"/>
        <v>2722798.62</v>
      </c>
    </row>
    <row r="230" spans="1:8" ht="13.5">
      <c r="A230">
        <v>39</v>
      </c>
      <c r="B230" s="724">
        <v>44378</v>
      </c>
      <c r="C230" s="724">
        <v>44408</v>
      </c>
      <c r="D230" s="2123">
        <v>0.17180000000000001</v>
      </c>
      <c r="E230" s="2123">
        <f t="shared" si="69"/>
        <v>0.25770000000000004</v>
      </c>
      <c r="F230" s="2123">
        <f t="shared" si="70"/>
        <v>6.2837448450037137E-4</v>
      </c>
      <c r="G230" s="931">
        <f t="shared" si="67"/>
        <v>31</v>
      </c>
      <c r="H230" s="941">
        <f t="shared" si="68"/>
        <v>2809174.29</v>
      </c>
    </row>
    <row r="231" spans="1:8" ht="13.5">
      <c r="A231">
        <v>40</v>
      </c>
      <c r="B231" s="724">
        <v>44409</v>
      </c>
      <c r="C231" s="724">
        <v>44439</v>
      </c>
      <c r="D231" s="2123">
        <v>0.1724</v>
      </c>
      <c r="E231" s="2123">
        <f t="shared" si="69"/>
        <v>0.2586</v>
      </c>
      <c r="F231" s="2123">
        <f t="shared" si="70"/>
        <v>6.3033554269220637E-4</v>
      </c>
      <c r="G231" s="931">
        <f t="shared" si="67"/>
        <v>31</v>
      </c>
      <c r="H231" s="941">
        <f t="shared" si="68"/>
        <v>2817941.28</v>
      </c>
    </row>
    <row r="232" spans="1:8" ht="13.5">
      <c r="A232">
        <v>41</v>
      </c>
      <c r="B232" s="724">
        <v>44440</v>
      </c>
      <c r="C232" s="724">
        <v>44469</v>
      </c>
      <c r="D232" s="2123">
        <v>0.17299999999999999</v>
      </c>
      <c r="E232" s="2123">
        <f t="shared" si="69"/>
        <v>0.25949999999999995</v>
      </c>
      <c r="F232" s="2123">
        <f t="shared" si="70"/>
        <v>6.3229520291052665E-4</v>
      </c>
      <c r="G232" s="931">
        <f t="shared" si="67"/>
        <v>30</v>
      </c>
      <c r="H232" s="941">
        <f t="shared" si="68"/>
        <v>2735518.09</v>
      </c>
    </row>
    <row r="233" spans="1:8" ht="13.5">
      <c r="A233">
        <v>42</v>
      </c>
      <c r="B233" s="724">
        <v>44470</v>
      </c>
      <c r="C233" s="724">
        <v>44500</v>
      </c>
      <c r="D233" s="2123">
        <v>0.17080000000000001</v>
      </c>
      <c r="E233" s="2123">
        <f t="shared" si="69"/>
        <v>0.25619999999999998</v>
      </c>
      <c r="F233" s="2123">
        <f t="shared" si="70"/>
        <v>6.2510294214179751E-4</v>
      </c>
      <c r="G233" s="931">
        <f t="shared" si="67"/>
        <v>31</v>
      </c>
      <c r="H233" s="941">
        <f t="shared" si="68"/>
        <v>2794548.73</v>
      </c>
    </row>
    <row r="234" spans="1:8" ht="13.5">
      <c r="A234">
        <v>43</v>
      </c>
      <c r="B234" s="724">
        <v>44501</v>
      </c>
      <c r="C234" s="724">
        <v>44530</v>
      </c>
      <c r="D234" s="2123">
        <v>0.17269999999999999</v>
      </c>
      <c r="E234" s="2123">
        <f t="shared" si="69"/>
        <v>0.25905</v>
      </c>
      <c r="F234" s="2123">
        <f t="shared" si="70"/>
        <v>6.3131554742335005E-4</v>
      </c>
      <c r="G234" s="931">
        <f t="shared" si="67"/>
        <v>30</v>
      </c>
      <c r="H234" s="941">
        <f t="shared" si="68"/>
        <v>2731279.78</v>
      </c>
    </row>
    <row r="235" spans="1:8" ht="13.5">
      <c r="A235">
        <v>44</v>
      </c>
      <c r="B235" s="724">
        <v>44531</v>
      </c>
      <c r="C235" s="724">
        <v>44561</v>
      </c>
      <c r="D235" s="2123">
        <v>0.17460000000000001</v>
      </c>
      <c r="E235" s="2123">
        <f t="shared" si="69"/>
        <v>0.26190000000000002</v>
      </c>
      <c r="F235" s="2123">
        <f t="shared" si="70"/>
        <v>6.3751414410861962E-4</v>
      </c>
      <c r="G235" s="931">
        <f t="shared" si="67"/>
        <v>31</v>
      </c>
      <c r="H235" s="941">
        <f t="shared" si="68"/>
        <v>2850033.52</v>
      </c>
    </row>
    <row r="236" spans="1:8" ht="13.5">
      <c r="A236">
        <v>45</v>
      </c>
      <c r="B236" s="724">
        <v>44562</v>
      </c>
      <c r="C236" s="724">
        <v>44592</v>
      </c>
      <c r="D236" s="2123">
        <v>0.17660000000000001</v>
      </c>
      <c r="E236" s="2123">
        <f t="shared" si="69"/>
        <v>0.26490000000000002</v>
      </c>
      <c r="F236" s="2123">
        <f t="shared" si="70"/>
        <v>6.4402391816376081E-4</v>
      </c>
      <c r="G236" s="931">
        <f t="shared" si="67"/>
        <v>31</v>
      </c>
      <c r="H236" s="941">
        <f t="shared" si="68"/>
        <v>2879135.74</v>
      </c>
    </row>
    <row r="237" spans="1:8" ht="13.5">
      <c r="A237">
        <v>46</v>
      </c>
      <c r="B237" s="724">
        <v>44593</v>
      </c>
      <c r="C237" s="724">
        <v>44620</v>
      </c>
      <c r="D237" s="2123">
        <v>0.183</v>
      </c>
      <c r="E237" s="2123">
        <f t="shared" si="69"/>
        <v>0.27449999999999997</v>
      </c>
      <c r="F237" s="2123">
        <f t="shared" si="70"/>
        <v>6.6475220558892545E-4</v>
      </c>
      <c r="G237" s="931">
        <f t="shared" si="67"/>
        <v>28</v>
      </c>
      <c r="H237" s="941">
        <f t="shared" si="68"/>
        <v>2684208.63</v>
      </c>
    </row>
    <row r="238" spans="1:8" ht="13.5">
      <c r="A238">
        <v>47</v>
      </c>
      <c r="B238" s="724">
        <v>44621</v>
      </c>
      <c r="C238" s="724">
        <v>44651</v>
      </c>
      <c r="D238" s="2123">
        <v>0.1847</v>
      </c>
      <c r="E238" s="2123">
        <f t="shared" si="69"/>
        <v>0.27705000000000002</v>
      </c>
      <c r="F238" s="2123">
        <f t="shared" si="70"/>
        <v>6.7023198611315671E-4</v>
      </c>
      <c r="G238" s="931">
        <f t="shared" si="67"/>
        <v>31</v>
      </c>
      <c r="H238" s="941">
        <f t="shared" si="68"/>
        <v>2996300</v>
      </c>
    </row>
    <row r="239" spans="1:8" ht="13.5">
      <c r="A239">
        <v>48</v>
      </c>
      <c r="B239" s="724">
        <v>44652</v>
      </c>
      <c r="C239" s="724">
        <v>44681</v>
      </c>
      <c r="D239" s="2123">
        <v>0.1905</v>
      </c>
      <c r="E239" s="2123">
        <f t="shared" si="69"/>
        <v>0.28575</v>
      </c>
      <c r="F239" s="2123">
        <f t="shared" si="70"/>
        <v>6.8884592812357148E-4</v>
      </c>
      <c r="G239" s="931">
        <f t="shared" si="67"/>
        <v>30</v>
      </c>
      <c r="H239" s="941">
        <f t="shared" si="68"/>
        <v>2980175.22</v>
      </c>
    </row>
    <row r="240" spans="1:8" ht="13.5">
      <c r="A240">
        <v>49</v>
      </c>
      <c r="B240" s="724">
        <v>44682</v>
      </c>
      <c r="C240" s="724">
        <v>44712</v>
      </c>
      <c r="D240" s="2123">
        <v>0.1971</v>
      </c>
      <c r="E240" s="2123">
        <f t="shared" si="69"/>
        <v>0.29564999999999997</v>
      </c>
      <c r="F240" s="2123">
        <f t="shared" si="70"/>
        <v>7.0987512909947981E-4</v>
      </c>
      <c r="G240" s="931">
        <f t="shared" si="67"/>
        <v>31</v>
      </c>
      <c r="H240" s="941">
        <f t="shared" si="68"/>
        <v>3173526.32</v>
      </c>
    </row>
    <row r="241" spans="1:8" ht="13.5">
      <c r="A241">
        <v>50</v>
      </c>
      <c r="B241" s="724">
        <v>44713</v>
      </c>
      <c r="C241" s="724">
        <v>44742</v>
      </c>
      <c r="D241" s="2123">
        <v>0.20399999999999999</v>
      </c>
      <c r="E241" s="2123">
        <f t="shared" si="69"/>
        <v>0.30599999999999999</v>
      </c>
      <c r="F241" s="2123">
        <f t="shared" si="70"/>
        <v>7.3168955664093538E-4</v>
      </c>
      <c r="G241" s="931">
        <f t="shared" si="67"/>
        <v>30</v>
      </c>
      <c r="H241" s="941">
        <f t="shared" si="68"/>
        <v>3165530.93</v>
      </c>
    </row>
    <row r="242" spans="1:8" ht="13.5">
      <c r="A242">
        <v>51</v>
      </c>
      <c r="B242" s="724">
        <v>44743</v>
      </c>
      <c r="C242" s="724">
        <v>44773</v>
      </c>
      <c r="D242" s="2123">
        <v>0.21279999999999999</v>
      </c>
      <c r="E242" s="2123">
        <f t="shared" si="69"/>
        <v>0.31919999999999998</v>
      </c>
      <c r="F242" s="2123">
        <f t="shared" si="70"/>
        <v>7.5926204501630679E-4</v>
      </c>
      <c r="G242" s="931">
        <f t="shared" si="67"/>
        <v>31</v>
      </c>
      <c r="H242" s="941">
        <f t="shared" si="68"/>
        <v>3394312.58</v>
      </c>
    </row>
    <row r="243" spans="1:8" ht="13.5">
      <c r="A243">
        <v>52</v>
      </c>
      <c r="B243" s="724">
        <v>44774</v>
      </c>
      <c r="C243" s="724">
        <v>44804</v>
      </c>
      <c r="D243" s="2123">
        <v>0.22209999999999999</v>
      </c>
      <c r="E243" s="2123">
        <f t="shared" si="69"/>
        <v>0.33315</v>
      </c>
      <c r="F243" s="2123">
        <f t="shared" si="70"/>
        <v>7.8810371394433254E-4</v>
      </c>
      <c r="G243" s="931">
        <f t="shared" si="67"/>
        <v>31</v>
      </c>
      <c r="H243" s="941">
        <f t="shared" si="68"/>
        <v>3523250.46</v>
      </c>
    </row>
    <row r="244" spans="1:8" ht="13.5">
      <c r="A244">
        <v>53</v>
      </c>
      <c r="B244" s="724">
        <v>44805</v>
      </c>
      <c r="C244" s="724">
        <v>44834</v>
      </c>
      <c r="D244" s="2123">
        <v>0.23499999999999999</v>
      </c>
      <c r="E244" s="2123">
        <f>+D244*1.5</f>
        <v>0.35249999999999998</v>
      </c>
      <c r="F244" s="2123">
        <f>((1+E244)^(1/365)-1)</f>
        <v>8.2761552252574866E-4</v>
      </c>
      <c r="G244" s="931">
        <f t="shared" si="67"/>
        <v>30</v>
      </c>
      <c r="H244" s="941">
        <f t="shared" si="68"/>
        <v>3580538.37</v>
      </c>
    </row>
    <row r="245" spans="1:8" ht="13.5">
      <c r="A245">
        <v>54</v>
      </c>
      <c r="B245" s="724">
        <v>44835</v>
      </c>
      <c r="C245" s="724">
        <v>44865</v>
      </c>
      <c r="D245" s="2123">
        <v>0.24610000000000001</v>
      </c>
      <c r="E245" s="2123">
        <f>+D245*1.5</f>
        <v>0.36915000000000003</v>
      </c>
      <c r="F245" s="2123">
        <f>((1+E245)^(1/365)-1)</f>
        <v>8.611654102768096E-4</v>
      </c>
      <c r="G245" s="931">
        <f t="shared" si="67"/>
        <v>31</v>
      </c>
      <c r="H245" s="941">
        <f t="shared" si="68"/>
        <v>3849875.82</v>
      </c>
    </row>
    <row r="246" spans="1:8" ht="13.5">
      <c r="A246">
        <v>55</v>
      </c>
      <c r="B246" s="724">
        <v>44866</v>
      </c>
      <c r="C246" s="724">
        <v>44895</v>
      </c>
      <c r="D246" s="897">
        <v>0.25779999999999997</v>
      </c>
      <c r="E246" s="897">
        <f t="shared" ref="E246:E247" si="71">+D246*1.5</f>
        <v>0.38669999999999993</v>
      </c>
      <c r="F246" s="897">
        <f t="shared" ref="F246:F247" si="72">((1+E246)^(1/365)-1)</f>
        <v>8.9609117817124329E-4</v>
      </c>
      <c r="G246" s="931">
        <f t="shared" si="67"/>
        <v>30</v>
      </c>
      <c r="H246" s="941">
        <f t="shared" si="68"/>
        <v>3876786.69</v>
      </c>
    </row>
    <row r="247" spans="1:8" ht="13.5">
      <c r="A247">
        <v>56</v>
      </c>
      <c r="B247" s="724">
        <v>44896</v>
      </c>
      <c r="C247" s="724">
        <v>44926</v>
      </c>
      <c r="D247" s="897">
        <v>0.27639999999999998</v>
      </c>
      <c r="E247" s="897">
        <f t="shared" si="71"/>
        <v>0.41459999999999997</v>
      </c>
      <c r="F247" s="897">
        <f t="shared" si="72"/>
        <v>9.5071686592063109E-4</v>
      </c>
      <c r="G247" s="931">
        <f t="shared" si="67"/>
        <v>31</v>
      </c>
      <c r="H247" s="941">
        <f t="shared" si="68"/>
        <v>4250219.33</v>
      </c>
    </row>
    <row r="248" spans="1:8" ht="13.5">
      <c r="A248">
        <v>57</v>
      </c>
      <c r="B248" s="724">
        <v>44927</v>
      </c>
      <c r="C248" s="724">
        <v>44957</v>
      </c>
      <c r="D248" s="897">
        <v>0.28839999999999999</v>
      </c>
      <c r="E248" s="897">
        <f t="shared" ref="E248:E249" si="73">+D248*1.5</f>
        <v>0.43259999999999998</v>
      </c>
      <c r="F248" s="897">
        <f t="shared" ref="F248:F249" si="74">((1+E248)^(1/365)-1)</f>
        <v>9.8539196132163553E-4</v>
      </c>
      <c r="G248" s="931">
        <f t="shared" ref="G248:G249" si="75">DAYS360(B248,C248)+1</f>
        <v>31</v>
      </c>
      <c r="H248" s="941">
        <f t="shared" ref="H248:H249" si="76">ROUND($C$186*G248*F248,2)</f>
        <v>4405235.79</v>
      </c>
    </row>
    <row r="249" spans="1:8" ht="13.5">
      <c r="A249">
        <v>58</v>
      </c>
      <c r="B249" s="724">
        <v>44958</v>
      </c>
      <c r="C249" s="724">
        <v>44985</v>
      </c>
      <c r="D249" s="897">
        <v>0.30180000000000001</v>
      </c>
      <c r="E249" s="897">
        <f t="shared" si="73"/>
        <v>0.45269999999999999</v>
      </c>
      <c r="F249" s="897">
        <f t="shared" si="74"/>
        <v>1.0236026853662761E-3</v>
      </c>
      <c r="G249" s="931">
        <f t="shared" si="75"/>
        <v>28</v>
      </c>
      <c r="H249" s="941">
        <f t="shared" si="76"/>
        <v>4133214.05</v>
      </c>
    </row>
    <row r="250" spans="1:8" ht="13.5">
      <c r="A250">
        <v>59</v>
      </c>
      <c r="B250" s="724">
        <v>44986</v>
      </c>
      <c r="C250" s="724">
        <v>45016</v>
      </c>
      <c r="D250" s="897">
        <v>0.30840000000000001</v>
      </c>
      <c r="E250" s="897">
        <f t="shared" ref="E250:E251" si="77">+D250*1.5</f>
        <v>0.46260000000000001</v>
      </c>
      <c r="F250" s="897">
        <f t="shared" ref="F250:F251" si="78">((1+E250)^(1/365)-1)</f>
        <v>1.0422295217955568E-3</v>
      </c>
      <c r="G250" s="931">
        <f t="shared" ref="G250:G251" si="79">DAYS360(B250,C250)+1</f>
        <v>31</v>
      </c>
      <c r="H250" s="941">
        <f t="shared" ref="H250:H251" si="80">ROUND($C$186*G250*F250,2)</f>
        <v>4659330.47</v>
      </c>
    </row>
    <row r="251" spans="1:8" ht="13.5">
      <c r="A251">
        <v>60</v>
      </c>
      <c r="B251" s="724">
        <v>45017</v>
      </c>
      <c r="C251" s="724">
        <v>45046</v>
      </c>
      <c r="D251" s="897">
        <v>0.31390000000000001</v>
      </c>
      <c r="E251" s="897">
        <f t="shared" si="77"/>
        <v>0.47084999999999999</v>
      </c>
      <c r="F251" s="897">
        <f t="shared" si="78"/>
        <v>1.0576560884423269E-3</v>
      </c>
      <c r="G251" s="931">
        <f t="shared" si="79"/>
        <v>30</v>
      </c>
      <c r="H251" s="941">
        <f t="shared" si="80"/>
        <v>4575769.91</v>
      </c>
    </row>
    <row r="252" spans="1:8" ht="13.5">
      <c r="F252" s="2823" t="s">
        <v>1585</v>
      </c>
      <c r="G252" s="2823"/>
      <c r="H252" s="941">
        <f>SUM(H192:H251)</f>
        <v>162476023.65000004</v>
      </c>
    </row>
    <row r="254" spans="1:8" ht="13.5">
      <c r="B254" s="2591" t="s">
        <v>55</v>
      </c>
      <c r="C254" s="2591"/>
      <c r="D254" s="2591"/>
    </row>
    <row r="255" spans="1:8" ht="13.5">
      <c r="B255" s="2583" t="s">
        <v>1041</v>
      </c>
      <c r="C255" s="2584"/>
      <c r="D255" s="2091">
        <f>+C186</f>
        <v>144211020.33333334</v>
      </c>
    </row>
    <row r="256" spans="1:8" ht="13.5">
      <c r="B256" s="2583" t="s">
        <v>1042</v>
      </c>
      <c r="C256" s="2584"/>
      <c r="D256" s="1616">
        <f>+H252</f>
        <v>162476023.65000004</v>
      </c>
    </row>
    <row r="257" spans="2:4" ht="13.5">
      <c r="B257" s="2583" t="s">
        <v>1469</v>
      </c>
      <c r="C257" s="2584"/>
      <c r="D257" s="1616"/>
    </row>
    <row r="258" spans="2:4" ht="13.5">
      <c r="B258" s="741" t="s">
        <v>1043</v>
      </c>
      <c r="C258" s="741"/>
      <c r="D258" s="1616">
        <f>SUM(D255:D257)</f>
        <v>306687043.98333335</v>
      </c>
    </row>
  </sheetData>
  <mergeCells count="15">
    <mergeCell ref="B254:D254"/>
    <mergeCell ref="B255:C255"/>
    <mergeCell ref="B256:C256"/>
    <mergeCell ref="B257:C257"/>
    <mergeCell ref="H115:N115"/>
    <mergeCell ref="B190:H190"/>
    <mergeCell ref="F252:G252"/>
    <mergeCell ref="H138:N138"/>
    <mergeCell ref="H160:N160"/>
    <mergeCell ref="D191:E191"/>
    <mergeCell ref="H12:N12"/>
    <mergeCell ref="H25:N25"/>
    <mergeCell ref="H47:N47"/>
    <mergeCell ref="H70:N70"/>
    <mergeCell ref="H92:N92"/>
  </mergeCells>
  <pageMargins left="0.7" right="0.7" top="0.75" bottom="0.75" header="0.3" footer="0.3"/>
  <pageSetup paperSize="9" scale="54" orientation="portrait" r:id="rId1"/>
  <ignoredErrors>
    <ignoredError sqref="D40" formula="1"/>
    <ignoredError sqref="F94" evalError="1"/>
  </ignoredError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DC7B4-9850-474C-8413-44B766659016}">
  <sheetPr codeName="Hoja62"/>
  <dimension ref="A2:Q84"/>
  <sheetViews>
    <sheetView topLeftCell="A60" workbookViewId="0">
      <selection activeCell="G76" sqref="G76"/>
    </sheetView>
  </sheetViews>
  <sheetFormatPr defaultColWidth="9.140625" defaultRowHeight="12.75"/>
  <cols>
    <col min="1" max="1" width="3.85546875" style="217" customWidth="1"/>
    <col min="2" max="2" width="17.140625" style="217" customWidth="1"/>
    <col min="3" max="3" width="18.42578125" style="217" customWidth="1"/>
    <col min="4" max="4" width="14.28515625" style="217" bestFit="1" customWidth="1"/>
    <col min="5" max="6" width="11.42578125" style="217" customWidth="1"/>
    <col min="7" max="7" width="13.7109375" style="217" customWidth="1"/>
    <col min="8" max="8" width="11.7109375" style="217" customWidth="1"/>
    <col min="9" max="9" width="19.7109375" style="217" customWidth="1"/>
    <col min="10" max="11" width="17.42578125" style="217" bestFit="1" customWidth="1"/>
    <col min="12" max="12" width="23.5703125" style="217" customWidth="1"/>
    <col min="13" max="13" width="21.140625" style="217" customWidth="1"/>
    <col min="14" max="14" width="13.140625" style="217" customWidth="1"/>
    <col min="15" max="257" width="11.42578125" style="217" customWidth="1"/>
    <col min="258" max="16384" width="9.140625" style="217"/>
  </cols>
  <sheetData>
    <row r="2" spans="1:17" ht="24">
      <c r="B2" s="215" t="s">
        <v>1586</v>
      </c>
      <c r="C2" s="1599" t="s">
        <v>1587</v>
      </c>
    </row>
    <row r="3" spans="1:17">
      <c r="B3" s="219" t="s">
        <v>67</v>
      </c>
      <c r="C3" s="1600">
        <v>2244029376</v>
      </c>
    </row>
    <row r="4" spans="1:17">
      <c r="B4" s="219" t="s">
        <v>1588</v>
      </c>
      <c r="C4" s="1601">
        <v>43241</v>
      </c>
    </row>
    <row r="5" spans="1:17">
      <c r="B5" s="219" t="s">
        <v>1589</v>
      </c>
      <c r="C5" s="1599" t="s">
        <v>1590</v>
      </c>
      <c r="D5" s="1602"/>
    </row>
    <row r="6" spans="1:17" ht="25.5">
      <c r="B6" s="1719" t="s">
        <v>291</v>
      </c>
      <c r="C6" s="2132" t="s">
        <v>1591</v>
      </c>
    </row>
    <row r="7" spans="1:17" ht="25.5">
      <c r="B7" s="1583" t="s">
        <v>918</v>
      </c>
      <c r="C7" s="2137">
        <v>43425</v>
      </c>
    </row>
    <row r="8" spans="1:17">
      <c r="B8" s="219" t="s">
        <v>295</v>
      </c>
      <c r="C8" s="2031">
        <v>44348</v>
      </c>
      <c r="D8" s="221"/>
      <c r="K8" s="217" t="s">
        <v>367</v>
      </c>
      <c r="L8" s="1527">
        <v>44385</v>
      </c>
      <c r="M8" s="221" t="s">
        <v>1592</v>
      </c>
    </row>
    <row r="9" spans="1:17" ht="36">
      <c r="B9" s="1603" t="s">
        <v>1593</v>
      </c>
      <c r="K9" s="1604" t="s">
        <v>1594</v>
      </c>
    </row>
    <row r="10" spans="1:17">
      <c r="B10" s="216" t="s">
        <v>143</v>
      </c>
      <c r="C10" s="216"/>
      <c r="D10" s="1718">
        <v>24664</v>
      </c>
      <c r="E10" s="216"/>
    </row>
    <row r="11" spans="1:17" ht="25.5">
      <c r="B11" s="216" t="s">
        <v>145</v>
      </c>
      <c r="C11" s="216"/>
      <c r="D11" s="1547" t="s">
        <v>1595</v>
      </c>
      <c r="E11" s="216">
        <v>99.16</v>
      </c>
    </row>
    <row r="12" spans="1:17" ht="25.5">
      <c r="B12" s="216"/>
      <c r="C12" s="1605">
        <f>D10*E14</f>
        <v>41166.171351624311</v>
      </c>
      <c r="D12" s="1547" t="s">
        <v>1596</v>
      </c>
      <c r="E12" s="1606">
        <v>59.41</v>
      </c>
    </row>
    <row r="13" spans="1:17">
      <c r="B13" s="216"/>
      <c r="C13" s="1608"/>
      <c r="D13" s="1547"/>
      <c r="E13" s="1607"/>
    </row>
    <row r="14" spans="1:17">
      <c r="B14" s="219"/>
      <c r="C14" s="251"/>
      <c r="D14" s="216" t="s">
        <v>76</v>
      </c>
      <c r="E14" s="216">
        <f>+E11/E12</f>
        <v>1.669079279582562</v>
      </c>
    </row>
    <row r="15" spans="1:17">
      <c r="B15" s="2524"/>
      <c r="C15" s="2525"/>
      <c r="D15" s="2526"/>
      <c r="E15" s="2526"/>
    </row>
    <row r="16" spans="1:17" ht="13.5">
      <c r="A16" s="686"/>
      <c r="B16" s="2824" t="s">
        <v>160</v>
      </c>
      <c r="C16" s="2824"/>
      <c r="D16" s="2824"/>
      <c r="E16" s="2824"/>
      <c r="F16" s="2824"/>
      <c r="G16" s="2824"/>
      <c r="H16" s="2824"/>
      <c r="I16" s="2824"/>
      <c r="J16" s="686"/>
      <c r="K16" s="686"/>
      <c r="L16" s="686"/>
      <c r="M16" s="686"/>
      <c r="N16" s="686"/>
      <c r="O16" s="686"/>
      <c r="P16" s="686"/>
      <c r="Q16" s="686"/>
    </row>
    <row r="17" spans="1:17" ht="13.5">
      <c r="A17" s="686"/>
      <c r="B17" s="699" t="s">
        <v>337</v>
      </c>
      <c r="C17" s="2029" t="s">
        <v>1597</v>
      </c>
      <c r="D17" s="2029" t="s">
        <v>148</v>
      </c>
      <c r="E17" s="2093" t="s">
        <v>149</v>
      </c>
      <c r="F17" s="2030" t="s">
        <v>43</v>
      </c>
      <c r="G17" s="2030" t="s">
        <v>129</v>
      </c>
      <c r="H17" s="2030" t="s">
        <v>86</v>
      </c>
      <c r="I17" s="2030" t="s">
        <v>48</v>
      </c>
      <c r="J17" s="686"/>
      <c r="K17" s="686"/>
      <c r="L17" s="686"/>
      <c r="M17" s="686"/>
      <c r="N17" s="686"/>
      <c r="O17" s="686"/>
      <c r="P17" s="686"/>
      <c r="Q17" s="686"/>
    </row>
    <row r="18" spans="1:17">
      <c r="A18" s="702">
        <v>1</v>
      </c>
      <c r="B18" s="2031">
        <v>43242</v>
      </c>
      <c r="C18" s="2031">
        <v>43251</v>
      </c>
      <c r="D18" s="1920">
        <v>0.2044</v>
      </c>
      <c r="E18" s="1920">
        <f t="shared" ref="E18:E62" si="0">+D18*1.5</f>
        <v>0.30659999999999998</v>
      </c>
      <c r="F18" s="2094">
        <f t="shared" ref="F18:F62" si="1">((1+E18)^(1/365)-1)</f>
        <v>7.3294886878794152E-4</v>
      </c>
      <c r="G18" s="704">
        <f>+M27</f>
        <v>2974655617.4543009</v>
      </c>
      <c r="H18" s="706">
        <f t="shared" ref="H18:H62" si="2">+_xlfn.DAYS(C18,B18)+1</f>
        <v>10</v>
      </c>
      <c r="I18" s="2095">
        <f t="shared" ref="I18:I62" si="3">(F18*G18)*H18</f>
        <v>21802704.698468257</v>
      </c>
      <c r="J18" s="686"/>
      <c r="K18" s="686"/>
      <c r="L18" s="686"/>
      <c r="M18" s="686"/>
      <c r="N18" s="686"/>
      <c r="O18" s="686"/>
      <c r="P18" s="686"/>
      <c r="Q18" s="686"/>
    </row>
    <row r="19" spans="1:17">
      <c r="A19" s="702">
        <v>2</v>
      </c>
      <c r="B19" s="2031">
        <v>43252</v>
      </c>
      <c r="C19" s="1629">
        <v>43281</v>
      </c>
      <c r="D19" s="1920">
        <v>0.20280000000000001</v>
      </c>
      <c r="E19" s="1920">
        <f t="shared" si="0"/>
        <v>0.30420000000000003</v>
      </c>
      <c r="F19" s="2094">
        <f t="shared" si="1"/>
        <v>7.2790815549184096E-4</v>
      </c>
      <c r="G19" s="704">
        <f t="shared" ref="G19:G78" si="4">+$M$27</f>
        <v>2974655617.4543009</v>
      </c>
      <c r="H19" s="706">
        <f t="shared" si="2"/>
        <v>30</v>
      </c>
      <c r="I19" s="2095">
        <f t="shared" si="3"/>
        <v>64958282.511738107</v>
      </c>
      <c r="J19" s="686"/>
      <c r="K19" s="686"/>
      <c r="L19" s="686"/>
      <c r="M19" s="686"/>
      <c r="N19" s="686" t="s">
        <v>1598</v>
      </c>
      <c r="O19" s="686"/>
      <c r="P19" s="686"/>
      <c r="Q19" s="686"/>
    </row>
    <row r="20" spans="1:17" ht="12" customHeight="1">
      <c r="A20" s="702">
        <v>3</v>
      </c>
      <c r="B20" s="2031">
        <v>43282</v>
      </c>
      <c r="C20" s="2031">
        <v>43312</v>
      </c>
      <c r="D20" s="1920">
        <v>0.20030000000000001</v>
      </c>
      <c r="E20" s="1920">
        <f t="shared" si="0"/>
        <v>0.30044999999999999</v>
      </c>
      <c r="F20" s="2094">
        <f t="shared" si="1"/>
        <v>7.2001349197825526E-4</v>
      </c>
      <c r="G20" s="704">
        <f t="shared" si="4"/>
        <v>2974655617.4543009</v>
      </c>
      <c r="H20" s="706">
        <f t="shared" si="2"/>
        <v>31</v>
      </c>
      <c r="I20" s="2095">
        <f t="shared" si="3"/>
        <v>66395557.535236128</v>
      </c>
      <c r="J20" s="686"/>
      <c r="K20" s="686"/>
      <c r="L20" s="718">
        <v>15230</v>
      </c>
      <c r="M20" s="718">
        <v>106610000</v>
      </c>
      <c r="N20" s="718">
        <f>+M20/L20</f>
        <v>7000</v>
      </c>
      <c r="O20" s="686" t="s">
        <v>1599</v>
      </c>
      <c r="P20" s="718">
        <v>24664</v>
      </c>
      <c r="Q20" s="686" t="s">
        <v>1600</v>
      </c>
    </row>
    <row r="21" spans="1:17" ht="12.75" customHeight="1">
      <c r="A21" s="702">
        <v>4</v>
      </c>
      <c r="B21" s="2031">
        <v>43313</v>
      </c>
      <c r="C21" s="2031">
        <v>43343</v>
      </c>
      <c r="D21" s="1920">
        <v>0.19939999999999999</v>
      </c>
      <c r="E21" s="1920">
        <f t="shared" si="0"/>
        <v>0.29909999999999998</v>
      </c>
      <c r="F21" s="2094">
        <f t="shared" si="1"/>
        <v>7.1716585429704161E-4</v>
      </c>
      <c r="G21" s="704">
        <f t="shared" si="4"/>
        <v>2974655617.4543009</v>
      </c>
      <c r="H21" s="706">
        <f t="shared" si="2"/>
        <v>31</v>
      </c>
      <c r="I21" s="2095">
        <f t="shared" si="3"/>
        <v>66132964.551064327</v>
      </c>
      <c r="J21" s="686"/>
      <c r="K21" s="686"/>
      <c r="L21" s="718">
        <v>21530</v>
      </c>
      <c r="M21" s="718">
        <v>215300000</v>
      </c>
      <c r="N21" s="718">
        <f>+M21/L21</f>
        <v>10000</v>
      </c>
      <c r="O21" s="686"/>
      <c r="P21" s="718">
        <f>+C12</f>
        <v>41166.171351624311</v>
      </c>
      <c r="Q21" s="686" t="s">
        <v>1601</v>
      </c>
    </row>
    <row r="22" spans="1:17">
      <c r="A22" s="702">
        <v>5</v>
      </c>
      <c r="B22" s="2031">
        <v>43344</v>
      </c>
      <c r="C22" s="1629">
        <v>43373</v>
      </c>
      <c r="D22" s="1920">
        <v>0.1981</v>
      </c>
      <c r="E22" s="1920">
        <f t="shared" si="0"/>
        <v>0.29715000000000003</v>
      </c>
      <c r="F22" s="2094">
        <f t="shared" si="1"/>
        <v>7.1304738558919389E-4</v>
      </c>
      <c r="G22" s="704">
        <f t="shared" si="4"/>
        <v>2974655617.4543009</v>
      </c>
      <c r="H22" s="706">
        <f t="shared" si="2"/>
        <v>30</v>
      </c>
      <c r="I22" s="2095">
        <f t="shared" si="3"/>
        <v>63632112.331619948</v>
      </c>
      <c r="J22" s="686"/>
      <c r="K22" s="686"/>
      <c r="L22" s="718">
        <v>13058</v>
      </c>
      <c r="M22" s="718">
        <v>130580000</v>
      </c>
      <c r="N22" s="718">
        <f>+M23/L23</f>
        <v>10000</v>
      </c>
      <c r="O22" s="686"/>
      <c r="P22" s="686"/>
      <c r="Q22" s="686"/>
    </row>
    <row r="23" spans="1:17" ht="13.5" thickBot="1">
      <c r="A23" s="702">
        <v>6</v>
      </c>
      <c r="B23" s="2031">
        <v>43374</v>
      </c>
      <c r="C23" s="2031">
        <v>43404</v>
      </c>
      <c r="D23" s="1920">
        <v>0.1963</v>
      </c>
      <c r="E23" s="1920">
        <f t="shared" si="0"/>
        <v>0.29444999999999999</v>
      </c>
      <c r="F23" s="2094">
        <f t="shared" si="1"/>
        <v>7.073346857742191E-4</v>
      </c>
      <c r="G23" s="704">
        <f t="shared" si="4"/>
        <v>2974655617.4543009</v>
      </c>
      <c r="H23" s="706">
        <f t="shared" si="2"/>
        <v>31</v>
      </c>
      <c r="I23" s="2095">
        <f t="shared" si="3"/>
        <v>65226389.990215167</v>
      </c>
      <c r="J23" s="686"/>
      <c r="K23" s="686"/>
      <c r="L23" s="2096">
        <v>44161</v>
      </c>
      <c r="M23" s="2096">
        <v>441610000</v>
      </c>
      <c r="N23" s="718"/>
      <c r="O23" s="686"/>
      <c r="P23" s="686"/>
      <c r="Q23" s="686"/>
    </row>
    <row r="24" spans="1:17">
      <c r="A24" s="702">
        <v>7</v>
      </c>
      <c r="B24" s="2031">
        <v>43405</v>
      </c>
      <c r="C24" s="2031">
        <v>43434</v>
      </c>
      <c r="D24" s="1920">
        <v>0.19489999999999999</v>
      </c>
      <c r="E24" s="1920">
        <f t="shared" si="0"/>
        <v>0.29235</v>
      </c>
      <c r="F24" s="2094">
        <f t="shared" si="1"/>
        <v>7.0288325333756063E-4</v>
      </c>
      <c r="G24" s="704">
        <f t="shared" si="4"/>
        <v>2974655617.4543009</v>
      </c>
      <c r="H24" s="706">
        <f t="shared" si="2"/>
        <v>30</v>
      </c>
      <c r="I24" s="2095">
        <f t="shared" si="3"/>
        <v>62725068.538653873</v>
      </c>
      <c r="J24" s="686"/>
      <c r="K24" s="686" t="s">
        <v>1602</v>
      </c>
      <c r="L24" s="718">
        <f>SUM(L20:L23)</f>
        <v>93979</v>
      </c>
      <c r="M24" s="718">
        <f>SUM(M20:M23)</f>
        <v>894100000</v>
      </c>
      <c r="N24" s="718" t="s">
        <v>1603</v>
      </c>
      <c r="O24" s="686"/>
      <c r="P24" s="686"/>
      <c r="Q24" s="686"/>
    </row>
    <row r="25" spans="1:17">
      <c r="A25" s="702">
        <v>8</v>
      </c>
      <c r="B25" s="2031">
        <v>43435</v>
      </c>
      <c r="C25" s="1629">
        <v>43465</v>
      </c>
      <c r="D25" s="1920">
        <v>0.19400000000000001</v>
      </c>
      <c r="E25" s="1920">
        <f t="shared" si="0"/>
        <v>0.29100000000000004</v>
      </c>
      <c r="F25" s="2094">
        <f t="shared" si="1"/>
        <v>7.0001780740103214E-4</v>
      </c>
      <c r="G25" s="704">
        <f t="shared" si="4"/>
        <v>2974655617.4543009</v>
      </c>
      <c r="H25" s="706">
        <f t="shared" si="2"/>
        <v>31</v>
      </c>
      <c r="I25" s="2095">
        <f t="shared" si="3"/>
        <v>64551668.996209219</v>
      </c>
      <c r="J25" s="686"/>
      <c r="K25" s="686"/>
      <c r="L25" s="686"/>
      <c r="M25" s="718"/>
      <c r="N25" s="718"/>
      <c r="O25" s="686"/>
      <c r="P25" s="686"/>
      <c r="Q25" s="686"/>
    </row>
    <row r="26" spans="1:17" ht="13.5" thickBot="1">
      <c r="A26" s="702">
        <v>9</v>
      </c>
      <c r="B26" s="2031">
        <v>43466</v>
      </c>
      <c r="C26" s="2031">
        <v>43496</v>
      </c>
      <c r="D26" s="1920">
        <v>0.19159999999999999</v>
      </c>
      <c r="E26" s="1920">
        <f t="shared" si="0"/>
        <v>0.28739999999999999</v>
      </c>
      <c r="F26" s="2094">
        <f t="shared" si="1"/>
        <v>6.9236198468725085E-4</v>
      </c>
      <c r="G26" s="704">
        <f t="shared" si="4"/>
        <v>2974655617.4543009</v>
      </c>
      <c r="H26" s="706">
        <f t="shared" si="2"/>
        <v>31</v>
      </c>
      <c r="I26" s="2095">
        <f t="shared" si="3"/>
        <v>63845692.478913918</v>
      </c>
      <c r="J26" s="686"/>
      <c r="K26" s="686"/>
      <c r="L26" s="686" t="s">
        <v>1604</v>
      </c>
      <c r="M26" s="718">
        <f>+L24*P21</f>
        <v>3868755617.4543009</v>
      </c>
      <c r="N26" s="686"/>
      <c r="O26" s="686"/>
      <c r="P26" s="686"/>
      <c r="Q26" s="686"/>
    </row>
    <row r="27" spans="1:17" ht="13.5" thickBot="1">
      <c r="A27" s="702">
        <v>10</v>
      </c>
      <c r="B27" s="2031">
        <v>43497</v>
      </c>
      <c r="C27" s="2031">
        <v>43524</v>
      </c>
      <c r="D27" s="1920">
        <v>0.19700000000000001</v>
      </c>
      <c r="E27" s="1920">
        <f t="shared" si="0"/>
        <v>0.29549999999999998</v>
      </c>
      <c r="F27" s="2094">
        <f t="shared" si="1"/>
        <v>7.0955770203506852E-4</v>
      </c>
      <c r="G27" s="704">
        <f t="shared" si="4"/>
        <v>2974655617.4543009</v>
      </c>
      <c r="H27" s="706">
        <f t="shared" si="2"/>
        <v>28</v>
      </c>
      <c r="I27" s="2095">
        <f t="shared" si="3"/>
        <v>59099314.519464292</v>
      </c>
      <c r="J27" s="686"/>
      <c r="K27" s="686"/>
      <c r="L27" s="2097" t="s">
        <v>1605</v>
      </c>
      <c r="M27" s="2098">
        <f>+M26-M24</f>
        <v>2974655617.4543009</v>
      </c>
      <c r="N27" s="2099"/>
      <c r="O27" s="686"/>
      <c r="P27" s="686"/>
      <c r="Q27" s="686"/>
    </row>
    <row r="28" spans="1:17">
      <c r="A28" s="702">
        <v>11</v>
      </c>
      <c r="B28" s="2031">
        <v>43525</v>
      </c>
      <c r="C28" s="1629">
        <v>43555</v>
      </c>
      <c r="D28" s="1920">
        <v>0.19370000000000001</v>
      </c>
      <c r="E28" s="1920">
        <f t="shared" si="0"/>
        <v>0.29055000000000003</v>
      </c>
      <c r="F28" s="2094">
        <f t="shared" si="1"/>
        <v>6.9906199467517638E-4</v>
      </c>
      <c r="G28" s="704">
        <f t="shared" si="4"/>
        <v>2974655617.4543009</v>
      </c>
      <c r="H28" s="706">
        <f t="shared" si="2"/>
        <v>31</v>
      </c>
      <c r="I28" s="2095">
        <f t="shared" si="3"/>
        <v>64463529.371688977</v>
      </c>
      <c r="J28" s="686"/>
      <c r="K28" s="686"/>
      <c r="L28" s="686"/>
      <c r="M28" s="686"/>
      <c r="N28" s="686"/>
      <c r="O28" s="686"/>
      <c r="P28" s="686"/>
      <c r="Q28" s="686"/>
    </row>
    <row r="29" spans="1:17">
      <c r="A29" s="702">
        <v>12</v>
      </c>
      <c r="B29" s="2031">
        <v>43556</v>
      </c>
      <c r="C29" s="2031">
        <v>43585</v>
      </c>
      <c r="D29" s="1920">
        <v>0.19320000000000001</v>
      </c>
      <c r="E29" s="1920">
        <f t="shared" si="0"/>
        <v>0.2898</v>
      </c>
      <c r="F29" s="2094">
        <f t="shared" si="1"/>
        <v>6.9746823462724095E-4</v>
      </c>
      <c r="G29" s="704">
        <f t="shared" si="4"/>
        <v>2974655617.4543009</v>
      </c>
      <c r="H29" s="706">
        <f t="shared" si="2"/>
        <v>30</v>
      </c>
      <c r="I29" s="2095">
        <f t="shared" si="3"/>
        <v>62241834.063895695</v>
      </c>
      <c r="J29" s="686"/>
      <c r="K29" s="686"/>
      <c r="L29" s="686"/>
      <c r="M29" s="686"/>
      <c r="N29" s="686"/>
      <c r="O29" s="686"/>
      <c r="P29" s="686"/>
      <c r="Q29" s="686"/>
    </row>
    <row r="30" spans="1:17">
      <c r="A30" s="702">
        <v>13</v>
      </c>
      <c r="B30" s="2031">
        <v>43586</v>
      </c>
      <c r="C30" s="2031">
        <v>43616</v>
      </c>
      <c r="D30" s="1920">
        <v>0.19339999999999999</v>
      </c>
      <c r="E30" s="1920">
        <f t="shared" si="0"/>
        <v>0.29009999999999997</v>
      </c>
      <c r="F30" s="2094">
        <f t="shared" si="1"/>
        <v>6.9810584952367805E-4</v>
      </c>
      <c r="G30" s="704">
        <f t="shared" si="4"/>
        <v>2974655617.4543009</v>
      </c>
      <c r="H30" s="706">
        <f t="shared" si="2"/>
        <v>31</v>
      </c>
      <c r="I30" s="2095">
        <f t="shared" si="3"/>
        <v>64375359.092762791</v>
      </c>
      <c r="J30" s="686"/>
      <c r="K30" s="686"/>
      <c r="L30" s="686"/>
      <c r="M30" s="686"/>
      <c r="N30" s="686"/>
      <c r="O30" s="686"/>
      <c r="P30" s="686"/>
      <c r="Q30" s="686"/>
    </row>
    <row r="31" spans="1:17">
      <c r="A31" s="702">
        <v>14</v>
      </c>
      <c r="B31" s="2031">
        <v>43617</v>
      </c>
      <c r="C31" s="1629">
        <v>43646</v>
      </c>
      <c r="D31" s="1920">
        <v>0.193</v>
      </c>
      <c r="E31" s="1920">
        <f t="shared" si="0"/>
        <v>0.28949999999999998</v>
      </c>
      <c r="F31" s="2094">
        <f t="shared" si="1"/>
        <v>6.9683047181468005E-4</v>
      </c>
      <c r="G31" s="704">
        <f t="shared" si="4"/>
        <v>2974655617.4543009</v>
      </c>
      <c r="H31" s="706">
        <f t="shared" si="2"/>
        <v>30</v>
      </c>
      <c r="I31" s="2095">
        <f t="shared" si="3"/>
        <v>62184920.321906067</v>
      </c>
      <c r="J31" s="686"/>
      <c r="K31" s="686"/>
      <c r="L31" s="686"/>
      <c r="M31" s="686"/>
      <c r="N31" s="686"/>
      <c r="O31" s="686"/>
      <c r="P31" s="686"/>
      <c r="Q31" s="686"/>
    </row>
    <row r="32" spans="1:17">
      <c r="A32" s="702">
        <v>15</v>
      </c>
      <c r="B32" s="2031">
        <v>43647</v>
      </c>
      <c r="C32" s="2031">
        <v>43677</v>
      </c>
      <c r="D32" s="1920">
        <v>0.1928</v>
      </c>
      <c r="E32" s="1920">
        <f t="shared" si="0"/>
        <v>0.28920000000000001</v>
      </c>
      <c r="F32" s="2094">
        <f t="shared" si="1"/>
        <v>6.9619256101671745E-4</v>
      </c>
      <c r="G32" s="704">
        <f t="shared" si="4"/>
        <v>2974655617.4543009</v>
      </c>
      <c r="H32" s="706">
        <f t="shared" si="2"/>
        <v>31</v>
      </c>
      <c r="I32" s="2095">
        <f t="shared" si="3"/>
        <v>64198926.486206517</v>
      </c>
      <c r="J32" s="686"/>
      <c r="K32" s="686"/>
      <c r="L32" s="686"/>
      <c r="M32" s="686"/>
      <c r="N32" s="686"/>
      <c r="O32" s="686"/>
      <c r="P32" s="686"/>
      <c r="Q32" s="686"/>
    </row>
    <row r="33" spans="1:17">
      <c r="A33" s="702">
        <v>16</v>
      </c>
      <c r="B33" s="2031">
        <v>43678</v>
      </c>
      <c r="C33" s="2031">
        <v>43708</v>
      </c>
      <c r="D33" s="1920">
        <v>0.19320000000000001</v>
      </c>
      <c r="E33" s="1920">
        <f t="shared" si="0"/>
        <v>0.2898</v>
      </c>
      <c r="F33" s="2094">
        <f t="shared" si="1"/>
        <v>6.9746823462724095E-4</v>
      </c>
      <c r="G33" s="704">
        <f t="shared" si="4"/>
        <v>2974655617.4543009</v>
      </c>
      <c r="H33" s="706">
        <f t="shared" si="2"/>
        <v>31</v>
      </c>
      <c r="I33" s="2095">
        <f t="shared" si="3"/>
        <v>64316561.866025552</v>
      </c>
      <c r="J33" s="686"/>
      <c r="K33" s="686"/>
      <c r="L33" s="686"/>
      <c r="M33" s="686"/>
      <c r="N33" s="686"/>
      <c r="O33" s="686"/>
      <c r="P33" s="686"/>
      <c r="Q33" s="686"/>
    </row>
    <row r="34" spans="1:17">
      <c r="A34" s="702">
        <v>17</v>
      </c>
      <c r="B34" s="2031">
        <v>43709</v>
      </c>
      <c r="C34" s="1629">
        <v>43738</v>
      </c>
      <c r="D34" s="1920">
        <v>0.19320000000000001</v>
      </c>
      <c r="E34" s="1920">
        <f t="shared" si="0"/>
        <v>0.2898</v>
      </c>
      <c r="F34" s="2094">
        <f t="shared" si="1"/>
        <v>6.9746823462724095E-4</v>
      </c>
      <c r="G34" s="704">
        <f t="shared" si="4"/>
        <v>2974655617.4543009</v>
      </c>
      <c r="H34" s="706">
        <f t="shared" si="2"/>
        <v>30</v>
      </c>
      <c r="I34" s="2095">
        <f t="shared" si="3"/>
        <v>62241834.063895695</v>
      </c>
      <c r="J34" s="686"/>
      <c r="K34" s="686"/>
      <c r="L34" s="686"/>
      <c r="M34" s="686"/>
      <c r="N34" s="686"/>
      <c r="O34" s="686"/>
      <c r="P34" s="686"/>
      <c r="Q34" s="686"/>
    </row>
    <row r="35" spans="1:17">
      <c r="A35" s="702">
        <v>18</v>
      </c>
      <c r="B35" s="2031">
        <v>43739</v>
      </c>
      <c r="C35" s="2031">
        <v>43769</v>
      </c>
      <c r="D35" s="1920">
        <v>0.191</v>
      </c>
      <c r="E35" s="1920">
        <f t="shared" si="0"/>
        <v>0.28649999999999998</v>
      </c>
      <c r="F35" s="2094">
        <f t="shared" si="1"/>
        <v>6.9044469314105683E-4</v>
      </c>
      <c r="G35" s="704">
        <f t="shared" si="4"/>
        <v>2974655617.4543009</v>
      </c>
      <c r="H35" s="706">
        <f t="shared" si="2"/>
        <v>31</v>
      </c>
      <c r="I35" s="2095">
        <f t="shared" si="3"/>
        <v>63668890.734800227</v>
      </c>
      <c r="J35" s="686"/>
      <c r="K35" s="686"/>
      <c r="L35" s="686"/>
      <c r="M35" s="686"/>
      <c r="N35" s="686"/>
      <c r="O35" s="686"/>
      <c r="P35" s="686"/>
      <c r="Q35" s="686"/>
    </row>
    <row r="36" spans="1:17">
      <c r="A36" s="702">
        <v>19</v>
      </c>
      <c r="B36" s="2031">
        <v>43770</v>
      </c>
      <c r="C36" s="2031">
        <v>43799</v>
      </c>
      <c r="D36" s="1920">
        <v>0.1903</v>
      </c>
      <c r="E36" s="1920">
        <f t="shared" si="0"/>
        <v>0.28544999999999998</v>
      </c>
      <c r="F36" s="2094">
        <f t="shared" si="1"/>
        <v>6.8820616169262827E-4</v>
      </c>
      <c r="G36" s="704">
        <f t="shared" si="4"/>
        <v>2974655617.4543009</v>
      </c>
      <c r="H36" s="706">
        <f t="shared" si="2"/>
        <v>30</v>
      </c>
      <c r="I36" s="2095">
        <f t="shared" si="3"/>
        <v>61415289.745369188</v>
      </c>
      <c r="J36" s="686"/>
      <c r="K36" s="686"/>
      <c r="L36" s="686"/>
      <c r="M36" s="686"/>
      <c r="N36" s="686"/>
      <c r="O36" s="686"/>
      <c r="P36" s="686"/>
      <c r="Q36" s="686"/>
    </row>
    <row r="37" spans="1:17">
      <c r="A37" s="702">
        <v>20</v>
      </c>
      <c r="B37" s="2031">
        <v>43800</v>
      </c>
      <c r="C37" s="1629">
        <v>43830</v>
      </c>
      <c r="D37" s="1920">
        <v>0.18909999999999999</v>
      </c>
      <c r="E37" s="1920">
        <f t="shared" si="0"/>
        <v>0.28364999999999996</v>
      </c>
      <c r="F37" s="2094">
        <f t="shared" si="1"/>
        <v>6.8436443340047504E-4</v>
      </c>
      <c r="G37" s="704">
        <f t="shared" si="4"/>
        <v>2974655617.4543009</v>
      </c>
      <c r="H37" s="706">
        <f t="shared" si="2"/>
        <v>31</v>
      </c>
      <c r="I37" s="2095">
        <f t="shared" si="3"/>
        <v>63108203.692220233</v>
      </c>
      <c r="J37" s="686"/>
      <c r="K37" s="686"/>
      <c r="L37" s="686"/>
      <c r="M37" s="686"/>
      <c r="N37" s="686"/>
      <c r="O37" s="686"/>
      <c r="P37" s="686"/>
      <c r="Q37" s="686"/>
    </row>
    <row r="38" spans="1:17">
      <c r="A38" s="702">
        <v>21</v>
      </c>
      <c r="B38" s="2031">
        <v>43831</v>
      </c>
      <c r="C38" s="2031">
        <v>43861</v>
      </c>
      <c r="D38" s="1920">
        <v>0.18770000000000001</v>
      </c>
      <c r="E38" s="1920">
        <f t="shared" si="0"/>
        <v>0.28155000000000002</v>
      </c>
      <c r="F38" s="2094">
        <f t="shared" si="1"/>
        <v>6.7987562124560696E-4</v>
      </c>
      <c r="G38" s="704">
        <f t="shared" si="4"/>
        <v>2974655617.4543009</v>
      </c>
      <c r="H38" s="706">
        <f t="shared" si="2"/>
        <v>31</v>
      </c>
      <c r="I38" s="2095">
        <f t="shared" si="3"/>
        <v>62694270.913162798</v>
      </c>
      <c r="J38" s="686"/>
      <c r="K38" s="686"/>
      <c r="L38" s="686"/>
      <c r="M38" s="686"/>
      <c r="N38" s="686"/>
      <c r="O38" s="686"/>
      <c r="P38" s="686"/>
      <c r="Q38" s="686"/>
    </row>
    <row r="39" spans="1:17">
      <c r="A39" s="702">
        <v>22</v>
      </c>
      <c r="B39" s="2031">
        <v>43862</v>
      </c>
      <c r="C39" s="2031">
        <v>43890</v>
      </c>
      <c r="D39" s="1920">
        <v>0.19059999999999999</v>
      </c>
      <c r="E39" s="1920">
        <f t="shared" si="0"/>
        <v>0.28589999999999999</v>
      </c>
      <c r="F39" s="2094">
        <f t="shared" si="1"/>
        <v>6.8916575551658532E-4</v>
      </c>
      <c r="G39" s="704">
        <f t="shared" si="4"/>
        <v>2974655617.4543009</v>
      </c>
      <c r="H39" s="706">
        <f t="shared" si="2"/>
        <v>29</v>
      </c>
      <c r="I39" s="2095">
        <f t="shared" si="3"/>
        <v>59450892.79413189</v>
      </c>
      <c r="J39" s="686"/>
      <c r="K39" s="686"/>
      <c r="L39" s="686"/>
      <c r="M39" s="686"/>
      <c r="N39" s="686"/>
      <c r="O39" s="686"/>
      <c r="P39" s="686"/>
      <c r="Q39" s="686"/>
    </row>
    <row r="40" spans="1:17">
      <c r="A40" s="702">
        <v>23</v>
      </c>
      <c r="B40" s="2031">
        <v>43891</v>
      </c>
      <c r="C40" s="1629">
        <v>43921</v>
      </c>
      <c r="D40" s="1920">
        <v>0.1895</v>
      </c>
      <c r="E40" s="1920">
        <f t="shared" si="0"/>
        <v>0.28425</v>
      </c>
      <c r="F40" s="2094">
        <f t="shared" si="1"/>
        <v>6.8564560609574166E-4</v>
      </c>
      <c r="G40" s="704">
        <f t="shared" si="4"/>
        <v>2974655617.4543009</v>
      </c>
      <c r="H40" s="706">
        <f t="shared" si="2"/>
        <v>31</v>
      </c>
      <c r="I40" s="2095">
        <f t="shared" si="3"/>
        <v>63226346.166422255</v>
      </c>
      <c r="J40" s="686"/>
      <c r="K40" s="686"/>
      <c r="L40" s="686"/>
      <c r="M40" s="686"/>
      <c r="N40" s="686"/>
      <c r="O40" s="686"/>
      <c r="P40" s="686"/>
      <c r="Q40" s="686"/>
    </row>
    <row r="41" spans="1:17">
      <c r="A41" s="702">
        <v>24</v>
      </c>
      <c r="B41" s="2031">
        <v>43922</v>
      </c>
      <c r="C41" s="2031">
        <v>43951</v>
      </c>
      <c r="D41" s="1920">
        <v>0.18690000000000001</v>
      </c>
      <c r="E41" s="1920">
        <f t="shared" si="0"/>
        <v>0.28034999999999999</v>
      </c>
      <c r="F41" s="2094">
        <f t="shared" si="1"/>
        <v>6.7730729113191224E-4</v>
      </c>
      <c r="G41" s="704">
        <f t="shared" si="4"/>
        <v>2974655617.4543009</v>
      </c>
      <c r="H41" s="706">
        <f t="shared" si="2"/>
        <v>30</v>
      </c>
      <c r="I41" s="2095">
        <f t="shared" si="3"/>
        <v>60442678.14924895</v>
      </c>
      <c r="J41" s="686"/>
      <c r="K41" s="686"/>
      <c r="L41" s="686"/>
      <c r="M41" s="686"/>
      <c r="N41" s="686"/>
      <c r="O41" s="686"/>
      <c r="P41" s="686"/>
      <c r="Q41" s="686"/>
    </row>
    <row r="42" spans="1:17">
      <c r="A42" s="702">
        <v>25</v>
      </c>
      <c r="B42" s="2031">
        <v>43952</v>
      </c>
      <c r="C42" s="2031">
        <v>43982</v>
      </c>
      <c r="D42" s="1920">
        <v>0.18190000000000001</v>
      </c>
      <c r="E42" s="1920">
        <f t="shared" si="0"/>
        <v>0.27285000000000004</v>
      </c>
      <c r="F42" s="2094">
        <f t="shared" si="1"/>
        <v>6.6120063584418354E-4</v>
      </c>
      <c r="G42" s="704">
        <f t="shared" si="4"/>
        <v>2974655617.4543009</v>
      </c>
      <c r="H42" s="706">
        <f t="shared" si="2"/>
        <v>31</v>
      </c>
      <c r="I42" s="2095">
        <f t="shared" si="3"/>
        <v>60972169.75602594</v>
      </c>
      <c r="J42" s="686"/>
      <c r="K42" s="686"/>
      <c r="L42" s="686"/>
      <c r="M42" s="686"/>
      <c r="N42" s="686"/>
      <c r="O42" s="686"/>
      <c r="P42" s="686"/>
      <c r="Q42" s="686"/>
    </row>
    <row r="43" spans="1:17">
      <c r="A43" s="702">
        <v>26</v>
      </c>
      <c r="B43" s="2031">
        <v>43983</v>
      </c>
      <c r="C43" s="1629">
        <v>44012</v>
      </c>
      <c r="D43" s="1920">
        <v>0.1812</v>
      </c>
      <c r="E43" s="1920">
        <f t="shared" si="0"/>
        <v>0.27179999999999999</v>
      </c>
      <c r="F43" s="2094">
        <f t="shared" si="1"/>
        <v>6.5893815469997286E-4</v>
      </c>
      <c r="G43" s="704">
        <f t="shared" si="4"/>
        <v>2974655617.4543009</v>
      </c>
      <c r="H43" s="706">
        <f t="shared" si="2"/>
        <v>30</v>
      </c>
      <c r="I43" s="2095">
        <f t="shared" si="3"/>
        <v>58803422.502997361</v>
      </c>
      <c r="J43" s="686"/>
      <c r="K43" s="686"/>
      <c r="L43" s="686"/>
      <c r="M43" s="686"/>
      <c r="N43" s="686"/>
      <c r="O43" s="686"/>
      <c r="P43" s="686"/>
      <c r="Q43" s="686"/>
    </row>
    <row r="44" spans="1:17">
      <c r="A44" s="702">
        <v>27</v>
      </c>
      <c r="B44" s="2031">
        <v>44013</v>
      </c>
      <c r="C44" s="2031">
        <v>44043</v>
      </c>
      <c r="D44" s="1920">
        <v>0.1812</v>
      </c>
      <c r="E44" s="1920">
        <f t="shared" si="0"/>
        <v>0.27179999999999999</v>
      </c>
      <c r="F44" s="2094">
        <f t="shared" si="1"/>
        <v>6.5893815469997286E-4</v>
      </c>
      <c r="G44" s="704">
        <f t="shared" si="4"/>
        <v>2974655617.4543009</v>
      </c>
      <c r="H44" s="706">
        <f t="shared" si="2"/>
        <v>31</v>
      </c>
      <c r="I44" s="2095">
        <f t="shared" si="3"/>
        <v>60763536.586430602</v>
      </c>
      <c r="J44" s="686"/>
      <c r="K44" s="686"/>
      <c r="L44" s="686"/>
      <c r="M44" s="686"/>
      <c r="N44" s="686"/>
      <c r="O44" s="686"/>
      <c r="P44" s="686"/>
      <c r="Q44" s="686"/>
    </row>
    <row r="45" spans="1:17">
      <c r="A45" s="702">
        <v>28</v>
      </c>
      <c r="B45" s="2031">
        <v>44044</v>
      </c>
      <c r="C45" s="2031">
        <v>44074</v>
      </c>
      <c r="D45" s="1920">
        <v>0.18290000000000001</v>
      </c>
      <c r="E45" s="1920">
        <f t="shared" si="0"/>
        <v>0.27434999999999998</v>
      </c>
      <c r="F45" s="2094">
        <f t="shared" si="1"/>
        <v>6.6442952514544906E-4</v>
      </c>
      <c r="G45" s="704">
        <f t="shared" si="4"/>
        <v>2974655617.4543009</v>
      </c>
      <c r="H45" s="706">
        <f t="shared" si="2"/>
        <v>31</v>
      </c>
      <c r="I45" s="2095">
        <f t="shared" si="3"/>
        <v>61269919.600668512</v>
      </c>
      <c r="J45" s="686"/>
      <c r="K45" s="686"/>
      <c r="L45" s="686"/>
      <c r="M45" s="686"/>
      <c r="N45" s="686"/>
      <c r="O45" s="686"/>
      <c r="P45" s="686"/>
      <c r="Q45" s="686"/>
    </row>
    <row r="46" spans="1:17">
      <c r="A46" s="702">
        <v>29</v>
      </c>
      <c r="B46" s="2031">
        <v>44075</v>
      </c>
      <c r="C46" s="1629">
        <v>44104</v>
      </c>
      <c r="D46" s="1920">
        <v>0.1835</v>
      </c>
      <c r="E46" s="1920">
        <f t="shared" si="0"/>
        <v>0.27524999999999999</v>
      </c>
      <c r="F46" s="2094">
        <f t="shared" si="1"/>
        <v>6.6636503991857055E-4</v>
      </c>
      <c r="G46" s="704">
        <f t="shared" si="4"/>
        <v>2974655617.4543009</v>
      </c>
      <c r="H46" s="706">
        <f t="shared" si="2"/>
        <v>30</v>
      </c>
      <c r="I46" s="2095">
        <f t="shared" si="3"/>
        <v>59466195.278068058</v>
      </c>
      <c r="J46" s="686"/>
      <c r="K46" s="686"/>
      <c r="L46" s="686"/>
      <c r="M46" s="686"/>
      <c r="N46" s="686"/>
      <c r="O46" s="686"/>
      <c r="P46" s="686"/>
      <c r="Q46" s="686"/>
    </row>
    <row r="47" spans="1:17">
      <c r="A47" s="702">
        <v>30</v>
      </c>
      <c r="B47" s="2031">
        <v>44105</v>
      </c>
      <c r="C47" s="2031">
        <v>44135</v>
      </c>
      <c r="D47" s="1920">
        <v>0.18090000000000001</v>
      </c>
      <c r="E47" s="1920">
        <f t="shared" si="0"/>
        <v>0.27134999999999998</v>
      </c>
      <c r="F47" s="2094">
        <f t="shared" si="1"/>
        <v>6.5796794962613703E-4</v>
      </c>
      <c r="G47" s="704">
        <f t="shared" si="4"/>
        <v>2974655617.4543009</v>
      </c>
      <c r="H47" s="706">
        <f t="shared" si="2"/>
        <v>31</v>
      </c>
      <c r="I47" s="2095">
        <f t="shared" si="3"/>
        <v>60674069.781268582</v>
      </c>
      <c r="J47" s="686"/>
      <c r="K47" s="686"/>
      <c r="L47" s="686"/>
      <c r="M47" s="686"/>
      <c r="N47" s="686"/>
      <c r="O47" s="686"/>
      <c r="P47" s="686"/>
      <c r="Q47" s="686"/>
    </row>
    <row r="48" spans="1:17">
      <c r="A48" s="702">
        <v>31</v>
      </c>
      <c r="B48" s="2031">
        <v>44136</v>
      </c>
      <c r="C48" s="2031">
        <v>44165</v>
      </c>
      <c r="D48" s="1920">
        <v>0.1784</v>
      </c>
      <c r="E48" s="1920">
        <f t="shared" si="0"/>
        <v>0.2676</v>
      </c>
      <c r="F48" s="2094">
        <f t="shared" si="1"/>
        <v>6.4986956374091243E-4</v>
      </c>
      <c r="G48" s="704">
        <f t="shared" si="4"/>
        <v>2974655617.4543009</v>
      </c>
      <c r="H48" s="706">
        <f t="shared" si="2"/>
        <v>30</v>
      </c>
      <c r="I48" s="2095">
        <f t="shared" si="3"/>
        <v>57994144.451834433</v>
      </c>
      <c r="J48" s="686"/>
      <c r="K48" s="686"/>
      <c r="L48" s="686"/>
      <c r="M48" s="686"/>
      <c r="N48" s="686"/>
      <c r="O48" s="686"/>
      <c r="P48" s="686"/>
      <c r="Q48" s="686"/>
    </row>
    <row r="49" spans="1:17">
      <c r="A49" s="702">
        <v>32</v>
      </c>
      <c r="B49" s="2031">
        <v>44166</v>
      </c>
      <c r="C49" s="1629">
        <v>44196</v>
      </c>
      <c r="D49" s="1920">
        <v>0.17460000000000001</v>
      </c>
      <c r="E49" s="1920">
        <f t="shared" si="0"/>
        <v>0.26190000000000002</v>
      </c>
      <c r="F49" s="2094">
        <f t="shared" si="1"/>
        <v>6.3751414410861962E-4</v>
      </c>
      <c r="G49" s="704">
        <f t="shared" si="4"/>
        <v>2974655617.4543009</v>
      </c>
      <c r="H49" s="706">
        <f t="shared" si="2"/>
        <v>31</v>
      </c>
      <c r="I49" s="2095">
        <f t="shared" si="3"/>
        <v>58787935.929357558</v>
      </c>
      <c r="J49" s="686"/>
      <c r="K49" s="686"/>
      <c r="L49" s="686"/>
      <c r="M49" s="686"/>
      <c r="N49" s="686"/>
      <c r="O49" s="686"/>
      <c r="P49" s="686"/>
      <c r="Q49" s="686"/>
    </row>
    <row r="50" spans="1:17">
      <c r="A50" s="702">
        <v>33</v>
      </c>
      <c r="B50" s="2031">
        <v>44197</v>
      </c>
      <c r="C50" s="2031">
        <v>44227</v>
      </c>
      <c r="D50" s="1920">
        <v>0.17319999999999999</v>
      </c>
      <c r="E50" s="1920">
        <f t="shared" si="0"/>
        <v>0.25979999999999998</v>
      </c>
      <c r="F50" s="2094">
        <f t="shared" si="1"/>
        <v>6.3294811266723094E-4</v>
      </c>
      <c r="G50" s="704">
        <f t="shared" si="4"/>
        <v>2974655617.4543009</v>
      </c>
      <c r="H50" s="706">
        <f t="shared" si="2"/>
        <v>31</v>
      </c>
      <c r="I50" s="2095">
        <f t="shared" si="3"/>
        <v>58366882.425982967</v>
      </c>
      <c r="J50" s="686"/>
      <c r="K50" s="686"/>
      <c r="L50" s="686"/>
      <c r="M50" s="686"/>
      <c r="N50" s="686"/>
      <c r="O50" s="686"/>
      <c r="P50" s="686"/>
      <c r="Q50" s="686"/>
    </row>
    <row r="51" spans="1:17">
      <c r="A51" s="702">
        <v>34</v>
      </c>
      <c r="B51" s="2031">
        <v>44228</v>
      </c>
      <c r="C51" s="2031">
        <v>44255</v>
      </c>
      <c r="D51" s="1920">
        <v>0.1754</v>
      </c>
      <c r="E51" s="1920">
        <f t="shared" si="0"/>
        <v>0.2631</v>
      </c>
      <c r="F51" s="2094">
        <f t="shared" si="1"/>
        <v>6.4011990387169426E-4</v>
      </c>
      <c r="G51" s="704">
        <f t="shared" si="4"/>
        <v>2974655617.4543009</v>
      </c>
      <c r="H51" s="706">
        <f t="shared" si="2"/>
        <v>28</v>
      </c>
      <c r="I51" s="2095">
        <f t="shared" si="3"/>
        <v>53315815.501094788</v>
      </c>
      <c r="J51" s="686"/>
      <c r="K51" s="686"/>
      <c r="L51" s="686"/>
      <c r="M51" s="686"/>
      <c r="N51" s="686"/>
      <c r="O51" s="686"/>
      <c r="P51" s="686"/>
      <c r="Q51" s="686"/>
    </row>
    <row r="52" spans="1:17">
      <c r="A52" s="702">
        <v>35</v>
      </c>
      <c r="B52" s="2031">
        <v>44256</v>
      </c>
      <c r="C52" s="1629">
        <v>44286</v>
      </c>
      <c r="D52" s="1920">
        <v>0.1741</v>
      </c>
      <c r="E52" s="1920">
        <f t="shared" si="0"/>
        <v>0.26114999999999999</v>
      </c>
      <c r="F52" s="2094">
        <f t="shared" si="1"/>
        <v>6.3588428907812578E-4</v>
      </c>
      <c r="G52" s="704">
        <f t="shared" si="4"/>
        <v>2974655617.4543009</v>
      </c>
      <c r="H52" s="706">
        <f t="shared" si="2"/>
        <v>31</v>
      </c>
      <c r="I52" s="2095">
        <f t="shared" si="3"/>
        <v>58637639.949272618</v>
      </c>
      <c r="J52" s="686"/>
      <c r="K52" s="686"/>
      <c r="L52" s="686"/>
      <c r="M52" s="686"/>
      <c r="N52" s="686"/>
      <c r="O52" s="686"/>
      <c r="P52" s="686"/>
      <c r="Q52" s="686"/>
    </row>
    <row r="53" spans="1:17">
      <c r="A53" s="702">
        <v>36</v>
      </c>
      <c r="B53" s="2031">
        <v>44287</v>
      </c>
      <c r="C53" s="2031">
        <v>44316</v>
      </c>
      <c r="D53" s="1920">
        <v>0.1731</v>
      </c>
      <c r="E53" s="1920">
        <f t="shared" si="0"/>
        <v>0.25964999999999999</v>
      </c>
      <c r="F53" s="2094">
        <f t="shared" si="1"/>
        <v>6.326216771728177E-4</v>
      </c>
      <c r="G53" s="704">
        <f t="shared" si="4"/>
        <v>2974655617.4543009</v>
      </c>
      <c r="H53" s="706">
        <f t="shared" si="2"/>
        <v>30</v>
      </c>
      <c r="I53" s="2095">
        <f t="shared" si="3"/>
        <v>56454948.771764502</v>
      </c>
      <c r="J53" s="686"/>
      <c r="K53" s="686"/>
      <c r="L53" s="686"/>
      <c r="M53" s="686"/>
      <c r="N53" s="686"/>
      <c r="O53" s="686"/>
      <c r="P53" s="686"/>
      <c r="Q53" s="686"/>
    </row>
    <row r="54" spans="1:17">
      <c r="A54" s="702">
        <v>37</v>
      </c>
      <c r="B54" s="2031">
        <v>44317</v>
      </c>
      <c r="C54" s="2031">
        <v>44347</v>
      </c>
      <c r="D54" s="1920">
        <v>0.17219999999999999</v>
      </c>
      <c r="E54" s="1920">
        <f t="shared" si="0"/>
        <v>0.25829999999999997</v>
      </c>
      <c r="F54" s="2094">
        <f t="shared" si="1"/>
        <v>6.2968201205726437E-4</v>
      </c>
      <c r="G54" s="704">
        <f t="shared" si="4"/>
        <v>2974655617.4543009</v>
      </c>
      <c r="H54" s="706">
        <f t="shared" si="2"/>
        <v>31</v>
      </c>
      <c r="I54" s="2095">
        <f t="shared" si="3"/>
        <v>58065701.165658116</v>
      </c>
      <c r="J54" s="686"/>
      <c r="K54" s="686"/>
      <c r="L54" s="686"/>
      <c r="M54" s="686"/>
      <c r="N54" s="686"/>
      <c r="O54" s="686"/>
      <c r="P54" s="686"/>
      <c r="Q54" s="686"/>
    </row>
    <row r="55" spans="1:17">
      <c r="A55" s="702">
        <v>38</v>
      </c>
      <c r="B55" s="2031">
        <v>44348</v>
      </c>
      <c r="C55" s="2031">
        <v>44377</v>
      </c>
      <c r="D55" s="1920">
        <v>0.1721</v>
      </c>
      <c r="E55" s="1920">
        <f t="shared" si="0"/>
        <v>0.25814999999999999</v>
      </c>
      <c r="F55" s="2094">
        <f t="shared" si="1"/>
        <v>6.2935518846773952E-4</v>
      </c>
      <c r="G55" s="704">
        <f t="shared" si="4"/>
        <v>2974655617.4543009</v>
      </c>
      <c r="H55" s="706">
        <f t="shared" si="2"/>
        <v>30</v>
      </c>
      <c r="I55" s="2095">
        <f t="shared" si="3"/>
        <v>56163448.402487151</v>
      </c>
      <c r="J55" s="686"/>
      <c r="K55" s="686"/>
      <c r="L55" s="686"/>
      <c r="M55" s="686"/>
      <c r="N55" s="686"/>
      <c r="O55" s="686"/>
      <c r="P55" s="686"/>
      <c r="Q55" s="686"/>
    </row>
    <row r="56" spans="1:17">
      <c r="A56" s="702">
        <v>39</v>
      </c>
      <c r="B56" s="2031">
        <v>44378</v>
      </c>
      <c r="C56" s="2031">
        <v>44408</v>
      </c>
      <c r="D56" s="1920">
        <v>0.17180000000000001</v>
      </c>
      <c r="E56" s="1920">
        <f t="shared" si="0"/>
        <v>0.25770000000000004</v>
      </c>
      <c r="F56" s="2094">
        <f t="shared" si="1"/>
        <v>6.2837448450037137E-4</v>
      </c>
      <c r="G56" s="704">
        <f t="shared" si="4"/>
        <v>2974655617.4543009</v>
      </c>
      <c r="H56" s="706">
        <f t="shared" si="2"/>
        <v>31</v>
      </c>
      <c r="I56" s="2095">
        <f t="shared" si="3"/>
        <v>57945128.395703383</v>
      </c>
      <c r="J56" s="686"/>
      <c r="K56" s="686"/>
      <c r="L56" s="686"/>
      <c r="M56" s="686"/>
      <c r="N56" s="686"/>
      <c r="O56" s="686"/>
      <c r="P56" s="686"/>
      <c r="Q56" s="686"/>
    </row>
    <row r="57" spans="1:17">
      <c r="A57" s="702">
        <v>40</v>
      </c>
      <c r="B57" s="2031">
        <v>44409</v>
      </c>
      <c r="C57" s="2031">
        <v>44439</v>
      </c>
      <c r="D57" s="1920">
        <v>0.1724</v>
      </c>
      <c r="E57" s="1920">
        <f t="shared" si="0"/>
        <v>0.2586</v>
      </c>
      <c r="F57" s="2094">
        <f t="shared" si="1"/>
        <v>6.3033554269220637E-4</v>
      </c>
      <c r="G57" s="704">
        <f t="shared" si="4"/>
        <v>2974655617.4543009</v>
      </c>
      <c r="H57" s="706">
        <f t="shared" si="2"/>
        <v>31</v>
      </c>
      <c r="I57" s="2095">
        <f t="shared" si="3"/>
        <v>58125966.051464789</v>
      </c>
      <c r="J57" s="686"/>
      <c r="K57" s="686"/>
      <c r="L57" s="686"/>
      <c r="M57" s="686"/>
      <c r="N57" s="686"/>
      <c r="O57" s="686"/>
      <c r="P57" s="686"/>
      <c r="Q57" s="686"/>
    </row>
    <row r="58" spans="1:17">
      <c r="A58" s="702">
        <v>41</v>
      </c>
      <c r="B58" s="2031">
        <v>44440</v>
      </c>
      <c r="C58" s="2031">
        <v>44469</v>
      </c>
      <c r="D58" s="1920">
        <v>0.1719</v>
      </c>
      <c r="E58" s="1920">
        <f t="shared" si="0"/>
        <v>0.25785000000000002</v>
      </c>
      <c r="F58" s="2094">
        <f t="shared" si="1"/>
        <v>6.2870142469861889E-4</v>
      </c>
      <c r="G58" s="704">
        <f t="shared" si="4"/>
        <v>2974655617.4543009</v>
      </c>
      <c r="H58" s="706">
        <f t="shared" si="2"/>
        <v>30</v>
      </c>
      <c r="I58" s="2095">
        <f t="shared" si="3"/>
        <v>56105106.740438066</v>
      </c>
      <c r="J58" s="686"/>
      <c r="K58" s="686"/>
      <c r="L58" s="686"/>
      <c r="M58" s="686"/>
      <c r="N58" s="686"/>
      <c r="O58" s="686"/>
      <c r="P58" s="686"/>
      <c r="Q58" s="686"/>
    </row>
    <row r="59" spans="1:17">
      <c r="A59" s="702">
        <v>42</v>
      </c>
      <c r="B59" s="2031">
        <v>44470</v>
      </c>
      <c r="C59" s="2031">
        <v>44500</v>
      </c>
      <c r="D59" s="1920">
        <v>0.17080000000000001</v>
      </c>
      <c r="E59" s="1920">
        <f t="shared" si="0"/>
        <v>0.25619999999999998</v>
      </c>
      <c r="F59" s="2094">
        <f t="shared" si="1"/>
        <v>6.2510294214179751E-4</v>
      </c>
      <c r="G59" s="704">
        <f t="shared" si="4"/>
        <v>2974655617.4543009</v>
      </c>
      <c r="H59" s="706">
        <f t="shared" si="2"/>
        <v>31</v>
      </c>
      <c r="I59" s="2095">
        <f t="shared" si="3"/>
        <v>57643445.328208573</v>
      </c>
      <c r="J59" s="686"/>
      <c r="K59" s="686"/>
      <c r="L59" s="686"/>
      <c r="M59" s="686"/>
      <c r="N59" s="686"/>
      <c r="O59" s="686"/>
      <c r="P59" s="686"/>
      <c r="Q59" s="686"/>
    </row>
    <row r="60" spans="1:17">
      <c r="A60" s="702">
        <v>43</v>
      </c>
      <c r="B60" s="2031">
        <v>44501</v>
      </c>
      <c r="C60" s="2031">
        <v>44530</v>
      </c>
      <c r="D60" s="1920">
        <v>0.17269999999999999</v>
      </c>
      <c r="E60" s="1920">
        <f t="shared" si="0"/>
        <v>0.25905</v>
      </c>
      <c r="F60" s="2094">
        <f t="shared" si="1"/>
        <v>6.3131554742335005E-4</v>
      </c>
      <c r="G60" s="704">
        <f t="shared" si="4"/>
        <v>2974655617.4543009</v>
      </c>
      <c r="H60" s="706">
        <f t="shared" si="2"/>
        <v>30</v>
      </c>
      <c r="I60" s="2095">
        <f t="shared" si="3"/>
        <v>56338390.185873158</v>
      </c>
      <c r="J60" s="686"/>
      <c r="K60" s="686"/>
      <c r="L60" s="686"/>
      <c r="M60" s="686"/>
      <c r="N60" s="686"/>
      <c r="O60" s="686"/>
      <c r="P60" s="686"/>
      <c r="Q60" s="686"/>
    </row>
    <row r="61" spans="1:17">
      <c r="A61" s="702">
        <v>44</v>
      </c>
      <c r="B61" s="2031">
        <v>44531</v>
      </c>
      <c r="C61" s="2031">
        <v>44561</v>
      </c>
      <c r="D61" s="1920">
        <v>0.17460000000000001</v>
      </c>
      <c r="E61" s="1920">
        <f t="shared" si="0"/>
        <v>0.26190000000000002</v>
      </c>
      <c r="F61" s="2094">
        <f t="shared" si="1"/>
        <v>6.3751414410861962E-4</v>
      </c>
      <c r="G61" s="704">
        <f t="shared" si="4"/>
        <v>2974655617.4543009</v>
      </c>
      <c r="H61" s="706">
        <f t="shared" si="2"/>
        <v>31</v>
      </c>
      <c r="I61" s="2095">
        <f t="shared" si="3"/>
        <v>58787935.929357558</v>
      </c>
      <c r="J61" s="686"/>
      <c r="K61" s="686"/>
      <c r="L61" s="686"/>
      <c r="M61" s="686"/>
      <c r="N61" s="686"/>
      <c r="O61" s="686"/>
      <c r="P61" s="686"/>
      <c r="Q61" s="686"/>
    </row>
    <row r="62" spans="1:17">
      <c r="A62" s="702">
        <v>45</v>
      </c>
      <c r="B62" s="2031">
        <v>44562</v>
      </c>
      <c r="C62" s="2031">
        <v>44592</v>
      </c>
      <c r="D62" s="1920">
        <v>0.17660000000000001</v>
      </c>
      <c r="E62" s="1920">
        <f t="shared" si="0"/>
        <v>0.26490000000000002</v>
      </c>
      <c r="F62" s="2094">
        <f t="shared" si="1"/>
        <v>6.4402391816376081E-4</v>
      </c>
      <c r="G62" s="704">
        <f t="shared" si="4"/>
        <v>2974655617.4543009</v>
      </c>
      <c r="H62" s="706">
        <f t="shared" si="2"/>
        <v>31</v>
      </c>
      <c r="I62" s="2095">
        <f t="shared" si="3"/>
        <v>59388230.344163567</v>
      </c>
      <c r="J62" s="686"/>
      <c r="K62" s="686"/>
      <c r="L62" s="686"/>
      <c r="M62" s="686"/>
      <c r="N62" s="686"/>
      <c r="O62" s="686"/>
      <c r="P62" s="686"/>
      <c r="Q62" s="686"/>
    </row>
    <row r="63" spans="1:17">
      <c r="A63" s="702">
        <v>46</v>
      </c>
      <c r="B63" s="2031">
        <v>44593</v>
      </c>
      <c r="C63" s="2031">
        <v>44620</v>
      </c>
      <c r="D63" s="1920">
        <v>0.183</v>
      </c>
      <c r="E63" s="1920">
        <f t="shared" ref="E63:E71" si="5">+D63*1.5</f>
        <v>0.27449999999999997</v>
      </c>
      <c r="F63" s="2094">
        <f t="shared" ref="F63:F71" si="6">((1+E63)^(1/365)-1)</f>
        <v>6.6475220558892545E-4</v>
      </c>
      <c r="G63" s="704">
        <f t="shared" si="4"/>
        <v>2974655617.4543009</v>
      </c>
      <c r="H63" s="706">
        <f t="shared" ref="H63:H71" si="7">+_xlfn.DAYS(C63,B63)+1</f>
        <v>28</v>
      </c>
      <c r="I63" s="2095">
        <f t="shared" ref="I63:I71" si="8">(F63*G63)*H63</f>
        <v>55367448.711966537</v>
      </c>
      <c r="J63" s="686"/>
      <c r="K63" s="686"/>
      <c r="L63" s="686"/>
      <c r="M63" s="686"/>
      <c r="N63" s="686"/>
      <c r="O63" s="686"/>
      <c r="P63" s="686"/>
      <c r="Q63" s="686"/>
    </row>
    <row r="64" spans="1:17">
      <c r="A64" s="702">
        <v>47</v>
      </c>
      <c r="B64" s="2031">
        <v>44621</v>
      </c>
      <c r="C64" s="2031">
        <v>44651</v>
      </c>
      <c r="D64" s="1920">
        <v>0.1847</v>
      </c>
      <c r="E64" s="1920">
        <f t="shared" si="5"/>
        <v>0.27705000000000002</v>
      </c>
      <c r="F64" s="2094">
        <f t="shared" si="6"/>
        <v>6.7023198611315671E-4</v>
      </c>
      <c r="G64" s="704">
        <f t="shared" si="4"/>
        <v>2974655617.4543009</v>
      </c>
      <c r="H64" s="706">
        <f t="shared" si="7"/>
        <v>31</v>
      </c>
      <c r="I64" s="2095">
        <f t="shared" si="8"/>
        <v>61804989.617160693</v>
      </c>
      <c r="J64" s="686"/>
      <c r="K64" s="686"/>
      <c r="L64" s="686"/>
      <c r="M64" s="686"/>
      <c r="N64" s="686"/>
      <c r="O64" s="686"/>
      <c r="P64" s="686"/>
      <c r="Q64" s="686"/>
    </row>
    <row r="65" spans="1:17">
      <c r="A65" s="702">
        <v>48</v>
      </c>
      <c r="B65" s="2031">
        <v>44652</v>
      </c>
      <c r="C65" s="2031">
        <v>44681</v>
      </c>
      <c r="D65" s="1920">
        <v>0.1905</v>
      </c>
      <c r="E65" s="1920">
        <f t="shared" si="5"/>
        <v>0.28575</v>
      </c>
      <c r="F65" s="2094">
        <f t="shared" si="6"/>
        <v>6.8884592812357148E-4</v>
      </c>
      <c r="G65" s="704">
        <f t="shared" si="4"/>
        <v>2974655617.4543009</v>
      </c>
      <c r="H65" s="706">
        <f t="shared" si="7"/>
        <v>30</v>
      </c>
      <c r="I65" s="2095">
        <f t="shared" si="8"/>
        <v>61472382.289599106</v>
      </c>
      <c r="J65" s="686"/>
      <c r="K65" s="686"/>
      <c r="L65" s="686"/>
      <c r="M65" s="686"/>
      <c r="N65" s="686"/>
      <c r="O65" s="686"/>
      <c r="P65" s="686"/>
      <c r="Q65" s="686"/>
    </row>
    <row r="66" spans="1:17">
      <c r="A66" s="702">
        <v>49</v>
      </c>
      <c r="B66" s="2031">
        <v>44682</v>
      </c>
      <c r="C66" s="2031">
        <v>44712</v>
      </c>
      <c r="D66" s="1920">
        <v>0.1971</v>
      </c>
      <c r="E66" s="1920">
        <f t="shared" si="5"/>
        <v>0.29564999999999997</v>
      </c>
      <c r="F66" s="2094">
        <f t="shared" si="6"/>
        <v>7.0987512909947981E-4</v>
      </c>
      <c r="G66" s="704">
        <f t="shared" si="4"/>
        <v>2974655617.4543009</v>
      </c>
      <c r="H66" s="706">
        <f t="shared" si="7"/>
        <v>31</v>
      </c>
      <c r="I66" s="2095">
        <f t="shared" si="8"/>
        <v>65460655.2544728</v>
      </c>
      <c r="J66" s="686"/>
      <c r="K66" s="686"/>
      <c r="L66" s="686"/>
      <c r="M66" s="686"/>
      <c r="N66" s="686"/>
      <c r="O66" s="686"/>
      <c r="P66" s="686"/>
      <c r="Q66" s="686"/>
    </row>
    <row r="67" spans="1:17">
      <c r="A67" s="702">
        <v>50</v>
      </c>
      <c r="B67" s="2031">
        <v>44713</v>
      </c>
      <c r="C67" s="2031">
        <v>44742</v>
      </c>
      <c r="D67" s="1920">
        <v>0.20399999999999999</v>
      </c>
      <c r="E67" s="1920">
        <f t="shared" si="5"/>
        <v>0.30599999999999999</v>
      </c>
      <c r="F67" s="2094">
        <f t="shared" si="6"/>
        <v>7.3168955664093538E-4</v>
      </c>
      <c r="G67" s="704">
        <f t="shared" si="4"/>
        <v>2974655617.4543009</v>
      </c>
      <c r="H67" s="706">
        <f t="shared" si="7"/>
        <v>30</v>
      </c>
      <c r="I67" s="2095">
        <f t="shared" si="8"/>
        <v>65295733.496838152</v>
      </c>
      <c r="J67" s="686"/>
      <c r="K67" s="686"/>
      <c r="L67" s="686"/>
      <c r="M67" s="686"/>
      <c r="N67" s="686"/>
      <c r="O67" s="686"/>
      <c r="P67" s="686"/>
      <c r="Q67" s="686"/>
    </row>
    <row r="68" spans="1:17">
      <c r="A68" s="702">
        <v>51</v>
      </c>
      <c r="B68" s="2031">
        <v>44743</v>
      </c>
      <c r="C68" s="2031">
        <v>44773</v>
      </c>
      <c r="D68" s="1920">
        <v>0.21279999999999999</v>
      </c>
      <c r="E68" s="1920">
        <f t="shared" si="5"/>
        <v>0.31919999999999998</v>
      </c>
      <c r="F68" s="2094">
        <f t="shared" si="6"/>
        <v>7.5926204501630679E-4</v>
      </c>
      <c r="G68" s="704">
        <f t="shared" si="4"/>
        <v>2974655617.4543009</v>
      </c>
      <c r="H68" s="706">
        <f t="shared" si="7"/>
        <v>31</v>
      </c>
      <c r="I68" s="2095">
        <f t="shared" si="8"/>
        <v>70014836.327155516</v>
      </c>
      <c r="J68" s="686"/>
      <c r="K68" s="686"/>
      <c r="L68" s="686"/>
      <c r="M68" s="686"/>
      <c r="N68" s="686"/>
      <c r="O68" s="686"/>
      <c r="P68" s="686"/>
      <c r="Q68" s="686"/>
    </row>
    <row r="69" spans="1:17">
      <c r="A69" s="702">
        <v>52</v>
      </c>
      <c r="B69" s="2031">
        <v>44774</v>
      </c>
      <c r="C69" s="2031">
        <v>44804</v>
      </c>
      <c r="D69" s="1920">
        <v>0.22209999999999999</v>
      </c>
      <c r="E69" s="1920">
        <f t="shared" si="5"/>
        <v>0.33315</v>
      </c>
      <c r="F69" s="2094">
        <f t="shared" si="6"/>
        <v>7.8810371394433254E-4</v>
      </c>
      <c r="G69" s="704">
        <f t="shared" si="4"/>
        <v>2974655617.4543009</v>
      </c>
      <c r="H69" s="706">
        <f t="shared" si="7"/>
        <v>31</v>
      </c>
      <c r="I69" s="2095">
        <f t="shared" si="8"/>
        <v>72674451.334454283</v>
      </c>
      <c r="J69" s="686"/>
      <c r="K69" s="686"/>
      <c r="L69" s="686"/>
      <c r="M69" s="686"/>
      <c r="N69" s="686"/>
      <c r="O69" s="686"/>
      <c r="P69" s="686"/>
      <c r="Q69" s="686"/>
    </row>
    <row r="70" spans="1:17">
      <c r="A70" s="702">
        <v>53</v>
      </c>
      <c r="B70" s="2031">
        <v>44805</v>
      </c>
      <c r="C70" s="2031">
        <v>44834</v>
      </c>
      <c r="D70" s="1920">
        <v>0.23499999999999999</v>
      </c>
      <c r="E70" s="1920">
        <f t="shared" si="5"/>
        <v>0.35249999999999998</v>
      </c>
      <c r="F70" s="2094">
        <f t="shared" si="6"/>
        <v>8.2761552252574866E-4</v>
      </c>
      <c r="G70" s="704">
        <f t="shared" si="4"/>
        <v>2974655617.4543009</v>
      </c>
      <c r="H70" s="706">
        <f t="shared" si="7"/>
        <v>30</v>
      </c>
      <c r="I70" s="2095">
        <f t="shared" si="8"/>
        <v>73856134.895207837</v>
      </c>
      <c r="K70" s="686"/>
      <c r="L70" s="686"/>
      <c r="M70" s="686"/>
      <c r="N70" s="686"/>
      <c r="O70" s="686"/>
      <c r="P70" s="686"/>
      <c r="Q70" s="686"/>
    </row>
    <row r="71" spans="1:17">
      <c r="A71" s="702">
        <v>54</v>
      </c>
      <c r="B71" s="2031">
        <v>44835</v>
      </c>
      <c r="C71" s="2031">
        <v>44865</v>
      </c>
      <c r="D71" s="1920">
        <v>0.24610000000000001</v>
      </c>
      <c r="E71" s="1920">
        <f t="shared" si="5"/>
        <v>0.36915000000000003</v>
      </c>
      <c r="F71" s="2094">
        <f t="shared" si="6"/>
        <v>8.611654102768096E-4</v>
      </c>
      <c r="G71" s="704">
        <f t="shared" si="4"/>
        <v>2974655617.4543009</v>
      </c>
      <c r="H71" s="706">
        <f t="shared" si="7"/>
        <v>31</v>
      </c>
      <c r="I71" s="2095">
        <f t="shared" si="8"/>
        <v>79411786.282354727</v>
      </c>
      <c r="K71" s="686"/>
      <c r="L71" s="686"/>
      <c r="M71" s="686"/>
      <c r="N71" s="686"/>
      <c r="O71" s="686"/>
      <c r="P71" s="686"/>
      <c r="Q71" s="686"/>
    </row>
    <row r="72" spans="1:17">
      <c r="A72" s="702">
        <v>55</v>
      </c>
      <c r="B72" s="2031">
        <v>44866</v>
      </c>
      <c r="C72" s="2031">
        <v>44895</v>
      </c>
      <c r="D72" s="1920">
        <v>0.25779999999999997</v>
      </c>
      <c r="E72" s="1920">
        <f t="shared" ref="E72:E74" si="9">+D72*1.5</f>
        <v>0.38669999999999993</v>
      </c>
      <c r="F72" s="2094">
        <f t="shared" ref="F72:F74" si="10">((1+E72)^(1/365)-1)</f>
        <v>8.9609117817124329E-4</v>
      </c>
      <c r="G72" s="704">
        <f t="shared" si="4"/>
        <v>2974655617.4543009</v>
      </c>
      <c r="H72" s="706">
        <f t="shared" ref="H72:H74" si="11">+_xlfn.DAYS(C72,B72)+1</f>
        <v>30</v>
      </c>
      <c r="I72" s="2095">
        <f t="shared" ref="I72:I74" si="12">(F72*G72)*H72</f>
        <v>79966879.706949949</v>
      </c>
      <c r="K72" s="686"/>
      <c r="L72" s="686"/>
      <c r="M72" s="686"/>
      <c r="N72" s="686"/>
      <c r="O72" s="686"/>
      <c r="P72" s="686"/>
      <c r="Q72" s="686"/>
    </row>
    <row r="73" spans="1:17">
      <c r="A73" s="702">
        <v>56</v>
      </c>
      <c r="B73" s="2031">
        <v>44896</v>
      </c>
      <c r="C73" s="2031">
        <v>44926</v>
      </c>
      <c r="D73" s="1920">
        <v>0.27639999999999998</v>
      </c>
      <c r="E73" s="1920">
        <f t="shared" si="9"/>
        <v>0.41459999999999997</v>
      </c>
      <c r="F73" s="2094">
        <f t="shared" si="10"/>
        <v>9.5071686592063109E-4</v>
      </c>
      <c r="G73" s="704">
        <f t="shared" si="4"/>
        <v>2974655617.4543009</v>
      </c>
      <c r="H73" s="706">
        <f t="shared" si="11"/>
        <v>31</v>
      </c>
      <c r="I73" s="2095">
        <f t="shared" si="12"/>
        <v>87669713.240399927</v>
      </c>
      <c r="K73" s="686"/>
      <c r="L73" s="686"/>
      <c r="M73" s="686"/>
      <c r="N73" s="686"/>
      <c r="O73" s="686"/>
      <c r="P73" s="686"/>
      <c r="Q73" s="686"/>
    </row>
    <row r="74" spans="1:17">
      <c r="A74" s="702">
        <v>57</v>
      </c>
      <c r="B74" s="2031">
        <v>44927</v>
      </c>
      <c r="C74" s="2031">
        <v>44957</v>
      </c>
      <c r="D74" s="1920">
        <v>0.28839999999999999</v>
      </c>
      <c r="E74" s="1920">
        <f t="shared" si="9"/>
        <v>0.43259999999999998</v>
      </c>
      <c r="F74" s="2094">
        <f t="shared" si="10"/>
        <v>9.8539196132163553E-4</v>
      </c>
      <c r="G74" s="704">
        <f t="shared" si="4"/>
        <v>2974655617.4543009</v>
      </c>
      <c r="H74" s="706">
        <f t="shared" si="11"/>
        <v>31</v>
      </c>
      <c r="I74" s="2095">
        <f t="shared" si="12"/>
        <v>90867253.727331147</v>
      </c>
      <c r="K74" s="686"/>
      <c r="L74" s="686"/>
      <c r="M74" s="686"/>
      <c r="N74" s="686"/>
      <c r="O74" s="686"/>
      <c r="P74" s="686"/>
      <c r="Q74" s="686"/>
    </row>
    <row r="75" spans="1:17">
      <c r="A75" s="702">
        <v>58</v>
      </c>
      <c r="B75" s="2031">
        <v>44958</v>
      </c>
      <c r="C75" s="2031">
        <v>44985</v>
      </c>
      <c r="D75" s="1920">
        <v>0.30180000000000001</v>
      </c>
      <c r="E75" s="1920">
        <f t="shared" ref="E75:E77" si="13">+D75*1.5</f>
        <v>0.45269999999999999</v>
      </c>
      <c r="F75" s="2094">
        <f t="shared" ref="F75:F77" si="14">((1+E75)^(1/365)-1)</f>
        <v>1.0236026853662761E-3</v>
      </c>
      <c r="G75" s="704">
        <f t="shared" si="4"/>
        <v>2974655617.4543009</v>
      </c>
      <c r="H75" s="706">
        <f t="shared" ref="H75:H77" si="15">+_xlfn.DAYS(C75,B75)+1</f>
        <v>28</v>
      </c>
      <c r="I75" s="2095">
        <f t="shared" ref="I75:I77" si="16">(F75*G75)*H75</f>
        <v>85256233.385850802</v>
      </c>
      <c r="K75" s="686"/>
      <c r="L75" s="686"/>
      <c r="M75" s="686"/>
      <c r="N75" s="686"/>
      <c r="O75" s="686"/>
      <c r="P75" s="686"/>
      <c r="Q75" s="686"/>
    </row>
    <row r="76" spans="1:17">
      <c r="A76" s="702">
        <v>59</v>
      </c>
      <c r="B76" s="2031">
        <v>44986</v>
      </c>
      <c r="C76" s="2031">
        <v>45016</v>
      </c>
      <c r="D76" s="1920">
        <v>0.30840000000000001</v>
      </c>
      <c r="E76" s="1920">
        <f t="shared" si="13"/>
        <v>0.46260000000000001</v>
      </c>
      <c r="F76" s="2094">
        <f t="shared" si="14"/>
        <v>1.0422295217955568E-3</v>
      </c>
      <c r="G76" s="704">
        <f t="shared" si="4"/>
        <v>2974655617.4543009</v>
      </c>
      <c r="H76" s="706">
        <f t="shared" si="15"/>
        <v>31</v>
      </c>
      <c r="I76" s="2095">
        <f t="shared" si="16"/>
        <v>96108490.952261746</v>
      </c>
      <c r="K76" s="686"/>
      <c r="L76" s="686"/>
      <c r="M76" s="686"/>
      <c r="N76" s="686"/>
      <c r="O76" s="686"/>
      <c r="P76" s="686"/>
      <c r="Q76" s="686"/>
    </row>
    <row r="77" spans="1:17">
      <c r="A77" s="702">
        <v>60</v>
      </c>
      <c r="B77" s="2031">
        <v>45017</v>
      </c>
      <c r="C77" s="2031">
        <v>45046</v>
      </c>
      <c r="D77" s="1920">
        <v>0.31390000000000001</v>
      </c>
      <c r="E77" s="1920">
        <f t="shared" si="13"/>
        <v>0.47084999999999999</v>
      </c>
      <c r="F77" s="2094">
        <f t="shared" si="14"/>
        <v>1.0576560884423269E-3</v>
      </c>
      <c r="G77" s="704">
        <f t="shared" si="4"/>
        <v>2974655617.4543009</v>
      </c>
      <c r="H77" s="706">
        <f t="shared" si="15"/>
        <v>30</v>
      </c>
      <c r="I77" s="2095">
        <f t="shared" si="16"/>
        <v>94384878.744591326</v>
      </c>
      <c r="K77" s="686"/>
      <c r="L77" s="686"/>
      <c r="M77" s="686"/>
      <c r="N77" s="686"/>
      <c r="O77" s="686"/>
      <c r="P77" s="686"/>
      <c r="Q77" s="686"/>
    </row>
    <row r="78" spans="1:17">
      <c r="A78" s="702">
        <v>61</v>
      </c>
      <c r="B78" s="2031">
        <v>45047</v>
      </c>
      <c r="C78" s="2031">
        <v>45077</v>
      </c>
      <c r="D78" s="1920">
        <v>0.30270000000000002</v>
      </c>
      <c r="E78" s="1920">
        <f t="shared" ref="E78" si="17">+D78*1.5</f>
        <v>0.45405000000000006</v>
      </c>
      <c r="F78" s="2094">
        <f t="shared" ref="F78" si="18">((1+E78)^(1/365)-1)</f>
        <v>1.0261501497454972E-3</v>
      </c>
      <c r="G78" s="704">
        <f t="shared" si="4"/>
        <v>2974655617.4543009</v>
      </c>
      <c r="H78" s="706">
        <f t="shared" ref="H78" si="19">+_xlfn.DAYS(C78,B78)+1</f>
        <v>31</v>
      </c>
      <c r="I78" s="2095">
        <f t="shared" ref="I78" si="20">(F78*G78)*H78</f>
        <v>94625742.526052475</v>
      </c>
      <c r="K78" s="686"/>
      <c r="L78" s="686"/>
      <c r="M78" s="686"/>
      <c r="N78" s="686"/>
      <c r="O78" s="686"/>
      <c r="P78" s="686"/>
      <c r="Q78" s="686"/>
    </row>
    <row r="79" spans="1:17">
      <c r="A79" s="686"/>
      <c r="B79" s="686"/>
      <c r="C79" s="686"/>
      <c r="D79" s="686"/>
      <c r="E79" s="686"/>
      <c r="F79" s="686"/>
      <c r="G79" s="2667" t="s">
        <v>162</v>
      </c>
      <c r="H79" s="2669"/>
      <c r="I79" s="2104">
        <f>SUM(I18:I78)</f>
        <v>3934706937.1840868</v>
      </c>
      <c r="J79" s="2101">
        <f>SUM(I18:I77)</f>
        <v>3840081194.6580343</v>
      </c>
      <c r="K79" s="686"/>
      <c r="L79" s="686"/>
      <c r="M79" s="686"/>
      <c r="N79" s="686"/>
      <c r="O79" s="686"/>
      <c r="P79" s="686"/>
      <c r="Q79" s="686"/>
    </row>
    <row r="80" spans="1:17">
      <c r="A80" s="686"/>
      <c r="B80" s="686"/>
      <c r="C80" s="686"/>
      <c r="D80" s="686"/>
      <c r="E80" s="686"/>
      <c r="F80" s="686"/>
      <c r="G80" s="2100"/>
      <c r="H80" s="1628"/>
      <c r="I80" s="2104"/>
      <c r="J80" s="686"/>
      <c r="K80" s="686"/>
      <c r="L80" s="686"/>
      <c r="M80" s="686"/>
      <c r="N80" s="686"/>
      <c r="O80" s="686"/>
      <c r="P80" s="686"/>
      <c r="Q80" s="686"/>
    </row>
    <row r="81" spans="7:10">
      <c r="G81" s="2667" t="s">
        <v>129</v>
      </c>
      <c r="H81" s="2669"/>
      <c r="I81" s="2104">
        <f>+M27</f>
        <v>2974655617.4543009</v>
      </c>
      <c r="J81" s="686"/>
    </row>
    <row r="82" spans="7:10" ht="16.5">
      <c r="G82" s="2667" t="s">
        <v>97</v>
      </c>
      <c r="H82" s="2669"/>
      <c r="I82" s="2540">
        <f>I79+I80+I81</f>
        <v>6909362554.6383877</v>
      </c>
      <c r="J82" s="686"/>
    </row>
    <row r="84" spans="7:10">
      <c r="I84" s="593">
        <f>+I82+'Corrreccion GAM Laudo 15 Dic'!C112</f>
        <v>10099381862.388388</v>
      </c>
    </row>
  </sheetData>
  <mergeCells count="4">
    <mergeCell ref="G79:H79"/>
    <mergeCell ref="G81:H81"/>
    <mergeCell ref="G82:H82"/>
    <mergeCell ref="B16:I16"/>
  </mergeCell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D131F-5DDF-4F13-8626-A3D50DC4DA07}">
  <sheetPr codeName="Hoja101"/>
  <dimension ref="A2:J72"/>
  <sheetViews>
    <sheetView topLeftCell="A50" workbookViewId="0">
      <selection activeCell="I72" sqref="I72"/>
    </sheetView>
  </sheetViews>
  <sheetFormatPr defaultColWidth="9.140625" defaultRowHeight="12.75"/>
  <cols>
    <col min="1" max="1" width="3.85546875" style="217" customWidth="1"/>
    <col min="2" max="2" width="16.42578125" style="217" customWidth="1"/>
    <col min="3" max="3" width="17.7109375" style="217" customWidth="1"/>
    <col min="4" max="4" width="18.28515625" style="217" customWidth="1"/>
    <col min="5" max="6" width="11.42578125" style="217" customWidth="1"/>
    <col min="7" max="7" width="14.5703125" style="217" customWidth="1"/>
    <col min="8" max="8" width="11.42578125" style="217" customWidth="1"/>
    <col min="9" max="9" width="16.7109375" style="217" customWidth="1"/>
    <col min="10" max="10" width="14.42578125" style="217" bestFit="1" customWidth="1"/>
    <col min="11" max="257" width="11.42578125" style="217" customWidth="1"/>
    <col min="258" max="16384" width="9.140625" style="217"/>
  </cols>
  <sheetData>
    <row r="2" spans="1:10">
      <c r="B2" s="215" t="s">
        <v>825</v>
      </c>
      <c r="C2" s="1716" t="s">
        <v>1606</v>
      </c>
      <c r="D2" s="216"/>
    </row>
    <row r="3" spans="1:10">
      <c r="B3" s="215" t="s">
        <v>540</v>
      </c>
      <c r="C3" s="1717"/>
    </row>
    <row r="4" spans="1:10">
      <c r="B4" s="219" t="s">
        <v>67</v>
      </c>
      <c r="C4" s="1718">
        <v>2357226.14</v>
      </c>
    </row>
    <row r="5" spans="1:10" ht="22.5">
      <c r="B5" s="1719" t="s">
        <v>1130</v>
      </c>
      <c r="C5" s="258" t="s">
        <v>678</v>
      </c>
    </row>
    <row r="6" spans="1:10">
      <c r="B6" s="219" t="s">
        <v>287</v>
      </c>
      <c r="C6" s="1624"/>
    </row>
    <row r="7" spans="1:10">
      <c r="B7" s="219" t="s">
        <v>1132</v>
      </c>
      <c r="C7" s="216" t="s">
        <v>1152</v>
      </c>
      <c r="D7" s="216"/>
    </row>
    <row r="9" spans="1:10">
      <c r="B9" s="221" t="s">
        <v>4</v>
      </c>
      <c r="C9" s="223">
        <v>43297</v>
      </c>
    </row>
    <row r="11" spans="1:10" ht="13.5">
      <c r="A11" s="686"/>
      <c r="B11" s="2824" t="s">
        <v>160</v>
      </c>
      <c r="C11" s="2824"/>
      <c r="D11" s="2824"/>
      <c r="E11" s="2824"/>
      <c r="F11" s="2824"/>
      <c r="G11" s="2824"/>
      <c r="H11" s="2824"/>
      <c r="I11" s="686"/>
      <c r="J11" s="686"/>
    </row>
    <row r="12" spans="1:10" ht="27">
      <c r="A12" s="686"/>
      <c r="B12" s="1915" t="s">
        <v>206</v>
      </c>
      <c r="C12" s="1915" t="s">
        <v>10</v>
      </c>
      <c r="D12" s="699" t="s">
        <v>148</v>
      </c>
      <c r="E12" s="700" t="s">
        <v>149</v>
      </c>
      <c r="F12" s="699" t="s">
        <v>43</v>
      </c>
      <c r="G12" s="1642" t="s">
        <v>129</v>
      </c>
      <c r="H12" s="1642" t="s">
        <v>47</v>
      </c>
      <c r="I12" s="1642" t="s">
        <v>48</v>
      </c>
      <c r="J12" s="686"/>
    </row>
    <row r="13" spans="1:10">
      <c r="A13" s="702">
        <v>1</v>
      </c>
      <c r="B13" s="1629">
        <v>43297</v>
      </c>
      <c r="C13" s="1629">
        <v>43312</v>
      </c>
      <c r="D13" s="1920">
        <v>0.20030000000000001</v>
      </c>
      <c r="E13" s="1920">
        <f t="shared" ref="E13:E55" si="0">+D13*1.5</f>
        <v>0.30044999999999999</v>
      </c>
      <c r="F13" s="2094">
        <f t="shared" ref="F13:F55" si="1">((1+E13)^(1/365)-1)</f>
        <v>7.2001349197825526E-4</v>
      </c>
      <c r="G13" s="2102">
        <f t="shared" ref="G13:G70" si="2">+$C$4</f>
        <v>2357226.14</v>
      </c>
      <c r="H13" s="706">
        <f t="shared" ref="H13:H55" si="3">+_xlfn.DAYS(C13,B13)+1</f>
        <v>16</v>
      </c>
      <c r="I13" s="2103">
        <f t="shared" ref="I13:I55" si="4">+G13*F13*H13</f>
        <v>27155.753991101181</v>
      </c>
      <c r="J13" s="686"/>
    </row>
    <row r="14" spans="1:10">
      <c r="A14" s="702">
        <v>2</v>
      </c>
      <c r="B14" s="1629">
        <v>43313</v>
      </c>
      <c r="C14" s="1629">
        <v>43343</v>
      </c>
      <c r="D14" s="1920">
        <v>0.19939999999999999</v>
      </c>
      <c r="E14" s="1920">
        <f t="shared" si="0"/>
        <v>0.29909999999999998</v>
      </c>
      <c r="F14" s="2094">
        <f t="shared" si="1"/>
        <v>7.1716585429704161E-4</v>
      </c>
      <c r="G14" s="2102">
        <f t="shared" si="2"/>
        <v>2357226.14</v>
      </c>
      <c r="H14" s="706">
        <f t="shared" si="3"/>
        <v>31</v>
      </c>
      <c r="I14" s="2103">
        <f t="shared" si="4"/>
        <v>52406.185052396955</v>
      </c>
      <c r="J14" s="686"/>
    </row>
    <row r="15" spans="1:10">
      <c r="A15" s="702">
        <v>3</v>
      </c>
      <c r="B15" s="1629">
        <v>43344</v>
      </c>
      <c r="C15" s="1629">
        <v>43373</v>
      </c>
      <c r="D15" s="1920">
        <v>0.1981</v>
      </c>
      <c r="E15" s="1920">
        <f t="shared" si="0"/>
        <v>0.29715000000000003</v>
      </c>
      <c r="F15" s="2094">
        <f t="shared" si="1"/>
        <v>7.1304738558919389E-4</v>
      </c>
      <c r="G15" s="2102">
        <f t="shared" si="2"/>
        <v>2357226.14</v>
      </c>
      <c r="H15" s="706">
        <f t="shared" si="3"/>
        <v>30</v>
      </c>
      <c r="I15" s="2103">
        <f t="shared" si="4"/>
        <v>50424.418091085216</v>
      </c>
      <c r="J15" s="686"/>
    </row>
    <row r="16" spans="1:10">
      <c r="A16" s="702">
        <v>4</v>
      </c>
      <c r="B16" s="1629">
        <v>43374</v>
      </c>
      <c r="C16" s="1629">
        <v>43404</v>
      </c>
      <c r="D16" s="1920">
        <v>0.1963</v>
      </c>
      <c r="E16" s="1920">
        <f t="shared" si="0"/>
        <v>0.29444999999999999</v>
      </c>
      <c r="F16" s="2094">
        <f t="shared" si="1"/>
        <v>7.073346857742191E-4</v>
      </c>
      <c r="G16" s="2102">
        <f t="shared" si="2"/>
        <v>2357226.14</v>
      </c>
      <c r="H16" s="706">
        <f t="shared" si="3"/>
        <v>31</v>
      </c>
      <c r="I16" s="2103">
        <f t="shared" si="4"/>
        <v>51687.782142105942</v>
      </c>
      <c r="J16" s="686"/>
    </row>
    <row r="17" spans="1:10">
      <c r="A17" s="702">
        <v>5</v>
      </c>
      <c r="B17" s="1629">
        <v>43405</v>
      </c>
      <c r="C17" s="1629">
        <v>43434</v>
      </c>
      <c r="D17" s="1920">
        <v>0.19489999999999999</v>
      </c>
      <c r="E17" s="1920">
        <f t="shared" si="0"/>
        <v>0.29235</v>
      </c>
      <c r="F17" s="2094">
        <f t="shared" si="1"/>
        <v>7.0288325333756063E-4</v>
      </c>
      <c r="G17" s="2102">
        <f t="shared" si="2"/>
        <v>2357226.14</v>
      </c>
      <c r="H17" s="706">
        <f t="shared" si="3"/>
        <v>30</v>
      </c>
      <c r="I17" s="2103">
        <f t="shared" si="4"/>
        <v>49705.643344066208</v>
      </c>
      <c r="J17" s="686"/>
    </row>
    <row r="18" spans="1:10">
      <c r="A18" s="702">
        <v>6</v>
      </c>
      <c r="B18" s="1629">
        <v>43435</v>
      </c>
      <c r="C18" s="1629">
        <v>43465</v>
      </c>
      <c r="D18" s="1920">
        <v>0.19400000000000001</v>
      </c>
      <c r="E18" s="1920">
        <f t="shared" si="0"/>
        <v>0.29100000000000004</v>
      </c>
      <c r="F18" s="2094">
        <f t="shared" si="1"/>
        <v>7.0001780740103214E-4</v>
      </c>
      <c r="G18" s="2102">
        <f t="shared" si="2"/>
        <v>2357226.14</v>
      </c>
      <c r="H18" s="706">
        <f t="shared" si="3"/>
        <v>31</v>
      </c>
      <c r="I18" s="2103">
        <f t="shared" si="4"/>
        <v>51153.108496207155</v>
      </c>
      <c r="J18" s="686"/>
    </row>
    <row r="19" spans="1:10">
      <c r="A19" s="702">
        <v>7</v>
      </c>
      <c r="B19" s="1629">
        <v>43466</v>
      </c>
      <c r="C19" s="1629">
        <v>43496</v>
      </c>
      <c r="D19" s="1920">
        <v>0.19159999999999999</v>
      </c>
      <c r="E19" s="1920">
        <f t="shared" si="0"/>
        <v>0.28739999999999999</v>
      </c>
      <c r="F19" s="2094">
        <f t="shared" si="1"/>
        <v>6.9236198468725085E-4</v>
      </c>
      <c r="G19" s="2102">
        <f t="shared" si="2"/>
        <v>2357226.14</v>
      </c>
      <c r="H19" s="706">
        <f t="shared" si="3"/>
        <v>31</v>
      </c>
      <c r="I19" s="2103">
        <f t="shared" si="4"/>
        <v>50593.666828059089</v>
      </c>
      <c r="J19" s="686"/>
    </row>
    <row r="20" spans="1:10">
      <c r="A20" s="702">
        <v>8</v>
      </c>
      <c r="B20" s="1629">
        <v>43497</v>
      </c>
      <c r="C20" s="1629">
        <v>43524</v>
      </c>
      <c r="D20" s="1920">
        <v>0.19700000000000001</v>
      </c>
      <c r="E20" s="1920">
        <f t="shared" si="0"/>
        <v>0.29549999999999998</v>
      </c>
      <c r="F20" s="2094">
        <f t="shared" si="1"/>
        <v>7.0955770203506852E-4</v>
      </c>
      <c r="G20" s="2102">
        <f t="shared" si="2"/>
        <v>2357226.14</v>
      </c>
      <c r="H20" s="706">
        <f t="shared" si="3"/>
        <v>28</v>
      </c>
      <c r="I20" s="2103">
        <f t="shared" si="4"/>
        <v>46832.462966111052</v>
      </c>
      <c r="J20" s="686"/>
    </row>
    <row r="21" spans="1:10">
      <c r="A21" s="702">
        <v>9</v>
      </c>
      <c r="B21" s="1629">
        <v>43525</v>
      </c>
      <c r="C21" s="1629">
        <v>43555</v>
      </c>
      <c r="D21" s="1920">
        <v>0.19370000000000001</v>
      </c>
      <c r="E21" s="1920">
        <f t="shared" si="0"/>
        <v>0.29055000000000003</v>
      </c>
      <c r="F21" s="2094">
        <f t="shared" si="1"/>
        <v>6.9906199467517638E-4</v>
      </c>
      <c r="G21" s="2102">
        <f t="shared" si="2"/>
        <v>2357226.14</v>
      </c>
      <c r="H21" s="706">
        <f t="shared" si="3"/>
        <v>31</v>
      </c>
      <c r="I21" s="2103">
        <f t="shared" si="4"/>
        <v>51083.26342719487</v>
      </c>
      <c r="J21" s="686"/>
    </row>
    <row r="22" spans="1:10">
      <c r="A22" s="702">
        <v>10</v>
      </c>
      <c r="B22" s="1629">
        <v>43556</v>
      </c>
      <c r="C22" s="1629">
        <v>43585</v>
      </c>
      <c r="D22" s="1920">
        <v>0.19320000000000001</v>
      </c>
      <c r="E22" s="1920">
        <f t="shared" si="0"/>
        <v>0.2898</v>
      </c>
      <c r="F22" s="2094">
        <f t="shared" si="1"/>
        <v>6.9746823462724095E-4</v>
      </c>
      <c r="G22" s="2102">
        <f t="shared" si="2"/>
        <v>2357226.14</v>
      </c>
      <c r="H22" s="706">
        <f t="shared" si="3"/>
        <v>30</v>
      </c>
      <c r="I22" s="2103">
        <f t="shared" si="4"/>
        <v>49322.710634489566</v>
      </c>
      <c r="J22" s="686"/>
    </row>
    <row r="23" spans="1:10">
      <c r="A23" s="702">
        <v>11</v>
      </c>
      <c r="B23" s="1629">
        <v>43586</v>
      </c>
      <c r="C23" s="1629">
        <v>43616</v>
      </c>
      <c r="D23" s="1920">
        <v>0.19339999999999999</v>
      </c>
      <c r="E23" s="1920">
        <f t="shared" si="0"/>
        <v>0.29009999999999997</v>
      </c>
      <c r="F23" s="2094">
        <f t="shared" si="1"/>
        <v>6.9810584952367805E-4</v>
      </c>
      <c r="G23" s="2102">
        <f t="shared" si="2"/>
        <v>2357226.14</v>
      </c>
      <c r="H23" s="706">
        <f t="shared" si="3"/>
        <v>31</v>
      </c>
      <c r="I23" s="2103">
        <f t="shared" si="4"/>
        <v>51013.394066507732</v>
      </c>
      <c r="J23" s="686"/>
    </row>
    <row r="24" spans="1:10">
      <c r="A24" s="702">
        <v>12</v>
      </c>
      <c r="B24" s="1629">
        <v>43617</v>
      </c>
      <c r="C24" s="1629">
        <v>43646</v>
      </c>
      <c r="D24" s="1920">
        <v>0.193</v>
      </c>
      <c r="E24" s="1920">
        <f t="shared" si="0"/>
        <v>0.28949999999999998</v>
      </c>
      <c r="F24" s="2094">
        <f t="shared" si="1"/>
        <v>6.9683047181468005E-4</v>
      </c>
      <c r="G24" s="2102">
        <f t="shared" si="2"/>
        <v>2357226.14</v>
      </c>
      <c r="H24" s="706">
        <f t="shared" si="3"/>
        <v>30</v>
      </c>
      <c r="I24" s="2103">
        <f t="shared" si="4"/>
        <v>49277.61009930291</v>
      </c>
      <c r="J24" s="686"/>
    </row>
    <row r="25" spans="1:10">
      <c r="A25" s="702">
        <v>13</v>
      </c>
      <c r="B25" s="1629">
        <v>43647</v>
      </c>
      <c r="C25" s="1629">
        <v>43677</v>
      </c>
      <c r="D25" s="1920">
        <v>0.1928</v>
      </c>
      <c r="E25" s="1920">
        <f t="shared" si="0"/>
        <v>0.28920000000000001</v>
      </c>
      <c r="F25" s="2094">
        <f t="shared" si="1"/>
        <v>6.9619256101671745E-4</v>
      </c>
      <c r="G25" s="2102">
        <f t="shared" si="2"/>
        <v>2357226.14</v>
      </c>
      <c r="H25" s="706">
        <f t="shared" si="3"/>
        <v>31</v>
      </c>
      <c r="I25" s="2103">
        <f t="shared" si="4"/>
        <v>50873.582402366701</v>
      </c>
      <c r="J25" s="686"/>
    </row>
    <row r="26" spans="1:10">
      <c r="A26" s="702">
        <v>14</v>
      </c>
      <c r="B26" s="1629">
        <v>43678</v>
      </c>
      <c r="C26" s="1629">
        <v>43708</v>
      </c>
      <c r="D26" s="1920">
        <v>0.19320000000000001</v>
      </c>
      <c r="E26" s="1920">
        <f t="shared" si="0"/>
        <v>0.2898</v>
      </c>
      <c r="F26" s="2094">
        <f t="shared" si="1"/>
        <v>6.9746823462724095E-4</v>
      </c>
      <c r="G26" s="2102">
        <f t="shared" si="2"/>
        <v>2357226.14</v>
      </c>
      <c r="H26" s="706">
        <f t="shared" si="3"/>
        <v>31</v>
      </c>
      <c r="I26" s="2103">
        <f t="shared" si="4"/>
        <v>50966.800988972551</v>
      </c>
      <c r="J26" s="686"/>
    </row>
    <row r="27" spans="1:10">
      <c r="A27" s="702">
        <v>15</v>
      </c>
      <c r="B27" s="1629">
        <v>43709</v>
      </c>
      <c r="C27" s="1629">
        <v>43738</v>
      </c>
      <c r="D27" s="1920">
        <v>0.19320000000000001</v>
      </c>
      <c r="E27" s="1920">
        <f t="shared" si="0"/>
        <v>0.2898</v>
      </c>
      <c r="F27" s="2094">
        <f t="shared" si="1"/>
        <v>6.9746823462724095E-4</v>
      </c>
      <c r="G27" s="2102">
        <f t="shared" si="2"/>
        <v>2357226.14</v>
      </c>
      <c r="H27" s="706">
        <f t="shared" si="3"/>
        <v>30</v>
      </c>
      <c r="I27" s="2103">
        <f t="shared" si="4"/>
        <v>49322.710634489566</v>
      </c>
      <c r="J27" s="686"/>
    </row>
    <row r="28" spans="1:10">
      <c r="A28" s="702">
        <v>16</v>
      </c>
      <c r="B28" s="1629">
        <v>43739</v>
      </c>
      <c r="C28" s="1629">
        <v>43769</v>
      </c>
      <c r="D28" s="1920">
        <v>0.191</v>
      </c>
      <c r="E28" s="1920">
        <f t="shared" si="0"/>
        <v>0.28649999999999998</v>
      </c>
      <c r="F28" s="2094">
        <f t="shared" si="1"/>
        <v>6.9044469314105683E-4</v>
      </c>
      <c r="G28" s="2102">
        <f t="shared" si="2"/>
        <v>2357226.14</v>
      </c>
      <c r="H28" s="706">
        <f t="shared" si="3"/>
        <v>31</v>
      </c>
      <c r="I28" s="2103">
        <f t="shared" si="4"/>
        <v>50453.562645787722</v>
      </c>
      <c r="J28" s="686"/>
    </row>
    <row r="29" spans="1:10">
      <c r="A29" s="702">
        <v>17</v>
      </c>
      <c r="B29" s="1629">
        <v>43770</v>
      </c>
      <c r="C29" s="1629">
        <v>43799</v>
      </c>
      <c r="D29" s="1920">
        <v>0.1903</v>
      </c>
      <c r="E29" s="1920">
        <f t="shared" si="0"/>
        <v>0.28544999999999998</v>
      </c>
      <c r="F29" s="2094">
        <f t="shared" si="1"/>
        <v>6.8820616169262827E-4</v>
      </c>
      <c r="G29" s="2102">
        <f t="shared" si="2"/>
        <v>2357226.14</v>
      </c>
      <c r="H29" s="706">
        <f t="shared" si="3"/>
        <v>30</v>
      </c>
      <c r="I29" s="2103">
        <f t="shared" si="4"/>
        <v>48667.726621527901</v>
      </c>
      <c r="J29" s="686"/>
    </row>
    <row r="30" spans="1:10">
      <c r="A30" s="702">
        <v>18</v>
      </c>
      <c r="B30" s="1629">
        <v>43800</v>
      </c>
      <c r="C30" s="1629">
        <v>43830</v>
      </c>
      <c r="D30" s="1920">
        <v>0.18909999999999999</v>
      </c>
      <c r="E30" s="1920">
        <f t="shared" si="0"/>
        <v>0.28364999999999996</v>
      </c>
      <c r="F30" s="2094">
        <f t="shared" si="1"/>
        <v>6.8436443340047504E-4</v>
      </c>
      <c r="G30" s="2102">
        <f t="shared" si="2"/>
        <v>2357226.14</v>
      </c>
      <c r="H30" s="706">
        <f t="shared" si="3"/>
        <v>31</v>
      </c>
      <c r="I30" s="2103">
        <f t="shared" si="4"/>
        <v>50009.25368263456</v>
      </c>
      <c r="J30" s="686"/>
    </row>
    <row r="31" spans="1:10">
      <c r="A31" s="702">
        <v>19</v>
      </c>
      <c r="B31" s="1629">
        <v>43831</v>
      </c>
      <c r="C31" s="1629">
        <v>43861</v>
      </c>
      <c r="D31" s="1920">
        <v>0.18770000000000001</v>
      </c>
      <c r="E31" s="1920">
        <f t="shared" si="0"/>
        <v>0.28155000000000002</v>
      </c>
      <c r="F31" s="2094">
        <f t="shared" si="1"/>
        <v>6.7987562124560696E-4</v>
      </c>
      <c r="G31" s="2102">
        <f t="shared" si="2"/>
        <v>2357226.14</v>
      </c>
      <c r="H31" s="706">
        <f t="shared" si="3"/>
        <v>31</v>
      </c>
      <c r="I31" s="2103">
        <f t="shared" si="4"/>
        <v>49681.238176815408</v>
      </c>
      <c r="J31" s="686"/>
    </row>
    <row r="32" spans="1:10">
      <c r="A32" s="702">
        <v>20</v>
      </c>
      <c r="B32" s="1629">
        <v>43862</v>
      </c>
      <c r="C32" s="1629">
        <v>43890</v>
      </c>
      <c r="D32" s="1920">
        <v>0.19059999999999999</v>
      </c>
      <c r="E32" s="1920">
        <f t="shared" si="0"/>
        <v>0.28589999999999999</v>
      </c>
      <c r="F32" s="2094">
        <f t="shared" si="1"/>
        <v>6.8916575551658532E-4</v>
      </c>
      <c r="G32" s="2102">
        <f t="shared" si="2"/>
        <v>2357226.14</v>
      </c>
      <c r="H32" s="706">
        <f t="shared" si="3"/>
        <v>29</v>
      </c>
      <c r="I32" s="2103">
        <f t="shared" si="4"/>
        <v>47111.066477199784</v>
      </c>
      <c r="J32" s="686"/>
    </row>
    <row r="33" spans="1:10">
      <c r="A33" s="702">
        <v>21</v>
      </c>
      <c r="B33" s="1629">
        <v>43891</v>
      </c>
      <c r="C33" s="1629">
        <v>43921</v>
      </c>
      <c r="D33" s="1920">
        <v>0.1895</v>
      </c>
      <c r="E33" s="1920">
        <f t="shared" si="0"/>
        <v>0.28425</v>
      </c>
      <c r="F33" s="2094">
        <f t="shared" si="1"/>
        <v>6.8564560609574166E-4</v>
      </c>
      <c r="G33" s="2102">
        <f t="shared" si="2"/>
        <v>2357226.14</v>
      </c>
      <c r="H33" s="706">
        <f t="shared" si="3"/>
        <v>31</v>
      </c>
      <c r="I33" s="2103">
        <f t="shared" si="4"/>
        <v>50102.874109415796</v>
      </c>
      <c r="J33" s="686"/>
    </row>
    <row r="34" spans="1:10">
      <c r="A34" s="702">
        <v>22</v>
      </c>
      <c r="B34" s="1629">
        <v>43922</v>
      </c>
      <c r="C34" s="1629">
        <v>43951</v>
      </c>
      <c r="D34" s="1920">
        <v>0.18690000000000001</v>
      </c>
      <c r="E34" s="1920">
        <f t="shared" si="0"/>
        <v>0.28034999999999999</v>
      </c>
      <c r="F34" s="2094">
        <f t="shared" si="1"/>
        <v>6.7730729113191224E-4</v>
      </c>
      <c r="G34" s="2102">
        <f t="shared" si="2"/>
        <v>2357226.14</v>
      </c>
      <c r="H34" s="706">
        <f t="shared" si="3"/>
        <v>30</v>
      </c>
      <c r="I34" s="2103">
        <f t="shared" si="4"/>
        <v>47896.99354406201</v>
      </c>
      <c r="J34" s="686"/>
    </row>
    <row r="35" spans="1:10">
      <c r="A35" s="702">
        <v>23</v>
      </c>
      <c r="B35" s="1629">
        <v>43952</v>
      </c>
      <c r="C35" s="1629">
        <v>43982</v>
      </c>
      <c r="D35" s="1920">
        <v>0.18190000000000001</v>
      </c>
      <c r="E35" s="1920">
        <f t="shared" si="0"/>
        <v>0.27285000000000004</v>
      </c>
      <c r="F35" s="2094">
        <f t="shared" si="1"/>
        <v>6.6120063584418354E-4</v>
      </c>
      <c r="G35" s="2102">
        <f t="shared" si="2"/>
        <v>2357226.14</v>
      </c>
      <c r="H35" s="706">
        <f t="shared" si="3"/>
        <v>31</v>
      </c>
      <c r="I35" s="2103">
        <f t="shared" si="4"/>
        <v>48316.582100492444</v>
      </c>
      <c r="J35" s="686"/>
    </row>
    <row r="36" spans="1:10">
      <c r="A36" s="702">
        <v>24</v>
      </c>
      <c r="B36" s="1629">
        <v>43983</v>
      </c>
      <c r="C36" s="1629">
        <v>44012</v>
      </c>
      <c r="D36" s="1920">
        <v>0.1812</v>
      </c>
      <c r="E36" s="1920">
        <f t="shared" si="0"/>
        <v>0.27179999999999999</v>
      </c>
      <c r="F36" s="2094">
        <f t="shared" si="1"/>
        <v>6.5893815469997286E-4</v>
      </c>
      <c r="G36" s="2102">
        <f t="shared" si="2"/>
        <v>2357226.14</v>
      </c>
      <c r="H36" s="706">
        <f t="shared" si="3"/>
        <v>30</v>
      </c>
      <c r="I36" s="2103">
        <f t="shared" si="4"/>
        <v>46597.987287064199</v>
      </c>
      <c r="J36" s="686"/>
    </row>
    <row r="37" spans="1:10">
      <c r="A37" s="702">
        <v>25</v>
      </c>
      <c r="B37" s="1629">
        <v>44013</v>
      </c>
      <c r="C37" s="1629">
        <v>44043</v>
      </c>
      <c r="D37" s="1920">
        <v>0.1812</v>
      </c>
      <c r="E37" s="1920">
        <f t="shared" si="0"/>
        <v>0.27179999999999999</v>
      </c>
      <c r="F37" s="2094">
        <f t="shared" si="1"/>
        <v>6.5893815469997286E-4</v>
      </c>
      <c r="G37" s="2102">
        <f t="shared" si="2"/>
        <v>2357226.14</v>
      </c>
      <c r="H37" s="706">
        <f t="shared" si="3"/>
        <v>31</v>
      </c>
      <c r="I37" s="2103">
        <f t="shared" si="4"/>
        <v>48151.253529966343</v>
      </c>
      <c r="J37" s="686"/>
    </row>
    <row r="38" spans="1:10">
      <c r="A38" s="702">
        <v>26</v>
      </c>
      <c r="B38" s="1629">
        <v>44044</v>
      </c>
      <c r="C38" s="1629">
        <v>44074</v>
      </c>
      <c r="D38" s="1920">
        <v>0.18290000000000001</v>
      </c>
      <c r="E38" s="1920">
        <f t="shared" si="0"/>
        <v>0.27434999999999998</v>
      </c>
      <c r="F38" s="2094">
        <f t="shared" si="1"/>
        <v>6.6442952514544906E-4</v>
      </c>
      <c r="G38" s="2102">
        <f t="shared" si="2"/>
        <v>2357226.14</v>
      </c>
      <c r="H38" s="706">
        <f t="shared" si="3"/>
        <v>31</v>
      </c>
      <c r="I38" s="2103">
        <f t="shared" si="4"/>
        <v>48552.529990679832</v>
      </c>
      <c r="J38" s="686"/>
    </row>
    <row r="39" spans="1:10">
      <c r="A39" s="702">
        <v>27</v>
      </c>
      <c r="B39" s="1629">
        <v>44075</v>
      </c>
      <c r="C39" s="1629">
        <v>44104</v>
      </c>
      <c r="D39" s="1920">
        <v>0.1835</v>
      </c>
      <c r="E39" s="1920">
        <f t="shared" si="0"/>
        <v>0.27524999999999999</v>
      </c>
      <c r="F39" s="2094">
        <f t="shared" si="1"/>
        <v>6.6636503991857055E-4</v>
      </c>
      <c r="G39" s="2102">
        <f t="shared" si="2"/>
        <v>2357226.14</v>
      </c>
      <c r="H39" s="706">
        <f t="shared" si="3"/>
        <v>30</v>
      </c>
      <c r="I39" s="2103">
        <f t="shared" si="4"/>
        <v>47123.192726345937</v>
      </c>
      <c r="J39" s="686"/>
    </row>
    <row r="40" spans="1:10">
      <c r="A40" s="702">
        <v>28</v>
      </c>
      <c r="B40" s="1629">
        <v>44105</v>
      </c>
      <c r="C40" s="1629">
        <v>44135</v>
      </c>
      <c r="D40" s="1920">
        <v>0.18090000000000001</v>
      </c>
      <c r="E40" s="1920">
        <f t="shared" si="0"/>
        <v>0.27134999999999998</v>
      </c>
      <c r="F40" s="2094">
        <f t="shared" si="1"/>
        <v>6.5796794962613703E-4</v>
      </c>
      <c r="G40" s="2102">
        <f t="shared" si="2"/>
        <v>2357226.14</v>
      </c>
      <c r="H40" s="706">
        <f t="shared" si="3"/>
        <v>31</v>
      </c>
      <c r="I40" s="2103">
        <f t="shared" si="4"/>
        <v>48080.356754368942</v>
      </c>
      <c r="J40" s="686"/>
    </row>
    <row r="41" spans="1:10">
      <c r="A41" s="702">
        <v>29</v>
      </c>
      <c r="B41" s="1629">
        <v>44136</v>
      </c>
      <c r="C41" s="1629">
        <v>44165</v>
      </c>
      <c r="D41" s="1920">
        <v>0.1784</v>
      </c>
      <c r="E41" s="1920">
        <f t="shared" si="0"/>
        <v>0.2676</v>
      </c>
      <c r="F41" s="2094">
        <f t="shared" si="1"/>
        <v>6.4986956374091243E-4</v>
      </c>
      <c r="G41" s="2102">
        <f t="shared" si="2"/>
        <v>2357226.14</v>
      </c>
      <c r="H41" s="706">
        <f t="shared" si="3"/>
        <v>30</v>
      </c>
      <c r="I41" s="2103">
        <f t="shared" si="4"/>
        <v>45956.685697214249</v>
      </c>
      <c r="J41" s="686"/>
    </row>
    <row r="42" spans="1:10">
      <c r="A42" s="702">
        <v>30</v>
      </c>
      <c r="B42" s="1629">
        <v>44166</v>
      </c>
      <c r="C42" s="1629">
        <v>44196</v>
      </c>
      <c r="D42" s="1920">
        <v>0.17460000000000001</v>
      </c>
      <c r="E42" s="1920">
        <f t="shared" si="0"/>
        <v>0.26190000000000002</v>
      </c>
      <c r="F42" s="2094">
        <f t="shared" si="1"/>
        <v>6.3751414410861962E-4</v>
      </c>
      <c r="G42" s="2102">
        <f t="shared" si="2"/>
        <v>2357226.14</v>
      </c>
      <c r="H42" s="706">
        <f t="shared" si="3"/>
        <v>31</v>
      </c>
      <c r="I42" s="2103">
        <f t="shared" si="4"/>
        <v>46585.715158489518</v>
      </c>
      <c r="J42" s="686"/>
    </row>
    <row r="43" spans="1:10">
      <c r="A43" s="702">
        <v>31</v>
      </c>
      <c r="B43" s="1629">
        <v>44197</v>
      </c>
      <c r="C43" s="1629">
        <v>44227</v>
      </c>
      <c r="D43" s="1920">
        <v>0.17319999999999999</v>
      </c>
      <c r="E43" s="1920">
        <f t="shared" si="0"/>
        <v>0.25979999999999998</v>
      </c>
      <c r="F43" s="2094">
        <f t="shared" si="1"/>
        <v>6.3294811266723094E-4</v>
      </c>
      <c r="G43" s="2102">
        <f t="shared" si="2"/>
        <v>2357226.14</v>
      </c>
      <c r="H43" s="706">
        <f t="shared" si="3"/>
        <v>31</v>
      </c>
      <c r="I43" s="2103">
        <f t="shared" si="4"/>
        <v>46252.056929728722</v>
      </c>
      <c r="J43" s="686"/>
    </row>
    <row r="44" spans="1:10">
      <c r="A44" s="702">
        <v>32</v>
      </c>
      <c r="B44" s="1629">
        <v>44228</v>
      </c>
      <c r="C44" s="1629">
        <v>44255</v>
      </c>
      <c r="D44" s="1920">
        <v>0.1754</v>
      </c>
      <c r="E44" s="1920">
        <f t="shared" si="0"/>
        <v>0.2631</v>
      </c>
      <c r="F44" s="2094">
        <f t="shared" si="1"/>
        <v>6.4011990387169426E-4</v>
      </c>
      <c r="G44" s="2102">
        <f t="shared" si="2"/>
        <v>2357226.14</v>
      </c>
      <c r="H44" s="706">
        <f t="shared" si="3"/>
        <v>28</v>
      </c>
      <c r="I44" s="2103">
        <f t="shared" si="4"/>
        <v>42249.406363938062</v>
      </c>
      <c r="J44" s="686"/>
    </row>
    <row r="45" spans="1:10">
      <c r="A45" s="702">
        <v>33</v>
      </c>
      <c r="B45" s="1629">
        <v>44256</v>
      </c>
      <c r="C45" s="1629">
        <v>44286</v>
      </c>
      <c r="D45" s="1920">
        <v>0.1741</v>
      </c>
      <c r="E45" s="1920">
        <f t="shared" si="0"/>
        <v>0.26114999999999999</v>
      </c>
      <c r="F45" s="2094">
        <f t="shared" si="1"/>
        <v>6.3588428907812578E-4</v>
      </c>
      <c r="G45" s="2102">
        <f t="shared" si="2"/>
        <v>2357226.14</v>
      </c>
      <c r="H45" s="706">
        <f t="shared" si="3"/>
        <v>31</v>
      </c>
      <c r="I45" s="2103">
        <f t="shared" si="4"/>
        <v>46466.615115138513</v>
      </c>
      <c r="J45" s="686"/>
    </row>
    <row r="46" spans="1:10">
      <c r="A46" s="702">
        <v>34</v>
      </c>
      <c r="B46" s="1629">
        <v>44287</v>
      </c>
      <c r="C46" s="1629">
        <v>44316</v>
      </c>
      <c r="D46" s="1920">
        <v>0.1731</v>
      </c>
      <c r="E46" s="1920">
        <f t="shared" si="0"/>
        <v>0.25964999999999999</v>
      </c>
      <c r="F46" s="2094">
        <f t="shared" si="1"/>
        <v>6.326216771728177E-4</v>
      </c>
      <c r="G46" s="2102">
        <f t="shared" si="2"/>
        <v>2357226.14</v>
      </c>
      <c r="H46" s="706">
        <f t="shared" si="3"/>
        <v>30</v>
      </c>
      <c r="I46" s="2103">
        <f t="shared" si="4"/>
        <v>44736.970624872221</v>
      </c>
      <c r="J46" s="686"/>
    </row>
    <row r="47" spans="1:10">
      <c r="A47" s="702">
        <v>35</v>
      </c>
      <c r="B47" s="1629">
        <v>44317</v>
      </c>
      <c r="C47" s="1629">
        <v>44347</v>
      </c>
      <c r="D47" s="1920">
        <v>0.17219999999999999</v>
      </c>
      <c r="E47" s="1920">
        <f t="shared" si="0"/>
        <v>0.25829999999999997</v>
      </c>
      <c r="F47" s="2094">
        <f t="shared" si="1"/>
        <v>6.2968201205726437E-4</v>
      </c>
      <c r="G47" s="2102">
        <f t="shared" si="2"/>
        <v>2357226.14</v>
      </c>
      <c r="H47" s="706">
        <f t="shared" si="3"/>
        <v>31</v>
      </c>
      <c r="I47" s="2103">
        <f t="shared" si="4"/>
        <v>46013.389859984542</v>
      </c>
      <c r="J47" s="686"/>
    </row>
    <row r="48" spans="1:10">
      <c r="A48" s="702">
        <v>36</v>
      </c>
      <c r="B48" s="1629">
        <v>44348</v>
      </c>
      <c r="C48" s="1629">
        <v>44377</v>
      </c>
      <c r="D48" s="1920">
        <v>0.1721</v>
      </c>
      <c r="E48" s="1920">
        <f t="shared" si="0"/>
        <v>0.25814999999999999</v>
      </c>
      <c r="F48" s="2094">
        <f t="shared" si="1"/>
        <v>6.2935518846773952E-4</v>
      </c>
      <c r="G48" s="2102">
        <f t="shared" si="2"/>
        <v>2357226.14</v>
      </c>
      <c r="H48" s="706">
        <f t="shared" si="3"/>
        <v>30</v>
      </c>
      <c r="I48" s="2103">
        <f t="shared" si="4"/>
        <v>44505.975048023472</v>
      </c>
      <c r="J48" s="686"/>
    </row>
    <row r="49" spans="1:10">
      <c r="A49" s="702">
        <v>37</v>
      </c>
      <c r="B49" s="1629">
        <v>44378</v>
      </c>
      <c r="C49" s="1629">
        <v>44408</v>
      </c>
      <c r="D49" s="1920">
        <v>0.17180000000000001</v>
      </c>
      <c r="E49" s="1920">
        <f t="shared" si="0"/>
        <v>0.25770000000000004</v>
      </c>
      <c r="F49" s="2094">
        <f t="shared" si="1"/>
        <v>6.2837448450037137E-4</v>
      </c>
      <c r="G49" s="2102">
        <f t="shared" si="2"/>
        <v>2357226.14</v>
      </c>
      <c r="H49" s="706">
        <f t="shared" si="3"/>
        <v>31</v>
      </c>
      <c r="I49" s="2103">
        <f t="shared" si="4"/>
        <v>45917.843577772313</v>
      </c>
      <c r="J49" s="686"/>
    </row>
    <row r="50" spans="1:10">
      <c r="A50" s="702">
        <v>38</v>
      </c>
      <c r="B50" s="1629">
        <v>44409</v>
      </c>
      <c r="C50" s="1629">
        <v>44439</v>
      </c>
      <c r="D50" s="1920">
        <v>0.1724</v>
      </c>
      <c r="E50" s="1920">
        <f t="shared" si="0"/>
        <v>0.2586</v>
      </c>
      <c r="F50" s="1933">
        <f t="shared" si="1"/>
        <v>6.3033554269220637E-4</v>
      </c>
      <c r="G50" s="2102">
        <f t="shared" si="2"/>
        <v>2357226.14</v>
      </c>
      <c r="H50" s="706">
        <f t="shared" si="3"/>
        <v>31</v>
      </c>
      <c r="I50" s="2103">
        <f t="shared" si="4"/>
        <v>46061.145964359799</v>
      </c>
      <c r="J50" s="686"/>
    </row>
    <row r="51" spans="1:10">
      <c r="A51" s="702">
        <v>39</v>
      </c>
      <c r="B51" s="1629">
        <v>44440</v>
      </c>
      <c r="C51" s="1629">
        <v>44469</v>
      </c>
      <c r="D51" s="1920">
        <v>0.17299999999999999</v>
      </c>
      <c r="E51" s="1920">
        <f t="shared" si="0"/>
        <v>0.25949999999999995</v>
      </c>
      <c r="F51" s="2094">
        <f t="shared" si="1"/>
        <v>6.3229520291052665E-4</v>
      </c>
      <c r="G51" s="2102">
        <f t="shared" si="2"/>
        <v>2357226.14</v>
      </c>
      <c r="H51" s="706">
        <f t="shared" si="3"/>
        <v>30</v>
      </c>
      <c r="I51" s="2103">
        <f t="shared" si="4"/>
        <v>44713.883414918928</v>
      </c>
      <c r="J51" s="686"/>
    </row>
    <row r="52" spans="1:10">
      <c r="A52" s="702">
        <v>40</v>
      </c>
      <c r="B52" s="1629">
        <v>44470</v>
      </c>
      <c r="C52" s="1629">
        <v>44500</v>
      </c>
      <c r="D52" s="1920">
        <v>0.17080000000000001</v>
      </c>
      <c r="E52" s="1920">
        <f t="shared" si="0"/>
        <v>0.25619999999999998</v>
      </c>
      <c r="F52" s="1933">
        <f t="shared" si="1"/>
        <v>6.2510294214179751E-4</v>
      </c>
      <c r="G52" s="2102">
        <f t="shared" si="2"/>
        <v>2357226.14</v>
      </c>
      <c r="H52" s="706">
        <f t="shared" si="3"/>
        <v>31</v>
      </c>
      <c r="I52" s="2103">
        <f t="shared" si="4"/>
        <v>45678.778857634134</v>
      </c>
      <c r="J52" s="686"/>
    </row>
    <row r="53" spans="1:10">
      <c r="A53" s="702">
        <v>41</v>
      </c>
      <c r="B53" s="1629">
        <v>44501</v>
      </c>
      <c r="C53" s="1629">
        <v>44530</v>
      </c>
      <c r="D53" s="1920">
        <v>0.17269999999999999</v>
      </c>
      <c r="E53" s="1920">
        <f t="shared" si="0"/>
        <v>0.25905</v>
      </c>
      <c r="F53" s="2094">
        <f t="shared" si="1"/>
        <v>6.3131554742335005E-4</v>
      </c>
      <c r="G53" s="2102">
        <f t="shared" si="2"/>
        <v>2357226.14</v>
      </c>
      <c r="H53" s="706">
        <f t="shared" si="3"/>
        <v>30</v>
      </c>
      <c r="I53" s="2103">
        <f t="shared" si="4"/>
        <v>44644.605329241916</v>
      </c>
      <c r="J53" s="686"/>
    </row>
    <row r="54" spans="1:10">
      <c r="A54" s="702">
        <v>42</v>
      </c>
      <c r="B54" s="1629">
        <v>44531</v>
      </c>
      <c r="C54" s="1629">
        <v>44561</v>
      </c>
      <c r="D54" s="1920">
        <v>0.17460000000000001</v>
      </c>
      <c r="E54" s="1920">
        <f t="shared" si="0"/>
        <v>0.26190000000000002</v>
      </c>
      <c r="F54" s="1933">
        <f t="shared" si="1"/>
        <v>6.3751414410861962E-4</v>
      </c>
      <c r="G54" s="2102">
        <f t="shared" si="2"/>
        <v>2357226.14</v>
      </c>
      <c r="H54" s="706">
        <f t="shared" si="3"/>
        <v>31</v>
      </c>
      <c r="I54" s="2103">
        <f t="shared" si="4"/>
        <v>46585.715158489518</v>
      </c>
      <c r="J54" s="686"/>
    </row>
    <row r="55" spans="1:10">
      <c r="A55" s="702">
        <v>43</v>
      </c>
      <c r="B55" s="1629">
        <v>44562</v>
      </c>
      <c r="C55" s="1629">
        <v>44592</v>
      </c>
      <c r="D55" s="1920">
        <v>0.17660000000000001</v>
      </c>
      <c r="E55" s="1920">
        <f t="shared" si="0"/>
        <v>0.26490000000000002</v>
      </c>
      <c r="F55" s="1933">
        <f t="shared" si="1"/>
        <v>6.4402391816376081E-4</v>
      </c>
      <c r="G55" s="2102">
        <f t="shared" si="2"/>
        <v>2357226.14</v>
      </c>
      <c r="H55" s="706">
        <f t="shared" si="3"/>
        <v>31</v>
      </c>
      <c r="I55" s="2103">
        <f t="shared" si="4"/>
        <v>47061.410455105972</v>
      </c>
      <c r="J55" s="686"/>
    </row>
    <row r="56" spans="1:10">
      <c r="A56" s="702">
        <v>44</v>
      </c>
      <c r="B56" s="1629">
        <v>44593</v>
      </c>
      <c r="C56" s="1629">
        <v>44620</v>
      </c>
      <c r="D56" s="1920">
        <v>0.183</v>
      </c>
      <c r="E56" s="1920">
        <f t="shared" ref="E56:E64" si="5">+D56*1.5</f>
        <v>0.27449999999999997</v>
      </c>
      <c r="F56" s="1933">
        <f t="shared" ref="F56:F64" si="6">((1+E56)^(1/365)-1)</f>
        <v>6.6475220558892545E-4</v>
      </c>
      <c r="G56" s="2102">
        <f t="shared" si="2"/>
        <v>2357226.14</v>
      </c>
      <c r="H56" s="706">
        <f t="shared" ref="H56:H64" si="7">+_xlfn.DAYS(C56,B56)+1</f>
        <v>28</v>
      </c>
      <c r="I56" s="2103">
        <f t="shared" ref="I56:I64" si="8">+G56*F56*H56</f>
        <v>43875.195717832336</v>
      </c>
      <c r="J56" s="686"/>
    </row>
    <row r="57" spans="1:10">
      <c r="A57" s="702">
        <v>45</v>
      </c>
      <c r="B57" s="1629">
        <v>44621</v>
      </c>
      <c r="C57" s="1629">
        <v>44651</v>
      </c>
      <c r="D57" s="1920">
        <v>0.1847</v>
      </c>
      <c r="E57" s="1920">
        <f t="shared" si="5"/>
        <v>0.27705000000000002</v>
      </c>
      <c r="F57" s="1933">
        <f t="shared" si="6"/>
        <v>6.7023198611315671E-4</v>
      </c>
      <c r="G57" s="2102">
        <f t="shared" si="2"/>
        <v>2357226.14</v>
      </c>
      <c r="H57" s="706">
        <f t="shared" si="7"/>
        <v>31</v>
      </c>
      <c r="I57" s="2103">
        <f t="shared" si="8"/>
        <v>48976.539083431555</v>
      </c>
      <c r="J57" s="686"/>
    </row>
    <row r="58" spans="1:10">
      <c r="A58" s="702">
        <v>46</v>
      </c>
      <c r="B58" s="1629">
        <v>44652</v>
      </c>
      <c r="C58" s="1629">
        <v>44681</v>
      </c>
      <c r="D58" s="1920">
        <v>0.1905</v>
      </c>
      <c r="E58" s="1920">
        <f t="shared" si="5"/>
        <v>0.28575</v>
      </c>
      <c r="F58" s="1933">
        <f t="shared" si="6"/>
        <v>6.8884592812357148E-4</v>
      </c>
      <c r="G58" s="2102">
        <f t="shared" si="2"/>
        <v>2357226.14</v>
      </c>
      <c r="H58" s="706">
        <f t="shared" si="7"/>
        <v>30</v>
      </c>
      <c r="I58" s="2103">
        <f t="shared" si="8"/>
        <v>48712.96884616332</v>
      </c>
      <c r="J58" s="686"/>
    </row>
    <row r="59" spans="1:10">
      <c r="A59" s="702">
        <v>47</v>
      </c>
      <c r="B59" s="1629">
        <v>44682</v>
      </c>
      <c r="C59" s="1629">
        <v>44712</v>
      </c>
      <c r="D59" s="1920">
        <v>0.1971</v>
      </c>
      <c r="E59" s="1920">
        <f t="shared" si="5"/>
        <v>0.29564999999999997</v>
      </c>
      <c r="F59" s="1933">
        <f t="shared" si="6"/>
        <v>7.0987512909947981E-4</v>
      </c>
      <c r="G59" s="2102">
        <f t="shared" si="2"/>
        <v>2357226.14</v>
      </c>
      <c r="H59" s="706">
        <f t="shared" si="7"/>
        <v>31</v>
      </c>
      <c r="I59" s="2103">
        <f t="shared" si="8"/>
        <v>51873.422523924222</v>
      </c>
      <c r="J59" s="686"/>
    </row>
    <row r="60" spans="1:10">
      <c r="A60" s="702">
        <v>48</v>
      </c>
      <c r="B60" s="1629">
        <v>44713</v>
      </c>
      <c r="C60" s="1629">
        <v>44742</v>
      </c>
      <c r="D60" s="1920">
        <v>0.20399999999999999</v>
      </c>
      <c r="E60" s="1920">
        <f t="shared" si="5"/>
        <v>0.30599999999999999</v>
      </c>
      <c r="F60" s="1933">
        <f t="shared" si="6"/>
        <v>7.3168955664093538E-4</v>
      </c>
      <c r="G60" s="2102">
        <f t="shared" si="2"/>
        <v>2357226.14</v>
      </c>
      <c r="H60" s="706">
        <f t="shared" si="7"/>
        <v>30</v>
      </c>
      <c r="I60" s="2103">
        <f t="shared" si="8"/>
        <v>51742.732478370708</v>
      </c>
      <c r="J60" s="686"/>
    </row>
    <row r="61" spans="1:10">
      <c r="A61" s="702">
        <v>49</v>
      </c>
      <c r="B61" s="1629">
        <v>44743</v>
      </c>
      <c r="C61" s="1629">
        <v>44773</v>
      </c>
      <c r="D61" s="1920">
        <v>0.21279999999999999</v>
      </c>
      <c r="E61" s="1920">
        <f t="shared" si="5"/>
        <v>0.31919999999999998</v>
      </c>
      <c r="F61" s="1933">
        <f t="shared" si="6"/>
        <v>7.5926204501630679E-4</v>
      </c>
      <c r="G61" s="2102">
        <f t="shared" si="2"/>
        <v>2357226.14</v>
      </c>
      <c r="H61" s="706">
        <f t="shared" si="7"/>
        <v>31</v>
      </c>
      <c r="I61" s="2103">
        <f t="shared" si="8"/>
        <v>55482.322528291152</v>
      </c>
      <c r="J61" s="686"/>
    </row>
    <row r="62" spans="1:10">
      <c r="A62" s="702">
        <v>50</v>
      </c>
      <c r="B62" s="1629">
        <v>44774</v>
      </c>
      <c r="C62" s="1629">
        <v>44804</v>
      </c>
      <c r="D62" s="1920">
        <v>0.22209999999999999</v>
      </c>
      <c r="E62" s="1920">
        <f t="shared" si="5"/>
        <v>0.33315</v>
      </c>
      <c r="F62" s="1933">
        <f t="shared" si="6"/>
        <v>7.8810371394433254E-4</v>
      </c>
      <c r="G62" s="2102">
        <f t="shared" si="2"/>
        <v>2357226.14</v>
      </c>
      <c r="H62" s="706">
        <f t="shared" si="7"/>
        <v>31</v>
      </c>
      <c r="I62" s="2103">
        <f t="shared" si="8"/>
        <v>57589.898941760563</v>
      </c>
      <c r="J62" s="686"/>
    </row>
    <row r="63" spans="1:10">
      <c r="A63" s="702">
        <v>51</v>
      </c>
      <c r="B63" s="1629">
        <v>44805</v>
      </c>
      <c r="C63" s="1629">
        <v>44834</v>
      </c>
      <c r="D63" s="1920">
        <v>0.23499999999999999</v>
      </c>
      <c r="E63" s="1920">
        <f t="shared" si="5"/>
        <v>0.35249999999999998</v>
      </c>
      <c r="F63" s="1933">
        <f t="shared" si="6"/>
        <v>8.2761552252574866E-4</v>
      </c>
      <c r="G63" s="2102">
        <f t="shared" si="2"/>
        <v>2357226.14</v>
      </c>
      <c r="H63" s="706">
        <f t="shared" si="7"/>
        <v>30</v>
      </c>
      <c r="I63" s="2103">
        <f t="shared" si="8"/>
        <v>58526.30830702361</v>
      </c>
      <c r="J63" s="686"/>
    </row>
    <row r="64" spans="1:10">
      <c r="A64" s="702">
        <v>52</v>
      </c>
      <c r="B64" s="1629">
        <v>44835</v>
      </c>
      <c r="C64" s="1629">
        <v>44865</v>
      </c>
      <c r="D64" s="1920">
        <v>0.24610000000000001</v>
      </c>
      <c r="E64" s="1920">
        <f t="shared" si="5"/>
        <v>0.36915000000000003</v>
      </c>
      <c r="F64" s="1933">
        <f t="shared" si="6"/>
        <v>8.611654102768096E-4</v>
      </c>
      <c r="G64" s="2102">
        <f t="shared" si="2"/>
        <v>2357226.14</v>
      </c>
      <c r="H64" s="706">
        <f t="shared" si="7"/>
        <v>31</v>
      </c>
      <c r="I64" s="2103">
        <f t="shared" si="8"/>
        <v>62928.810095017929</v>
      </c>
      <c r="J64" s="686"/>
    </row>
    <row r="65" spans="1:10">
      <c r="A65" s="702">
        <v>53</v>
      </c>
      <c r="B65" s="1629">
        <v>44866</v>
      </c>
      <c r="C65" s="1629">
        <v>44895</v>
      </c>
      <c r="D65" s="1920">
        <v>0.25779999999999997</v>
      </c>
      <c r="E65" s="1920">
        <f t="shared" ref="E65:E66" si="9">+D65*1.5</f>
        <v>0.38669999999999993</v>
      </c>
      <c r="F65" s="1933">
        <f t="shared" ref="F65:F66" si="10">((1+E65)^(1/365)-1)</f>
        <v>8.9609117817124329E-4</v>
      </c>
      <c r="G65" s="2102">
        <f t="shared" si="2"/>
        <v>2357226.14</v>
      </c>
      <c r="H65" s="706">
        <f t="shared" ref="H65:H66" si="11">+_xlfn.DAYS(C65,B65)+1</f>
        <v>30</v>
      </c>
      <c r="I65" s="2103">
        <f t="shared" ref="I65:I66" si="12">+G65*F65*H65</f>
        <v>63368.686470259563</v>
      </c>
      <c r="J65" s="686"/>
    </row>
    <row r="66" spans="1:10">
      <c r="A66" s="702">
        <v>54</v>
      </c>
      <c r="B66" s="1629">
        <v>44896</v>
      </c>
      <c r="C66" s="1629">
        <v>44926</v>
      </c>
      <c r="D66" s="1920">
        <v>0.27639999999999998</v>
      </c>
      <c r="E66" s="1920">
        <f t="shared" si="9"/>
        <v>0.41459999999999997</v>
      </c>
      <c r="F66" s="1933">
        <f t="shared" si="10"/>
        <v>9.5071686592063109E-4</v>
      </c>
      <c r="G66" s="2102">
        <f t="shared" si="2"/>
        <v>2357226.14</v>
      </c>
      <c r="H66" s="706">
        <f t="shared" si="11"/>
        <v>31</v>
      </c>
      <c r="I66" s="2103">
        <f t="shared" si="12"/>
        <v>69472.694090696605</v>
      </c>
      <c r="J66" s="686"/>
    </row>
    <row r="67" spans="1:10">
      <c r="A67" s="702">
        <v>55</v>
      </c>
      <c r="B67" s="1629">
        <v>44927</v>
      </c>
      <c r="C67" s="1629">
        <v>44957</v>
      </c>
      <c r="D67" s="1920">
        <v>0.28839999999999999</v>
      </c>
      <c r="E67" s="1920">
        <f t="shared" ref="E67:E69" si="13">+D67*1.5</f>
        <v>0.43259999999999998</v>
      </c>
      <c r="F67" s="1933">
        <f t="shared" ref="F67:F69" si="14">((1+E67)^(1/365)-1)</f>
        <v>9.8539196132163553E-4</v>
      </c>
      <c r="G67" s="2102">
        <f t="shared" si="2"/>
        <v>2357226.14</v>
      </c>
      <c r="H67" s="706">
        <f t="shared" ref="H67:H69" si="15">+_xlfn.DAYS(C67,B67)+1</f>
        <v>31</v>
      </c>
      <c r="I67" s="2103">
        <f t="shared" ref="I67:I69" si="16">+G67*F67*H67</f>
        <v>72006.542370570081</v>
      </c>
      <c r="J67" s="686"/>
    </row>
    <row r="68" spans="1:10">
      <c r="A68" s="702">
        <v>56</v>
      </c>
      <c r="B68" s="1629">
        <v>44958</v>
      </c>
      <c r="C68" s="1629">
        <v>44985</v>
      </c>
      <c r="D68" s="1920">
        <v>0.30180000000000001</v>
      </c>
      <c r="E68" s="1920">
        <f t="shared" si="13"/>
        <v>0.45269999999999999</v>
      </c>
      <c r="F68" s="1933">
        <f t="shared" si="14"/>
        <v>1.0236026853662761E-3</v>
      </c>
      <c r="G68" s="2102">
        <f t="shared" si="2"/>
        <v>2357226.14</v>
      </c>
      <c r="H68" s="706">
        <f t="shared" si="15"/>
        <v>28</v>
      </c>
      <c r="I68" s="2103">
        <f t="shared" si="16"/>
        <v>67560.164193748278</v>
      </c>
      <c r="J68" s="686"/>
    </row>
    <row r="69" spans="1:10">
      <c r="A69" s="702">
        <v>57</v>
      </c>
      <c r="B69" s="1629">
        <v>44986</v>
      </c>
      <c r="C69" s="1629">
        <v>45016</v>
      </c>
      <c r="D69" s="1920">
        <v>0.30840000000000001</v>
      </c>
      <c r="E69" s="1920">
        <f t="shared" si="13"/>
        <v>0.46260000000000001</v>
      </c>
      <c r="F69" s="1933">
        <f t="shared" si="14"/>
        <v>1.0422295217955568E-3</v>
      </c>
      <c r="G69" s="2102">
        <f t="shared" si="2"/>
        <v>2357226.14</v>
      </c>
      <c r="H69" s="706">
        <f t="shared" si="15"/>
        <v>31</v>
      </c>
      <c r="I69" s="2103">
        <f t="shared" si="16"/>
        <v>76159.890852341778</v>
      </c>
      <c r="J69" s="686"/>
    </row>
    <row r="70" spans="1:10">
      <c r="A70" s="702">
        <v>58</v>
      </c>
      <c r="B70" s="1629">
        <v>45017</v>
      </c>
      <c r="C70" s="1629">
        <v>45046</v>
      </c>
      <c r="D70" s="1920">
        <v>0.31390000000000001</v>
      </c>
      <c r="E70" s="1920">
        <f t="shared" ref="E70" si="17">+D70*1.5</f>
        <v>0.47084999999999999</v>
      </c>
      <c r="F70" s="1933">
        <f t="shared" ref="F70" si="18">((1+E70)^(1/365)-1)</f>
        <v>1.0576560884423269E-3</v>
      </c>
      <c r="G70" s="2102">
        <f t="shared" si="2"/>
        <v>2357226.14</v>
      </c>
      <c r="H70" s="706">
        <f t="shared" ref="H70" si="19">+_xlfn.DAYS(C70,B70)+1</f>
        <v>30</v>
      </c>
      <c r="I70" s="2103">
        <f t="shared" ref="I70" si="20">+G70*F70*H70</f>
        <v>74794.037364192147</v>
      </c>
      <c r="J70" s="686"/>
    </row>
    <row r="71" spans="1:10" ht="13.5">
      <c r="A71" s="686"/>
      <c r="B71" s="686"/>
      <c r="C71" s="686"/>
      <c r="D71" s="686"/>
      <c r="E71" s="686"/>
      <c r="F71" s="686"/>
      <c r="G71" s="688" t="s">
        <v>322</v>
      </c>
      <c r="H71" s="702"/>
      <c r="I71" s="2104">
        <f>SUM(I13:I70)</f>
        <v>2949064.1222293535</v>
      </c>
      <c r="J71" s="2104">
        <f>SUM(I13:I63)</f>
        <v>2462773.2967925272</v>
      </c>
    </row>
    <row r="72" spans="1:10" ht="13.5">
      <c r="A72" s="686"/>
      <c r="B72" s="686"/>
      <c r="C72" s="686"/>
      <c r="D72" s="686"/>
      <c r="E72" s="686"/>
      <c r="F72" s="686"/>
      <c r="G72" s="688" t="s">
        <v>1607</v>
      </c>
      <c r="H72" s="702"/>
      <c r="I72" s="747">
        <f>+C4+I71</f>
        <v>5306290.2622293532</v>
      </c>
      <c r="J72" s="686"/>
    </row>
  </sheetData>
  <mergeCells count="1">
    <mergeCell ref="B11:H11"/>
  </mergeCells>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1EF03-29AA-40BB-A420-E07E6720ED12}">
  <sheetPr codeName="Hoja63"/>
  <dimension ref="A4:I119"/>
  <sheetViews>
    <sheetView topLeftCell="A95" workbookViewId="0">
      <selection activeCell="C18" sqref="C18"/>
    </sheetView>
  </sheetViews>
  <sheetFormatPr defaultColWidth="9.140625" defaultRowHeight="12.75"/>
  <cols>
    <col min="1" max="1" width="3" style="814" customWidth="1"/>
    <col min="2" max="2" width="21.42578125" style="814" customWidth="1"/>
    <col min="3" max="3" width="18.7109375" style="814" customWidth="1"/>
    <col min="4" max="4" width="17.28515625" style="814" customWidth="1"/>
    <col min="5" max="5" width="11" style="814" customWidth="1"/>
    <col min="6" max="6" width="10.85546875" style="814" bestFit="1" customWidth="1"/>
    <col min="7" max="7" width="15.28515625" style="814" customWidth="1"/>
    <col min="8" max="8" width="11.42578125" style="814" customWidth="1"/>
    <col min="9" max="9" width="12.5703125" style="814" customWidth="1"/>
    <col min="10" max="257" width="11.42578125" style="814" customWidth="1"/>
    <col min="258" max="16384" width="9.140625" style="814"/>
  </cols>
  <sheetData>
    <row r="4" spans="1:7">
      <c r="B4" s="1201" t="s">
        <v>121</v>
      </c>
      <c r="C4" s="741" t="s">
        <v>1608</v>
      </c>
    </row>
    <row r="5" spans="1:7">
      <c r="B5" s="741" t="s">
        <v>124</v>
      </c>
      <c r="C5" s="1203" t="s">
        <v>1609</v>
      </c>
      <c r="F5" s="726" t="s">
        <v>67</v>
      </c>
      <c r="G5" s="1121">
        <f>+C50</f>
        <v>13509219.8275444</v>
      </c>
    </row>
    <row r="6" spans="1:7">
      <c r="B6" s="726" t="s">
        <v>920</v>
      </c>
      <c r="C6" s="1203" t="s">
        <v>851</v>
      </c>
    </row>
    <row r="7" spans="1:7">
      <c r="B7" s="726" t="s">
        <v>4</v>
      </c>
      <c r="C7" s="1349" t="s">
        <v>1610</v>
      </c>
    </row>
    <row r="8" spans="1:7">
      <c r="B8" s="726" t="s">
        <v>1307</v>
      </c>
      <c r="C8" s="1349" t="s">
        <v>1611</v>
      </c>
    </row>
    <row r="9" spans="1:7">
      <c r="B9" s="900" t="s">
        <v>1612</v>
      </c>
    </row>
    <row r="10" spans="1:7">
      <c r="B10" s="814" t="s">
        <v>1613</v>
      </c>
    </row>
    <row r="11" spans="1:7">
      <c r="B11" s="814" t="s">
        <v>1614</v>
      </c>
    </row>
    <row r="12" spans="1:7" ht="25.5">
      <c r="B12" s="923" t="s">
        <v>1615</v>
      </c>
      <c r="C12" s="923" t="s">
        <v>40</v>
      </c>
      <c r="D12" s="1112" t="s">
        <v>1616</v>
      </c>
      <c r="E12" s="923" t="s">
        <v>1617</v>
      </c>
    </row>
    <row r="13" spans="1:7">
      <c r="A13" s="814">
        <v>1</v>
      </c>
      <c r="B13" s="1073">
        <v>38939</v>
      </c>
      <c r="C13" s="1073">
        <v>39060</v>
      </c>
      <c r="D13" s="812">
        <v>3500000</v>
      </c>
      <c r="E13" s="1131">
        <f>_xlfn.DAYS(C13,B13)+1</f>
        <v>122</v>
      </c>
    </row>
    <row r="14" spans="1:7">
      <c r="A14" s="814">
        <v>2</v>
      </c>
      <c r="B14" s="1073">
        <v>39119</v>
      </c>
      <c r="C14" s="1073">
        <v>39207</v>
      </c>
      <c r="D14" s="812">
        <v>2250000</v>
      </c>
      <c r="E14" s="1131">
        <f>_xlfn.DAYS(C14,B14)+1</f>
        <v>89</v>
      </c>
    </row>
    <row r="15" spans="1:7">
      <c r="A15" s="814">
        <v>3</v>
      </c>
      <c r="B15" s="1073">
        <v>39234</v>
      </c>
      <c r="C15" s="1073">
        <v>39386</v>
      </c>
      <c r="D15" s="812">
        <v>3750000</v>
      </c>
      <c r="E15" s="1131">
        <f>_xlfn.DAYS(C15,B15)+1</f>
        <v>153</v>
      </c>
    </row>
    <row r="16" spans="1:7">
      <c r="A16" s="814">
        <v>4</v>
      </c>
      <c r="B16" s="1073">
        <v>39428</v>
      </c>
      <c r="C16" s="1073">
        <v>39447</v>
      </c>
      <c r="D16" s="812">
        <v>750000</v>
      </c>
      <c r="E16" s="1131">
        <f>_xlfn.DAYS(C16,B16)+1</f>
        <v>20</v>
      </c>
    </row>
    <row r="17" spans="1:6">
      <c r="D17" s="979"/>
    </row>
    <row r="18" spans="1:6">
      <c r="B18" s="814" t="s">
        <v>1618</v>
      </c>
      <c r="C18" s="814">
        <v>99.3</v>
      </c>
      <c r="D18" s="979"/>
    </row>
    <row r="19" spans="1:6">
      <c r="A19" s="900">
        <v>1</v>
      </c>
      <c r="B19" s="900" t="s">
        <v>1619</v>
      </c>
      <c r="C19" s="1148"/>
      <c r="D19" s="1613" t="s">
        <v>1620</v>
      </c>
      <c r="E19" s="1209" t="s">
        <v>1621</v>
      </c>
      <c r="F19" s="1209" t="s">
        <v>1622</v>
      </c>
    </row>
    <row r="20" spans="1:6">
      <c r="B20" s="814" t="s">
        <v>472</v>
      </c>
      <c r="C20" s="1148">
        <f>+(D13*E13)/360</f>
        <v>1186111.111111111</v>
      </c>
      <c r="D20" s="979"/>
    </row>
    <row r="21" spans="1:6">
      <c r="B21" s="814" t="s">
        <v>475</v>
      </c>
      <c r="C21" s="1148">
        <f>+(C20*E13*0.12)/360</f>
        <v>48235.185185185175</v>
      </c>
      <c r="D21" s="979"/>
    </row>
    <row r="22" spans="1:6">
      <c r="B22" s="814" t="s">
        <v>477</v>
      </c>
      <c r="C22" s="1116">
        <f>+(D13*E13)/360</f>
        <v>1186111.111111111</v>
      </c>
    </row>
    <row r="23" spans="1:6" ht="13.5" thickBot="1">
      <c r="B23" s="1151" t="s">
        <v>482</v>
      </c>
      <c r="C23" s="1152">
        <f>+(D13*E13)/720</f>
        <v>593055.5555555555</v>
      </c>
      <c r="D23" s="814">
        <v>61.33</v>
      </c>
      <c r="E23" s="814">
        <f>+$C$18/D23</f>
        <v>1.6191097342246861</v>
      </c>
      <c r="F23" s="1148">
        <f>+C24*E23</f>
        <v>4879208.1725456091</v>
      </c>
    </row>
    <row r="24" spans="1:6">
      <c r="B24" s="900" t="s">
        <v>276</v>
      </c>
      <c r="C24" s="1118">
        <f>SUM(C20:C23)</f>
        <v>3013512.9629629627</v>
      </c>
    </row>
    <row r="27" spans="1:6">
      <c r="A27" s="814">
        <v>2</v>
      </c>
      <c r="B27" s="900" t="s">
        <v>1623</v>
      </c>
      <c r="C27" s="1148"/>
      <c r="D27" s="1614" t="s">
        <v>1624</v>
      </c>
      <c r="E27" s="1209" t="s">
        <v>1621</v>
      </c>
      <c r="F27" s="1209" t="s">
        <v>1622</v>
      </c>
    </row>
    <row r="28" spans="1:6">
      <c r="B28" s="814" t="s">
        <v>472</v>
      </c>
      <c r="C28" s="1148">
        <f>+(D14*E14)/360</f>
        <v>556250</v>
      </c>
      <c r="D28" s="979"/>
    </row>
    <row r="29" spans="1:6">
      <c r="B29" s="814" t="s">
        <v>475</v>
      </c>
      <c r="C29" s="1148">
        <f>+(C28*E14*0.12)/360</f>
        <v>16502.083333333332</v>
      </c>
      <c r="D29" s="979"/>
    </row>
    <row r="30" spans="1:6">
      <c r="B30" s="814" t="s">
        <v>477</v>
      </c>
      <c r="C30" s="1116">
        <f>+(D14*E14)/360</f>
        <v>556250</v>
      </c>
    </row>
    <row r="31" spans="1:6" ht="13.5" thickBot="1">
      <c r="B31" s="1151" t="s">
        <v>482</v>
      </c>
      <c r="C31" s="1152">
        <f>+(D14*E14)/720</f>
        <v>278125</v>
      </c>
      <c r="D31" s="814">
        <v>64.05</v>
      </c>
      <c r="E31" s="814">
        <f>+$C$18/D31</f>
        <v>1.550351288056206</v>
      </c>
      <c r="F31" s="1148">
        <f>+C32*E31</f>
        <v>2181541.286104606</v>
      </c>
    </row>
    <row r="32" spans="1:6">
      <c r="B32" s="900" t="s">
        <v>1344</v>
      </c>
      <c r="C32" s="1118">
        <f>SUM(C28:C31)</f>
        <v>1407127.0833333335</v>
      </c>
    </row>
    <row r="35" spans="1:6">
      <c r="A35" s="900">
        <v>3</v>
      </c>
      <c r="B35" s="900" t="s">
        <v>1625</v>
      </c>
      <c r="C35" s="1148"/>
      <c r="D35" s="1613" t="s">
        <v>1624</v>
      </c>
      <c r="E35" s="1209" t="s">
        <v>1621</v>
      </c>
      <c r="F35" s="1209" t="s">
        <v>1622</v>
      </c>
    </row>
    <row r="36" spans="1:6">
      <c r="B36" s="814" t="s">
        <v>472</v>
      </c>
      <c r="C36" s="1148">
        <f>+(D15*E15)/360</f>
        <v>1593750</v>
      </c>
      <c r="D36" s="979"/>
    </row>
    <row r="37" spans="1:6">
      <c r="B37" s="814" t="s">
        <v>475</v>
      </c>
      <c r="C37" s="1148">
        <f>+(C36*E15*0.12)/360</f>
        <v>81281.25</v>
      </c>
      <c r="D37" s="979"/>
    </row>
    <row r="38" spans="1:6">
      <c r="B38" s="814" t="s">
        <v>477</v>
      </c>
      <c r="C38" s="1116">
        <f>+(D15*E15)/360</f>
        <v>1593750</v>
      </c>
    </row>
    <row r="39" spans="1:6" ht="13.5" thickBot="1">
      <c r="B39" s="1151" t="s">
        <v>482</v>
      </c>
      <c r="C39" s="1152">
        <f>+(D15*E15)/720</f>
        <v>796875</v>
      </c>
      <c r="D39" s="814">
        <v>64.2</v>
      </c>
      <c r="E39" s="814">
        <f>+$C$18/D39</f>
        <v>1.5467289719626167</v>
      </c>
      <c r="F39" s="1148">
        <f>+C40*E39</f>
        <v>6288468.3119158875</v>
      </c>
    </row>
    <row r="40" spans="1:6">
      <c r="B40" s="900" t="s">
        <v>1344</v>
      </c>
      <c r="C40" s="1118">
        <f>SUM(C36:C39)</f>
        <v>4065656.25</v>
      </c>
    </row>
    <row r="43" spans="1:6">
      <c r="A43" s="900">
        <v>4</v>
      </c>
      <c r="B43" s="900" t="s">
        <v>1626</v>
      </c>
      <c r="C43" s="1148"/>
      <c r="D43" s="1613" t="s">
        <v>1624</v>
      </c>
      <c r="E43" s="1209" t="s">
        <v>1621</v>
      </c>
      <c r="F43" s="1209" t="s">
        <v>1622</v>
      </c>
    </row>
    <row r="44" spans="1:6">
      <c r="B44" s="814" t="s">
        <v>472</v>
      </c>
      <c r="C44" s="1148">
        <f>+(D16*E16)/360</f>
        <v>41666.666666666664</v>
      </c>
      <c r="D44" s="979"/>
    </row>
    <row r="45" spans="1:6">
      <c r="B45" s="814" t="s">
        <v>475</v>
      </c>
      <c r="C45" s="1148">
        <f>+(C44*E16*0.12)/360</f>
        <v>277.77777777777771</v>
      </c>
      <c r="D45" s="979"/>
    </row>
    <row r="46" spans="1:6">
      <c r="B46" s="814" t="s">
        <v>477</v>
      </c>
      <c r="C46" s="1116">
        <f>+(D16*E16)/360</f>
        <v>41666.666666666664</v>
      </c>
    </row>
    <row r="47" spans="1:6" ht="13.5" thickBot="1">
      <c r="B47" s="1151" t="s">
        <v>482</v>
      </c>
      <c r="C47" s="1152">
        <f>+(D16*E16)/720</f>
        <v>20833.333333333332</v>
      </c>
      <c r="D47" s="814">
        <v>64.819999999999993</v>
      </c>
      <c r="E47" s="814">
        <f>+$C$18/D47</f>
        <v>1.5319345880900959</v>
      </c>
      <c r="F47" s="1148">
        <f>+C48*E47</f>
        <v>160002.0569782989</v>
      </c>
    </row>
    <row r="48" spans="1:6">
      <c r="B48" s="900" t="s">
        <v>1344</v>
      </c>
      <c r="C48" s="1118">
        <f>SUM(C44:C47)</f>
        <v>104444.44444444444</v>
      </c>
    </row>
    <row r="50" spans="1:9">
      <c r="B50" s="814" t="s">
        <v>1627</v>
      </c>
      <c r="C50" s="1118">
        <f>+F23+F31+F39+F47</f>
        <v>13509219.8275444</v>
      </c>
    </row>
    <row r="51" spans="1:9">
      <c r="B51" s="814" t="s">
        <v>1327</v>
      </c>
      <c r="C51" s="1074">
        <v>43339</v>
      </c>
    </row>
    <row r="52" spans="1:9" ht="12.75" customHeight="1">
      <c r="B52" s="2686" t="s">
        <v>957</v>
      </c>
      <c r="C52" s="2686"/>
      <c r="D52" s="2686"/>
      <c r="E52" s="2686"/>
      <c r="F52" s="2686"/>
      <c r="G52" s="2686"/>
      <c r="H52" s="2686"/>
      <c r="I52" s="2686"/>
    </row>
    <row r="53" spans="1:9" ht="15.75" customHeight="1">
      <c r="B53" s="1540" t="s">
        <v>206</v>
      </c>
      <c r="C53" s="1540" t="s">
        <v>10</v>
      </c>
      <c r="D53" s="1113" t="s">
        <v>148</v>
      </c>
      <c r="E53" s="1112" t="s">
        <v>149</v>
      </c>
      <c r="F53" s="1113" t="s">
        <v>43</v>
      </c>
      <c r="G53" s="1112" t="s">
        <v>129</v>
      </c>
      <c r="H53" s="1112" t="s">
        <v>47</v>
      </c>
      <c r="I53" s="1112" t="s">
        <v>48</v>
      </c>
    </row>
    <row r="54" spans="1:9">
      <c r="A54" s="814">
        <v>1</v>
      </c>
      <c r="B54" s="1073">
        <v>43340</v>
      </c>
      <c r="C54" s="1073">
        <v>43343</v>
      </c>
      <c r="D54" s="1120">
        <v>0.19939999999999999</v>
      </c>
      <c r="E54" s="1120">
        <f t="shared" ref="E54:E95" si="0">+D54*1.5</f>
        <v>0.29909999999999998</v>
      </c>
      <c r="F54" s="909">
        <f t="shared" ref="F54:F95" si="1">((1+E54)^(1/365)-1)</f>
        <v>7.1716585429704161E-4</v>
      </c>
      <c r="G54" s="1615">
        <f t="shared" ref="G54:G60" si="2">+$C$50</f>
        <v>13509219.8275444</v>
      </c>
      <c r="H54" s="1122">
        <f t="shared" ref="H54:H60" si="3">+_xlfn.DAYS(C54,B54)+1</f>
        <v>4</v>
      </c>
      <c r="I54" s="1356">
        <f t="shared" ref="I54:I60" si="4">+G54*F54*H54</f>
        <v>38753.404714029653</v>
      </c>
    </row>
    <row r="55" spans="1:9">
      <c r="A55" s="814">
        <v>2</v>
      </c>
      <c r="B55" s="1073">
        <v>43344</v>
      </c>
      <c r="C55" s="1073">
        <v>43373</v>
      </c>
      <c r="D55" s="1120">
        <v>0.1981</v>
      </c>
      <c r="E55" s="1120">
        <f t="shared" si="0"/>
        <v>0.29715000000000003</v>
      </c>
      <c r="F55" s="909">
        <f t="shared" si="1"/>
        <v>7.1304738558919389E-4</v>
      </c>
      <c r="G55" s="1615">
        <f t="shared" si="2"/>
        <v>13509219.8275444</v>
      </c>
      <c r="H55" s="1122">
        <f t="shared" si="3"/>
        <v>30</v>
      </c>
      <c r="I55" s="1356">
        <f t="shared" si="4"/>
        <v>288981.41638140706</v>
      </c>
    </row>
    <row r="56" spans="1:9">
      <c r="A56" s="814">
        <v>3</v>
      </c>
      <c r="B56" s="1073">
        <v>43374</v>
      </c>
      <c r="C56" s="1073">
        <v>43404</v>
      </c>
      <c r="D56" s="1120">
        <v>0.1963</v>
      </c>
      <c r="E56" s="1120">
        <f t="shared" si="0"/>
        <v>0.29444999999999999</v>
      </c>
      <c r="F56" s="909">
        <f t="shared" si="1"/>
        <v>7.073346857742191E-4</v>
      </c>
      <c r="G56" s="1615">
        <f t="shared" si="2"/>
        <v>13509219.8275444</v>
      </c>
      <c r="H56" s="1122">
        <f t="shared" si="3"/>
        <v>31</v>
      </c>
      <c r="I56" s="1356">
        <f t="shared" si="4"/>
        <v>296221.73261490004</v>
      </c>
    </row>
    <row r="57" spans="1:9">
      <c r="A57" s="814">
        <v>4</v>
      </c>
      <c r="B57" s="1073">
        <v>43405</v>
      </c>
      <c r="C57" s="1073">
        <v>43434</v>
      </c>
      <c r="D57" s="1120">
        <v>0.19489999999999999</v>
      </c>
      <c r="E57" s="1120">
        <f t="shared" si="0"/>
        <v>0.29235</v>
      </c>
      <c r="F57" s="909">
        <f t="shared" si="1"/>
        <v>7.0288325333756063E-4</v>
      </c>
      <c r="G57" s="1615">
        <f t="shared" si="2"/>
        <v>13509219.8275444</v>
      </c>
      <c r="H57" s="1122">
        <f t="shared" si="3"/>
        <v>30</v>
      </c>
      <c r="I57" s="1356">
        <f t="shared" si="4"/>
        <v>284862.13147310063</v>
      </c>
    </row>
    <row r="58" spans="1:9">
      <c r="A58" s="814">
        <v>5</v>
      </c>
      <c r="B58" s="1073">
        <v>43435</v>
      </c>
      <c r="C58" s="1073">
        <v>43465</v>
      </c>
      <c r="D58" s="1120">
        <v>0.19400000000000001</v>
      </c>
      <c r="E58" s="1120">
        <f t="shared" si="0"/>
        <v>0.29100000000000004</v>
      </c>
      <c r="F58" s="909">
        <f t="shared" si="1"/>
        <v>7.0001780740103214E-4</v>
      </c>
      <c r="G58" s="1615">
        <f t="shared" si="2"/>
        <v>13509219.8275444</v>
      </c>
      <c r="H58" s="1122">
        <f t="shared" si="3"/>
        <v>31</v>
      </c>
      <c r="I58" s="1356">
        <f t="shared" si="4"/>
        <v>293157.52774466161</v>
      </c>
    </row>
    <row r="59" spans="1:9">
      <c r="A59" s="814">
        <v>6</v>
      </c>
      <c r="B59" s="1073">
        <v>43466</v>
      </c>
      <c r="C59" s="1073">
        <v>43496</v>
      </c>
      <c r="D59" s="1120">
        <v>0.19159999999999999</v>
      </c>
      <c r="E59" s="1120">
        <f t="shared" si="0"/>
        <v>0.28739999999999999</v>
      </c>
      <c r="F59" s="909">
        <f t="shared" si="1"/>
        <v>6.9236198468725085E-4</v>
      </c>
      <c r="G59" s="1615">
        <f t="shared" si="2"/>
        <v>13509219.8275444</v>
      </c>
      <c r="H59" s="1122">
        <f t="shared" si="3"/>
        <v>31</v>
      </c>
      <c r="I59" s="1356">
        <f t="shared" si="4"/>
        <v>289951.37779262505</v>
      </c>
    </row>
    <row r="60" spans="1:9">
      <c r="A60" s="814">
        <v>7</v>
      </c>
      <c r="B60" s="1073">
        <v>43497</v>
      </c>
      <c r="C60" s="1073">
        <v>43518</v>
      </c>
      <c r="D60" s="1120">
        <v>0.19700000000000001</v>
      </c>
      <c r="E60" s="1120">
        <f t="shared" si="0"/>
        <v>0.29549999999999998</v>
      </c>
      <c r="F60" s="909">
        <f t="shared" si="1"/>
        <v>7.0955770203506852E-4</v>
      </c>
      <c r="G60" s="1615">
        <f t="shared" si="2"/>
        <v>13509219.8275444</v>
      </c>
      <c r="H60" s="1122">
        <f t="shared" si="3"/>
        <v>22</v>
      </c>
      <c r="I60" s="1356">
        <f t="shared" si="4"/>
        <v>210882.56149661774</v>
      </c>
    </row>
    <row r="61" spans="1:9">
      <c r="A61" s="814">
        <v>8</v>
      </c>
      <c r="B61" s="1073">
        <v>43525</v>
      </c>
      <c r="C61" s="1073">
        <v>43555</v>
      </c>
      <c r="D61" s="1120">
        <v>0.19370000000000001</v>
      </c>
      <c r="E61" s="1120">
        <f t="shared" si="0"/>
        <v>0.29055000000000003</v>
      </c>
      <c r="F61" s="909">
        <f t="shared" si="1"/>
        <v>6.9906199467517638E-4</v>
      </c>
      <c r="G61" s="1615"/>
      <c r="H61" s="1122"/>
      <c r="I61" s="1356"/>
    </row>
    <row r="62" spans="1:9">
      <c r="A62" s="814">
        <v>9</v>
      </c>
      <c r="B62" s="1073">
        <v>43556</v>
      </c>
      <c r="C62" s="1073">
        <v>43585</v>
      </c>
      <c r="D62" s="1120">
        <v>0.19320000000000001</v>
      </c>
      <c r="E62" s="1120">
        <f t="shared" si="0"/>
        <v>0.2898</v>
      </c>
      <c r="F62" s="909">
        <f t="shared" si="1"/>
        <v>6.9746823462724095E-4</v>
      </c>
      <c r="G62" s="1615"/>
      <c r="H62" s="1122"/>
      <c r="I62" s="1356"/>
    </row>
    <row r="63" spans="1:9">
      <c r="A63" s="814">
        <v>10</v>
      </c>
      <c r="B63" s="1073">
        <v>43586</v>
      </c>
      <c r="C63" s="1073">
        <v>43616</v>
      </c>
      <c r="D63" s="1120">
        <v>0.19339999999999999</v>
      </c>
      <c r="E63" s="1120">
        <f t="shared" si="0"/>
        <v>0.29009999999999997</v>
      </c>
      <c r="F63" s="909">
        <f t="shared" si="1"/>
        <v>6.9810584952367805E-4</v>
      </c>
      <c r="G63" s="1615"/>
      <c r="H63" s="1122"/>
      <c r="I63" s="1356"/>
    </row>
    <row r="64" spans="1:9">
      <c r="A64" s="814">
        <v>11</v>
      </c>
      <c r="B64" s="1073">
        <v>43617</v>
      </c>
      <c r="C64" s="1073">
        <v>43646</v>
      </c>
      <c r="D64" s="1120">
        <v>0.193</v>
      </c>
      <c r="E64" s="1120">
        <f t="shared" si="0"/>
        <v>0.28949999999999998</v>
      </c>
      <c r="F64" s="909">
        <f t="shared" si="1"/>
        <v>6.9683047181468005E-4</v>
      </c>
      <c r="G64" s="1615"/>
      <c r="H64" s="1122"/>
      <c r="I64" s="1356"/>
    </row>
    <row r="65" spans="1:9">
      <c r="A65" s="814">
        <v>12</v>
      </c>
      <c r="B65" s="1073">
        <v>43647</v>
      </c>
      <c r="C65" s="1073">
        <v>43677</v>
      </c>
      <c r="D65" s="1120">
        <v>0.1928</v>
      </c>
      <c r="E65" s="1120">
        <f t="shared" si="0"/>
        <v>0.28920000000000001</v>
      </c>
      <c r="F65" s="909">
        <f t="shared" si="1"/>
        <v>6.9619256101671745E-4</v>
      </c>
      <c r="G65" s="1615"/>
      <c r="H65" s="1122"/>
      <c r="I65" s="1356"/>
    </row>
    <row r="66" spans="1:9">
      <c r="A66" s="814">
        <v>13</v>
      </c>
      <c r="B66" s="1073">
        <v>43678</v>
      </c>
      <c r="C66" s="1073">
        <v>43708</v>
      </c>
      <c r="D66" s="1120">
        <v>0.19320000000000001</v>
      </c>
      <c r="E66" s="1120">
        <f t="shared" si="0"/>
        <v>0.2898</v>
      </c>
      <c r="F66" s="909">
        <f t="shared" si="1"/>
        <v>6.9746823462724095E-4</v>
      </c>
      <c r="G66" s="1615"/>
      <c r="H66" s="1122"/>
      <c r="I66" s="1356"/>
    </row>
    <row r="67" spans="1:9">
      <c r="A67" s="814">
        <v>14</v>
      </c>
      <c r="B67" s="1073">
        <v>43709</v>
      </c>
      <c r="C67" s="1073">
        <v>43738</v>
      </c>
      <c r="D67" s="1120">
        <v>0.19320000000000001</v>
      </c>
      <c r="E67" s="1120">
        <f t="shared" si="0"/>
        <v>0.2898</v>
      </c>
      <c r="F67" s="909">
        <f t="shared" si="1"/>
        <v>6.9746823462724095E-4</v>
      </c>
      <c r="G67" s="1615"/>
      <c r="H67" s="1122"/>
      <c r="I67" s="1356"/>
    </row>
    <row r="68" spans="1:9">
      <c r="A68" s="814">
        <v>15</v>
      </c>
      <c r="B68" s="1073">
        <v>43739</v>
      </c>
      <c r="C68" s="1073">
        <v>43769</v>
      </c>
      <c r="D68" s="1120">
        <v>0.191</v>
      </c>
      <c r="E68" s="1120">
        <f t="shared" si="0"/>
        <v>0.28649999999999998</v>
      </c>
      <c r="F68" s="909">
        <f t="shared" si="1"/>
        <v>6.9044469314105683E-4</v>
      </c>
      <c r="G68" s="1615"/>
      <c r="H68" s="1122"/>
      <c r="I68" s="1356"/>
    </row>
    <row r="69" spans="1:9">
      <c r="A69" s="814">
        <v>16</v>
      </c>
      <c r="B69" s="1073">
        <v>43770</v>
      </c>
      <c r="C69" s="1073">
        <v>43799</v>
      </c>
      <c r="D69" s="1120">
        <v>0.1903</v>
      </c>
      <c r="E69" s="1120">
        <f t="shared" si="0"/>
        <v>0.28544999999999998</v>
      </c>
      <c r="F69" s="909">
        <f t="shared" si="1"/>
        <v>6.8820616169262827E-4</v>
      </c>
      <c r="G69" s="1615"/>
      <c r="H69" s="1122"/>
      <c r="I69" s="1356"/>
    </row>
    <row r="70" spans="1:9">
      <c r="A70" s="814">
        <v>17</v>
      </c>
      <c r="B70" s="1073">
        <v>43800</v>
      </c>
      <c r="C70" s="1073">
        <v>43830</v>
      </c>
      <c r="D70" s="1120">
        <v>0.18909999999999999</v>
      </c>
      <c r="E70" s="1120">
        <f t="shared" si="0"/>
        <v>0.28364999999999996</v>
      </c>
      <c r="F70" s="909">
        <f t="shared" si="1"/>
        <v>6.8436443340047504E-4</v>
      </c>
      <c r="G70" s="1615"/>
      <c r="H70" s="1122"/>
      <c r="I70" s="1356"/>
    </row>
    <row r="71" spans="1:9">
      <c r="A71" s="814">
        <v>18</v>
      </c>
      <c r="B71" s="1073">
        <v>43831</v>
      </c>
      <c r="C71" s="1073">
        <v>43861</v>
      </c>
      <c r="D71" s="1120">
        <v>0.18770000000000001</v>
      </c>
      <c r="E71" s="1120">
        <f t="shared" si="0"/>
        <v>0.28155000000000002</v>
      </c>
      <c r="F71" s="909">
        <f t="shared" si="1"/>
        <v>6.7987562124560696E-4</v>
      </c>
      <c r="G71" s="1615"/>
      <c r="H71" s="1122"/>
      <c r="I71" s="1356"/>
    </row>
    <row r="72" spans="1:9">
      <c r="A72" s="814">
        <v>19</v>
      </c>
      <c r="B72" s="1073">
        <v>43862</v>
      </c>
      <c r="C72" s="1073">
        <v>43890</v>
      </c>
      <c r="D72" s="1120">
        <v>0.19059999999999999</v>
      </c>
      <c r="E72" s="1120">
        <f t="shared" si="0"/>
        <v>0.28589999999999999</v>
      </c>
      <c r="F72" s="909">
        <f t="shared" si="1"/>
        <v>6.8916575551658532E-4</v>
      </c>
      <c r="G72" s="1615"/>
      <c r="H72" s="1122"/>
      <c r="I72" s="1356"/>
    </row>
    <row r="73" spans="1:9">
      <c r="A73" s="814">
        <v>20</v>
      </c>
      <c r="B73" s="1073">
        <v>43891</v>
      </c>
      <c r="C73" s="1073">
        <v>43921</v>
      </c>
      <c r="D73" s="1120">
        <v>0.1895</v>
      </c>
      <c r="E73" s="1120">
        <f t="shared" si="0"/>
        <v>0.28425</v>
      </c>
      <c r="F73" s="909">
        <f t="shared" si="1"/>
        <v>6.8564560609574166E-4</v>
      </c>
      <c r="G73" s="1615"/>
      <c r="H73" s="1122"/>
      <c r="I73" s="1356"/>
    </row>
    <row r="74" spans="1:9">
      <c r="A74" s="814">
        <v>21</v>
      </c>
      <c r="B74" s="1073">
        <v>43922</v>
      </c>
      <c r="C74" s="1073">
        <v>43951</v>
      </c>
      <c r="D74" s="1120">
        <v>0.18690000000000001</v>
      </c>
      <c r="E74" s="1120">
        <f t="shared" si="0"/>
        <v>0.28034999999999999</v>
      </c>
      <c r="F74" s="909">
        <f t="shared" si="1"/>
        <v>6.7730729113191224E-4</v>
      </c>
      <c r="G74" s="1615"/>
      <c r="H74" s="1122"/>
      <c r="I74" s="1356"/>
    </row>
    <row r="75" spans="1:9">
      <c r="A75" s="814">
        <v>22</v>
      </c>
      <c r="B75" s="1073">
        <v>43952</v>
      </c>
      <c r="C75" s="1073">
        <v>43982</v>
      </c>
      <c r="D75" s="1120">
        <v>0.18190000000000001</v>
      </c>
      <c r="E75" s="1120">
        <f t="shared" si="0"/>
        <v>0.27285000000000004</v>
      </c>
      <c r="F75" s="909">
        <f t="shared" si="1"/>
        <v>6.6120063584418354E-4</v>
      </c>
      <c r="G75" s="1615"/>
      <c r="H75" s="1122"/>
      <c r="I75" s="1356"/>
    </row>
    <row r="76" spans="1:9">
      <c r="A76" s="814">
        <v>23</v>
      </c>
      <c r="B76" s="1073">
        <v>43983</v>
      </c>
      <c r="C76" s="1073">
        <v>44012</v>
      </c>
      <c r="D76" s="1120">
        <v>0.1812</v>
      </c>
      <c r="E76" s="1120">
        <f t="shared" si="0"/>
        <v>0.27179999999999999</v>
      </c>
      <c r="F76" s="909">
        <f t="shared" si="1"/>
        <v>6.5893815469997286E-4</v>
      </c>
      <c r="G76" s="1615"/>
      <c r="H76" s="1122"/>
      <c r="I76" s="1356"/>
    </row>
    <row r="77" spans="1:9">
      <c r="A77" s="814">
        <v>24</v>
      </c>
      <c r="B77" s="1073">
        <v>44013</v>
      </c>
      <c r="C77" s="1073">
        <v>44043</v>
      </c>
      <c r="D77" s="1120">
        <v>0.1812</v>
      </c>
      <c r="E77" s="1120">
        <f t="shared" si="0"/>
        <v>0.27179999999999999</v>
      </c>
      <c r="F77" s="909">
        <f t="shared" si="1"/>
        <v>6.5893815469997286E-4</v>
      </c>
      <c r="G77" s="1615"/>
      <c r="H77" s="1122"/>
      <c r="I77" s="1356"/>
    </row>
    <row r="78" spans="1:9">
      <c r="A78" s="814">
        <v>25</v>
      </c>
      <c r="B78" s="1073">
        <v>44044</v>
      </c>
      <c r="C78" s="1073">
        <v>44074</v>
      </c>
      <c r="D78" s="1120">
        <v>0.18290000000000001</v>
      </c>
      <c r="E78" s="1120">
        <f t="shared" si="0"/>
        <v>0.27434999999999998</v>
      </c>
      <c r="F78" s="909">
        <f t="shared" si="1"/>
        <v>6.6442952514544906E-4</v>
      </c>
      <c r="G78" s="1615"/>
      <c r="H78" s="1122"/>
      <c r="I78" s="1356"/>
    </row>
    <row r="79" spans="1:9">
      <c r="A79" s="814">
        <v>26</v>
      </c>
      <c r="B79" s="1073">
        <v>44075</v>
      </c>
      <c r="C79" s="1073">
        <v>44104</v>
      </c>
      <c r="D79" s="1120">
        <v>0.1835</v>
      </c>
      <c r="E79" s="1120">
        <f t="shared" si="0"/>
        <v>0.27524999999999999</v>
      </c>
      <c r="F79" s="909">
        <f t="shared" si="1"/>
        <v>6.6636503991857055E-4</v>
      </c>
      <c r="G79" s="1615"/>
      <c r="H79" s="1122"/>
      <c r="I79" s="1356"/>
    </row>
    <row r="80" spans="1:9">
      <c r="A80" s="814">
        <v>27</v>
      </c>
      <c r="B80" s="1073">
        <v>44105</v>
      </c>
      <c r="C80" s="1073">
        <v>44135</v>
      </c>
      <c r="D80" s="1120">
        <v>0.18090000000000001</v>
      </c>
      <c r="E80" s="1120">
        <f t="shared" si="0"/>
        <v>0.27134999999999998</v>
      </c>
      <c r="F80" s="909">
        <f t="shared" si="1"/>
        <v>6.5796794962613703E-4</v>
      </c>
      <c r="G80" s="1615"/>
      <c r="H80" s="1122"/>
      <c r="I80" s="1356"/>
    </row>
    <row r="81" spans="1:9">
      <c r="A81" s="814">
        <v>28</v>
      </c>
      <c r="B81" s="1073">
        <v>44136</v>
      </c>
      <c r="C81" s="1073">
        <v>44165</v>
      </c>
      <c r="D81" s="1120">
        <v>0.1784</v>
      </c>
      <c r="E81" s="1120">
        <f t="shared" si="0"/>
        <v>0.2676</v>
      </c>
      <c r="F81" s="909">
        <f t="shared" si="1"/>
        <v>6.4986956374091243E-4</v>
      </c>
      <c r="G81" s="1615"/>
      <c r="H81" s="1122"/>
      <c r="I81" s="1356"/>
    </row>
    <row r="82" spans="1:9">
      <c r="A82" s="814">
        <v>29</v>
      </c>
      <c r="B82" s="1073">
        <v>44166</v>
      </c>
      <c r="C82" s="1073">
        <v>44196</v>
      </c>
      <c r="D82" s="1120">
        <v>0.17460000000000001</v>
      </c>
      <c r="E82" s="1120">
        <f t="shared" si="0"/>
        <v>0.26190000000000002</v>
      </c>
      <c r="F82" s="909">
        <f t="shared" si="1"/>
        <v>6.3751414410861962E-4</v>
      </c>
      <c r="G82" s="1615"/>
      <c r="H82" s="1122"/>
      <c r="I82" s="1356"/>
    </row>
    <row r="83" spans="1:9">
      <c r="A83" s="814">
        <v>30</v>
      </c>
      <c r="B83" s="1073">
        <v>44197</v>
      </c>
      <c r="C83" s="1073">
        <v>44227</v>
      </c>
      <c r="D83" s="1120">
        <v>0.17319999999999999</v>
      </c>
      <c r="E83" s="1120">
        <f t="shared" si="0"/>
        <v>0.25979999999999998</v>
      </c>
      <c r="F83" s="909">
        <f t="shared" si="1"/>
        <v>6.3294811266723094E-4</v>
      </c>
      <c r="G83" s="1615"/>
      <c r="H83" s="1122"/>
      <c r="I83" s="1356"/>
    </row>
    <row r="84" spans="1:9">
      <c r="A84" s="814">
        <v>31</v>
      </c>
      <c r="B84" s="1073">
        <v>44228</v>
      </c>
      <c r="C84" s="1073">
        <v>44255</v>
      </c>
      <c r="D84" s="1120">
        <v>0.1754</v>
      </c>
      <c r="E84" s="1120">
        <f t="shared" si="0"/>
        <v>0.2631</v>
      </c>
      <c r="F84" s="909">
        <f t="shared" si="1"/>
        <v>6.4011990387169426E-4</v>
      </c>
      <c r="G84" s="1615"/>
      <c r="H84" s="1122"/>
      <c r="I84" s="1356"/>
    </row>
    <row r="85" spans="1:9">
      <c r="A85" s="814">
        <v>32</v>
      </c>
      <c r="B85" s="1073">
        <v>44256</v>
      </c>
      <c r="C85" s="1073">
        <v>44286</v>
      </c>
      <c r="D85" s="1120">
        <v>0.1741</v>
      </c>
      <c r="E85" s="1120">
        <f t="shared" si="0"/>
        <v>0.26114999999999999</v>
      </c>
      <c r="F85" s="909">
        <f t="shared" si="1"/>
        <v>6.3588428907812578E-4</v>
      </c>
      <c r="G85" s="1615"/>
      <c r="H85" s="1122"/>
      <c r="I85" s="1356"/>
    </row>
    <row r="86" spans="1:9">
      <c r="A86" s="814">
        <v>33</v>
      </c>
      <c r="B86" s="1073">
        <v>44287</v>
      </c>
      <c r="C86" s="1073">
        <v>44316</v>
      </c>
      <c r="D86" s="1120">
        <v>0.1731</v>
      </c>
      <c r="E86" s="1120">
        <f t="shared" si="0"/>
        <v>0.25964999999999999</v>
      </c>
      <c r="F86" s="909">
        <f t="shared" si="1"/>
        <v>6.326216771728177E-4</v>
      </c>
      <c r="G86" s="1615"/>
      <c r="H86" s="1122"/>
      <c r="I86" s="1356"/>
    </row>
    <row r="87" spans="1:9">
      <c r="A87" s="814">
        <v>34</v>
      </c>
      <c r="B87" s="1073">
        <v>44317</v>
      </c>
      <c r="C87" s="1073">
        <v>44347</v>
      </c>
      <c r="D87" s="1120">
        <v>0.17219999999999999</v>
      </c>
      <c r="E87" s="1120">
        <f t="shared" si="0"/>
        <v>0.25829999999999997</v>
      </c>
      <c r="F87" s="909">
        <f t="shared" si="1"/>
        <v>6.2968201205726437E-4</v>
      </c>
      <c r="G87" s="1615"/>
      <c r="H87" s="1122"/>
      <c r="I87" s="1356"/>
    </row>
    <row r="88" spans="1:9">
      <c r="A88" s="814">
        <v>35</v>
      </c>
      <c r="B88" s="1073">
        <v>44348</v>
      </c>
      <c r="C88" s="1073">
        <v>44377</v>
      </c>
      <c r="D88" s="1120">
        <v>0.1721</v>
      </c>
      <c r="E88" s="1120">
        <f t="shared" si="0"/>
        <v>0.25814999999999999</v>
      </c>
      <c r="F88" s="909">
        <f t="shared" si="1"/>
        <v>6.2935518846773952E-4</v>
      </c>
      <c r="G88" s="1615"/>
      <c r="H88" s="1122"/>
      <c r="I88" s="1356"/>
    </row>
    <row r="89" spans="1:9">
      <c r="A89" s="814">
        <v>36</v>
      </c>
      <c r="B89" s="1073">
        <v>44378</v>
      </c>
      <c r="C89" s="1073">
        <v>44408</v>
      </c>
      <c r="D89" s="1120">
        <v>0.17180000000000001</v>
      </c>
      <c r="E89" s="1120">
        <f t="shared" si="0"/>
        <v>0.25770000000000004</v>
      </c>
      <c r="F89" s="909">
        <f t="shared" si="1"/>
        <v>6.2837448450037137E-4</v>
      </c>
      <c r="G89" s="1615"/>
      <c r="H89" s="1122"/>
      <c r="I89" s="1356"/>
    </row>
    <row r="90" spans="1:9">
      <c r="A90" s="814">
        <v>37</v>
      </c>
      <c r="B90" s="1073">
        <v>44409</v>
      </c>
      <c r="C90" s="1073">
        <v>44439</v>
      </c>
      <c r="D90" s="1120">
        <v>0.1724</v>
      </c>
      <c r="E90" s="1120">
        <f t="shared" si="0"/>
        <v>0.2586</v>
      </c>
      <c r="F90" s="909">
        <f t="shared" si="1"/>
        <v>6.3033554269220637E-4</v>
      </c>
      <c r="G90" s="1615"/>
      <c r="H90" s="1122"/>
      <c r="I90" s="1356"/>
    </row>
    <row r="91" spans="1:9">
      <c r="A91" s="814">
        <v>38</v>
      </c>
      <c r="B91" s="1073">
        <v>44440</v>
      </c>
      <c r="C91" s="1073">
        <v>44469</v>
      </c>
      <c r="D91" s="1120">
        <v>0.1719</v>
      </c>
      <c r="E91" s="1120">
        <f t="shared" si="0"/>
        <v>0.25785000000000002</v>
      </c>
      <c r="F91" s="909">
        <f t="shared" si="1"/>
        <v>6.2870142469861889E-4</v>
      </c>
      <c r="G91" s="1615"/>
      <c r="H91" s="1122"/>
      <c r="I91" s="1356"/>
    </row>
    <row r="92" spans="1:9">
      <c r="A92" s="814">
        <v>39</v>
      </c>
      <c r="B92" s="1073">
        <v>44470</v>
      </c>
      <c r="C92" s="1073">
        <v>44500</v>
      </c>
      <c r="D92" s="1120">
        <v>0.17080000000000001</v>
      </c>
      <c r="E92" s="1120">
        <f t="shared" si="0"/>
        <v>0.25619999999999998</v>
      </c>
      <c r="F92" s="909">
        <f t="shared" si="1"/>
        <v>6.2510294214179751E-4</v>
      </c>
      <c r="G92" s="1615"/>
      <c r="H92" s="1122"/>
      <c r="I92" s="1356"/>
    </row>
    <row r="93" spans="1:9">
      <c r="A93" s="814">
        <v>40</v>
      </c>
      <c r="B93" s="1073">
        <v>44501</v>
      </c>
      <c r="C93" s="1073">
        <v>44530</v>
      </c>
      <c r="D93" s="1120">
        <v>0.17269999999999999</v>
      </c>
      <c r="E93" s="1120">
        <f t="shared" si="0"/>
        <v>0.25905</v>
      </c>
      <c r="F93" s="909">
        <f t="shared" si="1"/>
        <v>6.3131554742335005E-4</v>
      </c>
      <c r="G93" s="1615"/>
      <c r="H93" s="1122"/>
      <c r="I93" s="1356"/>
    </row>
    <row r="94" spans="1:9">
      <c r="A94" s="814">
        <v>41</v>
      </c>
      <c r="B94" s="1073">
        <v>44531</v>
      </c>
      <c r="C94" s="1073">
        <v>44561</v>
      </c>
      <c r="D94" s="1120">
        <v>0.17460000000000001</v>
      </c>
      <c r="E94" s="1120">
        <f t="shared" si="0"/>
        <v>0.26190000000000002</v>
      </c>
      <c r="F94" s="909">
        <f t="shared" si="1"/>
        <v>6.3751414410861962E-4</v>
      </c>
      <c r="G94" s="1615"/>
      <c r="H94" s="1122"/>
      <c r="I94" s="1356"/>
    </row>
    <row r="95" spans="1:9">
      <c r="A95" s="814">
        <v>42</v>
      </c>
      <c r="B95" s="1073">
        <v>44562</v>
      </c>
      <c r="C95" s="1073">
        <v>44592</v>
      </c>
      <c r="D95" s="1120">
        <v>0.17660000000000001</v>
      </c>
      <c r="E95" s="1120">
        <f t="shared" si="0"/>
        <v>0.26490000000000002</v>
      </c>
      <c r="F95" s="909">
        <f t="shared" si="1"/>
        <v>6.4402391816376081E-4</v>
      </c>
      <c r="G95" s="1615"/>
      <c r="H95" s="1122"/>
      <c r="I95" s="1356"/>
    </row>
    <row r="96" spans="1:9">
      <c r="A96" s="814">
        <v>43</v>
      </c>
      <c r="B96" s="1073">
        <v>44593</v>
      </c>
      <c r="C96" s="1073">
        <v>44620</v>
      </c>
      <c r="D96" s="1120">
        <v>0.17860000000000001</v>
      </c>
      <c r="E96" s="1120">
        <f t="shared" ref="E96:E104" si="5">+D96*1.5</f>
        <v>0.26790000000000003</v>
      </c>
      <c r="F96" s="909">
        <f t="shared" ref="F96:F104" si="6">((1+E96)^(1/365)-1)</f>
        <v>6.5051831327189724E-4</v>
      </c>
      <c r="G96" s="1615"/>
      <c r="H96" s="1122"/>
      <c r="I96" s="1356"/>
    </row>
    <row r="97" spans="1:9">
      <c r="A97" s="814">
        <v>44</v>
      </c>
      <c r="B97" s="1073">
        <v>44621</v>
      </c>
      <c r="C97" s="1073">
        <v>44651</v>
      </c>
      <c r="D97" s="1120">
        <v>0.18060000000000001</v>
      </c>
      <c r="E97" s="1120">
        <f t="shared" si="5"/>
        <v>0.27090000000000003</v>
      </c>
      <c r="F97" s="909">
        <f t="shared" si="6"/>
        <v>6.5699740202451729E-4</v>
      </c>
      <c r="G97" s="1615"/>
      <c r="H97" s="1122"/>
      <c r="I97" s="1356"/>
    </row>
    <row r="98" spans="1:9">
      <c r="A98" s="814">
        <v>45</v>
      </c>
      <c r="B98" s="1073">
        <v>44652</v>
      </c>
      <c r="C98" s="1073">
        <v>44681</v>
      </c>
      <c r="D98" s="1120">
        <v>0.1905</v>
      </c>
      <c r="E98" s="1120">
        <f t="shared" si="5"/>
        <v>0.28575</v>
      </c>
      <c r="F98" s="909">
        <f t="shared" si="6"/>
        <v>6.8884592812357148E-4</v>
      </c>
      <c r="G98" s="1615"/>
      <c r="H98" s="1122"/>
      <c r="I98" s="1356"/>
    </row>
    <row r="99" spans="1:9">
      <c r="A99" s="814">
        <v>46</v>
      </c>
      <c r="B99" s="1073">
        <v>44682</v>
      </c>
      <c r="C99" s="1073">
        <v>44712</v>
      </c>
      <c r="D99" s="1120">
        <v>0.20399999999999999</v>
      </c>
      <c r="E99" s="1120">
        <f t="shared" si="5"/>
        <v>0.30599999999999999</v>
      </c>
      <c r="F99" s="909">
        <f t="shared" si="6"/>
        <v>7.3168955664093538E-4</v>
      </c>
      <c r="G99" s="1615"/>
      <c r="H99" s="1122"/>
      <c r="I99" s="1356"/>
    </row>
    <row r="100" spans="1:9">
      <c r="A100" s="814">
        <v>47</v>
      </c>
      <c r="B100" s="1073">
        <v>44713</v>
      </c>
      <c r="C100" s="1073">
        <v>44742</v>
      </c>
      <c r="D100" s="1120">
        <v>0.20399999999999999</v>
      </c>
      <c r="E100" s="1120">
        <f t="shared" si="5"/>
        <v>0.30599999999999999</v>
      </c>
      <c r="F100" s="909">
        <f t="shared" si="6"/>
        <v>7.3168955664093538E-4</v>
      </c>
      <c r="G100" s="1615"/>
      <c r="H100" s="1122"/>
      <c r="I100" s="1356"/>
    </row>
    <row r="101" spans="1:9">
      <c r="A101" s="814">
        <v>48</v>
      </c>
      <c r="B101" s="1073">
        <v>44743</v>
      </c>
      <c r="C101" s="1073">
        <v>44773</v>
      </c>
      <c r="D101" s="1120">
        <v>0.21279999999999999</v>
      </c>
      <c r="E101" s="1120">
        <f t="shared" si="5"/>
        <v>0.31919999999999998</v>
      </c>
      <c r="F101" s="909">
        <f t="shared" si="6"/>
        <v>7.5926204501630679E-4</v>
      </c>
      <c r="G101" s="1615"/>
      <c r="H101" s="1122"/>
      <c r="I101" s="1356"/>
    </row>
    <row r="102" spans="1:9">
      <c r="A102" s="814">
        <v>49</v>
      </c>
      <c r="B102" s="1073">
        <v>44774</v>
      </c>
      <c r="C102" s="1073">
        <v>44804</v>
      </c>
      <c r="D102" s="1120">
        <v>0.22209999999999999</v>
      </c>
      <c r="E102" s="1120">
        <f t="shared" si="5"/>
        <v>0.33315</v>
      </c>
      <c r="F102" s="909">
        <f t="shared" si="6"/>
        <v>7.8810371394433254E-4</v>
      </c>
      <c r="G102" s="1615"/>
      <c r="H102" s="1122"/>
      <c r="I102" s="1356"/>
    </row>
    <row r="103" spans="1:9">
      <c r="A103" s="814">
        <v>50</v>
      </c>
      <c r="B103" s="1073">
        <v>44805</v>
      </c>
      <c r="C103" s="1073">
        <v>44834</v>
      </c>
      <c r="D103" s="1120">
        <v>0.23499999999999999</v>
      </c>
      <c r="E103" s="1120">
        <f t="shared" si="5"/>
        <v>0.35249999999999998</v>
      </c>
      <c r="F103" s="909">
        <f t="shared" si="6"/>
        <v>8.2761552252574866E-4</v>
      </c>
      <c r="G103" s="1615"/>
      <c r="H103" s="1122"/>
      <c r="I103" s="1356"/>
    </row>
    <row r="104" spans="1:9" ht="13.5">
      <c r="A104" s="814">
        <v>51</v>
      </c>
      <c r="B104" s="1073">
        <v>44835</v>
      </c>
      <c r="C104" s="1073">
        <v>44865</v>
      </c>
      <c r="D104" s="1920">
        <v>0.24610000000000001</v>
      </c>
      <c r="E104" s="1120">
        <f t="shared" si="5"/>
        <v>0.36915000000000003</v>
      </c>
      <c r="F104" s="909">
        <f t="shared" si="6"/>
        <v>8.611654102768096E-4</v>
      </c>
      <c r="G104" s="1615"/>
      <c r="H104" s="1122"/>
      <c r="I104" s="1356"/>
    </row>
    <row r="105" spans="1:9" ht="13.5">
      <c r="A105" s="814">
        <v>52</v>
      </c>
      <c r="B105" s="1073">
        <v>44866</v>
      </c>
      <c r="C105" s="1073">
        <v>44895</v>
      </c>
      <c r="D105" s="1920">
        <v>0.25779999999999997</v>
      </c>
      <c r="E105" s="1120">
        <f t="shared" ref="E105:E106" si="7">+D105*1.5</f>
        <v>0.38669999999999993</v>
      </c>
      <c r="F105" s="909">
        <f t="shared" ref="F105:F106" si="8">((1+E105)^(1/365)-1)</f>
        <v>8.9609117817124329E-4</v>
      </c>
      <c r="G105" s="1615"/>
      <c r="H105" s="1122"/>
      <c r="I105" s="1356"/>
    </row>
    <row r="106" spans="1:9" ht="13.5">
      <c r="A106" s="814">
        <v>53</v>
      </c>
      <c r="B106" s="1073">
        <v>44896</v>
      </c>
      <c r="C106" s="1073">
        <v>44926</v>
      </c>
      <c r="D106" s="1920">
        <v>0.27639999999999998</v>
      </c>
      <c r="E106" s="1120">
        <f t="shared" si="7"/>
        <v>0.41459999999999997</v>
      </c>
      <c r="F106" s="909">
        <f t="shared" si="8"/>
        <v>9.5071686592063109E-4</v>
      </c>
      <c r="G106" s="1615"/>
      <c r="H106" s="1122"/>
      <c r="I106" s="1356"/>
    </row>
    <row r="107" spans="1:9" ht="13.5">
      <c r="A107" s="814">
        <v>54</v>
      </c>
      <c r="B107" s="1073">
        <v>44927</v>
      </c>
      <c r="C107" s="1073">
        <v>44957</v>
      </c>
      <c r="D107" s="1920">
        <v>0.28839999999999999</v>
      </c>
      <c r="E107" s="1120">
        <f t="shared" ref="E107:E108" si="9">+D107*1.5</f>
        <v>0.43259999999999998</v>
      </c>
      <c r="F107" s="909">
        <f t="shared" ref="F107:F108" si="10">((1+E107)^(1/365)-1)</f>
        <v>9.8539196132163553E-4</v>
      </c>
      <c r="G107" s="1615"/>
      <c r="H107" s="1122"/>
      <c r="I107" s="1356"/>
    </row>
    <row r="108" spans="1:9" ht="13.5">
      <c r="A108" s="814">
        <v>55</v>
      </c>
      <c r="B108" s="1073">
        <v>44958</v>
      </c>
      <c r="C108" s="1073">
        <v>44985</v>
      </c>
      <c r="D108" s="1920">
        <v>0.30180000000000001</v>
      </c>
      <c r="E108" s="1120">
        <f t="shared" si="9"/>
        <v>0.45269999999999999</v>
      </c>
      <c r="F108" s="909">
        <f t="shared" si="10"/>
        <v>1.0236026853662761E-3</v>
      </c>
      <c r="G108" s="1615"/>
      <c r="H108" s="1122"/>
      <c r="I108" s="1356"/>
    </row>
    <row r="109" spans="1:9">
      <c r="G109" s="741" t="s">
        <v>338</v>
      </c>
      <c r="H109" s="741"/>
      <c r="I109" s="1616">
        <f>SUM(I54:I107)</f>
        <v>1702810.1522173418</v>
      </c>
    </row>
    <row r="110" spans="1:9">
      <c r="B110" s="2686" t="s">
        <v>346</v>
      </c>
      <c r="C110" s="2686"/>
      <c r="G110" s="741" t="s">
        <v>1607</v>
      </c>
      <c r="H110" s="741"/>
      <c r="I110" s="1617">
        <f>+C50+I109</f>
        <v>15212029.979761742</v>
      </c>
    </row>
    <row r="111" spans="1:9">
      <c r="B111" s="741" t="s">
        <v>959</v>
      </c>
      <c r="C111" s="1121">
        <f>+C50</f>
        <v>13509219.8275444</v>
      </c>
    </row>
    <row r="112" spans="1:9">
      <c r="B112" s="741" t="s">
        <v>951</v>
      </c>
      <c r="C112" s="1121">
        <f>+I109</f>
        <v>1702810.1522173418</v>
      </c>
    </row>
    <row r="113" spans="2:3">
      <c r="B113" s="726" t="s">
        <v>61</v>
      </c>
      <c r="C113" s="1125">
        <f>SUM(C111:C112)</f>
        <v>15212029.979761742</v>
      </c>
    </row>
    <row r="114" spans="2:3">
      <c r="B114" s="1618" t="s">
        <v>62</v>
      </c>
    </row>
    <row r="115" spans="2:3">
      <c r="B115" s="911"/>
    </row>
    <row r="116" spans="2:3">
      <c r="B116" s="911"/>
    </row>
    <row r="117" spans="2:3">
      <c r="B117" s="1618" t="s">
        <v>63</v>
      </c>
    </row>
    <row r="118" spans="2:3">
      <c r="B118" s="1618" t="s">
        <v>64</v>
      </c>
    </row>
    <row r="119" spans="2:3">
      <c r="B119" s="1618" t="s">
        <v>65</v>
      </c>
    </row>
  </sheetData>
  <mergeCells count="2">
    <mergeCell ref="B52:I52"/>
    <mergeCell ref="B110:C110"/>
  </mergeCells>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2833D-7F60-4F65-B9E8-00278BCFE549}">
  <sheetPr codeName="Hoja73"/>
  <dimension ref="A2:B24"/>
  <sheetViews>
    <sheetView workbookViewId="0">
      <selection activeCell="A24" sqref="A24"/>
    </sheetView>
  </sheetViews>
  <sheetFormatPr defaultColWidth="11.42578125" defaultRowHeight="12.75"/>
  <cols>
    <col min="1" max="1" width="21.7109375" style="217" customWidth="1"/>
    <col min="2" max="2" width="12.85546875" style="217" bestFit="1" customWidth="1"/>
    <col min="3" max="16384" width="11.42578125" style="217"/>
  </cols>
  <sheetData>
    <row r="2" spans="1:2">
      <c r="A2" s="221" t="s">
        <v>1628</v>
      </c>
      <c r="B2" s="217" t="s">
        <v>1629</v>
      </c>
    </row>
    <row r="3" spans="1:2">
      <c r="A3" s="221" t="s">
        <v>1630</v>
      </c>
      <c r="B3" s="217" t="s">
        <v>1631</v>
      </c>
    </row>
    <row r="4" spans="1:2">
      <c r="A4" s="221" t="s">
        <v>124</v>
      </c>
      <c r="B4" s="217" t="s">
        <v>1632</v>
      </c>
    </row>
    <row r="5" spans="1:2">
      <c r="A5" s="221" t="s">
        <v>69</v>
      </c>
      <c r="B5" s="217" t="s">
        <v>1633</v>
      </c>
    </row>
    <row r="6" spans="1:2">
      <c r="B6" s="217" t="s">
        <v>1634</v>
      </c>
    </row>
    <row r="7" spans="1:2">
      <c r="A7" s="221" t="s">
        <v>757</v>
      </c>
      <c r="B7" s="1612">
        <v>3312464</v>
      </c>
    </row>
    <row r="8" spans="1:2">
      <c r="A8" s="217" t="s">
        <v>1635</v>
      </c>
    </row>
    <row r="9" spans="1:2">
      <c r="A9" s="223">
        <v>42309</v>
      </c>
    </row>
    <row r="11" spans="1:2">
      <c r="A11" s="217" t="s">
        <v>1636</v>
      </c>
    </row>
    <row r="12" spans="1:2">
      <c r="A12" s="217" t="s">
        <v>1637</v>
      </c>
    </row>
    <row r="14" spans="1:2">
      <c r="A14" s="217" t="s">
        <v>1638</v>
      </c>
    </row>
    <row r="15" spans="1:2">
      <c r="A15" s="217" t="s">
        <v>1639</v>
      </c>
    </row>
    <row r="16" spans="1:2">
      <c r="A16" s="217" t="s">
        <v>1640</v>
      </c>
    </row>
    <row r="17" spans="1:2">
      <c r="A17" s="217" t="s">
        <v>1641</v>
      </c>
    </row>
    <row r="18" spans="1:2">
      <c r="A18" s="217" t="s">
        <v>1642</v>
      </c>
    </row>
    <row r="19" spans="1:2">
      <c r="A19" s="217" t="s">
        <v>1643</v>
      </c>
    </row>
    <row r="20" spans="1:2">
      <c r="A20" s="217" t="s">
        <v>1644</v>
      </c>
    </row>
    <row r="21" spans="1:2">
      <c r="A21" s="217" t="s">
        <v>1645</v>
      </c>
    </row>
    <row r="22" spans="1:2">
      <c r="A22" s="217" t="s">
        <v>1646</v>
      </c>
    </row>
    <row r="24" spans="1:2">
      <c r="A24" s="221"/>
      <c r="B24" s="217" t="s">
        <v>1647</v>
      </c>
    </row>
  </sheetData>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B01C3-924D-459C-AE55-FC8448BD7520}">
  <sheetPr codeName="Hoja47"/>
  <dimension ref="A1:Q69"/>
  <sheetViews>
    <sheetView workbookViewId="0">
      <selection activeCell="D61" sqref="D61"/>
    </sheetView>
  </sheetViews>
  <sheetFormatPr defaultColWidth="11.42578125" defaultRowHeight="12.75"/>
  <cols>
    <col min="1" max="1" width="2.5703125" style="791" customWidth="1"/>
    <col min="2" max="2" width="14.7109375" style="791" customWidth="1"/>
    <col min="3" max="3" width="12" style="791" customWidth="1"/>
    <col min="4" max="4" width="11.85546875" style="791" customWidth="1"/>
    <col min="5" max="5" width="10" style="791" customWidth="1"/>
    <col min="6" max="6" width="12.140625" style="791" customWidth="1"/>
    <col min="7" max="7" width="11" style="791" customWidth="1"/>
    <col min="8" max="8" width="6.7109375" style="791" customWidth="1"/>
    <col min="9" max="9" width="12.42578125" style="791" customWidth="1"/>
    <col min="10" max="10" width="11.42578125" style="791"/>
    <col min="11" max="11" width="14.85546875" style="791" bestFit="1" customWidth="1"/>
    <col min="12" max="12" width="14.85546875" style="791" customWidth="1"/>
    <col min="13" max="16384" width="11.42578125" style="791"/>
  </cols>
  <sheetData>
    <row r="1" spans="2:14" ht="29.25" customHeight="1">
      <c r="B1" s="789" t="s">
        <v>1648</v>
      </c>
      <c r="C1" s="944" t="s">
        <v>1649</v>
      </c>
    </row>
    <row r="2" spans="2:14">
      <c r="B2" s="728" t="s">
        <v>1650</v>
      </c>
      <c r="C2" s="850">
        <v>230977599</v>
      </c>
    </row>
    <row r="3" spans="2:14">
      <c r="B3" s="728" t="s">
        <v>124</v>
      </c>
      <c r="C3" s="1307" t="s">
        <v>1651</v>
      </c>
    </row>
    <row r="4" spans="2:14">
      <c r="B4" s="728" t="s">
        <v>4</v>
      </c>
      <c r="C4" s="953">
        <v>43389</v>
      </c>
    </row>
    <row r="5" spans="2:14" ht="21" customHeight="1">
      <c r="B5" s="1308" t="s">
        <v>1652</v>
      </c>
      <c r="C5" s="1309">
        <v>230977599</v>
      </c>
    </row>
    <row r="6" spans="2:14" ht="29.25" customHeight="1">
      <c r="B6" s="1308" t="s">
        <v>1653</v>
      </c>
      <c r="C6" s="1309">
        <v>76055864</v>
      </c>
    </row>
    <row r="7" spans="2:14">
      <c r="B7" s="791" t="s">
        <v>1654</v>
      </c>
    </row>
    <row r="8" spans="2:14">
      <c r="B8" s="900" t="s">
        <v>226</v>
      </c>
      <c r="C8" s="814"/>
      <c r="D8" s="814"/>
      <c r="E8" s="814"/>
      <c r="F8" s="814"/>
      <c r="G8" s="814"/>
      <c r="H8" s="814"/>
      <c r="I8" s="814"/>
      <c r="J8" s="814"/>
      <c r="K8" s="814"/>
      <c r="L8" s="814"/>
    </row>
    <row r="9" spans="2:14">
      <c r="B9" s="900" t="s">
        <v>674</v>
      </c>
      <c r="C9" s="814"/>
      <c r="D9" s="814"/>
      <c r="E9" s="814"/>
      <c r="F9" s="814"/>
      <c r="G9" s="814"/>
      <c r="H9" s="814"/>
      <c r="I9" s="814"/>
      <c r="J9" s="814"/>
      <c r="K9" s="814"/>
      <c r="L9" s="814"/>
    </row>
    <row r="10" spans="2:14">
      <c r="B10" s="2604" t="s">
        <v>84</v>
      </c>
      <c r="C10" s="2681"/>
      <c r="D10" s="2681"/>
      <c r="E10" s="2681"/>
      <c r="F10" s="2681"/>
      <c r="G10" s="2681"/>
      <c r="H10" s="2681"/>
      <c r="I10" s="2681"/>
      <c r="J10" s="2681"/>
      <c r="K10" s="2605"/>
      <c r="L10" s="1209"/>
    </row>
    <row r="11" spans="2:14" ht="54" customHeight="1">
      <c r="B11" s="923" t="s">
        <v>675</v>
      </c>
      <c r="C11" s="970" t="s">
        <v>147</v>
      </c>
      <c r="D11" s="970" t="s">
        <v>40</v>
      </c>
      <c r="E11" s="970" t="s">
        <v>227</v>
      </c>
      <c r="F11" s="1112" t="s">
        <v>228</v>
      </c>
      <c r="G11" s="923" t="s">
        <v>1655</v>
      </c>
      <c r="H11" s="970" t="s">
        <v>230</v>
      </c>
      <c r="I11" s="970" t="s">
        <v>231</v>
      </c>
      <c r="J11" s="923" t="s">
        <v>232</v>
      </c>
      <c r="K11" s="970" t="s">
        <v>233</v>
      </c>
      <c r="L11" s="1505"/>
    </row>
    <row r="12" spans="2:14">
      <c r="B12" s="741">
        <v>2019</v>
      </c>
      <c r="C12" s="800">
        <v>43678</v>
      </c>
      <c r="D12" s="800">
        <v>43830</v>
      </c>
      <c r="E12" s="858">
        <f>+C5</f>
        <v>230977599</v>
      </c>
      <c r="F12" s="1344">
        <v>3.1800000000000002E-2</v>
      </c>
      <c r="G12" s="1504">
        <v>5.0999999999999996</v>
      </c>
      <c r="H12" s="1344">
        <v>1.35E-2</v>
      </c>
      <c r="I12" s="1061">
        <f>(((E12*H12)/12*G12))+E12</f>
        <v>232302832.97426251</v>
      </c>
      <c r="J12" s="1344">
        <v>5.0999999999999997E-2</v>
      </c>
      <c r="K12" s="1345">
        <f>+I12*J12</f>
        <v>11847444.481687387</v>
      </c>
      <c r="L12" s="1506"/>
    </row>
    <row r="13" spans="2:14">
      <c r="B13" s="741">
        <v>2020</v>
      </c>
      <c r="C13" s="1073">
        <v>43831</v>
      </c>
      <c r="D13" s="1073">
        <v>44196</v>
      </c>
      <c r="E13" s="858">
        <f>+I12</f>
        <v>232302832.97426251</v>
      </c>
      <c r="F13" s="1344">
        <v>3.7999999999999999E-2</v>
      </c>
      <c r="G13" s="1504">
        <v>12</v>
      </c>
      <c r="H13" s="1344">
        <v>3.7999999999999999E-2</v>
      </c>
      <c r="I13" s="1061">
        <f>(((E13*H13)/12*G13))+E13</f>
        <v>241130340.62728447</v>
      </c>
      <c r="J13" s="1344">
        <v>0.12</v>
      </c>
      <c r="K13" s="1345">
        <f>+I13*J13</f>
        <v>28935640.875274137</v>
      </c>
      <c r="L13" s="1506"/>
    </row>
    <row r="14" spans="2:14">
      <c r="B14" s="741">
        <v>2021</v>
      </c>
      <c r="C14" s="800">
        <v>44197</v>
      </c>
      <c r="D14" s="800">
        <v>44558</v>
      </c>
      <c r="E14" s="858">
        <f>+I13</f>
        <v>241130340.62728447</v>
      </c>
      <c r="F14" s="1344">
        <v>1.61E-2</v>
      </c>
      <c r="G14" s="1504">
        <v>12</v>
      </c>
      <c r="H14" s="1344">
        <v>1.61E-2</v>
      </c>
      <c r="I14" s="1061">
        <f>(((E14*H14)/12*G14))+E14</f>
        <v>245012539.11138374</v>
      </c>
      <c r="J14" s="1344">
        <v>0.12</v>
      </c>
      <c r="K14" s="1345">
        <f>+I14*J14</f>
        <v>29401504.693366047</v>
      </c>
      <c r="L14" s="1506"/>
    </row>
    <row r="15" spans="2:14" ht="21.75" customHeight="1" thickBot="1">
      <c r="B15" s="814"/>
      <c r="C15" s="814"/>
      <c r="D15" s="814"/>
      <c r="E15" s="814"/>
      <c r="F15" s="814"/>
      <c r="G15" s="814"/>
      <c r="H15" s="814"/>
      <c r="I15" s="2825" t="s">
        <v>338</v>
      </c>
      <c r="J15" s="2826"/>
      <c r="K15" s="1503">
        <f>SUM(K12:K14)</f>
        <v>70184590.050327569</v>
      </c>
      <c r="L15" s="1507"/>
    </row>
    <row r="16" spans="2:14" ht="13.5" thickTop="1">
      <c r="B16" s="2604" t="s">
        <v>55</v>
      </c>
      <c r="C16" s="2605"/>
      <c r="D16" s="814"/>
      <c r="E16" s="814"/>
      <c r="F16" s="814"/>
      <c r="G16" s="814"/>
      <c r="H16" s="814"/>
      <c r="I16" s="814"/>
      <c r="J16" s="814"/>
      <c r="K16" s="814"/>
      <c r="L16" s="814"/>
      <c r="M16" s="791">
        <v>360</v>
      </c>
      <c r="N16" s="791">
        <v>12</v>
      </c>
    </row>
    <row r="17" spans="1:17">
      <c r="B17" s="1190" t="s">
        <v>1041</v>
      </c>
      <c r="C17" s="850">
        <f>+I14</f>
        <v>245012539.11138374</v>
      </c>
      <c r="D17" s="814"/>
      <c r="E17" s="814"/>
      <c r="F17" s="814"/>
      <c r="G17" s="814"/>
      <c r="H17" s="814"/>
      <c r="I17" s="814"/>
      <c r="J17" s="814"/>
      <c r="K17" s="814"/>
      <c r="L17" s="814"/>
      <c r="M17" s="791">
        <v>361</v>
      </c>
      <c r="N17" s="791">
        <f>+M17*N16/M16</f>
        <v>12.033333333333333</v>
      </c>
    </row>
    <row r="18" spans="1:17" ht="25.5">
      <c r="B18" s="1190" t="str">
        <f>+B6</f>
        <v xml:space="preserve">Intereses a corte 31 de julio de 2019 </v>
      </c>
      <c r="C18" s="952">
        <f>+C6</f>
        <v>76055864</v>
      </c>
      <c r="D18" s="814"/>
      <c r="E18" s="814"/>
      <c r="F18" s="814"/>
      <c r="G18" s="814"/>
      <c r="H18" s="814"/>
      <c r="I18" s="814"/>
      <c r="J18" s="814"/>
      <c r="K18" s="814"/>
      <c r="L18" s="814"/>
      <c r="M18" s="791" t="s">
        <v>914</v>
      </c>
    </row>
    <row r="19" spans="1:17" ht="38.25">
      <c r="B19" s="1190" t="s">
        <v>1656</v>
      </c>
      <c r="C19" s="952">
        <f>+K15</f>
        <v>70184590.050327569</v>
      </c>
      <c r="F19" s="814"/>
      <c r="G19" s="814"/>
      <c r="H19" s="814"/>
      <c r="I19" s="814"/>
      <c r="J19" s="814"/>
      <c r="K19" s="814"/>
      <c r="L19" s="814"/>
      <c r="N19" s="791">
        <v>30</v>
      </c>
      <c r="O19" s="791">
        <v>1</v>
      </c>
    </row>
    <row r="20" spans="1:17">
      <c r="B20" s="726" t="s">
        <v>97</v>
      </c>
      <c r="C20" s="1346">
        <f>SUM(C17:C19)</f>
        <v>391252993.16171134</v>
      </c>
      <c r="D20" s="814"/>
      <c r="E20" s="814"/>
      <c r="F20" s="814"/>
      <c r="G20" s="814"/>
      <c r="H20" s="814"/>
      <c r="I20" s="814"/>
      <c r="J20" s="814"/>
      <c r="K20" s="814"/>
      <c r="L20" s="814"/>
      <c r="N20" s="791">
        <f>_xlfn.DAYS(D12,C12)+1</f>
        <v>153</v>
      </c>
      <c r="P20" s="791">
        <v>12</v>
      </c>
      <c r="Q20" s="1343">
        <f>+F12</f>
        <v>3.1800000000000002E-2</v>
      </c>
    </row>
    <row r="21" spans="1:17">
      <c r="D21" s="1502"/>
      <c r="E21" s="814"/>
      <c r="F21" s="814"/>
      <c r="G21" s="814"/>
      <c r="H21" s="814"/>
      <c r="I21" s="1063"/>
      <c r="J21" s="814"/>
      <c r="K21" s="814"/>
      <c r="L21" s="814"/>
      <c r="O21" s="791">
        <f>+N20*O19/N19</f>
        <v>5.0999999999999996</v>
      </c>
    </row>
    <row r="22" spans="1:17">
      <c r="B22" s="719" t="s">
        <v>62</v>
      </c>
    </row>
    <row r="23" spans="1:17">
      <c r="B23" s="911"/>
    </row>
    <row r="24" spans="1:17">
      <c r="B24" s="911"/>
    </row>
    <row r="25" spans="1:17">
      <c r="B25" s="719" t="s">
        <v>63</v>
      </c>
    </row>
    <row r="26" spans="1:17">
      <c r="B26" s="719" t="s">
        <v>64</v>
      </c>
      <c r="O26" s="1343"/>
    </row>
    <row r="27" spans="1:17">
      <c r="B27" s="719" t="s">
        <v>65</v>
      </c>
      <c r="O27" s="1343"/>
    </row>
    <row r="28" spans="1:17">
      <c r="O28" s="1343"/>
    </row>
    <row r="29" spans="1:17">
      <c r="N29" s="791">
        <f>+O21</f>
        <v>5.0999999999999996</v>
      </c>
    </row>
    <row r="30" spans="1:17">
      <c r="B30" s="2559" t="s">
        <v>957</v>
      </c>
      <c r="C30" s="2559"/>
      <c r="D30" s="2559"/>
      <c r="E30" s="2559"/>
      <c r="F30" s="2559"/>
      <c r="G30" s="2559"/>
      <c r="H30" s="2559"/>
      <c r="I30" s="2559"/>
      <c r="O30" s="1343">
        <f>+N29*Q20/P20</f>
        <v>1.3514999999999999E-2</v>
      </c>
    </row>
    <row r="31" spans="1:17" ht="23.25" customHeight="1">
      <c r="B31" s="1009" t="s">
        <v>206</v>
      </c>
      <c r="C31" s="1009" t="s">
        <v>10</v>
      </c>
      <c r="D31" s="2712" t="s">
        <v>958</v>
      </c>
      <c r="E31" s="2713"/>
      <c r="F31" s="794" t="s">
        <v>43</v>
      </c>
      <c r="G31" s="794" t="s">
        <v>129</v>
      </c>
      <c r="H31" s="794" t="s">
        <v>706</v>
      </c>
      <c r="I31" s="794" t="s">
        <v>48</v>
      </c>
    </row>
    <row r="32" spans="1:17">
      <c r="A32" s="791">
        <v>1</v>
      </c>
      <c r="B32" s="953">
        <v>43678</v>
      </c>
      <c r="C32" s="953">
        <v>43708</v>
      </c>
      <c r="D32" s="796">
        <v>0</v>
      </c>
      <c r="E32" s="796">
        <v>4.4299999999999999E-2</v>
      </c>
      <c r="F32" s="897">
        <f>((1+E32)^(1/365)-1)</f>
        <v>1.187654205565547E-4</v>
      </c>
      <c r="G32" s="1080">
        <f>+$C$5</f>
        <v>230977599</v>
      </c>
      <c r="H32" s="931">
        <f>+_xlfn.DAYS(C32,B32)+1</f>
        <v>31</v>
      </c>
      <c r="I32" s="850">
        <f>+G32*F32*H32</f>
        <v>850396.70221572567</v>
      </c>
    </row>
    <row r="33" spans="1:9">
      <c r="A33" s="791">
        <v>2</v>
      </c>
      <c r="B33" s="953">
        <v>43709</v>
      </c>
      <c r="C33" s="953">
        <v>43738</v>
      </c>
      <c r="D33" s="796">
        <v>0</v>
      </c>
      <c r="E33" s="796">
        <v>4.48E-2</v>
      </c>
      <c r="F33" s="897">
        <f t="shared" ref="F33:F41" si="0">((1+E33)^(1/365)-1)</f>
        <v>1.2007701562666284E-4</v>
      </c>
      <c r="G33" s="1080">
        <f t="shared" ref="G33:G62" si="1">+$C$5</f>
        <v>230977599</v>
      </c>
      <c r="H33" s="931">
        <f t="shared" ref="H33:H55" si="2">+_xlfn.DAYS(C33,B33)+1</f>
        <v>30</v>
      </c>
      <c r="I33" s="850">
        <f t="shared" ref="I33:I55" si="3">+G33*F33*H33</f>
        <v>832053.02293596196</v>
      </c>
    </row>
    <row r="34" spans="1:9">
      <c r="A34" s="791">
        <v>3</v>
      </c>
      <c r="B34" s="953">
        <v>43739</v>
      </c>
      <c r="C34" s="953">
        <v>43769</v>
      </c>
      <c r="D34" s="796">
        <v>0</v>
      </c>
      <c r="E34" s="796">
        <v>4.41E-2</v>
      </c>
      <c r="F34" s="897">
        <f t="shared" si="0"/>
        <v>1.1824060716802975E-4</v>
      </c>
      <c r="G34" s="1080">
        <f t="shared" si="1"/>
        <v>230977599</v>
      </c>
      <c r="H34" s="931">
        <f t="shared" si="2"/>
        <v>31</v>
      </c>
      <c r="I34" s="850">
        <f t="shared" si="3"/>
        <v>846638.87798718479</v>
      </c>
    </row>
    <row r="35" spans="1:9">
      <c r="A35" s="791">
        <v>4</v>
      </c>
      <c r="B35" s="953">
        <v>43770</v>
      </c>
      <c r="C35" s="953">
        <v>43799</v>
      </c>
      <c r="D35" s="796">
        <v>0</v>
      </c>
      <c r="E35" s="796">
        <v>4.4299999999999999E-2</v>
      </c>
      <c r="F35" s="897">
        <f t="shared" si="0"/>
        <v>1.187654205565547E-4</v>
      </c>
      <c r="G35" s="1080">
        <f t="shared" si="1"/>
        <v>230977599</v>
      </c>
      <c r="H35" s="931">
        <f t="shared" si="2"/>
        <v>30</v>
      </c>
      <c r="I35" s="850">
        <f t="shared" si="3"/>
        <v>822964.5505313474</v>
      </c>
    </row>
    <row r="36" spans="1:9">
      <c r="A36" s="791">
        <v>5</v>
      </c>
      <c r="B36" s="953">
        <v>43800</v>
      </c>
      <c r="C36" s="953">
        <v>43830</v>
      </c>
      <c r="D36" s="796">
        <v>0</v>
      </c>
      <c r="E36" s="796">
        <v>4.5199999999999997E-2</v>
      </c>
      <c r="F36" s="897">
        <f t="shared" si="0"/>
        <v>1.2112584107204505E-4</v>
      </c>
      <c r="G36" s="1080">
        <f t="shared" si="1"/>
        <v>230977599</v>
      </c>
      <c r="H36" s="931">
        <f t="shared" si="2"/>
        <v>31</v>
      </c>
      <c r="I36" s="850">
        <f t="shared" si="3"/>
        <v>867298.03437797306</v>
      </c>
    </row>
    <row r="37" spans="1:9">
      <c r="A37" s="791">
        <v>6</v>
      </c>
      <c r="B37" s="953">
        <v>43831</v>
      </c>
      <c r="C37" s="953">
        <v>43861</v>
      </c>
      <c r="D37" s="796">
        <v>0</v>
      </c>
      <c r="E37" s="796">
        <v>4.5400000000000003E-2</v>
      </c>
      <c r="F37" s="897">
        <f t="shared" si="0"/>
        <v>1.2165010369624696E-4</v>
      </c>
      <c r="G37" s="1080">
        <f t="shared" si="1"/>
        <v>230977599</v>
      </c>
      <c r="H37" s="931">
        <f t="shared" si="2"/>
        <v>31</v>
      </c>
      <c r="I37" s="850">
        <f t="shared" si="3"/>
        <v>871051.91496566462</v>
      </c>
    </row>
    <row r="38" spans="1:9">
      <c r="A38" s="791">
        <v>7</v>
      </c>
      <c r="B38" s="953">
        <v>43862</v>
      </c>
      <c r="C38" s="953">
        <v>43890</v>
      </c>
      <c r="D38" s="796">
        <v>0</v>
      </c>
      <c r="E38" s="796">
        <v>4.4600000000000001E-2</v>
      </c>
      <c r="F38" s="897">
        <f t="shared" si="0"/>
        <v>1.1955245272932125E-4</v>
      </c>
      <c r="G38" s="1080">
        <f t="shared" si="1"/>
        <v>230977599</v>
      </c>
      <c r="H38" s="931">
        <f t="shared" si="2"/>
        <v>29</v>
      </c>
      <c r="I38" s="850">
        <f t="shared" si="3"/>
        <v>800804.21609340899</v>
      </c>
    </row>
    <row r="39" spans="1:9">
      <c r="A39" s="791">
        <v>8</v>
      </c>
      <c r="B39" s="953">
        <v>43891</v>
      </c>
      <c r="C39" s="953">
        <v>43921</v>
      </c>
      <c r="D39" s="796">
        <v>0</v>
      </c>
      <c r="E39" s="796">
        <v>4.4999999999999998E-2</v>
      </c>
      <c r="F39" s="897">
        <f t="shared" si="0"/>
        <v>1.2060147839498825E-4</v>
      </c>
      <c r="G39" s="1080">
        <f t="shared" si="1"/>
        <v>230977599</v>
      </c>
      <c r="H39" s="931">
        <f t="shared" si="2"/>
        <v>31</v>
      </c>
      <c r="I39" s="850">
        <f t="shared" si="3"/>
        <v>863543.43738126755</v>
      </c>
    </row>
    <row r="40" spans="1:9">
      <c r="A40" s="791">
        <v>9</v>
      </c>
      <c r="B40" s="953">
        <v>43922</v>
      </c>
      <c r="C40" s="953">
        <v>43951</v>
      </c>
      <c r="D40" s="796">
        <v>0</v>
      </c>
      <c r="E40" s="796">
        <v>4.5499999999999999E-2</v>
      </c>
      <c r="F40" s="897">
        <f t="shared" si="0"/>
        <v>1.2191219750046223E-4</v>
      </c>
      <c r="G40" s="1080">
        <f t="shared" si="1"/>
        <v>230977599</v>
      </c>
      <c r="H40" s="931">
        <f t="shared" si="2"/>
        <v>30</v>
      </c>
      <c r="I40" s="850">
        <f t="shared" si="3"/>
        <v>844769.60002411704</v>
      </c>
    </row>
    <row r="41" spans="1:9">
      <c r="A41" s="791">
        <v>10</v>
      </c>
      <c r="B41" s="953">
        <v>43952</v>
      </c>
      <c r="C41" s="953">
        <v>43982</v>
      </c>
      <c r="D41" s="796">
        <v>0</v>
      </c>
      <c r="E41" s="796">
        <v>4.2900000000000001E-2</v>
      </c>
      <c r="F41" s="897">
        <f t="shared" si="0"/>
        <v>1.1508961995976286E-4</v>
      </c>
      <c r="G41" s="1080">
        <f t="shared" si="1"/>
        <v>230977599</v>
      </c>
      <c r="H41" s="931">
        <f t="shared" si="2"/>
        <v>31</v>
      </c>
      <c r="I41" s="850">
        <f t="shared" si="3"/>
        <v>824076.84673198359</v>
      </c>
    </row>
    <row r="42" spans="1:9">
      <c r="A42" s="791">
        <v>11</v>
      </c>
      <c r="B42" s="953">
        <v>43983</v>
      </c>
      <c r="C42" s="953">
        <v>44012</v>
      </c>
      <c r="D42" s="796">
        <v>0.1812</v>
      </c>
      <c r="E42" s="796">
        <f t="shared" ref="E42:E55" si="4">+D42*1.5</f>
        <v>0.27179999999999999</v>
      </c>
      <c r="F42" s="897">
        <f t="shared" ref="F42:F55" si="5">((1+E42)^(1/365)-1)</f>
        <v>6.5893815469997286E-4</v>
      </c>
      <c r="G42" s="1080">
        <f t="shared" si="1"/>
        <v>230977599</v>
      </c>
      <c r="H42" s="931">
        <f t="shared" si="2"/>
        <v>30</v>
      </c>
      <c r="I42" s="850">
        <f t="shared" si="3"/>
        <v>4565998.5858627083</v>
      </c>
    </row>
    <row r="43" spans="1:9">
      <c r="A43" s="791">
        <v>12</v>
      </c>
      <c r="B43" s="953">
        <v>44013</v>
      </c>
      <c r="C43" s="953">
        <v>44043</v>
      </c>
      <c r="D43" s="1285">
        <v>0.1812</v>
      </c>
      <c r="E43" s="796">
        <f t="shared" si="4"/>
        <v>0.27179999999999999</v>
      </c>
      <c r="F43" s="897">
        <f t="shared" si="5"/>
        <v>6.5893815469997286E-4</v>
      </c>
      <c r="G43" s="1080">
        <f t="shared" si="1"/>
        <v>230977599</v>
      </c>
      <c r="H43" s="931">
        <f t="shared" si="2"/>
        <v>31</v>
      </c>
      <c r="I43" s="850">
        <f t="shared" si="3"/>
        <v>4718198.5387247987</v>
      </c>
    </row>
    <row r="44" spans="1:9">
      <c r="A44" s="791">
        <v>13</v>
      </c>
      <c r="B44" s="953">
        <v>44044</v>
      </c>
      <c r="C44" s="953">
        <v>44074</v>
      </c>
      <c r="D44" s="796">
        <v>0.18290000000000001</v>
      </c>
      <c r="E44" s="796">
        <f t="shared" si="4"/>
        <v>0.27434999999999998</v>
      </c>
      <c r="F44" s="897">
        <f t="shared" si="5"/>
        <v>6.6442952514544906E-4</v>
      </c>
      <c r="G44" s="1080">
        <f t="shared" si="1"/>
        <v>230977599</v>
      </c>
      <c r="H44" s="931">
        <f t="shared" si="2"/>
        <v>31</v>
      </c>
      <c r="I44" s="850">
        <f t="shared" si="3"/>
        <v>4757518.4291069843</v>
      </c>
    </row>
    <row r="45" spans="1:9">
      <c r="A45" s="791">
        <v>14</v>
      </c>
      <c r="B45" s="953">
        <v>44075</v>
      </c>
      <c r="C45" s="953">
        <v>44104</v>
      </c>
      <c r="D45" s="796">
        <v>0.1835</v>
      </c>
      <c r="E45" s="796">
        <f t="shared" si="4"/>
        <v>0.27524999999999999</v>
      </c>
      <c r="F45" s="897">
        <f t="shared" si="5"/>
        <v>6.6636503991857055E-4</v>
      </c>
      <c r="G45" s="1080">
        <f t="shared" si="1"/>
        <v>230977599</v>
      </c>
      <c r="H45" s="931">
        <f t="shared" si="2"/>
        <v>30</v>
      </c>
      <c r="I45" s="850">
        <f t="shared" si="3"/>
        <v>4617461.9093379173</v>
      </c>
    </row>
    <row r="46" spans="1:9">
      <c r="A46" s="791">
        <v>15</v>
      </c>
      <c r="B46" s="953">
        <v>44105</v>
      </c>
      <c r="C46" s="953">
        <v>44135</v>
      </c>
      <c r="D46" s="796">
        <v>0.18090000000000001</v>
      </c>
      <c r="E46" s="796">
        <f t="shared" si="4"/>
        <v>0.27134999999999998</v>
      </c>
      <c r="F46" s="897">
        <f t="shared" si="5"/>
        <v>6.5796794962613703E-4</v>
      </c>
      <c r="G46" s="1080">
        <f t="shared" si="1"/>
        <v>230977599</v>
      </c>
      <c r="H46" s="931">
        <f t="shared" si="2"/>
        <v>31</v>
      </c>
      <c r="I46" s="850">
        <f t="shared" si="3"/>
        <v>4711251.5739315404</v>
      </c>
    </row>
    <row r="47" spans="1:9">
      <c r="A47" s="791">
        <v>16</v>
      </c>
      <c r="B47" s="953">
        <v>44136</v>
      </c>
      <c r="C47" s="953">
        <v>44165</v>
      </c>
      <c r="D47" s="796">
        <v>0.1784</v>
      </c>
      <c r="E47" s="796">
        <f t="shared" si="4"/>
        <v>0.2676</v>
      </c>
      <c r="F47" s="897">
        <f t="shared" si="5"/>
        <v>6.4986956374091243E-4</v>
      </c>
      <c r="G47" s="1080">
        <f t="shared" si="1"/>
        <v>230977599</v>
      </c>
      <c r="H47" s="931">
        <f t="shared" si="2"/>
        <v>30</v>
      </c>
      <c r="I47" s="850">
        <f t="shared" si="3"/>
        <v>4503159.3448816026</v>
      </c>
    </row>
    <row r="48" spans="1:9">
      <c r="A48" s="791">
        <v>17</v>
      </c>
      <c r="B48" s="953">
        <v>44166</v>
      </c>
      <c r="C48" s="953">
        <v>44196</v>
      </c>
      <c r="D48" s="796">
        <v>0.17460000000000001</v>
      </c>
      <c r="E48" s="796">
        <f t="shared" si="4"/>
        <v>0.26190000000000002</v>
      </c>
      <c r="F48" s="897">
        <f t="shared" si="5"/>
        <v>6.3751414410861962E-4</v>
      </c>
      <c r="G48" s="1080">
        <f t="shared" si="1"/>
        <v>230977599</v>
      </c>
      <c r="H48" s="931">
        <f t="shared" si="2"/>
        <v>31</v>
      </c>
      <c r="I48" s="850">
        <f t="shared" si="3"/>
        <v>4564796.0763772177</v>
      </c>
    </row>
    <row r="49" spans="1:9">
      <c r="A49" s="791">
        <v>18</v>
      </c>
      <c r="B49" s="953">
        <v>44197</v>
      </c>
      <c r="C49" s="953">
        <v>44227</v>
      </c>
      <c r="D49" s="796">
        <v>0.17319999999999999</v>
      </c>
      <c r="E49" s="796">
        <f t="shared" si="4"/>
        <v>0.25979999999999998</v>
      </c>
      <c r="F49" s="897">
        <f t="shared" si="5"/>
        <v>6.3294811266723094E-4</v>
      </c>
      <c r="G49" s="1080">
        <f t="shared" si="1"/>
        <v>230977599</v>
      </c>
      <c r="H49" s="931">
        <f t="shared" si="2"/>
        <v>31</v>
      </c>
      <c r="I49" s="850">
        <f t="shared" si="3"/>
        <v>4532101.8960192129</v>
      </c>
    </row>
    <row r="50" spans="1:9">
      <c r="A50" s="791">
        <v>19</v>
      </c>
      <c r="B50" s="953">
        <v>44228</v>
      </c>
      <c r="C50" s="953">
        <v>44255</v>
      </c>
      <c r="D50" s="796">
        <v>0.1754</v>
      </c>
      <c r="E50" s="796">
        <f t="shared" si="4"/>
        <v>0.2631</v>
      </c>
      <c r="F50" s="897">
        <f t="shared" si="5"/>
        <v>6.4011990387169426E-4</v>
      </c>
      <c r="G50" s="1080">
        <f t="shared" si="1"/>
        <v>230977599</v>
      </c>
      <c r="H50" s="931">
        <f t="shared" si="2"/>
        <v>28</v>
      </c>
      <c r="I50" s="850">
        <f t="shared" si="3"/>
        <v>4139894.0371150533</v>
      </c>
    </row>
    <row r="51" spans="1:9">
      <c r="A51" s="791">
        <v>20</v>
      </c>
      <c r="B51" s="953">
        <v>44256</v>
      </c>
      <c r="C51" s="953">
        <v>44286</v>
      </c>
      <c r="D51" s="796">
        <v>0.1741</v>
      </c>
      <c r="E51" s="796">
        <f t="shared" si="4"/>
        <v>0.26114999999999999</v>
      </c>
      <c r="F51" s="897">
        <f t="shared" si="5"/>
        <v>6.3588428907812578E-4</v>
      </c>
      <c r="G51" s="1080">
        <f t="shared" si="1"/>
        <v>230977599</v>
      </c>
      <c r="H51" s="931">
        <f t="shared" si="2"/>
        <v>31</v>
      </c>
      <c r="I51" s="850">
        <f t="shared" si="3"/>
        <v>4553125.8163257102</v>
      </c>
    </row>
    <row r="52" spans="1:9">
      <c r="A52" s="791">
        <v>21</v>
      </c>
      <c r="B52" s="953">
        <v>44287</v>
      </c>
      <c r="C52" s="953">
        <v>44316</v>
      </c>
      <c r="D52" s="796">
        <v>0.1731</v>
      </c>
      <c r="E52" s="796">
        <f t="shared" si="4"/>
        <v>0.25964999999999999</v>
      </c>
      <c r="F52" s="897">
        <f t="shared" si="5"/>
        <v>6.326216771728177E-4</v>
      </c>
      <c r="G52" s="1080">
        <f t="shared" si="1"/>
        <v>230977599</v>
      </c>
      <c r="H52" s="931">
        <f t="shared" si="2"/>
        <v>30</v>
      </c>
      <c r="I52" s="850">
        <f t="shared" si="3"/>
        <v>4383643.0820619166</v>
      </c>
    </row>
    <row r="53" spans="1:9">
      <c r="A53" s="791">
        <v>22</v>
      </c>
      <c r="B53" s="953">
        <v>44317</v>
      </c>
      <c r="C53" s="953">
        <v>44347</v>
      </c>
      <c r="D53" s="796">
        <v>0.17219999999999999</v>
      </c>
      <c r="E53" s="796">
        <f t="shared" si="4"/>
        <v>0.25829999999999997</v>
      </c>
      <c r="F53" s="897">
        <f t="shared" si="5"/>
        <v>6.2968201205726437E-4</v>
      </c>
      <c r="G53" s="1080">
        <f t="shared" si="1"/>
        <v>230977599</v>
      </c>
      <c r="H53" s="931">
        <f t="shared" si="2"/>
        <v>31</v>
      </c>
      <c r="I53" s="850">
        <f t="shared" si="3"/>
        <v>4508715.6176327551</v>
      </c>
    </row>
    <row r="54" spans="1:9">
      <c r="A54" s="791">
        <v>23</v>
      </c>
      <c r="B54" s="953">
        <v>44348</v>
      </c>
      <c r="C54" s="953">
        <v>44377</v>
      </c>
      <c r="D54" s="796">
        <v>0.1721</v>
      </c>
      <c r="E54" s="796">
        <f t="shared" si="4"/>
        <v>0.25814999999999999</v>
      </c>
      <c r="F54" s="897">
        <f t="shared" si="5"/>
        <v>6.2935518846773952E-4</v>
      </c>
      <c r="G54" s="1080">
        <f t="shared" si="1"/>
        <v>230977599</v>
      </c>
      <c r="H54" s="931">
        <f t="shared" si="2"/>
        <v>30</v>
      </c>
      <c r="I54" s="850">
        <f t="shared" si="3"/>
        <v>4361008.510514129</v>
      </c>
    </row>
    <row r="55" spans="1:9">
      <c r="A55" s="791">
        <v>24</v>
      </c>
      <c r="B55" s="953">
        <v>44378</v>
      </c>
      <c r="C55" s="953">
        <v>44408</v>
      </c>
      <c r="D55" s="796">
        <v>0.17180000000000001</v>
      </c>
      <c r="E55" s="796">
        <f t="shared" si="4"/>
        <v>0.25770000000000004</v>
      </c>
      <c r="F55" s="897">
        <f t="shared" si="5"/>
        <v>6.2837448450037137E-4</v>
      </c>
      <c r="G55" s="1080">
        <f t="shared" si="1"/>
        <v>230977599</v>
      </c>
      <c r="H55" s="931">
        <f t="shared" si="2"/>
        <v>31</v>
      </c>
      <c r="I55" s="850">
        <f t="shared" si="3"/>
        <v>4499353.3207855131</v>
      </c>
    </row>
    <row r="56" spans="1:9">
      <c r="A56" s="791">
        <v>25</v>
      </c>
      <c r="B56" s="953">
        <v>44409</v>
      </c>
      <c r="C56" s="953">
        <v>44439</v>
      </c>
      <c r="D56" s="796">
        <v>0.1724</v>
      </c>
      <c r="E56" s="796">
        <f t="shared" ref="E56:E61" si="6">+D56*1.5</f>
        <v>0.2586</v>
      </c>
      <c r="F56" s="897">
        <f t="shared" ref="F56:F61" si="7">((1+E56)^(1/365)-1)</f>
        <v>6.3033554269220637E-4</v>
      </c>
      <c r="G56" s="1080">
        <f t="shared" si="1"/>
        <v>230977599</v>
      </c>
      <c r="H56" s="931">
        <f t="shared" ref="H56:H61" si="8">+_xlfn.DAYS(C56,B56)+1</f>
        <v>31</v>
      </c>
      <c r="I56" s="850">
        <f t="shared" ref="I56:I61" si="9">+G56*F56*H56</f>
        <v>4513395.0966776423</v>
      </c>
    </row>
    <row r="57" spans="1:9">
      <c r="A57" s="791">
        <v>26</v>
      </c>
      <c r="B57" s="953">
        <v>44440</v>
      </c>
      <c r="C57" s="953">
        <v>44469</v>
      </c>
      <c r="D57" s="796">
        <v>0.1719</v>
      </c>
      <c r="E57" s="796">
        <f t="shared" si="6"/>
        <v>0.25785000000000002</v>
      </c>
      <c r="F57" s="897">
        <f t="shared" si="7"/>
        <v>6.2870142469861889E-4</v>
      </c>
      <c r="G57" s="1080">
        <f t="shared" si="1"/>
        <v>230977599</v>
      </c>
      <c r="H57" s="931">
        <f t="shared" si="8"/>
        <v>30</v>
      </c>
      <c r="I57" s="850">
        <f t="shared" si="9"/>
        <v>4356478.3669429887</v>
      </c>
    </row>
    <row r="58" spans="1:9">
      <c r="A58" s="791">
        <v>27</v>
      </c>
      <c r="B58" s="953">
        <v>44470</v>
      </c>
      <c r="C58" s="953">
        <v>44500</v>
      </c>
      <c r="D58" s="796">
        <v>0.17080000000000001</v>
      </c>
      <c r="E58" s="796">
        <f t="shared" si="6"/>
        <v>0.25619999999999998</v>
      </c>
      <c r="F58" s="897">
        <f t="shared" si="7"/>
        <v>6.2510294214179751E-4</v>
      </c>
      <c r="G58" s="1080">
        <f t="shared" si="1"/>
        <v>230977599</v>
      </c>
      <c r="H58" s="931">
        <f t="shared" si="8"/>
        <v>31</v>
      </c>
      <c r="I58" s="850">
        <f t="shared" si="9"/>
        <v>4475928.0778161976</v>
      </c>
    </row>
    <row r="59" spans="1:9">
      <c r="A59" s="791">
        <v>28</v>
      </c>
      <c r="B59" s="953">
        <v>44501</v>
      </c>
      <c r="C59" s="953">
        <v>44530</v>
      </c>
      <c r="D59" s="796">
        <v>0.17269999999999999</v>
      </c>
      <c r="E59" s="796">
        <f t="shared" si="6"/>
        <v>0.25905</v>
      </c>
      <c r="F59" s="897">
        <f t="shared" si="7"/>
        <v>6.3131554742335005E-4</v>
      </c>
      <c r="G59" s="1080">
        <f t="shared" si="1"/>
        <v>230977599</v>
      </c>
      <c r="H59" s="931">
        <f t="shared" si="8"/>
        <v>30</v>
      </c>
      <c r="I59" s="850">
        <f t="shared" si="9"/>
        <v>4374592.4806564813</v>
      </c>
    </row>
    <row r="60" spans="1:9">
      <c r="A60" s="791">
        <v>29</v>
      </c>
      <c r="B60" s="953">
        <v>44531</v>
      </c>
      <c r="C60" s="953">
        <v>44561</v>
      </c>
      <c r="D60" s="796">
        <v>0.17460000000000001</v>
      </c>
      <c r="E60" s="796">
        <f t="shared" si="6"/>
        <v>0.26190000000000002</v>
      </c>
      <c r="F60" s="897">
        <f t="shared" si="7"/>
        <v>6.3751414410861962E-4</v>
      </c>
      <c r="G60" s="1080">
        <f t="shared" si="1"/>
        <v>230977599</v>
      </c>
      <c r="H60" s="931">
        <f t="shared" si="8"/>
        <v>31</v>
      </c>
      <c r="I60" s="850">
        <f t="shared" si="9"/>
        <v>4564796.0763772177</v>
      </c>
    </row>
    <row r="61" spans="1:9">
      <c r="A61" s="791">
        <v>30</v>
      </c>
      <c r="B61" s="953">
        <v>44562</v>
      </c>
      <c r="C61" s="953">
        <v>44592</v>
      </c>
      <c r="D61" s="796"/>
      <c r="E61" s="796">
        <f t="shared" si="6"/>
        <v>0</v>
      </c>
      <c r="F61" s="897">
        <f t="shared" si="7"/>
        <v>0</v>
      </c>
      <c r="G61" s="1080">
        <f t="shared" si="1"/>
        <v>230977599</v>
      </c>
      <c r="H61" s="931">
        <f t="shared" si="8"/>
        <v>31</v>
      </c>
      <c r="I61" s="850">
        <f t="shared" si="9"/>
        <v>0</v>
      </c>
    </row>
    <row r="62" spans="1:9">
      <c r="A62" s="791">
        <v>31</v>
      </c>
      <c r="B62" s="953">
        <v>44593</v>
      </c>
      <c r="C62" s="953">
        <v>44620</v>
      </c>
      <c r="D62" s="796"/>
      <c r="E62" s="796">
        <f t="shared" ref="E62" si="10">+D62*1.5</f>
        <v>0</v>
      </c>
      <c r="F62" s="897">
        <f t="shared" ref="F62" si="11">((1+E62)^(1/365)-1)</f>
        <v>0</v>
      </c>
      <c r="G62" s="1080">
        <f t="shared" si="1"/>
        <v>230977599</v>
      </c>
      <c r="H62" s="931">
        <f t="shared" ref="H62" si="12">+_xlfn.DAYS(C62,B62)+1</f>
        <v>28</v>
      </c>
      <c r="I62" s="850">
        <f t="shared" ref="I62" si="13">+G62*F62*H62</f>
        <v>0</v>
      </c>
    </row>
    <row r="63" spans="1:9">
      <c r="G63" s="728" t="s">
        <v>1657</v>
      </c>
      <c r="H63" s="737"/>
      <c r="I63" s="941">
        <f>SUM(I32:I60)</f>
        <v>94125014.04039222</v>
      </c>
    </row>
    <row r="64" spans="1:9">
      <c r="G64" s="848"/>
    </row>
    <row r="65" spans="2:4">
      <c r="B65" s="2559" t="s">
        <v>1658</v>
      </c>
      <c r="C65" s="2559"/>
      <c r="D65" s="2559"/>
    </row>
    <row r="66" spans="2:4">
      <c r="B66" s="737" t="str">
        <f>+B5</f>
        <v xml:space="preserve">Capital actualizado a enero de 2018 </v>
      </c>
      <c r="C66" s="737"/>
      <c r="D66" s="790">
        <v>230977599</v>
      </c>
    </row>
    <row r="67" spans="2:4">
      <c r="B67" s="737" t="str">
        <f>+B6</f>
        <v xml:space="preserve">Intereses a corte 31 de julio de 2019 </v>
      </c>
      <c r="C67" s="737"/>
      <c r="D67" s="790">
        <v>76055864</v>
      </c>
    </row>
    <row r="68" spans="2:4">
      <c r="B68" s="737" t="s">
        <v>1659</v>
      </c>
      <c r="C68" s="867"/>
      <c r="D68" s="1310">
        <f>+I63</f>
        <v>94125014.04039222</v>
      </c>
    </row>
    <row r="69" spans="2:4">
      <c r="C69" s="728" t="s">
        <v>1660</v>
      </c>
      <c r="D69" s="1077">
        <f>SUM(D66:D68)</f>
        <v>401158477.04039222</v>
      </c>
    </row>
  </sheetData>
  <mergeCells count="6">
    <mergeCell ref="D31:E31"/>
    <mergeCell ref="B65:D65"/>
    <mergeCell ref="B30:I30"/>
    <mergeCell ref="B10:K10"/>
    <mergeCell ref="I15:J15"/>
    <mergeCell ref="B16:C16"/>
  </mergeCells>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06A9F-E799-44BB-8A47-4AFB17478676}">
  <sheetPr codeName="Hoja75"/>
  <dimension ref="A2:I64"/>
  <sheetViews>
    <sheetView topLeftCell="A43" workbookViewId="0">
      <selection activeCell="H51" sqref="H51"/>
    </sheetView>
  </sheetViews>
  <sheetFormatPr defaultColWidth="11.42578125" defaultRowHeight="12.75"/>
  <cols>
    <col min="1" max="1" width="2.7109375" style="217" customWidth="1"/>
    <col min="2" max="2" width="19.140625" style="217" customWidth="1"/>
    <col min="3" max="3" width="16.140625" style="217" customWidth="1"/>
    <col min="4" max="7" width="11.42578125" style="217"/>
    <col min="8" max="8" width="14.85546875" style="217" bestFit="1" customWidth="1"/>
    <col min="9" max="9" width="12.85546875" style="217" bestFit="1" customWidth="1"/>
    <col min="10" max="16384" width="11.42578125" style="217"/>
  </cols>
  <sheetData>
    <row r="2" spans="1:8" ht="22.5">
      <c r="B2" s="601" t="s">
        <v>0</v>
      </c>
      <c r="C2" s="233" t="s">
        <v>1661</v>
      </c>
      <c r="D2" s="234"/>
      <c r="E2" s="234"/>
      <c r="F2" s="234"/>
      <c r="G2" s="234"/>
      <c r="H2" s="234"/>
    </row>
    <row r="3" spans="1:8">
      <c r="B3" s="403" t="s">
        <v>67</v>
      </c>
      <c r="C3" s="555">
        <v>135245922.13</v>
      </c>
      <c r="D3" s="234"/>
      <c r="E3" s="234"/>
      <c r="F3" s="234"/>
      <c r="G3" s="234"/>
      <c r="H3" s="234"/>
    </row>
    <row r="4" spans="1:8" ht="22.5">
      <c r="B4" s="601" t="s">
        <v>801</v>
      </c>
      <c r="C4" s="508" t="s">
        <v>1662</v>
      </c>
      <c r="D4" s="234"/>
      <c r="E4" s="234"/>
      <c r="F4" s="234"/>
      <c r="G4" s="234"/>
      <c r="H4" s="234"/>
    </row>
    <row r="5" spans="1:8">
      <c r="B5" s="403" t="s">
        <v>4</v>
      </c>
      <c r="C5" s="1681">
        <v>43649</v>
      </c>
      <c r="D5" s="234"/>
      <c r="E5" s="234"/>
      <c r="F5" s="234"/>
      <c r="G5" s="234"/>
      <c r="H5" s="234"/>
    </row>
    <row r="6" spans="1:8" ht="22.5">
      <c r="B6" s="601" t="s">
        <v>803</v>
      </c>
      <c r="C6" s="1681">
        <v>43802</v>
      </c>
      <c r="D6" s="1682" t="s">
        <v>1663</v>
      </c>
      <c r="E6" s="234"/>
      <c r="F6" s="234"/>
      <c r="G6" s="234"/>
      <c r="H6" s="234"/>
    </row>
    <row r="7" spans="1:8">
      <c r="B7" s="403" t="s">
        <v>331</v>
      </c>
      <c r="C7" s="233" t="s">
        <v>804</v>
      </c>
      <c r="D7" s="234"/>
      <c r="E7" s="234"/>
      <c r="F7" s="234"/>
      <c r="G7" s="234"/>
      <c r="H7" s="234"/>
    </row>
    <row r="8" spans="1:8" ht="22.5">
      <c r="B8" s="601" t="s">
        <v>805</v>
      </c>
      <c r="C8" s="1681">
        <v>43594</v>
      </c>
      <c r="D8" s="234"/>
      <c r="E8" s="234"/>
      <c r="F8" s="234"/>
      <c r="G8" s="234"/>
      <c r="H8" s="234"/>
    </row>
    <row r="9" spans="1:8">
      <c r="B9" s="1683" t="s">
        <v>806</v>
      </c>
      <c r="C9" s="1684"/>
      <c r="D9" s="234"/>
      <c r="E9" s="234"/>
      <c r="F9" s="234"/>
      <c r="G9" s="234"/>
      <c r="H9" s="234"/>
    </row>
    <row r="10" spans="1:8">
      <c r="B10" s="2717" t="s">
        <v>172</v>
      </c>
      <c r="C10" s="2717"/>
      <c r="D10" s="2717"/>
      <c r="E10" s="2717"/>
      <c r="F10" s="2717"/>
      <c r="G10" s="2717"/>
      <c r="H10" s="2717"/>
    </row>
    <row r="11" spans="1:8">
      <c r="B11" s="354" t="s">
        <v>143</v>
      </c>
      <c r="C11" s="2382">
        <f>+C3</f>
        <v>135245922.13</v>
      </c>
      <c r="D11" s="354"/>
      <c r="E11" s="354"/>
      <c r="F11" s="354"/>
      <c r="G11" s="354"/>
      <c r="H11" s="233"/>
    </row>
    <row r="12" spans="1:8" ht="22.5">
      <c r="A12" s="216"/>
      <c r="B12" s="1529" t="s">
        <v>337</v>
      </c>
      <c r="C12" s="1529" t="s">
        <v>40</v>
      </c>
      <c r="D12" s="2827" t="s">
        <v>755</v>
      </c>
      <c r="E12" s="2828"/>
      <c r="F12" s="614" t="s">
        <v>611</v>
      </c>
      <c r="G12" s="614" t="s">
        <v>47</v>
      </c>
      <c r="H12" s="614" t="s">
        <v>48</v>
      </c>
    </row>
    <row r="13" spans="1:8" ht="13.5">
      <c r="A13" s="399">
        <v>1</v>
      </c>
      <c r="B13" s="1681">
        <v>43926</v>
      </c>
      <c r="C13" s="1681">
        <v>43951</v>
      </c>
      <c r="D13" s="361">
        <v>0</v>
      </c>
      <c r="E13" s="361">
        <v>4.5499999999999999E-2</v>
      </c>
      <c r="F13" s="1685">
        <f>((1+E13)^(1/365)-1)</f>
        <v>1.2191219750046223E-4</v>
      </c>
      <c r="G13" s="2385">
        <f>_xlfn.DAYS(C13,B13)+1</f>
        <v>26</v>
      </c>
      <c r="H13" s="1356">
        <f>ROUND($C$11*F13*G13,2)</f>
        <v>428691.32</v>
      </c>
    </row>
    <row r="14" spans="1:8" ht="13.5">
      <c r="A14" s="399">
        <v>2</v>
      </c>
      <c r="B14" s="1681">
        <v>43952</v>
      </c>
      <c r="C14" s="1681">
        <v>43982</v>
      </c>
      <c r="D14" s="361">
        <v>0</v>
      </c>
      <c r="E14" s="361">
        <v>4.2900000000000001E-2</v>
      </c>
      <c r="F14" s="1685">
        <f t="shared" ref="F14:F35" si="0">((1+E14)^(1/365)-1)</f>
        <v>1.1508961995976286E-4</v>
      </c>
      <c r="G14" s="1239">
        <f t="shared" ref="G14:G38" si="1">_xlfn.DAYS(C14,B14)+1</f>
        <v>31</v>
      </c>
      <c r="H14" s="1356">
        <f>ROUND($C$11*F14*G14,2)</f>
        <v>482527.46</v>
      </c>
    </row>
    <row r="15" spans="1:8" ht="13.5">
      <c r="A15" s="399">
        <v>3</v>
      </c>
      <c r="B15" s="1681">
        <v>43983</v>
      </c>
      <c r="C15" s="1681">
        <v>44012</v>
      </c>
      <c r="D15" s="361">
        <v>0</v>
      </c>
      <c r="E15" s="361">
        <v>3.7600000000000001E-2</v>
      </c>
      <c r="F15" s="1685">
        <f t="shared" si="0"/>
        <v>1.0112937081929729E-4</v>
      </c>
      <c r="G15" s="1239">
        <f t="shared" si="1"/>
        <v>30</v>
      </c>
      <c r="H15" s="1356">
        <f>ROUND($C$11*F15*G15,2)</f>
        <v>410320.05</v>
      </c>
    </row>
    <row r="16" spans="1:8" ht="13.5">
      <c r="A16" s="399">
        <v>4</v>
      </c>
      <c r="B16" s="1681">
        <v>44013</v>
      </c>
      <c r="C16" s="1686">
        <v>44043</v>
      </c>
      <c r="D16" s="361">
        <v>0</v>
      </c>
      <c r="E16" s="361">
        <v>3.3399999999999999E-2</v>
      </c>
      <c r="F16" s="1685">
        <f t="shared" si="0"/>
        <v>9.0015933029263806E-5</v>
      </c>
      <c r="G16" s="1239">
        <f t="shared" si="1"/>
        <v>31</v>
      </c>
      <c r="H16" s="1356">
        <f t="shared" ref="H16:H43" si="2">ROUND($C$11*F16*G16,2)</f>
        <v>377402.92</v>
      </c>
    </row>
    <row r="17" spans="1:8" ht="13.5">
      <c r="A17" s="399">
        <v>5</v>
      </c>
      <c r="B17" s="1681">
        <v>44044</v>
      </c>
      <c r="C17" s="1681">
        <v>44074</v>
      </c>
      <c r="D17" s="361">
        <v>0</v>
      </c>
      <c r="E17" s="361">
        <v>2.7900000000000001E-2</v>
      </c>
      <c r="F17" s="1685">
        <f t="shared" si="0"/>
        <v>7.5394310601994974E-5</v>
      </c>
      <c r="G17" s="1239">
        <f t="shared" si="1"/>
        <v>31</v>
      </c>
      <c r="H17" s="1356">
        <f t="shared" si="2"/>
        <v>316099.96000000002</v>
      </c>
    </row>
    <row r="18" spans="1:8" ht="13.5">
      <c r="A18" s="399">
        <v>6</v>
      </c>
      <c r="B18" s="1681">
        <v>44075</v>
      </c>
      <c r="C18" s="1681">
        <v>44104</v>
      </c>
      <c r="D18" s="361">
        <v>0</v>
      </c>
      <c r="E18" s="361">
        <v>2.3900000000000001E-2</v>
      </c>
      <c r="F18" s="1685">
        <f t="shared" si="0"/>
        <v>6.4711314504917183E-5</v>
      </c>
      <c r="G18" s="1239">
        <f t="shared" si="1"/>
        <v>30</v>
      </c>
      <c r="H18" s="1356">
        <f t="shared" si="2"/>
        <v>262558.24</v>
      </c>
    </row>
    <row r="19" spans="1:8" ht="13.5">
      <c r="A19" s="399">
        <v>7</v>
      </c>
      <c r="B19" s="1681">
        <v>44105</v>
      </c>
      <c r="C19" s="1681">
        <v>44135</v>
      </c>
      <c r="D19" s="361">
        <v>0</v>
      </c>
      <c r="E19" s="361">
        <v>2.0299999999999999E-2</v>
      </c>
      <c r="F19" s="1685">
        <f t="shared" si="0"/>
        <v>5.5060972509624051E-5</v>
      </c>
      <c r="G19" s="1239">
        <f t="shared" si="1"/>
        <v>31</v>
      </c>
      <c r="H19" s="1356">
        <f t="shared" si="2"/>
        <v>230849.93</v>
      </c>
    </row>
    <row r="20" spans="1:8" ht="13.5">
      <c r="A20" s="399">
        <v>8</v>
      </c>
      <c r="B20" s="1681">
        <v>44136</v>
      </c>
      <c r="C20" s="1681">
        <v>44165</v>
      </c>
      <c r="D20" s="361">
        <v>0</v>
      </c>
      <c r="E20" s="361">
        <v>1.9599999999999999E-2</v>
      </c>
      <c r="F20" s="1685">
        <f t="shared" si="0"/>
        <v>5.3180574364875E-5</v>
      </c>
      <c r="G20" s="1239">
        <f t="shared" si="1"/>
        <v>30</v>
      </c>
      <c r="H20" s="1356">
        <f t="shared" si="2"/>
        <v>215773.67</v>
      </c>
    </row>
    <row r="21" spans="1:8" ht="13.5">
      <c r="A21" s="399">
        <v>9</v>
      </c>
      <c r="B21" s="1681">
        <v>44166</v>
      </c>
      <c r="C21" s="1681">
        <v>44196</v>
      </c>
      <c r="D21" s="361">
        <v>0</v>
      </c>
      <c r="E21" s="361">
        <v>1.9299999999999998E-2</v>
      </c>
      <c r="F21" s="1685">
        <f t="shared" si="0"/>
        <v>5.2374295299806306E-5</v>
      </c>
      <c r="G21" s="1239">
        <f t="shared" si="1"/>
        <v>31</v>
      </c>
      <c r="H21" s="1356">
        <f t="shared" si="2"/>
        <v>219585.71</v>
      </c>
    </row>
    <row r="22" spans="1:8" ht="13.5">
      <c r="A22" s="399">
        <v>10</v>
      </c>
      <c r="B22" s="1681">
        <v>44197</v>
      </c>
      <c r="C22" s="1681">
        <v>44201</v>
      </c>
      <c r="D22" s="361">
        <v>0</v>
      </c>
      <c r="E22" s="361">
        <v>1.9099999999999999E-2</v>
      </c>
      <c r="F22" s="1685">
        <f t="shared" si="0"/>
        <v>5.1836644438196799E-5</v>
      </c>
      <c r="G22" s="1239">
        <f t="shared" si="1"/>
        <v>5</v>
      </c>
      <c r="H22" s="1356">
        <f t="shared" si="2"/>
        <v>35053.47</v>
      </c>
    </row>
    <row r="23" spans="1:8" ht="13.5">
      <c r="A23" s="399">
        <v>11</v>
      </c>
      <c r="B23" s="1681">
        <v>44202</v>
      </c>
      <c r="C23" s="1681">
        <v>44227</v>
      </c>
      <c r="D23" s="1120">
        <v>0.17319999999999999</v>
      </c>
      <c r="E23" s="361">
        <f t="shared" ref="E23:E35" si="3">+D23*1.5</f>
        <v>0.25979999999999998</v>
      </c>
      <c r="F23" s="1685">
        <f t="shared" si="0"/>
        <v>6.3294811266723094E-4</v>
      </c>
      <c r="G23" s="1239">
        <f t="shared" si="1"/>
        <v>26</v>
      </c>
      <c r="H23" s="1356">
        <f t="shared" si="2"/>
        <v>2225694.9300000002</v>
      </c>
    </row>
    <row r="24" spans="1:8" ht="13.5">
      <c r="A24" s="399">
        <v>12</v>
      </c>
      <c r="B24" s="1681">
        <v>44228</v>
      </c>
      <c r="C24" s="1681">
        <v>44255</v>
      </c>
      <c r="D24" s="1120">
        <v>0.1754</v>
      </c>
      <c r="E24" s="361">
        <f t="shared" si="3"/>
        <v>0.2631</v>
      </c>
      <c r="F24" s="1685">
        <f t="shared" si="0"/>
        <v>6.4011990387169426E-4</v>
      </c>
      <c r="G24" s="1239">
        <f t="shared" si="1"/>
        <v>28</v>
      </c>
      <c r="H24" s="1356">
        <f t="shared" si="2"/>
        <v>2424060.9900000002</v>
      </c>
    </row>
    <row r="25" spans="1:8" ht="13.5">
      <c r="A25" s="399">
        <v>13</v>
      </c>
      <c r="B25" s="1681">
        <v>44256</v>
      </c>
      <c r="C25" s="1681">
        <v>44286</v>
      </c>
      <c r="D25" s="1120">
        <v>0.1741</v>
      </c>
      <c r="E25" s="361">
        <f t="shared" si="3"/>
        <v>0.26114999999999999</v>
      </c>
      <c r="F25" s="1685">
        <f t="shared" si="0"/>
        <v>6.3588428907812578E-4</v>
      </c>
      <c r="G25" s="1239">
        <f t="shared" si="1"/>
        <v>31</v>
      </c>
      <c r="H25" s="1356">
        <f t="shared" si="2"/>
        <v>2666023.4700000002</v>
      </c>
    </row>
    <row r="26" spans="1:8" ht="13.5">
      <c r="A26" s="399">
        <v>14</v>
      </c>
      <c r="B26" s="1681">
        <v>44287</v>
      </c>
      <c r="C26" s="1681">
        <v>44316</v>
      </c>
      <c r="D26" s="1120">
        <v>0.1731</v>
      </c>
      <c r="E26" s="361">
        <f t="shared" si="3"/>
        <v>0.25964999999999999</v>
      </c>
      <c r="F26" s="1685">
        <f t="shared" si="0"/>
        <v>6.326216771728177E-4</v>
      </c>
      <c r="G26" s="1239">
        <f t="shared" si="1"/>
        <v>30</v>
      </c>
      <c r="H26" s="1356">
        <f t="shared" si="2"/>
        <v>2566785.06</v>
      </c>
    </row>
    <row r="27" spans="1:8" ht="13.5">
      <c r="A27" s="399">
        <v>15</v>
      </c>
      <c r="B27" s="1681">
        <v>44317</v>
      </c>
      <c r="C27" s="1681">
        <v>44347</v>
      </c>
      <c r="D27" s="1120">
        <v>0.17219999999999999</v>
      </c>
      <c r="E27" s="361">
        <f t="shared" si="3"/>
        <v>0.25829999999999997</v>
      </c>
      <c r="F27" s="1685">
        <f t="shared" si="0"/>
        <v>6.2968201205726437E-4</v>
      </c>
      <c r="G27" s="1239">
        <f t="shared" si="1"/>
        <v>31</v>
      </c>
      <c r="H27" s="1356">
        <f t="shared" si="2"/>
        <v>2640019.66</v>
      </c>
    </row>
    <row r="28" spans="1:8" ht="13.5">
      <c r="A28" s="399">
        <v>16</v>
      </c>
      <c r="B28" s="1681">
        <v>44348</v>
      </c>
      <c r="C28" s="1681">
        <v>44377</v>
      </c>
      <c r="D28" s="1120">
        <v>0.1721</v>
      </c>
      <c r="E28" s="361">
        <f t="shared" si="3"/>
        <v>0.25814999999999999</v>
      </c>
      <c r="F28" s="1685">
        <f t="shared" si="0"/>
        <v>6.2935518846773952E-4</v>
      </c>
      <c r="G28" s="1239">
        <f t="shared" si="1"/>
        <v>30</v>
      </c>
      <c r="H28" s="1356">
        <f t="shared" si="2"/>
        <v>2553531.6800000002</v>
      </c>
    </row>
    <row r="29" spans="1:8" ht="13.5">
      <c r="A29" s="399">
        <v>17</v>
      </c>
      <c r="B29" s="1681">
        <v>44378</v>
      </c>
      <c r="C29" s="1681">
        <v>44408</v>
      </c>
      <c r="D29" s="1120">
        <v>0.17180000000000001</v>
      </c>
      <c r="E29" s="361">
        <f t="shared" si="3"/>
        <v>0.25770000000000004</v>
      </c>
      <c r="F29" s="1685">
        <f t="shared" si="0"/>
        <v>6.2837448450037137E-4</v>
      </c>
      <c r="G29" s="1239">
        <f t="shared" si="1"/>
        <v>31</v>
      </c>
      <c r="H29" s="1356">
        <f t="shared" si="2"/>
        <v>2634537.6800000002</v>
      </c>
    </row>
    <row r="30" spans="1:8" ht="13.5">
      <c r="A30" s="399">
        <v>18</v>
      </c>
      <c r="B30" s="1681">
        <v>44409</v>
      </c>
      <c r="C30" s="1681">
        <v>44439</v>
      </c>
      <c r="D30" s="1120">
        <v>0.1724</v>
      </c>
      <c r="E30" s="361">
        <f t="shared" si="3"/>
        <v>0.2586</v>
      </c>
      <c r="F30" s="1685">
        <f t="shared" si="0"/>
        <v>6.3033554269220637E-4</v>
      </c>
      <c r="G30" s="1239">
        <f t="shared" si="1"/>
        <v>31</v>
      </c>
      <c r="H30" s="1356">
        <f t="shared" si="2"/>
        <v>2642759.66</v>
      </c>
    </row>
    <row r="31" spans="1:8" ht="13.5">
      <c r="A31" s="399">
        <v>19</v>
      </c>
      <c r="B31" s="1681">
        <v>44440</v>
      </c>
      <c r="C31" s="1681">
        <v>44469</v>
      </c>
      <c r="D31" s="1120">
        <v>0.1719</v>
      </c>
      <c r="E31" s="361">
        <f t="shared" si="3"/>
        <v>0.25785000000000002</v>
      </c>
      <c r="F31" s="1685">
        <f t="shared" si="0"/>
        <v>6.2870142469861889E-4</v>
      </c>
      <c r="G31" s="1239">
        <f t="shared" si="1"/>
        <v>30</v>
      </c>
      <c r="H31" s="1356">
        <f t="shared" si="2"/>
        <v>2550879.12</v>
      </c>
    </row>
    <row r="32" spans="1:8" ht="13.5">
      <c r="A32" s="399">
        <v>20</v>
      </c>
      <c r="B32" s="1681">
        <v>44470</v>
      </c>
      <c r="C32" s="1681">
        <v>44500</v>
      </c>
      <c r="D32" s="1120">
        <v>0.17080000000000001</v>
      </c>
      <c r="E32" s="361">
        <f t="shared" si="3"/>
        <v>0.25619999999999998</v>
      </c>
      <c r="F32" s="1685">
        <f t="shared" si="0"/>
        <v>6.2510294214179751E-4</v>
      </c>
      <c r="G32" s="1239">
        <f t="shared" si="1"/>
        <v>31</v>
      </c>
      <c r="H32" s="1356">
        <f t="shared" si="2"/>
        <v>2620821.34</v>
      </c>
    </row>
    <row r="33" spans="1:8" ht="13.5">
      <c r="A33" s="399">
        <v>21</v>
      </c>
      <c r="B33" s="1681">
        <v>44501</v>
      </c>
      <c r="C33" s="1681">
        <v>44530</v>
      </c>
      <c r="D33" s="1120">
        <v>0.17269999999999999</v>
      </c>
      <c r="E33" s="361">
        <f t="shared" si="3"/>
        <v>0.25905</v>
      </c>
      <c r="F33" s="1685">
        <f t="shared" si="0"/>
        <v>6.3131554742335005E-4</v>
      </c>
      <c r="G33" s="1239">
        <f t="shared" si="1"/>
        <v>30</v>
      </c>
      <c r="H33" s="1356">
        <f t="shared" si="2"/>
        <v>2561485.6</v>
      </c>
    </row>
    <row r="34" spans="1:8" ht="13.5">
      <c r="A34" s="399">
        <v>22</v>
      </c>
      <c r="B34" s="1681">
        <v>44531</v>
      </c>
      <c r="C34" s="1681">
        <v>44561</v>
      </c>
      <c r="D34" s="1120">
        <v>0.17460000000000001</v>
      </c>
      <c r="E34" s="361">
        <f t="shared" si="3"/>
        <v>0.26190000000000002</v>
      </c>
      <c r="F34" s="1685">
        <f t="shared" si="0"/>
        <v>6.3751414410861962E-4</v>
      </c>
      <c r="G34" s="1239">
        <f t="shared" si="1"/>
        <v>31</v>
      </c>
      <c r="H34" s="1356">
        <f t="shared" si="2"/>
        <v>2672856.84</v>
      </c>
    </row>
    <row r="35" spans="1:8" ht="13.5">
      <c r="A35" s="399">
        <v>23</v>
      </c>
      <c r="B35" s="1681">
        <v>44562</v>
      </c>
      <c r="C35" s="1681">
        <v>44592</v>
      </c>
      <c r="D35" s="1120">
        <v>0.17660000000000001</v>
      </c>
      <c r="E35" s="1120">
        <f t="shared" si="3"/>
        <v>0.26490000000000002</v>
      </c>
      <c r="F35" s="1685">
        <f t="shared" si="0"/>
        <v>6.4402391816376081E-4</v>
      </c>
      <c r="G35" s="1239">
        <f t="shared" si="1"/>
        <v>31</v>
      </c>
      <c r="H35" s="1356">
        <f t="shared" si="2"/>
        <v>2700149.87</v>
      </c>
    </row>
    <row r="36" spans="1:8" ht="13.5">
      <c r="A36" s="399">
        <v>24</v>
      </c>
      <c r="B36" s="1681">
        <v>44593</v>
      </c>
      <c r="C36" s="1681">
        <v>44620</v>
      </c>
      <c r="D36" s="1120">
        <v>0.183</v>
      </c>
      <c r="E36" s="1120">
        <f t="shared" ref="E36:E44" si="4">+D36*1.5</f>
        <v>0.27449999999999997</v>
      </c>
      <c r="F36" s="1685">
        <f t="shared" ref="F36:F44" si="5">((1+E36)^(1/365)-1)</f>
        <v>6.6475220558892545E-4</v>
      </c>
      <c r="G36" s="1239">
        <f>_xlfn.DAYS(C36,B36)+1</f>
        <v>28</v>
      </c>
      <c r="H36" s="1356">
        <f t="shared" si="2"/>
        <v>2517340.7000000002</v>
      </c>
    </row>
    <row r="37" spans="1:8" ht="13.5">
      <c r="A37" s="399">
        <v>25</v>
      </c>
      <c r="B37" s="1681">
        <v>44621</v>
      </c>
      <c r="C37" s="1681">
        <v>44651</v>
      </c>
      <c r="D37" s="1120">
        <v>0.1847</v>
      </c>
      <c r="E37" s="1120">
        <f t="shared" si="4"/>
        <v>0.27705000000000002</v>
      </c>
      <c r="F37" s="1685">
        <f t="shared" si="5"/>
        <v>6.7023198611315671E-4</v>
      </c>
      <c r="G37" s="1239">
        <f t="shared" si="1"/>
        <v>31</v>
      </c>
      <c r="H37" s="1356">
        <f t="shared" si="2"/>
        <v>2810030.43</v>
      </c>
    </row>
    <row r="38" spans="1:8" ht="13.5">
      <c r="A38" s="399">
        <v>26</v>
      </c>
      <c r="B38" s="1681">
        <v>44652</v>
      </c>
      <c r="C38" s="1681">
        <v>44681</v>
      </c>
      <c r="D38" s="1120">
        <v>0.1905</v>
      </c>
      <c r="E38" s="1120">
        <f t="shared" si="4"/>
        <v>0.28575</v>
      </c>
      <c r="F38" s="1685">
        <f t="shared" si="5"/>
        <v>6.8884592812357148E-4</v>
      </c>
      <c r="G38" s="1239">
        <f t="shared" si="1"/>
        <v>30</v>
      </c>
      <c r="H38" s="1356">
        <f t="shared" si="2"/>
        <v>2794908.08</v>
      </c>
    </row>
    <row r="39" spans="1:8" ht="13.5">
      <c r="A39" s="399">
        <v>27</v>
      </c>
      <c r="B39" s="1681">
        <v>44682</v>
      </c>
      <c r="C39" s="1681">
        <v>44712</v>
      </c>
      <c r="D39" s="1120">
        <v>0.1971</v>
      </c>
      <c r="E39" s="1120">
        <f t="shared" si="4"/>
        <v>0.29564999999999997</v>
      </c>
      <c r="F39" s="1685">
        <f t="shared" si="5"/>
        <v>7.0987512909947981E-4</v>
      </c>
      <c r="G39" s="1239">
        <f t="shared" ref="G39:G44" si="6">_xlfn.DAYS(C39,B39)+1</f>
        <v>31</v>
      </c>
      <c r="H39" s="1356">
        <f t="shared" si="2"/>
        <v>2976239.21</v>
      </c>
    </row>
    <row r="40" spans="1:8" ht="13.5">
      <c r="A40" s="399">
        <v>28</v>
      </c>
      <c r="B40" s="1681">
        <v>44713</v>
      </c>
      <c r="C40" s="1681">
        <v>44742</v>
      </c>
      <c r="D40" s="1120">
        <v>0.20399999999999999</v>
      </c>
      <c r="E40" s="1120">
        <f t="shared" si="4"/>
        <v>0.30599999999999999</v>
      </c>
      <c r="F40" s="1685">
        <f t="shared" si="5"/>
        <v>7.3168955664093538E-4</v>
      </c>
      <c r="G40" s="1239">
        <f t="shared" si="6"/>
        <v>30</v>
      </c>
      <c r="H40" s="1356">
        <f t="shared" si="2"/>
        <v>2968740.86</v>
      </c>
    </row>
    <row r="41" spans="1:8" ht="13.5">
      <c r="A41" s="399">
        <v>29</v>
      </c>
      <c r="B41" s="1681">
        <v>44743</v>
      </c>
      <c r="C41" s="1681">
        <v>44773</v>
      </c>
      <c r="D41" s="1120">
        <v>0.21279999999999999</v>
      </c>
      <c r="E41" s="1120">
        <f t="shared" si="4"/>
        <v>0.31919999999999998</v>
      </c>
      <c r="F41" s="1685">
        <f t="shared" si="5"/>
        <v>7.5926204501630679E-4</v>
      </c>
      <c r="G41" s="1239">
        <f t="shared" si="6"/>
        <v>31</v>
      </c>
      <c r="H41" s="1356">
        <f t="shared" si="2"/>
        <v>3183299.96</v>
      </c>
    </row>
    <row r="42" spans="1:8" ht="13.5">
      <c r="A42" s="399">
        <v>30</v>
      </c>
      <c r="B42" s="1681">
        <v>44774</v>
      </c>
      <c r="C42" s="1681">
        <v>44804</v>
      </c>
      <c r="D42" s="1120">
        <v>0.22209999999999999</v>
      </c>
      <c r="E42" s="1120">
        <f t="shared" si="4"/>
        <v>0.33315</v>
      </c>
      <c r="F42" s="1685">
        <f t="shared" si="5"/>
        <v>7.8810371394433254E-4</v>
      </c>
      <c r="G42" s="1239">
        <f t="shared" si="6"/>
        <v>31</v>
      </c>
      <c r="H42" s="1356">
        <f t="shared" si="2"/>
        <v>3304222.22</v>
      </c>
    </row>
    <row r="43" spans="1:8" ht="13.5">
      <c r="A43" s="399">
        <v>31</v>
      </c>
      <c r="B43" s="1681">
        <v>44805</v>
      </c>
      <c r="C43" s="1681">
        <v>44834</v>
      </c>
      <c r="D43" s="1120">
        <v>0.23499999999999999</v>
      </c>
      <c r="E43" s="1120">
        <f t="shared" si="4"/>
        <v>0.35249999999999998</v>
      </c>
      <c r="F43" s="1685">
        <f t="shared" si="5"/>
        <v>8.2761552252574866E-4</v>
      </c>
      <c r="G43" s="1239">
        <f t="shared" si="6"/>
        <v>30</v>
      </c>
      <c r="H43" s="1356">
        <f t="shared" si="2"/>
        <v>3357948.74</v>
      </c>
    </row>
    <row r="44" spans="1:8" ht="13.5">
      <c r="A44" s="399">
        <v>32</v>
      </c>
      <c r="B44" s="1681">
        <v>44835</v>
      </c>
      <c r="C44" s="1681">
        <v>44865</v>
      </c>
      <c r="D44" s="1120">
        <v>0.24610000000000001</v>
      </c>
      <c r="E44" s="1120">
        <f t="shared" si="4"/>
        <v>0.36915000000000003</v>
      </c>
      <c r="F44" s="1685">
        <f t="shared" si="5"/>
        <v>8.611654102768096E-4</v>
      </c>
      <c r="G44" s="1239">
        <f t="shared" si="6"/>
        <v>31</v>
      </c>
      <c r="H44" s="1356">
        <f>ROUND($C$11*F44*G44,2)</f>
        <v>3610542.41</v>
      </c>
    </row>
    <row r="45" spans="1:8" ht="13.5">
      <c r="A45" s="399">
        <v>33</v>
      </c>
      <c r="B45" s="1681">
        <v>44866</v>
      </c>
      <c r="C45" s="1681">
        <v>44895</v>
      </c>
      <c r="D45" s="1120">
        <v>0.25779999999999997</v>
      </c>
      <c r="E45" s="1120">
        <f t="shared" ref="E45:E46" si="7">+D45*1.5</f>
        <v>0.38669999999999993</v>
      </c>
      <c r="F45" s="1685">
        <f t="shared" ref="F45:F46" si="8">((1+E45)^(1/365)-1)</f>
        <v>8.9609117817124329E-4</v>
      </c>
      <c r="G45" s="1239">
        <f t="shared" ref="G45:G46" si="9">_xlfn.DAYS(C45,B45)+1</f>
        <v>30</v>
      </c>
      <c r="H45" s="1356">
        <f t="shared" ref="H45" si="10">ROUND($C$11*F45*G45,2)</f>
        <v>3635780.33</v>
      </c>
    </row>
    <row r="46" spans="1:8" ht="13.5">
      <c r="A46" s="399">
        <v>34</v>
      </c>
      <c r="B46" s="1681">
        <v>44896</v>
      </c>
      <c r="C46" s="1681">
        <v>44926</v>
      </c>
      <c r="D46" s="1920">
        <v>0.27639999999999998</v>
      </c>
      <c r="E46" s="1120">
        <f t="shared" si="7"/>
        <v>0.41459999999999997</v>
      </c>
      <c r="F46" s="1685">
        <f t="shared" si="8"/>
        <v>9.5071686592063109E-4</v>
      </c>
      <c r="G46" s="1239">
        <f t="shared" si="9"/>
        <v>31</v>
      </c>
      <c r="H46" s="1356">
        <f>ROUND($C$11*F46*G46,2)</f>
        <v>3985997.96</v>
      </c>
    </row>
    <row r="47" spans="1:8" ht="13.5">
      <c r="A47" s="399">
        <v>35</v>
      </c>
      <c r="B47" s="1681">
        <v>44927</v>
      </c>
      <c r="C47" s="1681">
        <v>44957</v>
      </c>
      <c r="D47" s="1920">
        <v>0.28839999999999999</v>
      </c>
      <c r="E47" s="1120">
        <f t="shared" ref="E47:E48" si="11">+D47*1.5</f>
        <v>0.43259999999999998</v>
      </c>
      <c r="F47" s="1685">
        <f t="shared" ref="F47:F48" si="12">((1+E47)^(1/365)-1)</f>
        <v>9.8539196132163553E-4</v>
      </c>
      <c r="G47" s="1239">
        <f t="shared" ref="G47:G48" si="13">_xlfn.DAYS(C47,B47)+1</f>
        <v>31</v>
      </c>
      <c r="H47" s="1356">
        <f t="shared" ref="H47" si="14">ROUND($C$11*F47*G47,2)</f>
        <v>4131377.58</v>
      </c>
    </row>
    <row r="48" spans="1:8" ht="13.5">
      <c r="A48" s="399">
        <v>36</v>
      </c>
      <c r="B48" s="1681">
        <v>44958</v>
      </c>
      <c r="C48" s="1681">
        <v>44985</v>
      </c>
      <c r="D48" s="1920">
        <v>0.30180000000000001</v>
      </c>
      <c r="E48" s="1120">
        <f t="shared" si="11"/>
        <v>0.45269999999999999</v>
      </c>
      <c r="F48" s="1685">
        <f t="shared" si="12"/>
        <v>1.0236026853662761E-3</v>
      </c>
      <c r="G48" s="1239">
        <f t="shared" si="13"/>
        <v>28</v>
      </c>
      <c r="H48" s="1356">
        <f>ROUND($C$11*F48*G48,2)</f>
        <v>3876266.49</v>
      </c>
    </row>
    <row r="49" spans="1:9" ht="13.5">
      <c r="A49" s="399">
        <v>37</v>
      </c>
      <c r="B49" s="1681">
        <v>44986</v>
      </c>
      <c r="C49" s="1681">
        <v>45016</v>
      </c>
      <c r="D49" s="1920">
        <v>0.30840000000000001</v>
      </c>
      <c r="E49" s="1120">
        <f t="shared" ref="E49:E50" si="15">+D49*1.5</f>
        <v>0.46260000000000001</v>
      </c>
      <c r="F49" s="1685">
        <f t="shared" ref="F49:F50" si="16">((1+E49)^(1/365)-1)</f>
        <v>1.0422295217955568E-3</v>
      </c>
      <c r="G49" s="1239">
        <f t="shared" ref="G49:G50" si="17">_xlfn.DAYS(C49,B49)+1</f>
        <v>31</v>
      </c>
      <c r="H49" s="1356">
        <f t="shared" ref="H49" si="18">ROUND($C$11*F49*G49,2)</f>
        <v>4369676.08</v>
      </c>
    </row>
    <row r="50" spans="1:9" ht="13.5">
      <c r="A50" s="399">
        <v>38</v>
      </c>
      <c r="B50" s="1681">
        <v>45017</v>
      </c>
      <c r="C50" s="1681">
        <v>45046</v>
      </c>
      <c r="D50" s="1920">
        <v>0.31390000000000001</v>
      </c>
      <c r="E50" s="1120">
        <f t="shared" si="15"/>
        <v>0.47084999999999999</v>
      </c>
      <c r="F50" s="1685">
        <f t="shared" si="16"/>
        <v>1.0576560884423269E-3</v>
      </c>
      <c r="G50" s="1239">
        <f t="shared" si="17"/>
        <v>30</v>
      </c>
      <c r="H50" s="1356">
        <f>ROUND($C$11*F50*G50,2)</f>
        <v>4291310.1900000004</v>
      </c>
    </row>
    <row r="51" spans="1:9">
      <c r="F51" s="2829" t="s">
        <v>162</v>
      </c>
      <c r="G51" s="2830"/>
      <c r="H51" s="2527">
        <f>SUM(H13:H50)</f>
        <v>88252149.86999999</v>
      </c>
      <c r="I51" s="1721"/>
    </row>
    <row r="53" spans="1:9" ht="13.5">
      <c r="B53" s="2686" t="s">
        <v>1103</v>
      </c>
      <c r="C53" s="2686"/>
    </row>
    <row r="54" spans="1:9" ht="13.5">
      <c r="B54" s="726" t="s">
        <v>56</v>
      </c>
      <c r="C54" s="1065"/>
    </row>
    <row r="55" spans="1:9" ht="13.5">
      <c r="B55" s="741" t="s">
        <v>133</v>
      </c>
      <c r="C55" s="1356">
        <f>+C11</f>
        <v>135245922.13</v>
      </c>
    </row>
    <row r="56" spans="1:9" ht="13.5">
      <c r="B56" s="741" t="s">
        <v>134</v>
      </c>
      <c r="C56" s="1356">
        <f>+H51</f>
        <v>88252149.86999999</v>
      </c>
    </row>
    <row r="57" spans="1:9" ht="13.5">
      <c r="B57" s="741" t="s">
        <v>1664</v>
      </c>
      <c r="C57" s="1356">
        <f>+C55*0.03</f>
        <v>4057377.6638999996</v>
      </c>
    </row>
    <row r="58" spans="1:9" ht="14.25" thickBot="1">
      <c r="B58" s="743" t="s">
        <v>61</v>
      </c>
      <c r="C58" s="2383">
        <f>SUM(C55:C57)</f>
        <v>227555449.66389999</v>
      </c>
    </row>
    <row r="59" spans="1:9" ht="14.25" thickTop="1">
      <c r="B59" s="1651" t="s">
        <v>62</v>
      </c>
      <c r="C59" s="814"/>
    </row>
    <row r="60" spans="1:9" ht="13.5">
      <c r="B60" s="911"/>
      <c r="C60" s="814"/>
    </row>
    <row r="61" spans="1:9" ht="13.5">
      <c r="B61" s="911"/>
      <c r="C61" s="814"/>
    </row>
    <row r="62" spans="1:9" ht="13.5">
      <c r="B62" s="1651" t="s">
        <v>63</v>
      </c>
      <c r="C62" s="814"/>
    </row>
    <row r="63" spans="1:9" ht="13.5">
      <c r="B63" s="1651" t="s">
        <v>64</v>
      </c>
      <c r="C63" s="814"/>
    </row>
    <row r="64" spans="1:9" ht="13.5">
      <c r="B64" s="1651" t="s">
        <v>65</v>
      </c>
      <c r="C64" s="814"/>
    </row>
  </sheetData>
  <mergeCells count="4">
    <mergeCell ref="B10:H10"/>
    <mergeCell ref="D12:E12"/>
    <mergeCell ref="F51:G51"/>
    <mergeCell ref="B53:C53"/>
  </mergeCells>
  <conditionalFormatting sqref="B12:C12">
    <cfRule type="duplicateValues" dxfId="25" priority="1"/>
  </conditionalFormatting>
  <pageMargins left="0.7" right="0.7" top="0.75" bottom="0.75" header="0.3" footer="0.3"/>
  <pageSetup paperSize="135" orientation="portrait" r:id="rId1"/>
  <drawing r:id="rId2"/>
  <legacyDrawing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A6A89-4A35-4EF4-B521-C323492D7BA6}">
  <sheetPr codeName="Hoja76"/>
  <dimension ref="A3:I84"/>
  <sheetViews>
    <sheetView topLeftCell="A72" zoomScaleNormal="100" workbookViewId="0">
      <selection activeCell="C83" sqref="C83"/>
    </sheetView>
  </sheetViews>
  <sheetFormatPr defaultColWidth="11.42578125" defaultRowHeight="12.75"/>
  <cols>
    <col min="1" max="1" width="3" style="217" customWidth="1"/>
    <col min="2" max="2" width="17.140625" style="217" customWidth="1"/>
    <col min="3" max="3" width="21.5703125" style="217" customWidth="1"/>
    <col min="4" max="4" width="17.140625" style="217" customWidth="1"/>
    <col min="5" max="5" width="16.5703125" style="217" customWidth="1"/>
    <col min="6" max="6" width="15" style="217" customWidth="1"/>
    <col min="7" max="7" width="15.28515625" style="217" customWidth="1"/>
    <col min="8" max="8" width="11.42578125" style="217"/>
    <col min="9" max="9" width="15.140625" style="217" customWidth="1"/>
    <col min="10" max="16384" width="11.42578125" style="217"/>
  </cols>
  <sheetData>
    <row r="3" spans="2:7" ht="24.75">
      <c r="B3" s="215" t="s">
        <v>121</v>
      </c>
      <c r="C3" s="1687" t="s">
        <v>1665</v>
      </c>
    </row>
    <row r="4" spans="2:7" ht="15">
      <c r="B4" s="219" t="s">
        <v>331</v>
      </c>
      <c r="C4" s="1688" t="s">
        <v>1666</v>
      </c>
    </row>
    <row r="5" spans="2:7" ht="15">
      <c r="B5" s="219" t="s">
        <v>4</v>
      </c>
      <c r="C5" s="1687" t="s">
        <v>1667</v>
      </c>
    </row>
    <row r="6" spans="2:7" ht="15">
      <c r="B6" s="219" t="s">
        <v>291</v>
      </c>
      <c r="C6" s="1687" t="s">
        <v>1668</v>
      </c>
    </row>
    <row r="7" spans="2:7">
      <c r="B7" s="217" t="s">
        <v>1669</v>
      </c>
    </row>
    <row r="11" spans="2:7">
      <c r="B11" s="221" t="s">
        <v>1670</v>
      </c>
    </row>
    <row r="12" spans="2:7">
      <c r="B12" s="1672" t="s">
        <v>1615</v>
      </c>
      <c r="C12" s="1672" t="s">
        <v>40</v>
      </c>
      <c r="D12" s="1672" t="s">
        <v>1671</v>
      </c>
      <c r="E12" s="1672" t="s">
        <v>1617</v>
      </c>
      <c r="G12" s="223">
        <v>39259</v>
      </c>
    </row>
    <row r="13" spans="2:7">
      <c r="B13" s="243">
        <v>40909</v>
      </c>
      <c r="C13" s="243">
        <v>41274</v>
      </c>
      <c r="D13" s="1554">
        <v>1200000</v>
      </c>
      <c r="E13" s="1589">
        <f>_xlfn.DAYS(C13,B13)-5</f>
        <v>360</v>
      </c>
      <c r="G13" s="223">
        <v>41639</v>
      </c>
    </row>
    <row r="14" spans="2:7">
      <c r="B14" s="243">
        <v>41275</v>
      </c>
      <c r="C14" s="243">
        <v>41639</v>
      </c>
      <c r="D14" s="1554">
        <v>1460000</v>
      </c>
      <c r="E14" s="1589">
        <f>_xlfn.DAYS(C14,B14)-4</f>
        <v>360</v>
      </c>
    </row>
    <row r="15" spans="2:7">
      <c r="B15" s="223"/>
      <c r="C15" s="223"/>
      <c r="D15" s="1544"/>
      <c r="E15" s="1598"/>
    </row>
    <row r="16" spans="2:7">
      <c r="D16" s="218"/>
    </row>
    <row r="17" spans="1:6">
      <c r="A17" s="221" t="s">
        <v>1672</v>
      </c>
      <c r="B17" s="1582"/>
      <c r="C17" s="475">
        <v>103.03</v>
      </c>
      <c r="D17" s="218"/>
    </row>
    <row r="18" spans="1:6" ht="25.5">
      <c r="A18" s="217">
        <v>1</v>
      </c>
      <c r="B18" s="393" t="s">
        <v>1673</v>
      </c>
      <c r="C18" s="1544"/>
      <c r="D18" s="1689" t="s">
        <v>1674</v>
      </c>
      <c r="E18" s="1674" t="s">
        <v>1621</v>
      </c>
      <c r="F18" s="1674" t="s">
        <v>1622</v>
      </c>
    </row>
    <row r="19" spans="1:6">
      <c r="B19" s="547" t="s">
        <v>472</v>
      </c>
      <c r="C19" s="1544">
        <f>+(D13*E14)/360</f>
        <v>1200000</v>
      </c>
      <c r="D19" s="218"/>
    </row>
    <row r="20" spans="1:6">
      <c r="B20" s="547" t="s">
        <v>475</v>
      </c>
      <c r="C20" s="1544">
        <f>+(C19*E13*0.12)/360</f>
        <v>144000</v>
      </c>
      <c r="D20" s="218"/>
    </row>
    <row r="21" spans="1:6">
      <c r="B21" s="547" t="s">
        <v>477</v>
      </c>
      <c r="C21" s="1623">
        <f>+(D13*E13)/360</f>
        <v>1200000</v>
      </c>
    </row>
    <row r="22" spans="1:6" ht="13.5" thickBot="1">
      <c r="B22" s="1621" t="s">
        <v>482</v>
      </c>
      <c r="C22" s="1622">
        <f>+(D13*E13)/720</f>
        <v>600000</v>
      </c>
      <c r="D22" s="217">
        <v>78.05</v>
      </c>
      <c r="E22" s="217">
        <f>+$C$17/D22</f>
        <v>1.3200512491992313</v>
      </c>
      <c r="F22" s="548">
        <f>+C23*E22</f>
        <v>4150241.1274823835</v>
      </c>
    </row>
    <row r="23" spans="1:6">
      <c r="B23" s="393" t="s">
        <v>276</v>
      </c>
      <c r="C23" s="224">
        <f>SUM(C19:C22)</f>
        <v>3144000</v>
      </c>
    </row>
    <row r="26" spans="1:6" ht="25.5">
      <c r="A26" s="217">
        <v>2</v>
      </c>
      <c r="B26" s="393" t="s">
        <v>1675</v>
      </c>
      <c r="C26" s="1544"/>
      <c r="D26" s="1689" t="s">
        <v>1676</v>
      </c>
      <c r="E26" s="1674" t="s">
        <v>1621</v>
      </c>
      <c r="F26" s="1674" t="s">
        <v>1622</v>
      </c>
    </row>
    <row r="27" spans="1:6">
      <c r="B27" s="547" t="s">
        <v>472</v>
      </c>
      <c r="C27" s="1544">
        <f>+(D14*E14)/360</f>
        <v>1460000</v>
      </c>
      <c r="D27" s="218"/>
    </row>
    <row r="28" spans="1:6">
      <c r="B28" s="547" t="s">
        <v>475</v>
      </c>
      <c r="C28" s="1544">
        <f>+(C27*E13*0.12)/360</f>
        <v>175200</v>
      </c>
      <c r="D28" s="218"/>
    </row>
    <row r="29" spans="1:6">
      <c r="B29" s="547" t="s">
        <v>477</v>
      </c>
      <c r="C29" s="1623">
        <f>+(D13*E13)/360</f>
        <v>1200000</v>
      </c>
    </row>
    <row r="30" spans="1:6" ht="13.5" thickBot="1">
      <c r="B30" s="1621" t="s">
        <v>482</v>
      </c>
      <c r="C30" s="1622">
        <f>+(D13*E13)/720</f>
        <v>600000</v>
      </c>
      <c r="D30" s="217">
        <v>79.56</v>
      </c>
      <c r="E30" s="217">
        <f>+$C$17/D30</f>
        <v>1.2949974861739568</v>
      </c>
      <c r="F30" s="548">
        <f>+C31*E30</f>
        <v>4448575.3645047769</v>
      </c>
    </row>
    <row r="31" spans="1:6">
      <c r="B31" s="393" t="s">
        <v>1344</v>
      </c>
      <c r="C31" s="224">
        <f>SUM(C27:C30)</f>
        <v>3435200</v>
      </c>
    </row>
    <row r="34" spans="1:8">
      <c r="A34" s="221"/>
      <c r="B34" s="393"/>
      <c r="C34" s="1544"/>
      <c r="D34" s="1690"/>
      <c r="E34" s="1674"/>
      <c r="F34" s="1674"/>
    </row>
    <row r="35" spans="1:8">
      <c r="B35" s="547"/>
      <c r="C35" s="1544"/>
      <c r="D35" s="218"/>
    </row>
    <row r="36" spans="1:8">
      <c r="A36" s="221" t="s">
        <v>1672</v>
      </c>
      <c r="D36" s="217">
        <v>103.03</v>
      </c>
    </row>
    <row r="37" spans="1:8" ht="19.5" customHeight="1">
      <c r="B37" s="1691" t="s">
        <v>11</v>
      </c>
      <c r="C37" s="1692" t="s">
        <v>114</v>
      </c>
    </row>
    <row r="38" spans="1:8">
      <c r="B38" s="354" t="s">
        <v>1677</v>
      </c>
      <c r="C38" s="353">
        <v>1200000</v>
      </c>
      <c r="D38" s="2574" t="s">
        <v>1678</v>
      </c>
      <c r="E38" s="2574"/>
      <c r="F38" s="2574"/>
      <c r="G38" s="2574"/>
    </row>
    <row r="39" spans="1:8">
      <c r="B39" s="1628" t="s">
        <v>1655</v>
      </c>
      <c r="C39" s="229" t="s">
        <v>1006</v>
      </c>
      <c r="D39" s="229" t="s">
        <v>1007</v>
      </c>
      <c r="E39" s="229" t="s">
        <v>186</v>
      </c>
      <c r="F39" s="229" t="s">
        <v>187</v>
      </c>
      <c r="G39" s="229" t="s">
        <v>1009</v>
      </c>
      <c r="H39" s="229" t="s">
        <v>1010</v>
      </c>
    </row>
    <row r="40" spans="1:8">
      <c r="B40" s="702" t="s">
        <v>558</v>
      </c>
      <c r="C40" s="229">
        <f t="shared" ref="C40:D51" si="0">+$C$38*0.04</f>
        <v>48000</v>
      </c>
      <c r="D40" s="229">
        <f t="shared" si="0"/>
        <v>48000</v>
      </c>
      <c r="E40" s="229">
        <f t="shared" ref="E40:E51" si="1">+$C$38*0.125</f>
        <v>150000</v>
      </c>
      <c r="F40" s="229">
        <f t="shared" ref="F40:F51" si="2">+$C$38*0.12</f>
        <v>144000</v>
      </c>
      <c r="G40" s="229">
        <f t="shared" ref="G40:G51" si="3">+C40+E40</f>
        <v>198000</v>
      </c>
      <c r="H40" s="1693">
        <f t="shared" ref="H40:H51" si="4">+F40+D40</f>
        <v>192000</v>
      </c>
    </row>
    <row r="41" spans="1:8">
      <c r="B41" s="702" t="s">
        <v>559</v>
      </c>
      <c r="C41" s="229">
        <f t="shared" si="0"/>
        <v>48000</v>
      </c>
      <c r="D41" s="229">
        <f t="shared" si="0"/>
        <v>48000</v>
      </c>
      <c r="E41" s="229">
        <f t="shared" si="1"/>
        <v>150000</v>
      </c>
      <c r="F41" s="229">
        <f t="shared" si="2"/>
        <v>144000</v>
      </c>
      <c r="G41" s="229">
        <f t="shared" si="3"/>
        <v>198000</v>
      </c>
      <c r="H41" s="1693">
        <f t="shared" si="4"/>
        <v>192000</v>
      </c>
    </row>
    <row r="42" spans="1:8">
      <c r="A42" s="221"/>
      <c r="B42" s="702" t="s">
        <v>560</v>
      </c>
      <c r="C42" s="229">
        <f t="shared" si="0"/>
        <v>48000</v>
      </c>
      <c r="D42" s="229">
        <f t="shared" si="0"/>
        <v>48000</v>
      </c>
      <c r="E42" s="229">
        <f t="shared" si="1"/>
        <v>150000</v>
      </c>
      <c r="F42" s="229">
        <f t="shared" si="2"/>
        <v>144000</v>
      </c>
      <c r="G42" s="229">
        <f t="shared" si="3"/>
        <v>198000</v>
      </c>
      <c r="H42" s="1693">
        <f t="shared" si="4"/>
        <v>192000</v>
      </c>
    </row>
    <row r="43" spans="1:8">
      <c r="B43" s="702" t="s">
        <v>561</v>
      </c>
      <c r="C43" s="229">
        <f t="shared" si="0"/>
        <v>48000</v>
      </c>
      <c r="D43" s="229">
        <f t="shared" si="0"/>
        <v>48000</v>
      </c>
      <c r="E43" s="229">
        <f t="shared" si="1"/>
        <v>150000</v>
      </c>
      <c r="F43" s="229">
        <f t="shared" si="2"/>
        <v>144000</v>
      </c>
      <c r="G43" s="229">
        <f t="shared" si="3"/>
        <v>198000</v>
      </c>
      <c r="H43" s="1693">
        <f t="shared" si="4"/>
        <v>192000</v>
      </c>
    </row>
    <row r="44" spans="1:8">
      <c r="B44" s="702" t="s">
        <v>562</v>
      </c>
      <c r="C44" s="229">
        <f t="shared" si="0"/>
        <v>48000</v>
      </c>
      <c r="D44" s="229">
        <f t="shared" si="0"/>
        <v>48000</v>
      </c>
      <c r="E44" s="229">
        <f t="shared" si="1"/>
        <v>150000</v>
      </c>
      <c r="F44" s="229">
        <f t="shared" si="2"/>
        <v>144000</v>
      </c>
      <c r="G44" s="229">
        <f t="shared" si="3"/>
        <v>198000</v>
      </c>
      <c r="H44" s="1693">
        <f t="shared" si="4"/>
        <v>192000</v>
      </c>
    </row>
    <row r="45" spans="1:8">
      <c r="B45" s="702" t="s">
        <v>563</v>
      </c>
      <c r="C45" s="229">
        <f t="shared" si="0"/>
        <v>48000</v>
      </c>
      <c r="D45" s="229">
        <f t="shared" si="0"/>
        <v>48000</v>
      </c>
      <c r="E45" s="229">
        <f t="shared" si="1"/>
        <v>150000</v>
      </c>
      <c r="F45" s="229">
        <f t="shared" si="2"/>
        <v>144000</v>
      </c>
      <c r="G45" s="229">
        <f t="shared" si="3"/>
        <v>198000</v>
      </c>
      <c r="H45" s="1693">
        <f t="shared" si="4"/>
        <v>192000</v>
      </c>
    </row>
    <row r="46" spans="1:8">
      <c r="B46" s="702" t="s">
        <v>564</v>
      </c>
      <c r="C46" s="229">
        <f t="shared" si="0"/>
        <v>48000</v>
      </c>
      <c r="D46" s="229">
        <f t="shared" si="0"/>
        <v>48000</v>
      </c>
      <c r="E46" s="229">
        <f t="shared" si="1"/>
        <v>150000</v>
      </c>
      <c r="F46" s="229">
        <f t="shared" si="2"/>
        <v>144000</v>
      </c>
      <c r="G46" s="229">
        <f t="shared" si="3"/>
        <v>198000</v>
      </c>
      <c r="H46" s="1693">
        <f t="shared" si="4"/>
        <v>192000</v>
      </c>
    </row>
    <row r="47" spans="1:8">
      <c r="B47" s="702" t="s">
        <v>548</v>
      </c>
      <c r="C47" s="229">
        <f t="shared" si="0"/>
        <v>48000</v>
      </c>
      <c r="D47" s="229">
        <f t="shared" si="0"/>
        <v>48000</v>
      </c>
      <c r="E47" s="229">
        <f t="shared" si="1"/>
        <v>150000</v>
      </c>
      <c r="F47" s="229">
        <f t="shared" si="2"/>
        <v>144000</v>
      </c>
      <c r="G47" s="229">
        <f t="shared" si="3"/>
        <v>198000</v>
      </c>
      <c r="H47" s="1693">
        <f t="shared" si="4"/>
        <v>192000</v>
      </c>
    </row>
    <row r="48" spans="1:8">
      <c r="B48" s="702" t="s">
        <v>549</v>
      </c>
      <c r="C48" s="229">
        <f t="shared" si="0"/>
        <v>48000</v>
      </c>
      <c r="D48" s="229">
        <f t="shared" si="0"/>
        <v>48000</v>
      </c>
      <c r="E48" s="229">
        <f t="shared" si="1"/>
        <v>150000</v>
      </c>
      <c r="F48" s="229">
        <f t="shared" si="2"/>
        <v>144000</v>
      </c>
      <c r="G48" s="229">
        <f t="shared" si="3"/>
        <v>198000</v>
      </c>
      <c r="H48" s="1693">
        <f t="shared" si="4"/>
        <v>192000</v>
      </c>
    </row>
    <row r="49" spans="2:8">
      <c r="B49" s="702" t="s">
        <v>550</v>
      </c>
      <c r="C49" s="229">
        <f t="shared" si="0"/>
        <v>48000</v>
      </c>
      <c r="D49" s="229">
        <f t="shared" si="0"/>
        <v>48000</v>
      </c>
      <c r="E49" s="229">
        <f t="shared" si="1"/>
        <v>150000</v>
      </c>
      <c r="F49" s="229">
        <f t="shared" si="2"/>
        <v>144000</v>
      </c>
      <c r="G49" s="229">
        <f t="shared" si="3"/>
        <v>198000</v>
      </c>
      <c r="H49" s="1693">
        <f t="shared" si="4"/>
        <v>192000</v>
      </c>
    </row>
    <row r="50" spans="2:8">
      <c r="B50" s="702" t="s">
        <v>551</v>
      </c>
      <c r="C50" s="229">
        <f t="shared" si="0"/>
        <v>48000</v>
      </c>
      <c r="D50" s="229">
        <f t="shared" si="0"/>
        <v>48000</v>
      </c>
      <c r="E50" s="229">
        <f t="shared" si="1"/>
        <v>150000</v>
      </c>
      <c r="F50" s="229">
        <f t="shared" si="2"/>
        <v>144000</v>
      </c>
      <c r="G50" s="229">
        <f t="shared" si="3"/>
        <v>198000</v>
      </c>
      <c r="H50" s="1693">
        <f t="shared" si="4"/>
        <v>192000</v>
      </c>
    </row>
    <row r="51" spans="2:8">
      <c r="B51" s="702" t="s">
        <v>552</v>
      </c>
      <c r="C51" s="229">
        <f t="shared" si="0"/>
        <v>48000</v>
      </c>
      <c r="D51" s="229">
        <f t="shared" si="0"/>
        <v>48000</v>
      </c>
      <c r="E51" s="229">
        <f t="shared" si="1"/>
        <v>150000</v>
      </c>
      <c r="F51" s="229">
        <f t="shared" si="2"/>
        <v>144000</v>
      </c>
      <c r="G51" s="229">
        <f t="shared" si="3"/>
        <v>198000</v>
      </c>
      <c r="H51" s="1693">
        <f t="shared" si="4"/>
        <v>192000</v>
      </c>
    </row>
    <row r="52" spans="2:8">
      <c r="B52" s="702" t="s">
        <v>1011</v>
      </c>
      <c r="C52" s="229">
        <f t="shared" ref="C52:H52" si="5">SUM(C40:C51)</f>
        <v>576000</v>
      </c>
      <c r="D52" s="229">
        <f t="shared" si="5"/>
        <v>576000</v>
      </c>
      <c r="E52" s="1694">
        <f t="shared" si="5"/>
        <v>1800000</v>
      </c>
      <c r="F52" s="1694">
        <f t="shared" si="5"/>
        <v>1728000</v>
      </c>
      <c r="G52" s="229">
        <f t="shared" si="5"/>
        <v>2376000</v>
      </c>
      <c r="H52" s="229">
        <f t="shared" si="5"/>
        <v>2304000</v>
      </c>
    </row>
    <row r="54" spans="2:8" ht="25.5" customHeight="1">
      <c r="B54" s="1691" t="s">
        <v>11</v>
      </c>
      <c r="C54" s="1692" t="s">
        <v>115</v>
      </c>
    </row>
    <row r="55" spans="2:8">
      <c r="B55" s="354" t="s">
        <v>1677</v>
      </c>
      <c r="C55" s="353">
        <v>1460000</v>
      </c>
      <c r="E55" s="232"/>
      <c r="F55" s="233"/>
      <c r="G55" s="231"/>
    </row>
    <row r="56" spans="2:8">
      <c r="B56" s="1628" t="s">
        <v>1655</v>
      </c>
      <c r="C56" s="229" t="s">
        <v>1006</v>
      </c>
      <c r="D56" s="229" t="s">
        <v>1007</v>
      </c>
      <c r="E56" s="229" t="s">
        <v>186</v>
      </c>
      <c r="F56" s="229" t="s">
        <v>187</v>
      </c>
      <c r="G56" s="229" t="s">
        <v>1009</v>
      </c>
      <c r="H56" s="229" t="s">
        <v>1010</v>
      </c>
    </row>
    <row r="57" spans="2:8">
      <c r="B57" s="702" t="s">
        <v>558</v>
      </c>
      <c r="C57" s="229">
        <f t="shared" ref="C57:D68" si="6">+$C$55*0.04</f>
        <v>58400</v>
      </c>
      <c r="D57" s="229">
        <f t="shared" si="6"/>
        <v>58400</v>
      </c>
      <c r="E57" s="229">
        <f t="shared" ref="E57:E68" si="7">+$C$55*0.125</f>
        <v>182500</v>
      </c>
      <c r="F57" s="229">
        <f t="shared" ref="F57:F68" si="8">+$C$55*0.12</f>
        <v>175200</v>
      </c>
      <c r="G57" s="229">
        <f t="shared" ref="G57:G68" si="9">+C57+E57</f>
        <v>240900</v>
      </c>
      <c r="H57" s="1693">
        <f t="shared" ref="H57:H68" si="10">+F57+D57</f>
        <v>233600</v>
      </c>
    </row>
    <row r="58" spans="2:8">
      <c r="B58" s="702" t="s">
        <v>559</v>
      </c>
      <c r="C58" s="229">
        <f t="shared" si="6"/>
        <v>58400</v>
      </c>
      <c r="D58" s="229">
        <f t="shared" si="6"/>
        <v>58400</v>
      </c>
      <c r="E58" s="229">
        <f t="shared" si="7"/>
        <v>182500</v>
      </c>
      <c r="F58" s="229">
        <f t="shared" si="8"/>
        <v>175200</v>
      </c>
      <c r="G58" s="229">
        <f t="shared" si="9"/>
        <v>240900</v>
      </c>
      <c r="H58" s="1693">
        <f t="shared" si="10"/>
        <v>233600</v>
      </c>
    </row>
    <row r="59" spans="2:8">
      <c r="B59" s="702" t="s">
        <v>560</v>
      </c>
      <c r="C59" s="229">
        <f t="shared" si="6"/>
        <v>58400</v>
      </c>
      <c r="D59" s="229">
        <f t="shared" si="6"/>
        <v>58400</v>
      </c>
      <c r="E59" s="229">
        <f t="shared" si="7"/>
        <v>182500</v>
      </c>
      <c r="F59" s="229">
        <f t="shared" si="8"/>
        <v>175200</v>
      </c>
      <c r="G59" s="229">
        <f t="shared" si="9"/>
        <v>240900</v>
      </c>
      <c r="H59" s="1693">
        <f t="shared" si="10"/>
        <v>233600</v>
      </c>
    </row>
    <row r="60" spans="2:8">
      <c r="B60" s="702" t="s">
        <v>561</v>
      </c>
      <c r="C60" s="229">
        <f t="shared" si="6"/>
        <v>58400</v>
      </c>
      <c r="D60" s="229">
        <f t="shared" si="6"/>
        <v>58400</v>
      </c>
      <c r="E60" s="229">
        <f t="shared" si="7"/>
        <v>182500</v>
      </c>
      <c r="F60" s="229">
        <f t="shared" si="8"/>
        <v>175200</v>
      </c>
      <c r="G60" s="229">
        <f t="shared" si="9"/>
        <v>240900</v>
      </c>
      <c r="H60" s="1693">
        <f t="shared" si="10"/>
        <v>233600</v>
      </c>
    </row>
    <row r="61" spans="2:8">
      <c r="B61" s="702" t="s">
        <v>562</v>
      </c>
      <c r="C61" s="229">
        <f t="shared" si="6"/>
        <v>58400</v>
      </c>
      <c r="D61" s="229">
        <f t="shared" si="6"/>
        <v>58400</v>
      </c>
      <c r="E61" s="229">
        <f t="shared" si="7"/>
        <v>182500</v>
      </c>
      <c r="F61" s="229">
        <f t="shared" si="8"/>
        <v>175200</v>
      </c>
      <c r="G61" s="229">
        <f t="shared" si="9"/>
        <v>240900</v>
      </c>
      <c r="H61" s="1693">
        <f t="shared" si="10"/>
        <v>233600</v>
      </c>
    </row>
    <row r="62" spans="2:8">
      <c r="B62" s="702" t="s">
        <v>563</v>
      </c>
      <c r="C62" s="229">
        <f t="shared" si="6"/>
        <v>58400</v>
      </c>
      <c r="D62" s="229">
        <f t="shared" si="6"/>
        <v>58400</v>
      </c>
      <c r="E62" s="229">
        <f t="shared" si="7"/>
        <v>182500</v>
      </c>
      <c r="F62" s="229">
        <f t="shared" si="8"/>
        <v>175200</v>
      </c>
      <c r="G62" s="229">
        <f t="shared" si="9"/>
        <v>240900</v>
      </c>
      <c r="H62" s="1693">
        <f t="shared" si="10"/>
        <v>233600</v>
      </c>
    </row>
    <row r="63" spans="2:8">
      <c r="B63" s="702" t="s">
        <v>564</v>
      </c>
      <c r="C63" s="229">
        <f t="shared" si="6"/>
        <v>58400</v>
      </c>
      <c r="D63" s="229">
        <f t="shared" si="6"/>
        <v>58400</v>
      </c>
      <c r="E63" s="229">
        <f t="shared" si="7"/>
        <v>182500</v>
      </c>
      <c r="F63" s="229">
        <f t="shared" si="8"/>
        <v>175200</v>
      </c>
      <c r="G63" s="229">
        <f t="shared" si="9"/>
        <v>240900</v>
      </c>
      <c r="H63" s="1693">
        <f t="shared" si="10"/>
        <v>233600</v>
      </c>
    </row>
    <row r="64" spans="2:8">
      <c r="B64" s="702" t="s">
        <v>548</v>
      </c>
      <c r="C64" s="229">
        <f t="shared" si="6"/>
        <v>58400</v>
      </c>
      <c r="D64" s="229">
        <f t="shared" si="6"/>
        <v>58400</v>
      </c>
      <c r="E64" s="229">
        <f t="shared" si="7"/>
        <v>182500</v>
      </c>
      <c r="F64" s="229">
        <f t="shared" si="8"/>
        <v>175200</v>
      </c>
      <c r="G64" s="229">
        <f t="shared" si="9"/>
        <v>240900</v>
      </c>
      <c r="H64" s="1693">
        <f t="shared" si="10"/>
        <v>233600</v>
      </c>
    </row>
    <row r="65" spans="1:9">
      <c r="B65" s="702" t="s">
        <v>549</v>
      </c>
      <c r="C65" s="229">
        <f t="shared" si="6"/>
        <v>58400</v>
      </c>
      <c r="D65" s="229">
        <f t="shared" si="6"/>
        <v>58400</v>
      </c>
      <c r="E65" s="229">
        <f t="shared" si="7"/>
        <v>182500</v>
      </c>
      <c r="F65" s="229">
        <f t="shared" si="8"/>
        <v>175200</v>
      </c>
      <c r="G65" s="229">
        <f t="shared" si="9"/>
        <v>240900</v>
      </c>
      <c r="H65" s="1693">
        <f t="shared" si="10"/>
        <v>233600</v>
      </c>
    </row>
    <row r="66" spans="1:9">
      <c r="B66" s="702" t="s">
        <v>550</v>
      </c>
      <c r="C66" s="229">
        <f t="shared" si="6"/>
        <v>58400</v>
      </c>
      <c r="D66" s="229">
        <f t="shared" si="6"/>
        <v>58400</v>
      </c>
      <c r="E66" s="229">
        <f t="shared" si="7"/>
        <v>182500</v>
      </c>
      <c r="F66" s="229">
        <f t="shared" si="8"/>
        <v>175200</v>
      </c>
      <c r="G66" s="229">
        <f t="shared" si="9"/>
        <v>240900</v>
      </c>
      <c r="H66" s="1693">
        <f t="shared" si="10"/>
        <v>233600</v>
      </c>
    </row>
    <row r="67" spans="1:9">
      <c r="B67" s="702" t="s">
        <v>551</v>
      </c>
      <c r="C67" s="229">
        <f t="shared" si="6"/>
        <v>58400</v>
      </c>
      <c r="D67" s="229">
        <f t="shared" si="6"/>
        <v>58400</v>
      </c>
      <c r="E67" s="229">
        <f t="shared" si="7"/>
        <v>182500</v>
      </c>
      <c r="F67" s="229">
        <f t="shared" si="8"/>
        <v>175200</v>
      </c>
      <c r="G67" s="229">
        <f t="shared" si="9"/>
        <v>240900</v>
      </c>
      <c r="H67" s="1693">
        <f t="shared" si="10"/>
        <v>233600</v>
      </c>
    </row>
    <row r="68" spans="1:9">
      <c r="B68" s="702" t="s">
        <v>552</v>
      </c>
      <c r="C68" s="229">
        <f t="shared" si="6"/>
        <v>58400</v>
      </c>
      <c r="D68" s="229">
        <f t="shared" si="6"/>
        <v>58400</v>
      </c>
      <c r="E68" s="229">
        <f t="shared" si="7"/>
        <v>182500</v>
      </c>
      <c r="F68" s="229">
        <f t="shared" si="8"/>
        <v>175200</v>
      </c>
      <c r="G68" s="229">
        <f t="shared" si="9"/>
        <v>240900</v>
      </c>
      <c r="H68" s="1693">
        <f t="shared" si="10"/>
        <v>233600</v>
      </c>
    </row>
    <row r="69" spans="1:9">
      <c r="B69" s="702" t="s">
        <v>1011</v>
      </c>
      <c r="C69" s="229">
        <f t="shared" ref="C69:H69" si="11">SUM(C57:C68)</f>
        <v>700800</v>
      </c>
      <c r="D69" s="229">
        <f t="shared" si="11"/>
        <v>700800</v>
      </c>
      <c r="E69" s="1694">
        <f t="shared" si="11"/>
        <v>2190000</v>
      </c>
      <c r="F69" s="1694">
        <f t="shared" si="11"/>
        <v>2102400</v>
      </c>
      <c r="G69" s="229">
        <f t="shared" si="11"/>
        <v>2890800</v>
      </c>
      <c r="H69" s="229">
        <f t="shared" si="11"/>
        <v>2803200</v>
      </c>
    </row>
    <row r="72" spans="1:9">
      <c r="B72" s="221" t="s">
        <v>1679</v>
      </c>
      <c r="E72" s="548">
        <f>+E52+F52+E69+F69</f>
        <v>7820400</v>
      </c>
    </row>
    <row r="74" spans="1:9" ht="15">
      <c r="B74" s="1262" t="s">
        <v>535</v>
      </c>
      <c r="C74" s="1544">
        <f>+F22+F30+E72</f>
        <v>16419216.491987161</v>
      </c>
    </row>
    <row r="75" spans="1:9" ht="15">
      <c r="B75" s="1695" t="s">
        <v>1680</v>
      </c>
    </row>
    <row r="77" spans="1:9">
      <c r="B77" s="2554" t="s">
        <v>957</v>
      </c>
      <c r="C77" s="2555"/>
      <c r="D77" s="2555"/>
      <c r="E77" s="2555"/>
      <c r="F77" s="2555"/>
      <c r="G77" s="2555"/>
      <c r="H77" s="2556"/>
    </row>
    <row r="78" spans="1:9" ht="27" customHeight="1">
      <c r="B78" s="1680" t="s">
        <v>206</v>
      </c>
      <c r="C78" s="1680" t="s">
        <v>10</v>
      </c>
      <c r="D78" s="219" t="s">
        <v>148</v>
      </c>
      <c r="E78" s="1619" t="s">
        <v>149</v>
      </c>
      <c r="F78" s="219" t="s">
        <v>43</v>
      </c>
      <c r="G78" s="583" t="s">
        <v>129</v>
      </c>
      <c r="H78" s="583" t="s">
        <v>47</v>
      </c>
      <c r="I78" s="583" t="s">
        <v>48</v>
      </c>
    </row>
    <row r="79" spans="1:9" ht="13.5">
      <c r="A79" s="217">
        <v>1</v>
      </c>
      <c r="B79" s="243">
        <v>43706</v>
      </c>
      <c r="C79" s="243">
        <v>43708</v>
      </c>
      <c r="D79" s="538">
        <v>0.19320000000000001</v>
      </c>
      <c r="E79" s="538">
        <f>+D79*1.5</f>
        <v>0.2898</v>
      </c>
      <c r="F79" s="1610">
        <f>((1+E79)^(1/365)-1)</f>
        <v>6.9746823462724095E-4</v>
      </c>
      <c r="G79" s="585">
        <f>+$C$74</f>
        <v>16419216.491987161</v>
      </c>
      <c r="H79" s="1611">
        <f>+_xlfn.DAYS(C79,B79)+1</f>
        <v>3</v>
      </c>
      <c r="I79" s="1356">
        <f>ROUND(F79*G79*H79,2)</f>
        <v>34355.65</v>
      </c>
    </row>
    <row r="80" spans="1:9" ht="13.5">
      <c r="A80" s="217">
        <v>2</v>
      </c>
      <c r="B80" s="243">
        <v>43709</v>
      </c>
      <c r="C80" s="243">
        <v>43738</v>
      </c>
      <c r="D80" s="538">
        <v>0.19320000000000001</v>
      </c>
      <c r="E80" s="538">
        <f>+D80*1.5</f>
        <v>0.2898</v>
      </c>
      <c r="F80" s="1610">
        <f>((1+E80)^(1/365)-1)</f>
        <v>6.9746823462724095E-4</v>
      </c>
      <c r="G80" s="585">
        <f>+$C$74</f>
        <v>16419216.491987161</v>
      </c>
      <c r="H80" s="1611">
        <f>+_xlfn.DAYS(C80,B80)+1</f>
        <v>30</v>
      </c>
      <c r="I80" s="1356">
        <f>ROUND(F80*G80*H80,2)</f>
        <v>343556.46</v>
      </c>
    </row>
    <row r="81" spans="1:9" ht="13.5">
      <c r="A81" s="217">
        <v>3</v>
      </c>
      <c r="B81" s="243">
        <v>43739</v>
      </c>
      <c r="C81" s="243">
        <v>43769</v>
      </c>
      <c r="D81" s="538">
        <v>0.191</v>
      </c>
      <c r="E81" s="538">
        <f>+D81*1.5</f>
        <v>0.28649999999999998</v>
      </c>
      <c r="F81" s="1610">
        <f>((1+E81)^(1/365)-1)</f>
        <v>6.9044469314105683E-4</v>
      </c>
      <c r="G81" s="585">
        <f>+$C$74</f>
        <v>16419216.491987161</v>
      </c>
      <c r="H81" s="1611">
        <f>+_xlfn.DAYS(C81,B81)+1</f>
        <v>31</v>
      </c>
      <c r="I81" s="1356">
        <f>ROUND(F81*G81*H81,2)</f>
        <v>351433.39</v>
      </c>
    </row>
    <row r="82" spans="1:9" ht="13.5">
      <c r="A82" s="217">
        <v>4</v>
      </c>
      <c r="B82" s="243">
        <v>43770</v>
      </c>
      <c r="C82" s="243">
        <v>43798</v>
      </c>
      <c r="D82" s="538">
        <v>0.1903</v>
      </c>
      <c r="E82" s="538">
        <f>+D82*1.5</f>
        <v>0.28544999999999998</v>
      </c>
      <c r="F82" s="1610">
        <f>((1+E82)^(1/365)-1)</f>
        <v>6.8820616169262827E-4</v>
      </c>
      <c r="G82" s="585">
        <f>+$C$74</f>
        <v>16419216.491987161</v>
      </c>
      <c r="H82" s="1611">
        <f>+_xlfn.DAYS(C82,B82)+1</f>
        <v>29</v>
      </c>
      <c r="I82" s="1356">
        <f>ROUND(F82*G82*H82,2)</f>
        <v>327694.37</v>
      </c>
    </row>
    <row r="83" spans="1:9">
      <c r="G83" s="2574" t="s">
        <v>951</v>
      </c>
      <c r="H83" s="2574"/>
      <c r="I83" s="1594">
        <f>SUM(I79:I82)</f>
        <v>1057039.8700000001</v>
      </c>
    </row>
    <row r="84" spans="1:9">
      <c r="G84" s="219" t="s">
        <v>1681</v>
      </c>
      <c r="H84" s="219"/>
      <c r="I84" s="1696">
        <f>+C74+I83</f>
        <v>17476256.361987162</v>
      </c>
    </row>
  </sheetData>
  <mergeCells count="3">
    <mergeCell ref="D38:G38"/>
    <mergeCell ref="B77:H77"/>
    <mergeCell ref="G83:H83"/>
  </mergeCells>
  <pageMargins left="0.7" right="0.7" top="0.75" bottom="0.75" header="0.3" footer="0.3"/>
  <pageSetup paperSize="9" scale="65"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E841F-5D96-4D59-B1AF-57DD9C925992}">
  <sheetPr codeName="Hoja102"/>
  <dimension ref="B2:M364"/>
  <sheetViews>
    <sheetView topLeftCell="A349" workbookViewId="0">
      <selection activeCell="C361" sqref="C361"/>
    </sheetView>
  </sheetViews>
  <sheetFormatPr defaultColWidth="9.140625" defaultRowHeight="12.75"/>
  <cols>
    <col min="1" max="1" width="2.140625" style="217" customWidth="1"/>
    <col min="2" max="2" width="23.85546875" style="217" customWidth="1"/>
    <col min="3" max="3" width="17.5703125" style="217" customWidth="1"/>
    <col min="4" max="4" width="11.5703125" style="217" customWidth="1"/>
    <col min="5" max="5" width="13.85546875" style="218" bestFit="1" customWidth="1"/>
    <col min="6" max="6" width="14" style="217" customWidth="1"/>
    <col min="7" max="7" width="11.42578125" style="217" customWidth="1"/>
    <col min="8" max="8" width="12.140625" style="217" customWidth="1"/>
    <col min="9" max="256" width="11.42578125" style="217" customWidth="1"/>
    <col min="257" max="16384" width="9.140625" style="217"/>
  </cols>
  <sheetData>
    <row r="2" spans="2:5">
      <c r="B2" s="216"/>
      <c r="C2" s="216"/>
    </row>
    <row r="3" spans="2:5" ht="15.75" customHeight="1">
      <c r="B3" s="601" t="s">
        <v>825</v>
      </c>
      <c r="C3" s="233" t="s">
        <v>1682</v>
      </c>
    </row>
    <row r="4" spans="2:5" ht="13.5">
      <c r="B4" s="601" t="s">
        <v>287</v>
      </c>
      <c r="C4" s="1073">
        <v>43999</v>
      </c>
    </row>
    <row r="5" spans="2:5">
      <c r="B5" s="601" t="s">
        <v>1132</v>
      </c>
      <c r="C5" s="534" t="s">
        <v>1683</v>
      </c>
    </row>
    <row r="6" spans="2:5">
      <c r="B6" s="601" t="s">
        <v>1381</v>
      </c>
      <c r="C6" s="1718"/>
    </row>
    <row r="7" spans="2:5" ht="19.5" customHeight="1">
      <c r="B7" s="601" t="s">
        <v>1105</v>
      </c>
      <c r="C7" s="1554">
        <v>877803</v>
      </c>
    </row>
    <row r="8" spans="2:5" ht="15.75" customHeight="1">
      <c r="B8" s="1583" t="s">
        <v>1135</v>
      </c>
      <c r="C8" s="1554">
        <v>908526</v>
      </c>
    </row>
    <row r="11" spans="2:5">
      <c r="B11" s="2574" t="s">
        <v>1015</v>
      </c>
      <c r="C11" s="2574"/>
      <c r="D11" s="2574"/>
      <c r="E11" s="220"/>
    </row>
    <row r="12" spans="2:5" ht="25.5">
      <c r="B12" s="1719" t="s">
        <v>1684</v>
      </c>
      <c r="C12" s="1609" t="s">
        <v>1685</v>
      </c>
      <c r="D12" s="1619" t="s">
        <v>1686</v>
      </c>
      <c r="E12" s="2351" t="s">
        <v>1687</v>
      </c>
    </row>
    <row r="13" spans="2:5">
      <c r="B13" s="1856" t="s">
        <v>1688</v>
      </c>
      <c r="C13" s="1672" t="s">
        <v>1689</v>
      </c>
      <c r="D13" s="1672">
        <v>60</v>
      </c>
      <c r="E13" s="220">
        <f t="shared" ref="E13:E18" si="0">+D13*$C$7</f>
        <v>52668180</v>
      </c>
    </row>
    <row r="14" spans="2:5">
      <c r="B14" s="1856" t="s">
        <v>1690</v>
      </c>
      <c r="C14" s="1672" t="s">
        <v>1691</v>
      </c>
      <c r="D14" s="1672">
        <v>60</v>
      </c>
      <c r="E14" s="220">
        <f t="shared" si="0"/>
        <v>52668180</v>
      </c>
    </row>
    <row r="15" spans="2:5">
      <c r="B15" s="1856" t="s">
        <v>1692</v>
      </c>
      <c r="C15" s="1672" t="s">
        <v>1693</v>
      </c>
      <c r="D15" s="1672">
        <v>60</v>
      </c>
      <c r="E15" s="220">
        <f t="shared" si="0"/>
        <v>52668180</v>
      </c>
    </row>
    <row r="16" spans="2:5">
      <c r="B16" s="1856" t="s">
        <v>1694</v>
      </c>
      <c r="C16" s="1672" t="s">
        <v>1695</v>
      </c>
      <c r="D16" s="1672">
        <v>30</v>
      </c>
      <c r="E16" s="220">
        <f t="shared" si="0"/>
        <v>26334090</v>
      </c>
    </row>
    <row r="17" spans="2:8">
      <c r="B17" s="216" t="s">
        <v>1696</v>
      </c>
      <c r="C17" s="1672" t="s">
        <v>1697</v>
      </c>
      <c r="D17" s="1672">
        <v>30</v>
      </c>
      <c r="E17" s="220">
        <f t="shared" si="0"/>
        <v>26334090</v>
      </c>
    </row>
    <row r="18" spans="2:8">
      <c r="B18" s="216" t="s">
        <v>1698</v>
      </c>
      <c r="C18" s="1672" t="s">
        <v>1697</v>
      </c>
      <c r="D18" s="1672">
        <v>30</v>
      </c>
      <c r="E18" s="220">
        <f t="shared" si="0"/>
        <v>26334090</v>
      </c>
    </row>
    <row r="19" spans="2:8">
      <c r="D19" s="219" t="s">
        <v>97</v>
      </c>
      <c r="E19" s="1554">
        <f>SUM(E13:E18)</f>
        <v>237006810</v>
      </c>
    </row>
    <row r="21" spans="2:8">
      <c r="B21" s="221" t="s">
        <v>1699</v>
      </c>
    </row>
    <row r="22" spans="2:8">
      <c r="B22" s="217" t="s">
        <v>1700</v>
      </c>
      <c r="E22" s="1544"/>
    </row>
    <row r="23" spans="2:8">
      <c r="B23" s="217" t="s">
        <v>1131</v>
      </c>
      <c r="E23" s="1544">
        <f>+C7*100</f>
        <v>87780300</v>
      </c>
    </row>
    <row r="24" spans="2:8">
      <c r="E24" s="1544"/>
    </row>
    <row r="25" spans="2:8">
      <c r="B25" s="221" t="s">
        <v>1701</v>
      </c>
      <c r="E25" s="1544">
        <v>48118634</v>
      </c>
    </row>
    <row r="27" spans="2:8">
      <c r="B27" s="221" t="s">
        <v>1200</v>
      </c>
      <c r="E27" s="1544">
        <f>+E19+E23+E25</f>
        <v>372905744</v>
      </c>
    </row>
    <row r="28" spans="2:8">
      <c r="B28" s="221" t="s">
        <v>1702</v>
      </c>
      <c r="E28" s="1544">
        <f>+E27*3%</f>
        <v>11187172.32</v>
      </c>
    </row>
    <row r="30" spans="2:8">
      <c r="B30" s="354" t="s">
        <v>1688</v>
      </c>
      <c r="C30" s="2352">
        <f>+E13</f>
        <v>52668180</v>
      </c>
    </row>
    <row r="31" spans="2:8" ht="13.5">
      <c r="B31" s="2672" t="s">
        <v>160</v>
      </c>
      <c r="C31" s="2672"/>
      <c r="D31" s="2672"/>
      <c r="E31" s="2672"/>
      <c r="F31" s="2672"/>
      <c r="G31" s="2672"/>
      <c r="H31" s="2672"/>
    </row>
    <row r="32" spans="2:8" ht="27">
      <c r="B32" s="751" t="s">
        <v>337</v>
      </c>
      <c r="C32" s="751" t="s">
        <v>40</v>
      </c>
      <c r="D32" s="751" t="s">
        <v>148</v>
      </c>
      <c r="E32" s="740" t="s">
        <v>149</v>
      </c>
      <c r="F32" s="740" t="s">
        <v>43</v>
      </c>
      <c r="G32" s="776" t="s">
        <v>47</v>
      </c>
      <c r="H32" s="740" t="s">
        <v>48</v>
      </c>
    </row>
    <row r="33" spans="2:8" ht="13.5">
      <c r="B33" s="1073">
        <v>44000</v>
      </c>
      <c r="C33" s="1073">
        <v>44012</v>
      </c>
      <c r="D33" s="1120">
        <v>0.1812</v>
      </c>
      <c r="E33" s="1344">
        <f>+D33*1.5</f>
        <v>0.27179999999999999</v>
      </c>
      <c r="F33" s="1917">
        <f>((1+E33)^(1/365)-1)</f>
        <v>6.5893815469997286E-4</v>
      </c>
      <c r="G33" s="741">
        <f t="shared" ref="G33:G65" si="1">+_xlfn.DAYS(C33,B33)+1</f>
        <v>13</v>
      </c>
      <c r="H33" s="1356">
        <f>ROUND(F33*$C$30*G33,2)</f>
        <v>451165.95</v>
      </c>
    </row>
    <row r="34" spans="2:8" ht="13.5">
      <c r="B34" s="1073">
        <v>44013</v>
      </c>
      <c r="C34" s="1073">
        <v>44043</v>
      </c>
      <c r="D34" s="1220">
        <v>0.1812</v>
      </c>
      <c r="E34" s="1344">
        <f t="shared" ref="E34:E58" si="2">+D34*1.5</f>
        <v>0.27179999999999999</v>
      </c>
      <c r="F34" s="1344">
        <f t="shared" ref="F34:F58" si="3">((1+E34)^(1/365)-1)</f>
        <v>6.5893815469997286E-4</v>
      </c>
      <c r="G34" s="741">
        <f t="shared" si="1"/>
        <v>31</v>
      </c>
      <c r="H34" s="1356">
        <f t="shared" ref="H34:H63" si="4">ROUND(F34*$C$30*G34,2)</f>
        <v>1075857.27</v>
      </c>
    </row>
    <row r="35" spans="2:8" ht="13.5">
      <c r="B35" s="1073">
        <v>44044</v>
      </c>
      <c r="C35" s="1073">
        <v>44073</v>
      </c>
      <c r="D35" s="1120">
        <v>0.18290000000000001</v>
      </c>
      <c r="E35" s="1344">
        <f t="shared" si="2"/>
        <v>0.27434999999999998</v>
      </c>
      <c r="F35" s="1344">
        <f t="shared" si="3"/>
        <v>6.6442952514544906E-4</v>
      </c>
      <c r="G35" s="741">
        <f t="shared" si="1"/>
        <v>30</v>
      </c>
      <c r="H35" s="1356">
        <f t="shared" si="4"/>
        <v>1049828.81</v>
      </c>
    </row>
    <row r="36" spans="2:8" ht="13.5">
      <c r="B36" s="1073">
        <v>44075</v>
      </c>
      <c r="C36" s="1073">
        <v>44104</v>
      </c>
      <c r="D36" s="1120">
        <v>0.1835</v>
      </c>
      <c r="E36" s="1344">
        <f t="shared" si="2"/>
        <v>0.27524999999999999</v>
      </c>
      <c r="F36" s="1344">
        <f t="shared" si="3"/>
        <v>6.6636503991857055E-4</v>
      </c>
      <c r="G36" s="741">
        <f t="shared" si="1"/>
        <v>30</v>
      </c>
      <c r="H36" s="1356">
        <f t="shared" si="4"/>
        <v>1052887.02</v>
      </c>
    </row>
    <row r="37" spans="2:8" ht="13.5">
      <c r="B37" s="1073">
        <v>44105</v>
      </c>
      <c r="C37" s="1073">
        <v>44135</v>
      </c>
      <c r="D37" s="1120">
        <v>0.18090000000000001</v>
      </c>
      <c r="E37" s="1344">
        <f t="shared" si="2"/>
        <v>0.27134999999999998</v>
      </c>
      <c r="F37" s="1344">
        <f t="shared" si="3"/>
        <v>6.5796794962613703E-4</v>
      </c>
      <c r="G37" s="741">
        <f t="shared" si="1"/>
        <v>31</v>
      </c>
      <c r="H37" s="1356">
        <f t="shared" si="4"/>
        <v>1074273.21</v>
      </c>
    </row>
    <row r="38" spans="2:8" ht="13.5">
      <c r="B38" s="1073">
        <v>44136</v>
      </c>
      <c r="C38" s="1073">
        <v>44165</v>
      </c>
      <c r="D38" s="1120">
        <v>0.1784</v>
      </c>
      <c r="E38" s="1344">
        <f t="shared" si="2"/>
        <v>0.2676</v>
      </c>
      <c r="F38" s="1344">
        <f t="shared" si="3"/>
        <v>6.4986956374091243E-4</v>
      </c>
      <c r="G38" s="741">
        <f t="shared" si="1"/>
        <v>30</v>
      </c>
      <c r="H38" s="1356">
        <f t="shared" si="4"/>
        <v>1026823.41</v>
      </c>
    </row>
    <row r="39" spans="2:8" ht="13.5">
      <c r="B39" s="1073">
        <v>44166</v>
      </c>
      <c r="C39" s="1073">
        <v>44196</v>
      </c>
      <c r="D39" s="1120">
        <v>0.17460000000000001</v>
      </c>
      <c r="E39" s="1344">
        <f t="shared" si="2"/>
        <v>0.26190000000000002</v>
      </c>
      <c r="F39" s="1344">
        <f t="shared" si="3"/>
        <v>6.3751414410861962E-4</v>
      </c>
      <c r="G39" s="741">
        <f t="shared" si="1"/>
        <v>31</v>
      </c>
      <c r="H39" s="1356">
        <f t="shared" si="4"/>
        <v>1040878</v>
      </c>
    </row>
    <row r="40" spans="2:8" ht="13.5">
      <c r="B40" s="1073">
        <v>44197</v>
      </c>
      <c r="C40" s="1073">
        <v>44227</v>
      </c>
      <c r="D40" s="1120">
        <v>0.17319999999999999</v>
      </c>
      <c r="E40" s="1344">
        <f t="shared" si="2"/>
        <v>0.25979999999999998</v>
      </c>
      <c r="F40" s="1344">
        <f t="shared" si="3"/>
        <v>6.3294811266723094E-4</v>
      </c>
      <c r="G40" s="741">
        <f t="shared" si="1"/>
        <v>31</v>
      </c>
      <c r="H40" s="1356">
        <f t="shared" si="4"/>
        <v>1033422.98</v>
      </c>
    </row>
    <row r="41" spans="2:8" ht="13.5">
      <c r="B41" s="1073">
        <v>44228</v>
      </c>
      <c r="C41" s="1073">
        <v>44255</v>
      </c>
      <c r="D41" s="1120">
        <v>0.1754</v>
      </c>
      <c r="E41" s="1344">
        <f t="shared" si="2"/>
        <v>0.2631</v>
      </c>
      <c r="F41" s="1344">
        <f t="shared" si="3"/>
        <v>6.4011990387169426E-4</v>
      </c>
      <c r="G41" s="741">
        <f t="shared" si="1"/>
        <v>28</v>
      </c>
      <c r="H41" s="1356">
        <f t="shared" si="4"/>
        <v>943990.61</v>
      </c>
    </row>
    <row r="42" spans="2:8" ht="13.5">
      <c r="B42" s="1073">
        <v>44256</v>
      </c>
      <c r="C42" s="1073">
        <v>44286</v>
      </c>
      <c r="D42" s="1120">
        <v>0.1741</v>
      </c>
      <c r="E42" s="1344">
        <f t="shared" si="2"/>
        <v>0.26114999999999999</v>
      </c>
      <c r="F42" s="1344">
        <f t="shared" si="3"/>
        <v>6.3588428907812578E-4</v>
      </c>
      <c r="G42" s="741">
        <f t="shared" si="1"/>
        <v>31</v>
      </c>
      <c r="H42" s="1356">
        <f t="shared" si="4"/>
        <v>1038216.91</v>
      </c>
    </row>
    <row r="43" spans="2:8" ht="13.5">
      <c r="B43" s="1073">
        <v>44287</v>
      </c>
      <c r="C43" s="1073">
        <v>44316</v>
      </c>
      <c r="D43" s="1120">
        <v>0.1731</v>
      </c>
      <c r="E43" s="1344">
        <f t="shared" si="2"/>
        <v>0.25964999999999999</v>
      </c>
      <c r="F43" s="1344">
        <f t="shared" si="3"/>
        <v>6.326216771728177E-4</v>
      </c>
      <c r="G43" s="741">
        <f t="shared" si="1"/>
        <v>30</v>
      </c>
      <c r="H43" s="1356">
        <f t="shared" si="4"/>
        <v>999570.97</v>
      </c>
    </row>
    <row r="44" spans="2:8" ht="13.5">
      <c r="B44" s="1073">
        <v>44317</v>
      </c>
      <c r="C44" s="1073">
        <v>44347</v>
      </c>
      <c r="D44" s="1120">
        <v>0.17219999999999999</v>
      </c>
      <c r="E44" s="1344">
        <f t="shared" si="2"/>
        <v>0.25829999999999997</v>
      </c>
      <c r="F44" s="1344">
        <f t="shared" si="3"/>
        <v>6.2968201205726437E-4</v>
      </c>
      <c r="G44" s="741">
        <f t="shared" si="1"/>
        <v>31</v>
      </c>
      <c r="H44" s="1356">
        <f t="shared" si="4"/>
        <v>1028090.37</v>
      </c>
    </row>
    <row r="45" spans="2:8" ht="13.5">
      <c r="B45" s="1073">
        <v>44348</v>
      </c>
      <c r="C45" s="1073">
        <v>44377</v>
      </c>
      <c r="D45" s="1120">
        <v>0.1721</v>
      </c>
      <c r="E45" s="1344">
        <f t="shared" si="2"/>
        <v>0.25814999999999999</v>
      </c>
      <c r="F45" s="1344">
        <f t="shared" si="3"/>
        <v>6.2935518846773952E-4</v>
      </c>
      <c r="G45" s="741">
        <f t="shared" si="1"/>
        <v>30</v>
      </c>
      <c r="H45" s="1356">
        <f t="shared" si="4"/>
        <v>994409.77</v>
      </c>
    </row>
    <row r="46" spans="2:8" ht="13.5">
      <c r="B46" s="1073">
        <v>44378</v>
      </c>
      <c r="C46" s="1073">
        <v>44408</v>
      </c>
      <c r="D46" s="1120">
        <v>0.17180000000000001</v>
      </c>
      <c r="E46" s="1344">
        <f t="shared" si="2"/>
        <v>0.25770000000000004</v>
      </c>
      <c r="F46" s="1344">
        <f t="shared" si="3"/>
        <v>6.2837448450037137E-4</v>
      </c>
      <c r="G46" s="741">
        <f t="shared" si="1"/>
        <v>31</v>
      </c>
      <c r="H46" s="1356">
        <f t="shared" si="4"/>
        <v>1025955.55</v>
      </c>
    </row>
    <row r="47" spans="2:8" ht="13.5">
      <c r="B47" s="1073">
        <v>44409</v>
      </c>
      <c r="C47" s="1073">
        <v>44438</v>
      </c>
      <c r="D47" s="1120">
        <v>0.1724</v>
      </c>
      <c r="E47" s="1120">
        <f t="shared" si="2"/>
        <v>0.2586</v>
      </c>
      <c r="F47" s="1344">
        <f t="shared" si="3"/>
        <v>6.3033554269220637E-4</v>
      </c>
      <c r="G47" s="741">
        <f t="shared" si="1"/>
        <v>30</v>
      </c>
      <c r="H47" s="1356">
        <f t="shared" si="4"/>
        <v>995958.77</v>
      </c>
    </row>
    <row r="48" spans="2:8" ht="13.5">
      <c r="B48" s="1073">
        <v>44440</v>
      </c>
      <c r="C48" s="1073">
        <v>44469</v>
      </c>
      <c r="D48" s="1120">
        <v>0.1719</v>
      </c>
      <c r="E48" s="1344">
        <f t="shared" si="2"/>
        <v>0.25785000000000002</v>
      </c>
      <c r="F48" s="1344">
        <f t="shared" si="3"/>
        <v>6.2870142469861889E-4</v>
      </c>
      <c r="G48" s="741">
        <f t="shared" si="1"/>
        <v>30</v>
      </c>
      <c r="H48" s="1356">
        <f t="shared" si="4"/>
        <v>993376.79</v>
      </c>
    </row>
    <row r="49" spans="2:8" ht="13.5">
      <c r="B49" s="1073">
        <v>44470</v>
      </c>
      <c r="C49" s="1073">
        <v>44500</v>
      </c>
      <c r="D49" s="1120">
        <v>0.17080000000000001</v>
      </c>
      <c r="E49" s="1120">
        <f t="shared" si="2"/>
        <v>0.25619999999999998</v>
      </c>
      <c r="F49" s="1344">
        <f t="shared" si="3"/>
        <v>6.2510294214179751E-4</v>
      </c>
      <c r="G49" s="741">
        <f t="shared" si="1"/>
        <v>31</v>
      </c>
      <c r="H49" s="1356">
        <f t="shared" si="4"/>
        <v>1020614.06</v>
      </c>
    </row>
    <row r="50" spans="2:8" ht="13.5">
      <c r="B50" s="1073">
        <v>44501</v>
      </c>
      <c r="C50" s="1073">
        <v>44530</v>
      </c>
      <c r="D50" s="1120">
        <v>0.17269999999999999</v>
      </c>
      <c r="E50" s="1344">
        <f t="shared" si="2"/>
        <v>0.25905</v>
      </c>
      <c r="F50" s="1344">
        <f t="shared" si="3"/>
        <v>6.3131554742335005E-4</v>
      </c>
      <c r="G50" s="741">
        <f t="shared" si="1"/>
        <v>30</v>
      </c>
      <c r="H50" s="1356">
        <f t="shared" si="4"/>
        <v>997507.23</v>
      </c>
    </row>
    <row r="51" spans="2:8" ht="13.5">
      <c r="B51" s="1073">
        <v>44531</v>
      </c>
      <c r="C51" s="1073">
        <v>44561</v>
      </c>
      <c r="D51" s="1120">
        <v>0.17460000000000001</v>
      </c>
      <c r="E51" s="1120">
        <f t="shared" si="2"/>
        <v>0.26190000000000002</v>
      </c>
      <c r="F51" s="1344">
        <f t="shared" si="3"/>
        <v>6.3751414410861962E-4</v>
      </c>
      <c r="G51" s="741">
        <f t="shared" si="1"/>
        <v>31</v>
      </c>
      <c r="H51" s="1356">
        <f t="shared" si="4"/>
        <v>1040878</v>
      </c>
    </row>
    <row r="52" spans="2:8" ht="13.5">
      <c r="B52" s="1073">
        <v>44562</v>
      </c>
      <c r="C52" s="1073">
        <v>44592</v>
      </c>
      <c r="D52" s="1120">
        <v>0.17660000000000001</v>
      </c>
      <c r="E52" s="1344">
        <f t="shared" si="2"/>
        <v>0.26490000000000002</v>
      </c>
      <c r="F52" s="1344">
        <f t="shared" si="3"/>
        <v>6.4402391816376081E-4</v>
      </c>
      <c r="G52" s="741">
        <f t="shared" si="1"/>
        <v>31</v>
      </c>
      <c r="H52" s="1356">
        <f t="shared" si="4"/>
        <v>1051506.6000000001</v>
      </c>
    </row>
    <row r="53" spans="2:8" ht="13.5">
      <c r="B53" s="1073">
        <v>44593</v>
      </c>
      <c r="C53" s="1073">
        <v>44620</v>
      </c>
      <c r="D53" s="1120">
        <v>0.183</v>
      </c>
      <c r="E53" s="1120">
        <f t="shared" si="2"/>
        <v>0.27449999999999997</v>
      </c>
      <c r="F53" s="1344">
        <f t="shared" si="3"/>
        <v>6.6475220558892545E-4</v>
      </c>
      <c r="G53" s="741">
        <f t="shared" si="1"/>
        <v>28</v>
      </c>
      <c r="H53" s="1356">
        <f t="shared" si="4"/>
        <v>980316.09</v>
      </c>
    </row>
    <row r="54" spans="2:8" ht="13.5">
      <c r="B54" s="1073">
        <v>44621</v>
      </c>
      <c r="C54" s="1073">
        <v>44651</v>
      </c>
      <c r="D54" s="1120">
        <v>0.1847</v>
      </c>
      <c r="E54" s="1344">
        <f t="shared" si="2"/>
        <v>0.27705000000000002</v>
      </c>
      <c r="F54" s="1344">
        <f t="shared" si="3"/>
        <v>6.7023198611315671E-4</v>
      </c>
      <c r="G54" s="741">
        <f t="shared" si="1"/>
        <v>31</v>
      </c>
      <c r="H54" s="1356">
        <f t="shared" si="4"/>
        <v>1094296.8700000001</v>
      </c>
    </row>
    <row r="55" spans="2:8" ht="13.5">
      <c r="B55" s="1073">
        <v>44652</v>
      </c>
      <c r="C55" s="1073">
        <v>44681</v>
      </c>
      <c r="D55" s="1120">
        <v>0.1905</v>
      </c>
      <c r="E55" s="1120">
        <f t="shared" si="2"/>
        <v>0.28575</v>
      </c>
      <c r="F55" s="1344">
        <f t="shared" si="3"/>
        <v>6.8884592812357148E-4</v>
      </c>
      <c r="G55" s="741">
        <f t="shared" si="1"/>
        <v>30</v>
      </c>
      <c r="H55" s="1356">
        <f t="shared" si="4"/>
        <v>1088407.8400000001</v>
      </c>
    </row>
    <row r="56" spans="2:8" ht="13.5">
      <c r="B56" s="1073">
        <v>44682</v>
      </c>
      <c r="C56" s="1073">
        <v>44712</v>
      </c>
      <c r="D56" s="1120">
        <v>0.1971</v>
      </c>
      <c r="E56" s="1344">
        <f t="shared" si="2"/>
        <v>0.29564999999999997</v>
      </c>
      <c r="F56" s="1344">
        <f t="shared" si="3"/>
        <v>7.0987512909947981E-4</v>
      </c>
      <c r="G56" s="741">
        <f t="shared" si="1"/>
        <v>31</v>
      </c>
      <c r="H56" s="1356">
        <f t="shared" si="4"/>
        <v>1159022.76</v>
      </c>
    </row>
    <row r="57" spans="2:8" ht="13.5">
      <c r="B57" s="1073">
        <v>44713</v>
      </c>
      <c r="C57" s="1073">
        <v>44742</v>
      </c>
      <c r="D57" s="1120">
        <v>0.20399999999999999</v>
      </c>
      <c r="E57" s="1120">
        <f t="shared" si="2"/>
        <v>0.30599999999999999</v>
      </c>
      <c r="F57" s="1344">
        <f t="shared" si="3"/>
        <v>7.3168955664093538E-4</v>
      </c>
      <c r="G57" s="741">
        <f t="shared" si="1"/>
        <v>30</v>
      </c>
      <c r="H57" s="1356">
        <f t="shared" si="4"/>
        <v>1156102.72</v>
      </c>
    </row>
    <row r="58" spans="2:8" ht="13.5">
      <c r="B58" s="1073">
        <v>44743</v>
      </c>
      <c r="C58" s="1073">
        <v>44773</v>
      </c>
      <c r="D58" s="1120">
        <v>0.21279999999999999</v>
      </c>
      <c r="E58" s="1344">
        <f t="shared" si="2"/>
        <v>0.31919999999999998</v>
      </c>
      <c r="F58" s="1344">
        <f t="shared" si="3"/>
        <v>7.5926204501630679E-4</v>
      </c>
      <c r="G58" s="741">
        <f t="shared" si="1"/>
        <v>31</v>
      </c>
      <c r="H58" s="1356">
        <f t="shared" si="4"/>
        <v>1239657.45</v>
      </c>
    </row>
    <row r="59" spans="2:8" ht="13.5">
      <c r="B59" s="1073">
        <v>44774</v>
      </c>
      <c r="C59" s="1073">
        <v>44804</v>
      </c>
      <c r="D59" s="1120">
        <v>0.22209999999999999</v>
      </c>
      <c r="E59" s="1120">
        <f t="shared" ref="E59:E65" si="5">+D59*1.5</f>
        <v>0.33315</v>
      </c>
      <c r="F59" s="1344">
        <f t="shared" ref="F59:F65" si="6">((1+E59)^(1/365)-1)</f>
        <v>7.8810371394433254E-4</v>
      </c>
      <c r="G59" s="741">
        <f t="shared" si="1"/>
        <v>31</v>
      </c>
      <c r="H59" s="1356">
        <f t="shared" si="4"/>
        <v>1286747.6399999999</v>
      </c>
    </row>
    <row r="60" spans="2:8" ht="13.5">
      <c r="B60" s="1073">
        <v>44805</v>
      </c>
      <c r="C60" s="1073">
        <v>44834</v>
      </c>
      <c r="D60" s="1120">
        <v>0.23499999999999999</v>
      </c>
      <c r="E60" s="1344">
        <f t="shared" si="5"/>
        <v>0.35249999999999998</v>
      </c>
      <c r="F60" s="1344">
        <f t="shared" si="6"/>
        <v>8.2761552252574866E-4</v>
      </c>
      <c r="G60" s="741">
        <f t="shared" si="1"/>
        <v>30</v>
      </c>
      <c r="H60" s="1356">
        <f t="shared" si="4"/>
        <v>1307670.1000000001</v>
      </c>
    </row>
    <row r="61" spans="2:8" ht="13.5">
      <c r="B61" s="1073">
        <v>44835</v>
      </c>
      <c r="C61" s="1073">
        <v>44865</v>
      </c>
      <c r="D61" s="1120">
        <v>0.24610000000000001</v>
      </c>
      <c r="E61" s="1120">
        <f t="shared" si="5"/>
        <v>0.36915000000000003</v>
      </c>
      <c r="F61" s="1344">
        <f t="shared" si="6"/>
        <v>8.611654102768096E-4</v>
      </c>
      <c r="G61" s="741">
        <f t="shared" si="1"/>
        <v>31</v>
      </c>
      <c r="H61" s="1356">
        <f t="shared" si="4"/>
        <v>1406036.46</v>
      </c>
    </row>
    <row r="62" spans="2:8" ht="13.5">
      <c r="B62" s="1073">
        <v>44866</v>
      </c>
      <c r="C62" s="1073">
        <v>44895</v>
      </c>
      <c r="D62" s="1120">
        <v>0.25779999999999997</v>
      </c>
      <c r="E62" s="1344">
        <f t="shared" si="5"/>
        <v>0.38669999999999993</v>
      </c>
      <c r="F62" s="1344">
        <f t="shared" si="6"/>
        <v>8.9609117817124329E-4</v>
      </c>
      <c r="G62" s="741">
        <f t="shared" si="1"/>
        <v>30</v>
      </c>
      <c r="H62" s="1356">
        <f t="shared" si="4"/>
        <v>1415864.74</v>
      </c>
    </row>
    <row r="63" spans="2:8" ht="13.5">
      <c r="B63" s="1073">
        <v>44896</v>
      </c>
      <c r="C63" s="1073">
        <v>44926</v>
      </c>
      <c r="D63" s="1120">
        <v>0.27639999999999998</v>
      </c>
      <c r="E63" s="1120">
        <f t="shared" si="5"/>
        <v>0.41459999999999997</v>
      </c>
      <c r="F63" s="1344">
        <f t="shared" si="6"/>
        <v>9.5071686592063109E-4</v>
      </c>
      <c r="G63" s="741">
        <f t="shared" si="1"/>
        <v>31</v>
      </c>
      <c r="H63" s="1356">
        <f t="shared" si="4"/>
        <v>1552248.34</v>
      </c>
    </row>
    <row r="64" spans="2:8" ht="13.5">
      <c r="B64" s="1073">
        <v>44927</v>
      </c>
      <c r="C64" s="1073">
        <v>44957</v>
      </c>
      <c r="D64" s="1120">
        <v>0.28839999999999999</v>
      </c>
      <c r="E64" s="1120">
        <f t="shared" si="5"/>
        <v>0.43259999999999998</v>
      </c>
      <c r="F64" s="1344">
        <f t="shared" si="6"/>
        <v>9.8539196132163553E-4</v>
      </c>
      <c r="G64" s="741">
        <f t="shared" si="1"/>
        <v>31</v>
      </c>
      <c r="H64" s="1356">
        <f t="shared" ref="H64:H65" si="7">ROUND(F64*$C$30*G64,2)</f>
        <v>1608862.84</v>
      </c>
    </row>
    <row r="65" spans="2:8" ht="13.5">
      <c r="B65" s="1073">
        <v>44958</v>
      </c>
      <c r="C65" s="1073">
        <v>44985</v>
      </c>
      <c r="D65" s="1120">
        <v>0.30180000000000001</v>
      </c>
      <c r="E65" s="1344">
        <f t="shared" si="5"/>
        <v>0.45269999999999999</v>
      </c>
      <c r="F65" s="1344">
        <f t="shared" si="6"/>
        <v>1.0236026853662761E-3</v>
      </c>
      <c r="G65" s="741">
        <f t="shared" si="1"/>
        <v>28</v>
      </c>
      <c r="H65" s="1356">
        <f t="shared" si="7"/>
        <v>1509516.13</v>
      </c>
    </row>
    <row r="66" spans="2:8" ht="13.5">
      <c r="B66" s="1073">
        <v>44986</v>
      </c>
      <c r="C66" s="1073">
        <v>45016</v>
      </c>
      <c r="D66" s="1120">
        <v>0.30840000000000001</v>
      </c>
      <c r="E66" s="1120">
        <f t="shared" ref="E66:E67" si="8">+D66*1.5</f>
        <v>0.46260000000000001</v>
      </c>
      <c r="F66" s="1344">
        <f t="shared" ref="F66:F67" si="9">((1+E66)^(1/365)-1)</f>
        <v>1.0422295217955568E-3</v>
      </c>
      <c r="G66" s="741">
        <f t="shared" ref="G66:G67" si="10">+_xlfn.DAYS(C66,B66)+1</f>
        <v>31</v>
      </c>
      <c r="H66" s="1356">
        <f t="shared" ref="H66:H67" si="11">ROUND(F66*$C$30*G66,2)</f>
        <v>1701662.29</v>
      </c>
    </row>
    <row r="67" spans="2:8" ht="13.5">
      <c r="B67" s="1073">
        <v>45017</v>
      </c>
      <c r="C67" s="1073">
        <v>45046</v>
      </c>
      <c r="D67" s="1120">
        <v>0.31390000000000001</v>
      </c>
      <c r="E67" s="1120">
        <f t="shared" si="8"/>
        <v>0.47084999999999999</v>
      </c>
      <c r="F67" s="1344">
        <f t="shared" si="9"/>
        <v>1.0576560884423269E-3</v>
      </c>
      <c r="G67" s="741">
        <f t="shared" si="10"/>
        <v>30</v>
      </c>
      <c r="H67" s="1356">
        <f t="shared" si="11"/>
        <v>1671144.64</v>
      </c>
    </row>
    <row r="68" spans="2:8" ht="13.5">
      <c r="G68" s="1113" t="s">
        <v>117</v>
      </c>
      <c r="H68" s="1356">
        <f>SUM(H33:H67)</f>
        <v>40112769.190000013</v>
      </c>
    </row>
    <row r="70" spans="2:8">
      <c r="B70" s="354" t="s">
        <v>1690</v>
      </c>
      <c r="C70" s="2352">
        <f>+E14</f>
        <v>52668180</v>
      </c>
    </row>
    <row r="71" spans="2:8" ht="13.5">
      <c r="B71" s="2672" t="s">
        <v>160</v>
      </c>
      <c r="C71" s="2672"/>
      <c r="D71" s="2672"/>
      <c r="E71" s="2672"/>
      <c r="F71" s="2672"/>
      <c r="G71" s="2672"/>
      <c r="H71" s="2672"/>
    </row>
    <row r="72" spans="2:8" ht="27">
      <c r="B72" s="751" t="s">
        <v>337</v>
      </c>
      <c r="C72" s="751" t="s">
        <v>40</v>
      </c>
      <c r="D72" s="751" t="s">
        <v>148</v>
      </c>
      <c r="E72" s="740" t="s">
        <v>149</v>
      </c>
      <c r="F72" s="740" t="s">
        <v>43</v>
      </c>
      <c r="G72" s="776" t="s">
        <v>47</v>
      </c>
      <c r="H72" s="740" t="s">
        <v>48</v>
      </c>
    </row>
    <row r="73" spans="2:8" ht="13.5">
      <c r="B73" s="1073">
        <v>44000</v>
      </c>
      <c r="C73" s="1073">
        <v>44012</v>
      </c>
      <c r="D73" s="1120">
        <v>0.1812</v>
      </c>
      <c r="E73" s="1344">
        <f>+D73*1.5</f>
        <v>0.27179999999999999</v>
      </c>
      <c r="F73" s="1917">
        <f>((1+E73)^(1/365)-1)</f>
        <v>6.5893815469997286E-4</v>
      </c>
      <c r="G73" s="741">
        <f t="shared" ref="G73:G105" si="12">+_xlfn.DAYS(C73,B73)+1</f>
        <v>13</v>
      </c>
      <c r="H73" s="1356">
        <f>ROUND(F73*$C$70*G73,2)</f>
        <v>451165.95</v>
      </c>
    </row>
    <row r="74" spans="2:8" ht="13.5">
      <c r="B74" s="1073">
        <v>44013</v>
      </c>
      <c r="C74" s="1073">
        <v>44043</v>
      </c>
      <c r="D74" s="1220">
        <v>0.1812</v>
      </c>
      <c r="E74" s="1344">
        <f t="shared" ref="E74:E98" si="13">+D74*1.5</f>
        <v>0.27179999999999999</v>
      </c>
      <c r="F74" s="1344">
        <f t="shared" ref="F74:F98" si="14">((1+E74)^(1/365)-1)</f>
        <v>6.5893815469997286E-4</v>
      </c>
      <c r="G74" s="741">
        <f t="shared" si="12"/>
        <v>31</v>
      </c>
      <c r="H74" s="1356">
        <f t="shared" ref="H74:H103" si="15">ROUND(F74*$C$70*G74,2)</f>
        <v>1075857.27</v>
      </c>
    </row>
    <row r="75" spans="2:8" ht="13.5">
      <c r="B75" s="1073">
        <v>44044</v>
      </c>
      <c r="C75" s="1073">
        <v>44073</v>
      </c>
      <c r="D75" s="1120">
        <v>0.18290000000000001</v>
      </c>
      <c r="E75" s="1344">
        <f t="shared" si="13"/>
        <v>0.27434999999999998</v>
      </c>
      <c r="F75" s="1344">
        <f t="shared" si="14"/>
        <v>6.6442952514544906E-4</v>
      </c>
      <c r="G75" s="741">
        <f t="shared" si="12"/>
        <v>30</v>
      </c>
      <c r="H75" s="1356">
        <f t="shared" si="15"/>
        <v>1049828.81</v>
      </c>
    </row>
    <row r="76" spans="2:8" ht="13.5">
      <c r="B76" s="1073">
        <v>44075</v>
      </c>
      <c r="C76" s="1073">
        <v>44104</v>
      </c>
      <c r="D76" s="1120">
        <v>0.1835</v>
      </c>
      <c r="E76" s="1344">
        <f t="shared" si="13"/>
        <v>0.27524999999999999</v>
      </c>
      <c r="F76" s="1344">
        <f t="shared" si="14"/>
        <v>6.6636503991857055E-4</v>
      </c>
      <c r="G76" s="741">
        <f t="shared" si="12"/>
        <v>30</v>
      </c>
      <c r="H76" s="1356">
        <f t="shared" si="15"/>
        <v>1052887.02</v>
      </c>
    </row>
    <row r="77" spans="2:8" ht="13.5">
      <c r="B77" s="1073">
        <v>44105</v>
      </c>
      <c r="C77" s="1073">
        <v>44135</v>
      </c>
      <c r="D77" s="1120">
        <v>0.18090000000000001</v>
      </c>
      <c r="E77" s="1344">
        <f t="shared" si="13"/>
        <v>0.27134999999999998</v>
      </c>
      <c r="F77" s="1344">
        <f t="shared" si="14"/>
        <v>6.5796794962613703E-4</v>
      </c>
      <c r="G77" s="741">
        <f t="shared" si="12"/>
        <v>31</v>
      </c>
      <c r="H77" s="1356">
        <f t="shared" si="15"/>
        <v>1074273.21</v>
      </c>
    </row>
    <row r="78" spans="2:8" ht="13.5">
      <c r="B78" s="1073">
        <v>44136</v>
      </c>
      <c r="C78" s="1073">
        <v>44165</v>
      </c>
      <c r="D78" s="1120">
        <v>0.1784</v>
      </c>
      <c r="E78" s="1344">
        <f t="shared" si="13"/>
        <v>0.2676</v>
      </c>
      <c r="F78" s="1344">
        <f t="shared" si="14"/>
        <v>6.4986956374091243E-4</v>
      </c>
      <c r="G78" s="741">
        <f t="shared" si="12"/>
        <v>30</v>
      </c>
      <c r="H78" s="1356">
        <f t="shared" si="15"/>
        <v>1026823.41</v>
      </c>
    </row>
    <row r="79" spans="2:8" ht="13.5">
      <c r="B79" s="1073">
        <v>44166</v>
      </c>
      <c r="C79" s="1073">
        <v>44196</v>
      </c>
      <c r="D79" s="1120">
        <v>0.17460000000000001</v>
      </c>
      <c r="E79" s="1344">
        <f t="shared" si="13"/>
        <v>0.26190000000000002</v>
      </c>
      <c r="F79" s="1344">
        <f t="shared" si="14"/>
        <v>6.3751414410861962E-4</v>
      </c>
      <c r="G79" s="741">
        <f t="shared" si="12"/>
        <v>31</v>
      </c>
      <c r="H79" s="1356">
        <f t="shared" si="15"/>
        <v>1040878</v>
      </c>
    </row>
    <row r="80" spans="2:8" ht="13.5">
      <c r="B80" s="1073">
        <v>44197</v>
      </c>
      <c r="C80" s="1073">
        <v>44227</v>
      </c>
      <c r="D80" s="1120">
        <v>0.17319999999999999</v>
      </c>
      <c r="E80" s="1344">
        <f t="shared" si="13"/>
        <v>0.25979999999999998</v>
      </c>
      <c r="F80" s="1344">
        <f t="shared" si="14"/>
        <v>6.3294811266723094E-4</v>
      </c>
      <c r="G80" s="741">
        <f t="shared" si="12"/>
        <v>31</v>
      </c>
      <c r="H80" s="1356">
        <f t="shared" si="15"/>
        <v>1033422.98</v>
      </c>
    </row>
    <row r="81" spans="2:8" ht="13.5">
      <c r="B81" s="1073">
        <v>44228</v>
      </c>
      <c r="C81" s="1073">
        <v>44255</v>
      </c>
      <c r="D81" s="1120">
        <v>0.1754</v>
      </c>
      <c r="E81" s="1344">
        <f t="shared" si="13"/>
        <v>0.2631</v>
      </c>
      <c r="F81" s="1344">
        <f t="shared" si="14"/>
        <v>6.4011990387169426E-4</v>
      </c>
      <c r="G81" s="741">
        <f t="shared" si="12"/>
        <v>28</v>
      </c>
      <c r="H81" s="1356">
        <f t="shared" si="15"/>
        <v>943990.61</v>
      </c>
    </row>
    <row r="82" spans="2:8" ht="13.5">
      <c r="B82" s="1073">
        <v>44256</v>
      </c>
      <c r="C82" s="1073">
        <v>44286</v>
      </c>
      <c r="D82" s="1120">
        <v>0.1741</v>
      </c>
      <c r="E82" s="1344">
        <f t="shared" si="13"/>
        <v>0.26114999999999999</v>
      </c>
      <c r="F82" s="1344">
        <f t="shared" si="14"/>
        <v>6.3588428907812578E-4</v>
      </c>
      <c r="G82" s="741">
        <f t="shared" si="12"/>
        <v>31</v>
      </c>
      <c r="H82" s="1356">
        <f t="shared" si="15"/>
        <v>1038216.91</v>
      </c>
    </row>
    <row r="83" spans="2:8" ht="13.5">
      <c r="B83" s="1073">
        <v>44287</v>
      </c>
      <c r="C83" s="1073">
        <v>44316</v>
      </c>
      <c r="D83" s="1120">
        <v>0.1731</v>
      </c>
      <c r="E83" s="1344">
        <f t="shared" si="13"/>
        <v>0.25964999999999999</v>
      </c>
      <c r="F83" s="1344">
        <f t="shared" si="14"/>
        <v>6.326216771728177E-4</v>
      </c>
      <c r="G83" s="741">
        <f t="shared" si="12"/>
        <v>30</v>
      </c>
      <c r="H83" s="1356">
        <f t="shared" si="15"/>
        <v>999570.97</v>
      </c>
    </row>
    <row r="84" spans="2:8" ht="13.5">
      <c r="B84" s="1073">
        <v>44317</v>
      </c>
      <c r="C84" s="1073">
        <v>44347</v>
      </c>
      <c r="D84" s="1120">
        <v>0.17219999999999999</v>
      </c>
      <c r="E84" s="1344">
        <f t="shared" si="13"/>
        <v>0.25829999999999997</v>
      </c>
      <c r="F84" s="1344">
        <f t="shared" si="14"/>
        <v>6.2968201205726437E-4</v>
      </c>
      <c r="G84" s="741">
        <f t="shared" si="12"/>
        <v>31</v>
      </c>
      <c r="H84" s="1356">
        <f t="shared" si="15"/>
        <v>1028090.37</v>
      </c>
    </row>
    <row r="85" spans="2:8" ht="13.5">
      <c r="B85" s="1073">
        <v>44348</v>
      </c>
      <c r="C85" s="1073">
        <v>44377</v>
      </c>
      <c r="D85" s="1120">
        <v>0.1721</v>
      </c>
      <c r="E85" s="1344">
        <f t="shared" si="13"/>
        <v>0.25814999999999999</v>
      </c>
      <c r="F85" s="1344">
        <f t="shared" si="14"/>
        <v>6.2935518846773952E-4</v>
      </c>
      <c r="G85" s="741">
        <f t="shared" si="12"/>
        <v>30</v>
      </c>
      <c r="H85" s="1356">
        <f t="shared" si="15"/>
        <v>994409.77</v>
      </c>
    </row>
    <row r="86" spans="2:8" ht="13.5">
      <c r="B86" s="1073">
        <v>44378</v>
      </c>
      <c r="C86" s="1073">
        <v>44408</v>
      </c>
      <c r="D86" s="1120">
        <v>0.17180000000000001</v>
      </c>
      <c r="E86" s="1344">
        <f t="shared" si="13"/>
        <v>0.25770000000000004</v>
      </c>
      <c r="F86" s="1344">
        <f t="shared" si="14"/>
        <v>6.2837448450037137E-4</v>
      </c>
      <c r="G86" s="741">
        <f t="shared" si="12"/>
        <v>31</v>
      </c>
      <c r="H86" s="1356">
        <f t="shared" si="15"/>
        <v>1025955.55</v>
      </c>
    </row>
    <row r="87" spans="2:8" ht="13.5">
      <c r="B87" s="1073">
        <v>44409</v>
      </c>
      <c r="C87" s="1073">
        <v>44438</v>
      </c>
      <c r="D87" s="1120">
        <v>0.1724</v>
      </c>
      <c r="E87" s="1120">
        <f t="shared" si="13"/>
        <v>0.2586</v>
      </c>
      <c r="F87" s="1344">
        <f t="shared" si="14"/>
        <v>6.3033554269220637E-4</v>
      </c>
      <c r="G87" s="741">
        <f t="shared" si="12"/>
        <v>30</v>
      </c>
      <c r="H87" s="1356">
        <f t="shared" si="15"/>
        <v>995958.77</v>
      </c>
    </row>
    <row r="88" spans="2:8" ht="13.5">
      <c r="B88" s="1073">
        <v>44440</v>
      </c>
      <c r="C88" s="1073">
        <v>44469</v>
      </c>
      <c r="D88" s="1120">
        <v>0.1719</v>
      </c>
      <c r="E88" s="1344">
        <f t="shared" si="13"/>
        <v>0.25785000000000002</v>
      </c>
      <c r="F88" s="1344">
        <f t="shared" si="14"/>
        <v>6.2870142469861889E-4</v>
      </c>
      <c r="G88" s="741">
        <f t="shared" si="12"/>
        <v>30</v>
      </c>
      <c r="H88" s="1356">
        <f t="shared" si="15"/>
        <v>993376.79</v>
      </c>
    </row>
    <row r="89" spans="2:8" ht="13.5">
      <c r="B89" s="1073">
        <v>44470</v>
      </c>
      <c r="C89" s="1073">
        <v>44500</v>
      </c>
      <c r="D89" s="1120">
        <v>0.17080000000000001</v>
      </c>
      <c r="E89" s="1120">
        <f t="shared" si="13"/>
        <v>0.25619999999999998</v>
      </c>
      <c r="F89" s="1344">
        <f t="shared" si="14"/>
        <v>6.2510294214179751E-4</v>
      </c>
      <c r="G89" s="741">
        <f t="shared" si="12"/>
        <v>31</v>
      </c>
      <c r="H89" s="1356">
        <f t="shared" si="15"/>
        <v>1020614.06</v>
      </c>
    </row>
    <row r="90" spans="2:8" ht="13.5">
      <c r="B90" s="1073">
        <v>44501</v>
      </c>
      <c r="C90" s="1073">
        <v>44530</v>
      </c>
      <c r="D90" s="1120">
        <v>0.17269999999999999</v>
      </c>
      <c r="E90" s="1344">
        <f t="shared" si="13"/>
        <v>0.25905</v>
      </c>
      <c r="F90" s="1344">
        <f t="shared" si="14"/>
        <v>6.3131554742335005E-4</v>
      </c>
      <c r="G90" s="741">
        <f t="shared" si="12"/>
        <v>30</v>
      </c>
      <c r="H90" s="1356">
        <f t="shared" si="15"/>
        <v>997507.23</v>
      </c>
    </row>
    <row r="91" spans="2:8" ht="13.5">
      <c r="B91" s="1073">
        <v>44531</v>
      </c>
      <c r="C91" s="1073">
        <v>44561</v>
      </c>
      <c r="D91" s="1120">
        <v>0.17460000000000001</v>
      </c>
      <c r="E91" s="1120">
        <f t="shared" si="13"/>
        <v>0.26190000000000002</v>
      </c>
      <c r="F91" s="1344">
        <f t="shared" si="14"/>
        <v>6.3751414410861962E-4</v>
      </c>
      <c r="G91" s="741">
        <f t="shared" si="12"/>
        <v>31</v>
      </c>
      <c r="H91" s="1356">
        <f t="shared" si="15"/>
        <v>1040878</v>
      </c>
    </row>
    <row r="92" spans="2:8" ht="13.5">
      <c r="B92" s="1073">
        <v>44562</v>
      </c>
      <c r="C92" s="1073">
        <v>44592</v>
      </c>
      <c r="D92" s="1120">
        <v>0.17660000000000001</v>
      </c>
      <c r="E92" s="1344">
        <f t="shared" si="13"/>
        <v>0.26490000000000002</v>
      </c>
      <c r="F92" s="1344">
        <f t="shared" si="14"/>
        <v>6.4402391816376081E-4</v>
      </c>
      <c r="G92" s="741">
        <f t="shared" si="12"/>
        <v>31</v>
      </c>
      <c r="H92" s="1356">
        <f t="shared" si="15"/>
        <v>1051506.6000000001</v>
      </c>
    </row>
    <row r="93" spans="2:8" ht="13.5">
      <c r="B93" s="1073">
        <v>44593</v>
      </c>
      <c r="C93" s="1073">
        <v>44620</v>
      </c>
      <c r="D93" s="1120">
        <v>0.183</v>
      </c>
      <c r="E93" s="1120">
        <f t="shared" si="13"/>
        <v>0.27449999999999997</v>
      </c>
      <c r="F93" s="1344">
        <f t="shared" si="14"/>
        <v>6.6475220558892545E-4</v>
      </c>
      <c r="G93" s="741">
        <f t="shared" si="12"/>
        <v>28</v>
      </c>
      <c r="H93" s="1356">
        <f t="shared" si="15"/>
        <v>980316.09</v>
      </c>
    </row>
    <row r="94" spans="2:8" ht="13.5">
      <c r="B94" s="1073">
        <v>44621</v>
      </c>
      <c r="C94" s="1073">
        <v>44651</v>
      </c>
      <c r="D94" s="1120">
        <v>0.1847</v>
      </c>
      <c r="E94" s="1344">
        <f t="shared" si="13"/>
        <v>0.27705000000000002</v>
      </c>
      <c r="F94" s="1344">
        <f t="shared" si="14"/>
        <v>6.7023198611315671E-4</v>
      </c>
      <c r="G94" s="741">
        <f t="shared" si="12"/>
        <v>31</v>
      </c>
      <c r="H94" s="1356">
        <f t="shared" si="15"/>
        <v>1094296.8700000001</v>
      </c>
    </row>
    <row r="95" spans="2:8" ht="13.5">
      <c r="B95" s="1073">
        <v>44652</v>
      </c>
      <c r="C95" s="1073">
        <v>44681</v>
      </c>
      <c r="D95" s="1120">
        <v>0.1905</v>
      </c>
      <c r="E95" s="1120">
        <f t="shared" si="13"/>
        <v>0.28575</v>
      </c>
      <c r="F95" s="1344">
        <f t="shared" si="14"/>
        <v>6.8884592812357148E-4</v>
      </c>
      <c r="G95" s="741">
        <f t="shared" si="12"/>
        <v>30</v>
      </c>
      <c r="H95" s="1356">
        <f t="shared" si="15"/>
        <v>1088407.8400000001</v>
      </c>
    </row>
    <row r="96" spans="2:8" ht="13.5">
      <c r="B96" s="1073">
        <v>44682</v>
      </c>
      <c r="C96" s="1073">
        <v>44712</v>
      </c>
      <c r="D96" s="1120">
        <v>0.1971</v>
      </c>
      <c r="E96" s="1344">
        <f t="shared" si="13"/>
        <v>0.29564999999999997</v>
      </c>
      <c r="F96" s="1344">
        <f t="shared" si="14"/>
        <v>7.0987512909947981E-4</v>
      </c>
      <c r="G96" s="741">
        <f t="shared" si="12"/>
        <v>31</v>
      </c>
      <c r="H96" s="1356">
        <f t="shared" si="15"/>
        <v>1159022.76</v>
      </c>
    </row>
    <row r="97" spans="2:8" ht="13.5">
      <c r="B97" s="1073">
        <v>44713</v>
      </c>
      <c r="C97" s="1073">
        <v>44742</v>
      </c>
      <c r="D97" s="1120">
        <v>0.20399999999999999</v>
      </c>
      <c r="E97" s="1120">
        <f t="shared" si="13"/>
        <v>0.30599999999999999</v>
      </c>
      <c r="F97" s="1344">
        <f t="shared" si="14"/>
        <v>7.3168955664093538E-4</v>
      </c>
      <c r="G97" s="741">
        <f t="shared" si="12"/>
        <v>30</v>
      </c>
      <c r="H97" s="1356">
        <f t="shared" si="15"/>
        <v>1156102.72</v>
      </c>
    </row>
    <row r="98" spans="2:8" ht="13.5">
      <c r="B98" s="1073">
        <v>44743</v>
      </c>
      <c r="C98" s="1073">
        <v>44773</v>
      </c>
      <c r="D98" s="1120">
        <v>0.21279999999999999</v>
      </c>
      <c r="E98" s="1344">
        <f t="shared" si="13"/>
        <v>0.31919999999999998</v>
      </c>
      <c r="F98" s="1344">
        <f t="shared" si="14"/>
        <v>7.5926204501630679E-4</v>
      </c>
      <c r="G98" s="741">
        <f t="shared" si="12"/>
        <v>31</v>
      </c>
      <c r="H98" s="1356">
        <f t="shared" si="15"/>
        <v>1239657.45</v>
      </c>
    </row>
    <row r="99" spans="2:8" ht="13.5">
      <c r="B99" s="1073">
        <v>44774</v>
      </c>
      <c r="C99" s="1073">
        <v>44804</v>
      </c>
      <c r="D99" s="1120">
        <v>0.22209999999999999</v>
      </c>
      <c r="E99" s="1120">
        <f t="shared" ref="E99:E105" si="16">+D99*1.5</f>
        <v>0.33315</v>
      </c>
      <c r="F99" s="1344">
        <f t="shared" ref="F99:F105" si="17">((1+E99)^(1/365)-1)</f>
        <v>7.8810371394433254E-4</v>
      </c>
      <c r="G99" s="741">
        <f t="shared" si="12"/>
        <v>31</v>
      </c>
      <c r="H99" s="1356">
        <f t="shared" si="15"/>
        <v>1286747.6399999999</v>
      </c>
    </row>
    <row r="100" spans="2:8" ht="13.5">
      <c r="B100" s="1073">
        <v>44805</v>
      </c>
      <c r="C100" s="1073">
        <v>44834</v>
      </c>
      <c r="D100" s="1120">
        <v>0.23499999999999999</v>
      </c>
      <c r="E100" s="1344">
        <f t="shared" si="16"/>
        <v>0.35249999999999998</v>
      </c>
      <c r="F100" s="1344">
        <f t="shared" si="17"/>
        <v>8.2761552252574866E-4</v>
      </c>
      <c r="G100" s="741">
        <f t="shared" si="12"/>
        <v>30</v>
      </c>
      <c r="H100" s="1356">
        <f t="shared" si="15"/>
        <v>1307670.1000000001</v>
      </c>
    </row>
    <row r="101" spans="2:8" ht="13.5">
      <c r="B101" s="1073">
        <v>44835</v>
      </c>
      <c r="C101" s="1073">
        <v>44865</v>
      </c>
      <c r="D101" s="1120">
        <v>0.24610000000000001</v>
      </c>
      <c r="E101" s="1120">
        <f t="shared" si="16"/>
        <v>0.36915000000000003</v>
      </c>
      <c r="F101" s="1344">
        <f t="shared" si="17"/>
        <v>8.611654102768096E-4</v>
      </c>
      <c r="G101" s="741">
        <f t="shared" si="12"/>
        <v>31</v>
      </c>
      <c r="H101" s="1356">
        <f t="shared" si="15"/>
        <v>1406036.46</v>
      </c>
    </row>
    <row r="102" spans="2:8" ht="13.5">
      <c r="B102" s="1073">
        <v>44866</v>
      </c>
      <c r="C102" s="1073">
        <v>44895</v>
      </c>
      <c r="D102" s="1120">
        <v>0.25779999999999997</v>
      </c>
      <c r="E102" s="1344">
        <f t="shared" si="16"/>
        <v>0.38669999999999993</v>
      </c>
      <c r="F102" s="1344">
        <f t="shared" si="17"/>
        <v>8.9609117817124329E-4</v>
      </c>
      <c r="G102" s="741">
        <f t="shared" si="12"/>
        <v>30</v>
      </c>
      <c r="H102" s="1356">
        <f t="shared" si="15"/>
        <v>1415864.74</v>
      </c>
    </row>
    <row r="103" spans="2:8" ht="13.5">
      <c r="B103" s="1073">
        <v>44896</v>
      </c>
      <c r="C103" s="1073">
        <v>44926</v>
      </c>
      <c r="D103" s="1120">
        <v>0.27639999999999998</v>
      </c>
      <c r="E103" s="1120">
        <f t="shared" si="16"/>
        <v>0.41459999999999997</v>
      </c>
      <c r="F103" s="1344">
        <f t="shared" si="17"/>
        <v>9.5071686592063109E-4</v>
      </c>
      <c r="G103" s="741">
        <f t="shared" si="12"/>
        <v>31</v>
      </c>
      <c r="H103" s="1356">
        <f t="shared" si="15"/>
        <v>1552248.34</v>
      </c>
    </row>
    <row r="104" spans="2:8" ht="13.5">
      <c r="B104" s="1073">
        <v>44927</v>
      </c>
      <c r="C104" s="1073">
        <v>44957</v>
      </c>
      <c r="D104" s="1120">
        <v>0.28839999999999999</v>
      </c>
      <c r="E104" s="1120">
        <f t="shared" si="16"/>
        <v>0.43259999999999998</v>
      </c>
      <c r="F104" s="1344">
        <f t="shared" si="17"/>
        <v>9.8539196132163553E-4</v>
      </c>
      <c r="G104" s="741">
        <f t="shared" si="12"/>
        <v>31</v>
      </c>
      <c r="H104" s="1356">
        <f t="shared" ref="H104:H105" si="18">ROUND(F104*$C$70*G104,2)</f>
        <v>1608862.84</v>
      </c>
    </row>
    <row r="105" spans="2:8" ht="13.5">
      <c r="B105" s="1073">
        <v>44958</v>
      </c>
      <c r="C105" s="1073">
        <v>44985</v>
      </c>
      <c r="D105" s="1120">
        <v>0.30180000000000001</v>
      </c>
      <c r="E105" s="1344">
        <f t="shared" si="16"/>
        <v>0.45269999999999999</v>
      </c>
      <c r="F105" s="1344">
        <f t="shared" si="17"/>
        <v>1.0236026853662761E-3</v>
      </c>
      <c r="G105" s="741">
        <f t="shared" si="12"/>
        <v>28</v>
      </c>
      <c r="H105" s="1356">
        <f t="shared" si="18"/>
        <v>1509516.13</v>
      </c>
    </row>
    <row r="106" spans="2:8" ht="13.5">
      <c r="B106" s="1073">
        <v>44986</v>
      </c>
      <c r="C106" s="1073">
        <v>45016</v>
      </c>
      <c r="D106" s="1120">
        <v>0.30840000000000001</v>
      </c>
      <c r="E106" s="1120">
        <f t="shared" ref="E106:E107" si="19">+D106*1.5</f>
        <v>0.46260000000000001</v>
      </c>
      <c r="F106" s="1344">
        <f t="shared" ref="F106:F107" si="20">((1+E106)^(1/365)-1)</f>
        <v>1.0422295217955568E-3</v>
      </c>
      <c r="G106" s="741">
        <f t="shared" ref="G106:G107" si="21">+_xlfn.DAYS(C106,B106)+1</f>
        <v>31</v>
      </c>
      <c r="H106" s="1356">
        <f t="shared" ref="H106:H107" si="22">ROUND(F106*$C$70*G106,2)</f>
        <v>1701662.29</v>
      </c>
    </row>
    <row r="107" spans="2:8" ht="13.5">
      <c r="B107" s="1073">
        <v>45017</v>
      </c>
      <c r="C107" s="1073">
        <v>45046</v>
      </c>
      <c r="D107" s="1120">
        <v>0.31390000000000001</v>
      </c>
      <c r="E107" s="1120">
        <f t="shared" si="19"/>
        <v>0.47084999999999999</v>
      </c>
      <c r="F107" s="1344">
        <f t="shared" si="20"/>
        <v>1.0576560884423269E-3</v>
      </c>
      <c r="G107" s="741">
        <f t="shared" si="21"/>
        <v>30</v>
      </c>
      <c r="H107" s="1356">
        <f t="shared" si="22"/>
        <v>1671144.64</v>
      </c>
    </row>
    <row r="108" spans="2:8" ht="13.5">
      <c r="G108" s="1113" t="s">
        <v>117</v>
      </c>
      <c r="H108" s="1356">
        <f>SUM(H73:H107)</f>
        <v>40112769.190000013</v>
      </c>
    </row>
    <row r="110" spans="2:8">
      <c r="B110" s="250" t="s">
        <v>1692</v>
      </c>
      <c r="C110" s="2352">
        <f>+E15</f>
        <v>52668180</v>
      </c>
    </row>
    <row r="111" spans="2:8" ht="13.5">
      <c r="B111" s="2672" t="s">
        <v>160</v>
      </c>
      <c r="C111" s="2672"/>
      <c r="D111" s="2672"/>
      <c r="E111" s="2672"/>
      <c r="F111" s="2672"/>
      <c r="G111" s="2672"/>
      <c r="H111" s="2672"/>
    </row>
    <row r="112" spans="2:8" ht="27">
      <c r="B112" s="751" t="s">
        <v>337</v>
      </c>
      <c r="C112" s="751" t="s">
        <v>40</v>
      </c>
      <c r="D112" s="751" t="s">
        <v>148</v>
      </c>
      <c r="E112" s="740" t="s">
        <v>149</v>
      </c>
      <c r="F112" s="740" t="s">
        <v>43</v>
      </c>
      <c r="G112" s="776" t="s">
        <v>47</v>
      </c>
      <c r="H112" s="740" t="s">
        <v>48</v>
      </c>
    </row>
    <row r="113" spans="2:8" ht="13.5">
      <c r="B113" s="1073">
        <v>44000</v>
      </c>
      <c r="C113" s="1073">
        <v>44012</v>
      </c>
      <c r="D113" s="1120">
        <v>0.1812</v>
      </c>
      <c r="E113" s="1344">
        <f>+D113*1.5</f>
        <v>0.27179999999999999</v>
      </c>
      <c r="F113" s="1917">
        <f>((1+E113)^(1/365)-1)</f>
        <v>6.5893815469997286E-4</v>
      </c>
      <c r="G113" s="741">
        <f t="shared" ref="G113:G145" si="23">+_xlfn.DAYS(C113,B113)+1</f>
        <v>13</v>
      </c>
      <c r="H113" s="1356">
        <f>ROUND(F113*$C$110*G113,2)</f>
        <v>451165.95</v>
      </c>
    </row>
    <row r="114" spans="2:8" ht="13.5">
      <c r="B114" s="1073">
        <v>44013</v>
      </c>
      <c r="C114" s="1073">
        <v>44043</v>
      </c>
      <c r="D114" s="1220">
        <v>0.1812</v>
      </c>
      <c r="E114" s="1344">
        <f t="shared" ref="E114:E138" si="24">+D114*1.5</f>
        <v>0.27179999999999999</v>
      </c>
      <c r="F114" s="1344">
        <f t="shared" ref="F114:F138" si="25">((1+E114)^(1/365)-1)</f>
        <v>6.5893815469997286E-4</v>
      </c>
      <c r="G114" s="741">
        <f t="shared" si="23"/>
        <v>31</v>
      </c>
      <c r="H114" s="1356">
        <f t="shared" ref="H114:H145" si="26">ROUND(F114*$C$110*G114,2)</f>
        <v>1075857.27</v>
      </c>
    </row>
    <row r="115" spans="2:8" ht="13.5">
      <c r="B115" s="1073">
        <v>44044</v>
      </c>
      <c r="C115" s="1073">
        <v>44073</v>
      </c>
      <c r="D115" s="1120">
        <v>0.18290000000000001</v>
      </c>
      <c r="E115" s="1344">
        <f t="shared" si="24"/>
        <v>0.27434999999999998</v>
      </c>
      <c r="F115" s="1344">
        <f t="shared" si="25"/>
        <v>6.6442952514544906E-4</v>
      </c>
      <c r="G115" s="741">
        <f t="shared" si="23"/>
        <v>30</v>
      </c>
      <c r="H115" s="1356">
        <f t="shared" si="26"/>
        <v>1049828.81</v>
      </c>
    </row>
    <row r="116" spans="2:8" ht="13.5">
      <c r="B116" s="1073">
        <v>44075</v>
      </c>
      <c r="C116" s="1073">
        <v>44104</v>
      </c>
      <c r="D116" s="1120">
        <v>0.1835</v>
      </c>
      <c r="E116" s="1344">
        <f t="shared" si="24"/>
        <v>0.27524999999999999</v>
      </c>
      <c r="F116" s="1344">
        <f t="shared" si="25"/>
        <v>6.6636503991857055E-4</v>
      </c>
      <c r="G116" s="741">
        <f t="shared" si="23"/>
        <v>30</v>
      </c>
      <c r="H116" s="1356">
        <f t="shared" si="26"/>
        <v>1052887.02</v>
      </c>
    </row>
    <row r="117" spans="2:8" ht="13.5">
      <c r="B117" s="1073">
        <v>44105</v>
      </c>
      <c r="C117" s="1073">
        <v>44135</v>
      </c>
      <c r="D117" s="1120">
        <v>0.18090000000000001</v>
      </c>
      <c r="E117" s="1344">
        <f t="shared" si="24"/>
        <v>0.27134999999999998</v>
      </c>
      <c r="F117" s="1344">
        <f t="shared" si="25"/>
        <v>6.5796794962613703E-4</v>
      </c>
      <c r="G117" s="741">
        <f t="shared" si="23"/>
        <v>31</v>
      </c>
      <c r="H117" s="1356">
        <f t="shared" si="26"/>
        <v>1074273.21</v>
      </c>
    </row>
    <row r="118" spans="2:8" ht="13.5">
      <c r="B118" s="1073">
        <v>44136</v>
      </c>
      <c r="C118" s="1073">
        <v>44165</v>
      </c>
      <c r="D118" s="1120">
        <v>0.1784</v>
      </c>
      <c r="E118" s="1344">
        <f t="shared" si="24"/>
        <v>0.2676</v>
      </c>
      <c r="F118" s="1344">
        <f t="shared" si="25"/>
        <v>6.4986956374091243E-4</v>
      </c>
      <c r="G118" s="741">
        <f t="shared" si="23"/>
        <v>30</v>
      </c>
      <c r="H118" s="1356">
        <f t="shared" si="26"/>
        <v>1026823.41</v>
      </c>
    </row>
    <row r="119" spans="2:8" ht="13.5">
      <c r="B119" s="1073">
        <v>44166</v>
      </c>
      <c r="C119" s="1073">
        <v>44196</v>
      </c>
      <c r="D119" s="1120">
        <v>0.17460000000000001</v>
      </c>
      <c r="E119" s="1344">
        <f t="shared" si="24"/>
        <v>0.26190000000000002</v>
      </c>
      <c r="F119" s="1344">
        <f t="shared" si="25"/>
        <v>6.3751414410861962E-4</v>
      </c>
      <c r="G119" s="741">
        <f t="shared" si="23"/>
        <v>31</v>
      </c>
      <c r="H119" s="1356">
        <f t="shared" si="26"/>
        <v>1040878</v>
      </c>
    </row>
    <row r="120" spans="2:8" ht="13.5">
      <c r="B120" s="1073">
        <v>44197</v>
      </c>
      <c r="C120" s="1073">
        <v>44227</v>
      </c>
      <c r="D120" s="1120">
        <v>0.17319999999999999</v>
      </c>
      <c r="E120" s="1344">
        <f t="shared" si="24"/>
        <v>0.25979999999999998</v>
      </c>
      <c r="F120" s="1344">
        <f t="shared" si="25"/>
        <v>6.3294811266723094E-4</v>
      </c>
      <c r="G120" s="741">
        <f t="shared" si="23"/>
        <v>31</v>
      </c>
      <c r="H120" s="1356">
        <f t="shared" si="26"/>
        <v>1033422.98</v>
      </c>
    </row>
    <row r="121" spans="2:8" ht="13.5">
      <c r="B121" s="1073">
        <v>44228</v>
      </c>
      <c r="C121" s="1073">
        <v>44255</v>
      </c>
      <c r="D121" s="1120">
        <v>0.1754</v>
      </c>
      <c r="E121" s="1344">
        <f t="shared" si="24"/>
        <v>0.2631</v>
      </c>
      <c r="F121" s="1344">
        <f t="shared" si="25"/>
        <v>6.4011990387169426E-4</v>
      </c>
      <c r="G121" s="741">
        <f t="shared" si="23"/>
        <v>28</v>
      </c>
      <c r="H121" s="1356">
        <f t="shared" si="26"/>
        <v>943990.61</v>
      </c>
    </row>
    <row r="122" spans="2:8" ht="13.5">
      <c r="B122" s="1073">
        <v>44256</v>
      </c>
      <c r="C122" s="1073">
        <v>44286</v>
      </c>
      <c r="D122" s="1120">
        <v>0.1741</v>
      </c>
      <c r="E122" s="1344">
        <f t="shared" si="24"/>
        <v>0.26114999999999999</v>
      </c>
      <c r="F122" s="1344">
        <f t="shared" si="25"/>
        <v>6.3588428907812578E-4</v>
      </c>
      <c r="G122" s="741">
        <f t="shared" si="23"/>
        <v>31</v>
      </c>
      <c r="H122" s="1356">
        <f t="shared" si="26"/>
        <v>1038216.91</v>
      </c>
    </row>
    <row r="123" spans="2:8" ht="13.5">
      <c r="B123" s="1073">
        <v>44287</v>
      </c>
      <c r="C123" s="1073">
        <v>44316</v>
      </c>
      <c r="D123" s="1120">
        <v>0.1731</v>
      </c>
      <c r="E123" s="1344">
        <f t="shared" si="24"/>
        <v>0.25964999999999999</v>
      </c>
      <c r="F123" s="1344">
        <f t="shared" si="25"/>
        <v>6.326216771728177E-4</v>
      </c>
      <c r="G123" s="741">
        <f t="shared" si="23"/>
        <v>30</v>
      </c>
      <c r="H123" s="1356">
        <f t="shared" si="26"/>
        <v>999570.97</v>
      </c>
    </row>
    <row r="124" spans="2:8" ht="13.5">
      <c r="B124" s="1073">
        <v>44317</v>
      </c>
      <c r="C124" s="1073">
        <v>44347</v>
      </c>
      <c r="D124" s="1120">
        <v>0.17219999999999999</v>
      </c>
      <c r="E124" s="1344">
        <f t="shared" si="24"/>
        <v>0.25829999999999997</v>
      </c>
      <c r="F124" s="1344">
        <f t="shared" si="25"/>
        <v>6.2968201205726437E-4</v>
      </c>
      <c r="G124" s="741">
        <f t="shared" si="23"/>
        <v>31</v>
      </c>
      <c r="H124" s="1356">
        <f t="shared" si="26"/>
        <v>1028090.37</v>
      </c>
    </row>
    <row r="125" spans="2:8" ht="13.5">
      <c r="B125" s="1073">
        <v>44348</v>
      </c>
      <c r="C125" s="1073">
        <v>44377</v>
      </c>
      <c r="D125" s="1120">
        <v>0.1721</v>
      </c>
      <c r="E125" s="1344">
        <f t="shared" si="24"/>
        <v>0.25814999999999999</v>
      </c>
      <c r="F125" s="1344">
        <f t="shared" si="25"/>
        <v>6.2935518846773952E-4</v>
      </c>
      <c r="G125" s="741">
        <f t="shared" si="23"/>
        <v>30</v>
      </c>
      <c r="H125" s="1356">
        <f t="shared" si="26"/>
        <v>994409.77</v>
      </c>
    </row>
    <row r="126" spans="2:8" ht="13.5">
      <c r="B126" s="1073">
        <v>44378</v>
      </c>
      <c r="C126" s="1073">
        <v>44408</v>
      </c>
      <c r="D126" s="1120">
        <v>0.17180000000000001</v>
      </c>
      <c r="E126" s="1344">
        <f t="shared" si="24"/>
        <v>0.25770000000000004</v>
      </c>
      <c r="F126" s="1344">
        <f t="shared" si="25"/>
        <v>6.2837448450037137E-4</v>
      </c>
      <c r="G126" s="741">
        <f t="shared" si="23"/>
        <v>31</v>
      </c>
      <c r="H126" s="1356">
        <f t="shared" si="26"/>
        <v>1025955.55</v>
      </c>
    </row>
    <row r="127" spans="2:8" ht="13.5">
      <c r="B127" s="1073">
        <v>44409</v>
      </c>
      <c r="C127" s="1073">
        <v>44438</v>
      </c>
      <c r="D127" s="1120">
        <v>0.1724</v>
      </c>
      <c r="E127" s="1120">
        <f t="shared" si="24"/>
        <v>0.2586</v>
      </c>
      <c r="F127" s="1344">
        <f t="shared" si="25"/>
        <v>6.3033554269220637E-4</v>
      </c>
      <c r="G127" s="741">
        <f t="shared" si="23"/>
        <v>30</v>
      </c>
      <c r="H127" s="1356">
        <f t="shared" si="26"/>
        <v>995958.77</v>
      </c>
    </row>
    <row r="128" spans="2:8" ht="13.5">
      <c r="B128" s="1073">
        <v>44440</v>
      </c>
      <c r="C128" s="1073">
        <v>44469</v>
      </c>
      <c r="D128" s="1120">
        <v>0.1719</v>
      </c>
      <c r="E128" s="1344">
        <f t="shared" si="24"/>
        <v>0.25785000000000002</v>
      </c>
      <c r="F128" s="1344">
        <f t="shared" si="25"/>
        <v>6.2870142469861889E-4</v>
      </c>
      <c r="G128" s="741">
        <f t="shared" si="23"/>
        <v>30</v>
      </c>
      <c r="H128" s="1356">
        <f t="shared" si="26"/>
        <v>993376.79</v>
      </c>
    </row>
    <row r="129" spans="2:8" ht="13.5">
      <c r="B129" s="1073">
        <v>44470</v>
      </c>
      <c r="C129" s="1073">
        <v>44500</v>
      </c>
      <c r="D129" s="1120">
        <v>0.17080000000000001</v>
      </c>
      <c r="E129" s="1120">
        <f t="shared" si="24"/>
        <v>0.25619999999999998</v>
      </c>
      <c r="F129" s="1344">
        <f t="shared" si="25"/>
        <v>6.2510294214179751E-4</v>
      </c>
      <c r="G129" s="741">
        <f t="shared" si="23"/>
        <v>31</v>
      </c>
      <c r="H129" s="1356">
        <f t="shared" si="26"/>
        <v>1020614.06</v>
      </c>
    </row>
    <row r="130" spans="2:8" ht="13.5">
      <c r="B130" s="1073">
        <v>44501</v>
      </c>
      <c r="C130" s="1073">
        <v>44530</v>
      </c>
      <c r="D130" s="1120">
        <v>0.17269999999999999</v>
      </c>
      <c r="E130" s="1344">
        <f t="shared" si="24"/>
        <v>0.25905</v>
      </c>
      <c r="F130" s="1344">
        <f t="shared" si="25"/>
        <v>6.3131554742335005E-4</v>
      </c>
      <c r="G130" s="741">
        <f t="shared" si="23"/>
        <v>30</v>
      </c>
      <c r="H130" s="1356">
        <f t="shared" si="26"/>
        <v>997507.23</v>
      </c>
    </row>
    <row r="131" spans="2:8" ht="13.5">
      <c r="B131" s="1073">
        <v>44531</v>
      </c>
      <c r="C131" s="1073">
        <v>44561</v>
      </c>
      <c r="D131" s="1120">
        <v>0.17460000000000001</v>
      </c>
      <c r="E131" s="1120">
        <f t="shared" si="24"/>
        <v>0.26190000000000002</v>
      </c>
      <c r="F131" s="1344">
        <f t="shared" si="25"/>
        <v>6.3751414410861962E-4</v>
      </c>
      <c r="G131" s="741">
        <f t="shared" si="23"/>
        <v>31</v>
      </c>
      <c r="H131" s="1356">
        <f t="shared" si="26"/>
        <v>1040878</v>
      </c>
    </row>
    <row r="132" spans="2:8" ht="13.5">
      <c r="B132" s="1073">
        <v>44562</v>
      </c>
      <c r="C132" s="1073">
        <v>44592</v>
      </c>
      <c r="D132" s="1120">
        <v>0.17660000000000001</v>
      </c>
      <c r="E132" s="1344">
        <f t="shared" si="24"/>
        <v>0.26490000000000002</v>
      </c>
      <c r="F132" s="1344">
        <f t="shared" si="25"/>
        <v>6.4402391816376081E-4</v>
      </c>
      <c r="G132" s="741">
        <f t="shared" si="23"/>
        <v>31</v>
      </c>
      <c r="H132" s="1356">
        <f t="shared" si="26"/>
        <v>1051506.6000000001</v>
      </c>
    </row>
    <row r="133" spans="2:8" ht="13.5">
      <c r="B133" s="1073">
        <v>44593</v>
      </c>
      <c r="C133" s="1073">
        <v>44620</v>
      </c>
      <c r="D133" s="1120">
        <v>0.183</v>
      </c>
      <c r="E133" s="1120">
        <f t="shared" si="24"/>
        <v>0.27449999999999997</v>
      </c>
      <c r="F133" s="1344">
        <f t="shared" si="25"/>
        <v>6.6475220558892545E-4</v>
      </c>
      <c r="G133" s="741">
        <f t="shared" si="23"/>
        <v>28</v>
      </c>
      <c r="H133" s="1356">
        <f t="shared" si="26"/>
        <v>980316.09</v>
      </c>
    </row>
    <row r="134" spans="2:8" ht="13.5">
      <c r="B134" s="1073">
        <v>44621</v>
      </c>
      <c r="C134" s="1073">
        <v>44651</v>
      </c>
      <c r="D134" s="1120">
        <v>0.1847</v>
      </c>
      <c r="E134" s="1344">
        <f t="shared" si="24"/>
        <v>0.27705000000000002</v>
      </c>
      <c r="F134" s="1344">
        <f t="shared" si="25"/>
        <v>6.7023198611315671E-4</v>
      </c>
      <c r="G134" s="741">
        <f t="shared" si="23"/>
        <v>31</v>
      </c>
      <c r="H134" s="1356">
        <f t="shared" si="26"/>
        <v>1094296.8700000001</v>
      </c>
    </row>
    <row r="135" spans="2:8" ht="13.5">
      <c r="B135" s="1073">
        <v>44652</v>
      </c>
      <c r="C135" s="1073">
        <v>44681</v>
      </c>
      <c r="D135" s="1120">
        <v>0.1905</v>
      </c>
      <c r="E135" s="1120">
        <f t="shared" si="24"/>
        <v>0.28575</v>
      </c>
      <c r="F135" s="1344">
        <f t="shared" si="25"/>
        <v>6.8884592812357148E-4</v>
      </c>
      <c r="G135" s="741">
        <f t="shared" si="23"/>
        <v>30</v>
      </c>
      <c r="H135" s="1356">
        <f t="shared" si="26"/>
        <v>1088407.8400000001</v>
      </c>
    </row>
    <row r="136" spans="2:8" ht="13.5">
      <c r="B136" s="1073">
        <v>44682</v>
      </c>
      <c r="C136" s="1073">
        <v>44712</v>
      </c>
      <c r="D136" s="1120">
        <v>0.1971</v>
      </c>
      <c r="E136" s="1344">
        <f t="shared" si="24"/>
        <v>0.29564999999999997</v>
      </c>
      <c r="F136" s="1344">
        <f t="shared" si="25"/>
        <v>7.0987512909947981E-4</v>
      </c>
      <c r="G136" s="741">
        <f t="shared" si="23"/>
        <v>31</v>
      </c>
      <c r="H136" s="1356">
        <f t="shared" si="26"/>
        <v>1159022.76</v>
      </c>
    </row>
    <row r="137" spans="2:8" ht="13.5">
      <c r="B137" s="1073">
        <v>44713</v>
      </c>
      <c r="C137" s="1073">
        <v>44742</v>
      </c>
      <c r="D137" s="1120">
        <v>0.20399999999999999</v>
      </c>
      <c r="E137" s="1120">
        <f t="shared" si="24"/>
        <v>0.30599999999999999</v>
      </c>
      <c r="F137" s="1344">
        <f t="shared" si="25"/>
        <v>7.3168955664093538E-4</v>
      </c>
      <c r="G137" s="741">
        <f t="shared" si="23"/>
        <v>30</v>
      </c>
      <c r="H137" s="1356">
        <f t="shared" si="26"/>
        <v>1156102.72</v>
      </c>
    </row>
    <row r="138" spans="2:8" ht="13.5">
      <c r="B138" s="1073">
        <v>44743</v>
      </c>
      <c r="C138" s="1073">
        <v>44773</v>
      </c>
      <c r="D138" s="1120">
        <v>0.21279999999999999</v>
      </c>
      <c r="E138" s="1344">
        <f t="shared" si="24"/>
        <v>0.31919999999999998</v>
      </c>
      <c r="F138" s="1344">
        <f t="shared" si="25"/>
        <v>7.5926204501630679E-4</v>
      </c>
      <c r="G138" s="741">
        <f t="shared" si="23"/>
        <v>31</v>
      </c>
      <c r="H138" s="1356">
        <f t="shared" si="26"/>
        <v>1239657.45</v>
      </c>
    </row>
    <row r="139" spans="2:8" ht="13.5">
      <c r="B139" s="1073">
        <v>44774</v>
      </c>
      <c r="C139" s="1073">
        <v>44804</v>
      </c>
      <c r="D139" s="1120">
        <v>0.22209999999999999</v>
      </c>
      <c r="E139" s="1120">
        <f t="shared" ref="E139:E145" si="27">+D139*1.5</f>
        <v>0.33315</v>
      </c>
      <c r="F139" s="1344">
        <f t="shared" ref="F139:F145" si="28">((1+E139)^(1/365)-1)</f>
        <v>7.8810371394433254E-4</v>
      </c>
      <c r="G139" s="741">
        <f t="shared" si="23"/>
        <v>31</v>
      </c>
      <c r="H139" s="1356">
        <f>ROUND(F139*$C$110*G139,2)</f>
        <v>1286747.6399999999</v>
      </c>
    </row>
    <row r="140" spans="2:8" ht="13.5">
      <c r="B140" s="1073">
        <v>44805</v>
      </c>
      <c r="C140" s="1073">
        <v>44834</v>
      </c>
      <c r="D140" s="1120">
        <v>0.23499999999999999</v>
      </c>
      <c r="E140" s="1344">
        <f t="shared" si="27"/>
        <v>0.35249999999999998</v>
      </c>
      <c r="F140" s="1344">
        <f t="shared" si="28"/>
        <v>8.2761552252574866E-4</v>
      </c>
      <c r="G140" s="741">
        <f t="shared" si="23"/>
        <v>30</v>
      </c>
      <c r="H140" s="1356">
        <f t="shared" si="26"/>
        <v>1307670.1000000001</v>
      </c>
    </row>
    <row r="141" spans="2:8" ht="13.5">
      <c r="B141" s="1073">
        <v>44835</v>
      </c>
      <c r="C141" s="1073">
        <v>44865</v>
      </c>
      <c r="D141" s="1120">
        <v>0.24610000000000001</v>
      </c>
      <c r="E141" s="1120">
        <f t="shared" si="27"/>
        <v>0.36915000000000003</v>
      </c>
      <c r="F141" s="1344">
        <f t="shared" si="28"/>
        <v>8.611654102768096E-4</v>
      </c>
      <c r="G141" s="741">
        <f t="shared" si="23"/>
        <v>31</v>
      </c>
      <c r="H141" s="1356">
        <f t="shared" si="26"/>
        <v>1406036.46</v>
      </c>
    </row>
    <row r="142" spans="2:8" ht="13.5">
      <c r="B142" s="1073">
        <v>44866</v>
      </c>
      <c r="C142" s="1073">
        <v>44895</v>
      </c>
      <c r="D142" s="1120">
        <v>0.25779999999999997</v>
      </c>
      <c r="E142" s="1344">
        <f t="shared" si="27"/>
        <v>0.38669999999999993</v>
      </c>
      <c r="F142" s="1344">
        <f t="shared" si="28"/>
        <v>8.9609117817124329E-4</v>
      </c>
      <c r="G142" s="741">
        <f t="shared" si="23"/>
        <v>30</v>
      </c>
      <c r="H142" s="1356">
        <f t="shared" si="26"/>
        <v>1415864.74</v>
      </c>
    </row>
    <row r="143" spans="2:8" ht="13.5">
      <c r="B143" s="1073">
        <v>44896</v>
      </c>
      <c r="C143" s="1073">
        <v>44926</v>
      </c>
      <c r="D143" s="1120">
        <v>0.27639999999999998</v>
      </c>
      <c r="E143" s="1120">
        <f t="shared" si="27"/>
        <v>0.41459999999999997</v>
      </c>
      <c r="F143" s="1344">
        <f t="shared" si="28"/>
        <v>9.5071686592063109E-4</v>
      </c>
      <c r="G143" s="741">
        <f t="shared" si="23"/>
        <v>31</v>
      </c>
      <c r="H143" s="1356">
        <f t="shared" si="26"/>
        <v>1552248.34</v>
      </c>
    </row>
    <row r="144" spans="2:8" ht="13.5">
      <c r="B144" s="1073">
        <v>44927</v>
      </c>
      <c r="C144" s="1073">
        <v>44957</v>
      </c>
      <c r="D144" s="1120">
        <v>0.28839999999999999</v>
      </c>
      <c r="E144" s="1120">
        <f t="shared" si="27"/>
        <v>0.43259999999999998</v>
      </c>
      <c r="F144" s="1344">
        <f t="shared" si="28"/>
        <v>9.8539196132163553E-4</v>
      </c>
      <c r="G144" s="741">
        <f t="shared" si="23"/>
        <v>31</v>
      </c>
      <c r="H144" s="1356">
        <f t="shared" si="26"/>
        <v>1608862.84</v>
      </c>
    </row>
    <row r="145" spans="2:8" ht="13.5">
      <c r="B145" s="1073">
        <v>44958</v>
      </c>
      <c r="C145" s="1073">
        <v>44985</v>
      </c>
      <c r="D145" s="1120">
        <v>0.30180000000000001</v>
      </c>
      <c r="E145" s="1344">
        <f t="shared" si="27"/>
        <v>0.45269999999999999</v>
      </c>
      <c r="F145" s="1344">
        <f t="shared" si="28"/>
        <v>1.0236026853662761E-3</v>
      </c>
      <c r="G145" s="741">
        <f t="shared" si="23"/>
        <v>28</v>
      </c>
      <c r="H145" s="1356">
        <f t="shared" si="26"/>
        <v>1509516.13</v>
      </c>
    </row>
    <row r="146" spans="2:8" ht="13.5">
      <c r="B146" s="1073">
        <v>44986</v>
      </c>
      <c r="C146" s="1073">
        <v>45016</v>
      </c>
      <c r="D146" s="1120">
        <v>0.30840000000000001</v>
      </c>
      <c r="E146" s="1120">
        <f t="shared" ref="E146:E147" si="29">+D146*1.5</f>
        <v>0.46260000000000001</v>
      </c>
      <c r="F146" s="1344">
        <f t="shared" ref="F146:F147" si="30">((1+E146)^(1/365)-1)</f>
        <v>1.0422295217955568E-3</v>
      </c>
      <c r="G146" s="741">
        <f t="shared" ref="G146:G147" si="31">+_xlfn.DAYS(C146,B146)+1</f>
        <v>31</v>
      </c>
      <c r="H146" s="1356">
        <f t="shared" ref="H146:H147" si="32">ROUND(F146*$C$110*G146,2)</f>
        <v>1701662.29</v>
      </c>
    </row>
    <row r="147" spans="2:8" ht="13.5">
      <c r="B147" s="1073">
        <v>45017</v>
      </c>
      <c r="C147" s="1073">
        <v>45046</v>
      </c>
      <c r="D147" s="1120">
        <v>0.31390000000000001</v>
      </c>
      <c r="E147" s="1120">
        <f t="shared" si="29"/>
        <v>0.47084999999999999</v>
      </c>
      <c r="F147" s="1344">
        <f t="shared" si="30"/>
        <v>1.0576560884423269E-3</v>
      </c>
      <c r="G147" s="741">
        <f t="shared" si="31"/>
        <v>30</v>
      </c>
      <c r="H147" s="1356">
        <f t="shared" si="32"/>
        <v>1671144.64</v>
      </c>
    </row>
    <row r="148" spans="2:8" ht="13.5">
      <c r="G148" s="1113" t="s">
        <v>117</v>
      </c>
      <c r="H148" s="1356">
        <f>SUM(H113:H147)</f>
        <v>40112769.190000013</v>
      </c>
    </row>
    <row r="150" spans="2:8">
      <c r="B150" s="219" t="s">
        <v>1694</v>
      </c>
      <c r="C150" s="2352">
        <f>+E16</f>
        <v>26334090</v>
      </c>
    </row>
    <row r="151" spans="2:8" ht="13.5">
      <c r="B151" s="2672" t="s">
        <v>160</v>
      </c>
      <c r="C151" s="2672"/>
      <c r="D151" s="2672"/>
      <c r="E151" s="2672"/>
      <c r="F151" s="2672"/>
      <c r="G151" s="2672"/>
      <c r="H151" s="2672"/>
    </row>
    <row r="152" spans="2:8" ht="27">
      <c r="B152" s="751" t="s">
        <v>337</v>
      </c>
      <c r="C152" s="751" t="s">
        <v>40</v>
      </c>
      <c r="D152" s="751" t="s">
        <v>148</v>
      </c>
      <c r="E152" s="740" t="s">
        <v>149</v>
      </c>
      <c r="F152" s="740" t="s">
        <v>43</v>
      </c>
      <c r="G152" s="776" t="s">
        <v>47</v>
      </c>
      <c r="H152" s="740" t="s">
        <v>48</v>
      </c>
    </row>
    <row r="153" spans="2:8" ht="13.5">
      <c r="B153" s="1073">
        <v>44000</v>
      </c>
      <c r="C153" s="1073">
        <v>44012</v>
      </c>
      <c r="D153" s="1120">
        <v>0.1812</v>
      </c>
      <c r="E153" s="1344">
        <f>+D153*1.5</f>
        <v>0.27179999999999999</v>
      </c>
      <c r="F153" s="1917">
        <f>((1+E153)^(1/365)-1)</f>
        <v>6.5893815469997286E-4</v>
      </c>
      <c r="G153" s="741">
        <f t="shared" ref="G153:G185" si="33">+_xlfn.DAYS(C153,B153)+1</f>
        <v>13</v>
      </c>
      <c r="H153" s="1356">
        <f>ROUND(F153*$C$150*G153,2)</f>
        <v>225582.98</v>
      </c>
    </row>
    <row r="154" spans="2:8" ht="13.5">
      <c r="B154" s="1073">
        <v>44013</v>
      </c>
      <c r="C154" s="1073">
        <v>44043</v>
      </c>
      <c r="D154" s="1220">
        <v>0.1812</v>
      </c>
      <c r="E154" s="1344">
        <f t="shared" ref="E154:E178" si="34">+D154*1.5</f>
        <v>0.27179999999999999</v>
      </c>
      <c r="F154" s="1344">
        <f t="shared" ref="F154:F178" si="35">((1+E154)^(1/365)-1)</f>
        <v>6.5893815469997286E-4</v>
      </c>
      <c r="G154" s="741">
        <f t="shared" si="33"/>
        <v>31</v>
      </c>
      <c r="H154" s="1356">
        <f t="shared" ref="H154:H185" si="36">ROUND(F154*$C$150*G154,2)</f>
        <v>537928.64</v>
      </c>
    </row>
    <row r="155" spans="2:8" ht="13.5">
      <c r="B155" s="1073">
        <v>44044</v>
      </c>
      <c r="C155" s="1073">
        <v>44073</v>
      </c>
      <c r="D155" s="1120">
        <v>0.18290000000000001</v>
      </c>
      <c r="E155" s="1344">
        <f t="shared" si="34"/>
        <v>0.27434999999999998</v>
      </c>
      <c r="F155" s="1344">
        <f t="shared" si="35"/>
        <v>6.6442952514544906E-4</v>
      </c>
      <c r="G155" s="741">
        <f t="shared" si="33"/>
        <v>30</v>
      </c>
      <c r="H155" s="1356">
        <f t="shared" si="36"/>
        <v>524914.41</v>
      </c>
    </row>
    <row r="156" spans="2:8" ht="13.5">
      <c r="B156" s="1073">
        <v>44075</v>
      </c>
      <c r="C156" s="1073">
        <v>44104</v>
      </c>
      <c r="D156" s="1120">
        <v>0.1835</v>
      </c>
      <c r="E156" s="1344">
        <f t="shared" si="34"/>
        <v>0.27524999999999999</v>
      </c>
      <c r="F156" s="1344">
        <f t="shared" si="35"/>
        <v>6.6636503991857055E-4</v>
      </c>
      <c r="G156" s="741">
        <f t="shared" si="33"/>
        <v>30</v>
      </c>
      <c r="H156" s="1356">
        <f t="shared" si="36"/>
        <v>526443.51</v>
      </c>
    </row>
    <row r="157" spans="2:8" ht="13.5">
      <c r="B157" s="1073">
        <v>44105</v>
      </c>
      <c r="C157" s="1073">
        <v>44135</v>
      </c>
      <c r="D157" s="1120">
        <v>0.18090000000000001</v>
      </c>
      <c r="E157" s="1344">
        <f t="shared" si="34"/>
        <v>0.27134999999999998</v>
      </c>
      <c r="F157" s="1344">
        <f t="shared" si="35"/>
        <v>6.5796794962613703E-4</v>
      </c>
      <c r="G157" s="741">
        <f t="shared" si="33"/>
        <v>31</v>
      </c>
      <c r="H157" s="1356">
        <f t="shared" si="36"/>
        <v>537136.6</v>
      </c>
    </row>
    <row r="158" spans="2:8" ht="13.5">
      <c r="B158" s="1073">
        <v>44136</v>
      </c>
      <c r="C158" s="1073">
        <v>44165</v>
      </c>
      <c r="D158" s="1120">
        <v>0.1784</v>
      </c>
      <c r="E158" s="1344">
        <f t="shared" si="34"/>
        <v>0.2676</v>
      </c>
      <c r="F158" s="1344">
        <f t="shared" si="35"/>
        <v>6.4986956374091243E-4</v>
      </c>
      <c r="G158" s="741">
        <f t="shared" si="33"/>
        <v>30</v>
      </c>
      <c r="H158" s="1356">
        <f t="shared" si="36"/>
        <v>513411.71</v>
      </c>
    </row>
    <row r="159" spans="2:8" ht="13.5">
      <c r="B159" s="1073">
        <v>44166</v>
      </c>
      <c r="C159" s="1073">
        <v>44196</v>
      </c>
      <c r="D159" s="1120">
        <v>0.17460000000000001</v>
      </c>
      <c r="E159" s="1344">
        <f t="shared" si="34"/>
        <v>0.26190000000000002</v>
      </c>
      <c r="F159" s="1344">
        <f t="shared" si="35"/>
        <v>6.3751414410861962E-4</v>
      </c>
      <c r="G159" s="741">
        <f t="shared" si="33"/>
        <v>31</v>
      </c>
      <c r="H159" s="1356">
        <f t="shared" si="36"/>
        <v>520439</v>
      </c>
    </row>
    <row r="160" spans="2:8" ht="13.5">
      <c r="B160" s="1073">
        <v>44197</v>
      </c>
      <c r="C160" s="1073">
        <v>44227</v>
      </c>
      <c r="D160" s="1120">
        <v>0.17319999999999999</v>
      </c>
      <c r="E160" s="1344">
        <f t="shared" si="34"/>
        <v>0.25979999999999998</v>
      </c>
      <c r="F160" s="1344">
        <f t="shared" si="35"/>
        <v>6.3294811266723094E-4</v>
      </c>
      <c r="G160" s="741">
        <f t="shared" si="33"/>
        <v>31</v>
      </c>
      <c r="H160" s="1356">
        <f t="shared" si="36"/>
        <v>516711.49</v>
      </c>
    </row>
    <row r="161" spans="2:8" ht="13.5">
      <c r="B161" s="1073">
        <v>44228</v>
      </c>
      <c r="C161" s="1073">
        <v>44255</v>
      </c>
      <c r="D161" s="1120">
        <v>0.1754</v>
      </c>
      <c r="E161" s="1344">
        <f t="shared" si="34"/>
        <v>0.2631</v>
      </c>
      <c r="F161" s="1344">
        <f t="shared" si="35"/>
        <v>6.4011990387169426E-4</v>
      </c>
      <c r="G161" s="741">
        <f t="shared" si="33"/>
        <v>28</v>
      </c>
      <c r="H161" s="1356">
        <f t="shared" si="36"/>
        <v>471995.3</v>
      </c>
    </row>
    <row r="162" spans="2:8" ht="13.5">
      <c r="B162" s="1073">
        <v>44256</v>
      </c>
      <c r="C162" s="1073">
        <v>44286</v>
      </c>
      <c r="D162" s="1120">
        <v>0.1741</v>
      </c>
      <c r="E162" s="1344">
        <f t="shared" si="34"/>
        <v>0.26114999999999999</v>
      </c>
      <c r="F162" s="1344">
        <f t="shared" si="35"/>
        <v>6.3588428907812578E-4</v>
      </c>
      <c r="G162" s="741">
        <f t="shared" si="33"/>
        <v>31</v>
      </c>
      <c r="H162" s="1356">
        <f t="shared" si="36"/>
        <v>519108.46</v>
      </c>
    </row>
    <row r="163" spans="2:8" ht="13.5">
      <c r="B163" s="1073">
        <v>44287</v>
      </c>
      <c r="C163" s="1073">
        <v>44316</v>
      </c>
      <c r="D163" s="1120">
        <v>0.1731</v>
      </c>
      <c r="E163" s="1344">
        <f t="shared" si="34"/>
        <v>0.25964999999999999</v>
      </c>
      <c r="F163" s="1344">
        <f t="shared" si="35"/>
        <v>6.326216771728177E-4</v>
      </c>
      <c r="G163" s="741">
        <f t="shared" si="33"/>
        <v>30</v>
      </c>
      <c r="H163" s="1356">
        <f t="shared" si="36"/>
        <v>499785.49</v>
      </c>
    </row>
    <row r="164" spans="2:8" ht="13.5">
      <c r="B164" s="1073">
        <v>44317</v>
      </c>
      <c r="C164" s="1073">
        <v>44347</v>
      </c>
      <c r="D164" s="1120">
        <v>0.17219999999999999</v>
      </c>
      <c r="E164" s="1344">
        <f t="shared" si="34"/>
        <v>0.25829999999999997</v>
      </c>
      <c r="F164" s="1344">
        <f t="shared" si="35"/>
        <v>6.2968201205726437E-4</v>
      </c>
      <c r="G164" s="741">
        <f t="shared" si="33"/>
        <v>31</v>
      </c>
      <c r="H164" s="1356">
        <f t="shared" si="36"/>
        <v>514045.19</v>
      </c>
    </row>
    <row r="165" spans="2:8" ht="13.5">
      <c r="B165" s="1073">
        <v>44348</v>
      </c>
      <c r="C165" s="1073">
        <v>44377</v>
      </c>
      <c r="D165" s="1120">
        <v>0.1721</v>
      </c>
      <c r="E165" s="1344">
        <f t="shared" si="34"/>
        <v>0.25814999999999999</v>
      </c>
      <c r="F165" s="1344">
        <f t="shared" si="35"/>
        <v>6.2935518846773952E-4</v>
      </c>
      <c r="G165" s="741">
        <f t="shared" si="33"/>
        <v>30</v>
      </c>
      <c r="H165" s="1356">
        <f t="shared" si="36"/>
        <v>497204.89</v>
      </c>
    </row>
    <row r="166" spans="2:8" ht="13.5">
      <c r="B166" s="1073">
        <v>44378</v>
      </c>
      <c r="C166" s="1073">
        <v>44408</v>
      </c>
      <c r="D166" s="1120">
        <v>0.17180000000000001</v>
      </c>
      <c r="E166" s="1344">
        <f t="shared" si="34"/>
        <v>0.25770000000000004</v>
      </c>
      <c r="F166" s="1344">
        <f t="shared" si="35"/>
        <v>6.2837448450037137E-4</v>
      </c>
      <c r="G166" s="741">
        <f t="shared" si="33"/>
        <v>31</v>
      </c>
      <c r="H166" s="1356">
        <f t="shared" si="36"/>
        <v>512977.78</v>
      </c>
    </row>
    <row r="167" spans="2:8" ht="13.5">
      <c r="B167" s="1073">
        <v>44409</v>
      </c>
      <c r="C167" s="1073">
        <v>44438</v>
      </c>
      <c r="D167" s="1120">
        <v>0.1724</v>
      </c>
      <c r="E167" s="1120">
        <f t="shared" si="34"/>
        <v>0.2586</v>
      </c>
      <c r="F167" s="1344">
        <f t="shared" si="35"/>
        <v>6.3033554269220637E-4</v>
      </c>
      <c r="G167" s="741">
        <f t="shared" si="33"/>
        <v>30</v>
      </c>
      <c r="H167" s="1356">
        <f t="shared" si="36"/>
        <v>497979.39</v>
      </c>
    </row>
    <row r="168" spans="2:8" ht="13.5">
      <c r="B168" s="1073">
        <v>44440</v>
      </c>
      <c r="C168" s="1073">
        <v>44469</v>
      </c>
      <c r="D168" s="1120">
        <v>0.1719</v>
      </c>
      <c r="E168" s="1344">
        <f t="shared" si="34"/>
        <v>0.25785000000000002</v>
      </c>
      <c r="F168" s="1344">
        <f t="shared" si="35"/>
        <v>6.2870142469861889E-4</v>
      </c>
      <c r="G168" s="741">
        <f t="shared" si="33"/>
        <v>30</v>
      </c>
      <c r="H168" s="1356">
        <f t="shared" si="36"/>
        <v>496688.4</v>
      </c>
    </row>
    <row r="169" spans="2:8" ht="13.5">
      <c r="B169" s="1073">
        <v>44470</v>
      </c>
      <c r="C169" s="1073">
        <v>44500</v>
      </c>
      <c r="D169" s="1120">
        <v>0.17080000000000001</v>
      </c>
      <c r="E169" s="1120">
        <f t="shared" si="34"/>
        <v>0.25619999999999998</v>
      </c>
      <c r="F169" s="1344">
        <f t="shared" si="35"/>
        <v>6.2510294214179751E-4</v>
      </c>
      <c r="G169" s="741">
        <f t="shared" si="33"/>
        <v>31</v>
      </c>
      <c r="H169" s="1356">
        <f t="shared" si="36"/>
        <v>510307.03</v>
      </c>
    </row>
    <row r="170" spans="2:8" ht="13.5">
      <c r="B170" s="1073">
        <v>44501</v>
      </c>
      <c r="C170" s="1073">
        <v>44530</v>
      </c>
      <c r="D170" s="1120">
        <v>0.17269999999999999</v>
      </c>
      <c r="E170" s="1344">
        <f t="shared" si="34"/>
        <v>0.25905</v>
      </c>
      <c r="F170" s="1344">
        <f t="shared" si="35"/>
        <v>6.3131554742335005E-4</v>
      </c>
      <c r="G170" s="741">
        <f t="shared" si="33"/>
        <v>30</v>
      </c>
      <c r="H170" s="1356">
        <f t="shared" si="36"/>
        <v>498753.61</v>
      </c>
    </row>
    <row r="171" spans="2:8" ht="13.5">
      <c r="B171" s="1073">
        <v>44531</v>
      </c>
      <c r="C171" s="1073">
        <v>44561</v>
      </c>
      <c r="D171" s="1120">
        <v>0.17460000000000001</v>
      </c>
      <c r="E171" s="1120">
        <f t="shared" si="34"/>
        <v>0.26190000000000002</v>
      </c>
      <c r="F171" s="1344">
        <f t="shared" si="35"/>
        <v>6.3751414410861962E-4</v>
      </c>
      <c r="G171" s="741">
        <f t="shared" si="33"/>
        <v>31</v>
      </c>
      <c r="H171" s="1356">
        <f t="shared" si="36"/>
        <v>520439</v>
      </c>
    </row>
    <row r="172" spans="2:8" ht="13.5">
      <c r="B172" s="1073">
        <v>44562</v>
      </c>
      <c r="C172" s="1073">
        <v>44592</v>
      </c>
      <c r="D172" s="1120">
        <v>0.17660000000000001</v>
      </c>
      <c r="E172" s="1344">
        <f t="shared" si="34"/>
        <v>0.26490000000000002</v>
      </c>
      <c r="F172" s="1344">
        <f t="shared" si="35"/>
        <v>6.4402391816376081E-4</v>
      </c>
      <c r="G172" s="741">
        <f t="shared" si="33"/>
        <v>31</v>
      </c>
      <c r="H172" s="1356">
        <f t="shared" si="36"/>
        <v>525753.30000000005</v>
      </c>
    </row>
    <row r="173" spans="2:8" ht="13.5">
      <c r="B173" s="1073">
        <v>44593</v>
      </c>
      <c r="C173" s="1073">
        <v>44620</v>
      </c>
      <c r="D173" s="1120">
        <v>0.183</v>
      </c>
      <c r="E173" s="1120">
        <f t="shared" si="34"/>
        <v>0.27449999999999997</v>
      </c>
      <c r="F173" s="1344">
        <f t="shared" si="35"/>
        <v>6.6475220558892545E-4</v>
      </c>
      <c r="G173" s="741">
        <f t="shared" si="33"/>
        <v>28</v>
      </c>
      <c r="H173" s="1356">
        <f t="shared" si="36"/>
        <v>490158.04</v>
      </c>
    </row>
    <row r="174" spans="2:8" ht="13.5">
      <c r="B174" s="1073">
        <v>44621</v>
      </c>
      <c r="C174" s="1073">
        <v>44651</v>
      </c>
      <c r="D174" s="1120">
        <v>0.1847</v>
      </c>
      <c r="E174" s="1344">
        <f t="shared" si="34"/>
        <v>0.27705000000000002</v>
      </c>
      <c r="F174" s="1344">
        <f t="shared" si="35"/>
        <v>6.7023198611315671E-4</v>
      </c>
      <c r="G174" s="741">
        <f t="shared" si="33"/>
        <v>31</v>
      </c>
      <c r="H174" s="1356">
        <f t="shared" si="36"/>
        <v>547148.43000000005</v>
      </c>
    </row>
    <row r="175" spans="2:8" ht="13.5">
      <c r="B175" s="1073">
        <v>44652</v>
      </c>
      <c r="C175" s="1073">
        <v>44681</v>
      </c>
      <c r="D175" s="1120">
        <v>0.1905</v>
      </c>
      <c r="E175" s="1120">
        <f t="shared" si="34"/>
        <v>0.28575</v>
      </c>
      <c r="F175" s="1344">
        <f t="shared" si="35"/>
        <v>6.8884592812357148E-4</v>
      </c>
      <c r="G175" s="741">
        <f t="shared" si="33"/>
        <v>30</v>
      </c>
      <c r="H175" s="1356">
        <f t="shared" si="36"/>
        <v>544203.92000000004</v>
      </c>
    </row>
    <row r="176" spans="2:8" ht="13.5">
      <c r="B176" s="1073">
        <v>44682</v>
      </c>
      <c r="C176" s="1073">
        <v>44712</v>
      </c>
      <c r="D176" s="1120">
        <v>0.1971</v>
      </c>
      <c r="E176" s="1344">
        <f t="shared" si="34"/>
        <v>0.29564999999999997</v>
      </c>
      <c r="F176" s="1344">
        <f t="shared" si="35"/>
        <v>7.0987512909947981E-4</v>
      </c>
      <c r="G176" s="741">
        <f t="shared" si="33"/>
        <v>31</v>
      </c>
      <c r="H176" s="1356">
        <f t="shared" si="36"/>
        <v>579511.38</v>
      </c>
    </row>
    <row r="177" spans="2:13" ht="13.5">
      <c r="B177" s="1073">
        <v>44713</v>
      </c>
      <c r="C177" s="1073">
        <v>44742</v>
      </c>
      <c r="D177" s="1120">
        <v>0.20399999999999999</v>
      </c>
      <c r="E177" s="1120">
        <f t="shared" si="34"/>
        <v>0.30599999999999999</v>
      </c>
      <c r="F177" s="1344">
        <f t="shared" si="35"/>
        <v>7.3168955664093538E-4</v>
      </c>
      <c r="G177" s="741">
        <f t="shared" si="33"/>
        <v>30</v>
      </c>
      <c r="H177" s="1356">
        <f t="shared" si="36"/>
        <v>578051.36</v>
      </c>
    </row>
    <row r="178" spans="2:13" ht="13.5">
      <c r="B178" s="1073">
        <v>44743</v>
      </c>
      <c r="C178" s="1073">
        <v>44773</v>
      </c>
      <c r="D178" s="1120">
        <v>0.21279999999999999</v>
      </c>
      <c r="E178" s="1344">
        <f t="shared" si="34"/>
        <v>0.31919999999999998</v>
      </c>
      <c r="F178" s="1344">
        <f t="shared" si="35"/>
        <v>7.5926204501630679E-4</v>
      </c>
      <c r="G178" s="741">
        <f t="shared" si="33"/>
        <v>31</v>
      </c>
      <c r="H178" s="1356">
        <f t="shared" si="36"/>
        <v>619828.73</v>
      </c>
    </row>
    <row r="179" spans="2:13" ht="13.5">
      <c r="B179" s="1073">
        <v>44774</v>
      </c>
      <c r="C179" s="1073">
        <v>44804</v>
      </c>
      <c r="D179" s="1120">
        <v>0.22209999999999999</v>
      </c>
      <c r="E179" s="1120">
        <f t="shared" ref="E179:E185" si="37">+D179*1.5</f>
        <v>0.33315</v>
      </c>
      <c r="F179" s="1344">
        <f t="shared" ref="F179:F185" si="38">((1+E179)^(1/365)-1)</f>
        <v>7.8810371394433254E-4</v>
      </c>
      <c r="G179" s="741">
        <f t="shared" si="33"/>
        <v>31</v>
      </c>
      <c r="H179" s="1356">
        <f t="shared" si="36"/>
        <v>643373.81999999995</v>
      </c>
    </row>
    <row r="180" spans="2:13" ht="13.5">
      <c r="B180" s="1073">
        <v>44805</v>
      </c>
      <c r="C180" s="1073">
        <v>44834</v>
      </c>
      <c r="D180" s="1120">
        <v>0.23499999999999999</v>
      </c>
      <c r="E180" s="1344">
        <f t="shared" si="37"/>
        <v>0.35249999999999998</v>
      </c>
      <c r="F180" s="1344">
        <f t="shared" si="38"/>
        <v>8.2761552252574866E-4</v>
      </c>
      <c r="G180" s="741">
        <f t="shared" si="33"/>
        <v>30</v>
      </c>
      <c r="H180" s="1356">
        <f t="shared" si="36"/>
        <v>653835.05000000005</v>
      </c>
    </row>
    <row r="181" spans="2:13" ht="13.5">
      <c r="B181" s="1073">
        <v>44835</v>
      </c>
      <c r="C181" s="1073">
        <v>44865</v>
      </c>
      <c r="D181" s="1120">
        <v>0.24610000000000001</v>
      </c>
      <c r="E181" s="1120">
        <f t="shared" si="37"/>
        <v>0.36915000000000003</v>
      </c>
      <c r="F181" s="1344">
        <f t="shared" si="38"/>
        <v>8.611654102768096E-4</v>
      </c>
      <c r="G181" s="741">
        <f t="shared" si="33"/>
        <v>31</v>
      </c>
      <c r="H181" s="1356">
        <f t="shared" si="36"/>
        <v>703018.23</v>
      </c>
    </row>
    <row r="182" spans="2:13" ht="13.5">
      <c r="B182" s="1073">
        <v>44866</v>
      </c>
      <c r="C182" s="1073">
        <v>44895</v>
      </c>
      <c r="D182" s="1120">
        <v>0.25779999999999997</v>
      </c>
      <c r="E182" s="1344">
        <f t="shared" si="37"/>
        <v>0.38669999999999993</v>
      </c>
      <c r="F182" s="1344">
        <f t="shared" si="38"/>
        <v>8.9609117817124329E-4</v>
      </c>
      <c r="G182" s="741">
        <f t="shared" si="33"/>
        <v>30</v>
      </c>
      <c r="H182" s="1356">
        <f t="shared" si="36"/>
        <v>707932.37</v>
      </c>
    </row>
    <row r="183" spans="2:13" ht="13.5">
      <c r="B183" s="1073">
        <v>44896</v>
      </c>
      <c r="C183" s="1073">
        <v>44926</v>
      </c>
      <c r="D183" s="1120">
        <v>0.27639999999999998</v>
      </c>
      <c r="E183" s="1120">
        <f t="shared" si="37"/>
        <v>0.41459999999999997</v>
      </c>
      <c r="F183" s="1344">
        <f t="shared" si="38"/>
        <v>9.5071686592063109E-4</v>
      </c>
      <c r="G183" s="741">
        <f t="shared" si="33"/>
        <v>31</v>
      </c>
      <c r="H183" s="1356">
        <f t="shared" si="36"/>
        <v>776124.17</v>
      </c>
    </row>
    <row r="184" spans="2:13" ht="13.5">
      <c r="B184" s="1073">
        <v>44927</v>
      </c>
      <c r="C184" s="1073">
        <v>44957</v>
      </c>
      <c r="D184" s="1120">
        <v>0.28839999999999999</v>
      </c>
      <c r="E184" s="1120">
        <f t="shared" si="37"/>
        <v>0.43259999999999998</v>
      </c>
      <c r="F184" s="1344">
        <f t="shared" si="38"/>
        <v>9.8539196132163553E-4</v>
      </c>
      <c r="G184" s="741">
        <f t="shared" si="33"/>
        <v>31</v>
      </c>
      <c r="H184" s="1356">
        <f t="shared" si="36"/>
        <v>804431.42</v>
      </c>
    </row>
    <row r="185" spans="2:13" ht="13.5">
      <c r="B185" s="1073">
        <v>44958</v>
      </c>
      <c r="C185" s="1073">
        <v>44985</v>
      </c>
      <c r="D185" s="1120">
        <v>0.30180000000000001</v>
      </c>
      <c r="E185" s="1344">
        <f t="shared" si="37"/>
        <v>0.45269999999999999</v>
      </c>
      <c r="F185" s="1344">
        <f t="shared" si="38"/>
        <v>1.0236026853662761E-3</v>
      </c>
      <c r="G185" s="741">
        <f t="shared" si="33"/>
        <v>28</v>
      </c>
      <c r="H185" s="1356">
        <f t="shared" si="36"/>
        <v>754758.07</v>
      </c>
    </row>
    <row r="186" spans="2:13" ht="13.5">
      <c r="B186" s="1073">
        <v>44986</v>
      </c>
      <c r="C186" s="1073">
        <v>45016</v>
      </c>
      <c r="D186" s="1120">
        <v>0.30840000000000001</v>
      </c>
      <c r="E186" s="1120">
        <f t="shared" ref="E186:E187" si="39">+D186*1.5</f>
        <v>0.46260000000000001</v>
      </c>
      <c r="F186" s="1344">
        <f t="shared" ref="F186:F187" si="40">((1+E186)^(1/365)-1)</f>
        <v>1.0422295217955568E-3</v>
      </c>
      <c r="G186" s="741">
        <f t="shared" ref="G186:G187" si="41">+_xlfn.DAYS(C186,B186)+1</f>
        <v>31</v>
      </c>
      <c r="H186" s="1356">
        <f t="shared" ref="H186:H187" si="42">ROUND(F186*$C$150*G186,2)</f>
        <v>850831.15</v>
      </c>
    </row>
    <row r="187" spans="2:13" ht="13.5">
      <c r="B187" s="1073">
        <v>45017</v>
      </c>
      <c r="C187" s="1073">
        <v>45046</v>
      </c>
      <c r="D187" s="1120">
        <v>0.31390000000000001</v>
      </c>
      <c r="E187" s="1120">
        <f t="shared" si="39"/>
        <v>0.47084999999999999</v>
      </c>
      <c r="F187" s="1344">
        <f t="shared" si="40"/>
        <v>1.0576560884423269E-3</v>
      </c>
      <c r="G187" s="741">
        <f t="shared" si="41"/>
        <v>30</v>
      </c>
      <c r="H187" s="1356">
        <f t="shared" si="42"/>
        <v>835572.32</v>
      </c>
    </row>
    <row r="188" spans="2:13" ht="13.5">
      <c r="G188" s="1113" t="s">
        <v>117</v>
      </c>
      <c r="H188" s="1356">
        <f>SUM(H153:H187)</f>
        <v>20056384.640000001</v>
      </c>
    </row>
    <row r="190" spans="2:13">
      <c r="B190" s="216" t="s">
        <v>1696</v>
      </c>
      <c r="C190" s="1536">
        <v>26334090</v>
      </c>
      <c r="K190" s="1672" t="s">
        <v>1697</v>
      </c>
      <c r="L190" s="1672">
        <v>30</v>
      </c>
      <c r="M190" s="220">
        <f t="shared" ref="M190:M191" si="43">+L190*$C$7</f>
        <v>26334090</v>
      </c>
    </row>
    <row r="191" spans="2:13" ht="13.5">
      <c r="B191" s="2672" t="s">
        <v>160</v>
      </c>
      <c r="C191" s="2672"/>
      <c r="D191" s="2672"/>
      <c r="E191" s="2672"/>
      <c r="F191" s="2672"/>
      <c r="G191" s="2672"/>
      <c r="H191" s="2672"/>
      <c r="K191" s="1672" t="s">
        <v>1697</v>
      </c>
      <c r="L191" s="1672">
        <v>30</v>
      </c>
      <c r="M191" s="220">
        <f t="shared" si="43"/>
        <v>26334090</v>
      </c>
    </row>
    <row r="192" spans="2:13" ht="27">
      <c r="B192" s="751" t="s">
        <v>337</v>
      </c>
      <c r="C192" s="751" t="s">
        <v>40</v>
      </c>
      <c r="D192" s="751" t="s">
        <v>148</v>
      </c>
      <c r="E192" s="740" t="s">
        <v>149</v>
      </c>
      <c r="F192" s="740" t="s">
        <v>43</v>
      </c>
      <c r="G192" s="776" t="s">
        <v>47</v>
      </c>
      <c r="H192" s="740" t="s">
        <v>48</v>
      </c>
    </row>
    <row r="193" spans="2:8" ht="13.5">
      <c r="B193" s="1073">
        <v>44000</v>
      </c>
      <c r="C193" s="1073">
        <v>44012</v>
      </c>
      <c r="D193" s="1120">
        <v>0.1812</v>
      </c>
      <c r="E193" s="1344">
        <f>+D193*1.5</f>
        <v>0.27179999999999999</v>
      </c>
      <c r="F193" s="1917">
        <f>((1+E193)^(1/365)-1)</f>
        <v>6.5893815469997286E-4</v>
      </c>
      <c r="G193" s="741">
        <f t="shared" ref="G193:G225" si="44">+_xlfn.DAYS(C193,B193)+1</f>
        <v>13</v>
      </c>
      <c r="H193" s="1356">
        <f>ROUND(F193*$C$190*G193,2)</f>
        <v>225582.98</v>
      </c>
    </row>
    <row r="194" spans="2:8" ht="13.5">
      <c r="B194" s="1073">
        <v>44013</v>
      </c>
      <c r="C194" s="1073">
        <v>44043</v>
      </c>
      <c r="D194" s="1220">
        <v>0.1812</v>
      </c>
      <c r="E194" s="1344">
        <f t="shared" ref="E194:E218" si="45">+D194*1.5</f>
        <v>0.27179999999999999</v>
      </c>
      <c r="F194" s="1344">
        <f t="shared" ref="F194:F218" si="46">((1+E194)^(1/365)-1)</f>
        <v>6.5893815469997286E-4</v>
      </c>
      <c r="G194" s="741">
        <f t="shared" si="44"/>
        <v>31</v>
      </c>
      <c r="H194" s="1356">
        <f t="shared" ref="H194:H225" si="47">ROUND(F194*$C$190*G194,2)</f>
        <v>537928.64</v>
      </c>
    </row>
    <row r="195" spans="2:8" ht="13.5">
      <c r="B195" s="1073">
        <v>44044</v>
      </c>
      <c r="C195" s="1073">
        <v>44073</v>
      </c>
      <c r="D195" s="1120">
        <v>0.18290000000000001</v>
      </c>
      <c r="E195" s="1344">
        <f t="shared" si="45"/>
        <v>0.27434999999999998</v>
      </c>
      <c r="F195" s="1344">
        <f t="shared" si="46"/>
        <v>6.6442952514544906E-4</v>
      </c>
      <c r="G195" s="741">
        <f t="shared" si="44"/>
        <v>30</v>
      </c>
      <c r="H195" s="1356">
        <f t="shared" si="47"/>
        <v>524914.41</v>
      </c>
    </row>
    <row r="196" spans="2:8" ht="13.5">
      <c r="B196" s="1073">
        <v>44075</v>
      </c>
      <c r="C196" s="1073">
        <v>44104</v>
      </c>
      <c r="D196" s="1120">
        <v>0.1835</v>
      </c>
      <c r="E196" s="1344">
        <f t="shared" si="45"/>
        <v>0.27524999999999999</v>
      </c>
      <c r="F196" s="1344">
        <f t="shared" si="46"/>
        <v>6.6636503991857055E-4</v>
      </c>
      <c r="G196" s="741">
        <f t="shared" si="44"/>
        <v>30</v>
      </c>
      <c r="H196" s="1356">
        <f t="shared" si="47"/>
        <v>526443.51</v>
      </c>
    </row>
    <row r="197" spans="2:8" ht="13.5">
      <c r="B197" s="1073">
        <v>44105</v>
      </c>
      <c r="C197" s="1073">
        <v>44135</v>
      </c>
      <c r="D197" s="1120">
        <v>0.18090000000000001</v>
      </c>
      <c r="E197" s="1344">
        <f t="shared" si="45"/>
        <v>0.27134999999999998</v>
      </c>
      <c r="F197" s="1344">
        <f t="shared" si="46"/>
        <v>6.5796794962613703E-4</v>
      </c>
      <c r="G197" s="741">
        <f t="shared" si="44"/>
        <v>31</v>
      </c>
      <c r="H197" s="1356">
        <f t="shared" si="47"/>
        <v>537136.6</v>
      </c>
    </row>
    <row r="198" spans="2:8" ht="13.5">
      <c r="B198" s="1073">
        <v>44136</v>
      </c>
      <c r="C198" s="1073">
        <v>44165</v>
      </c>
      <c r="D198" s="1120">
        <v>0.1784</v>
      </c>
      <c r="E198" s="1344">
        <f t="shared" si="45"/>
        <v>0.2676</v>
      </c>
      <c r="F198" s="1344">
        <f t="shared" si="46"/>
        <v>6.4986956374091243E-4</v>
      </c>
      <c r="G198" s="741">
        <f t="shared" si="44"/>
        <v>30</v>
      </c>
      <c r="H198" s="1356">
        <f t="shared" si="47"/>
        <v>513411.71</v>
      </c>
    </row>
    <row r="199" spans="2:8" ht="13.5">
      <c r="B199" s="1073">
        <v>44166</v>
      </c>
      <c r="C199" s="1073">
        <v>44196</v>
      </c>
      <c r="D199" s="1120">
        <v>0.17460000000000001</v>
      </c>
      <c r="E199" s="1344">
        <f t="shared" si="45"/>
        <v>0.26190000000000002</v>
      </c>
      <c r="F199" s="1344">
        <f t="shared" si="46"/>
        <v>6.3751414410861962E-4</v>
      </c>
      <c r="G199" s="741">
        <f t="shared" si="44"/>
        <v>31</v>
      </c>
      <c r="H199" s="1356">
        <f t="shared" si="47"/>
        <v>520439</v>
      </c>
    </row>
    <row r="200" spans="2:8" ht="13.5">
      <c r="B200" s="1073">
        <v>44197</v>
      </c>
      <c r="C200" s="1073">
        <v>44227</v>
      </c>
      <c r="D200" s="1120">
        <v>0.17319999999999999</v>
      </c>
      <c r="E200" s="1344">
        <f t="shared" si="45"/>
        <v>0.25979999999999998</v>
      </c>
      <c r="F200" s="1344">
        <f t="shared" si="46"/>
        <v>6.3294811266723094E-4</v>
      </c>
      <c r="G200" s="741">
        <f t="shared" si="44"/>
        <v>31</v>
      </c>
      <c r="H200" s="1356">
        <f t="shared" si="47"/>
        <v>516711.49</v>
      </c>
    </row>
    <row r="201" spans="2:8" ht="13.5">
      <c r="B201" s="1073">
        <v>44228</v>
      </c>
      <c r="C201" s="1073">
        <v>44255</v>
      </c>
      <c r="D201" s="1120">
        <v>0.1754</v>
      </c>
      <c r="E201" s="1344">
        <f t="shared" si="45"/>
        <v>0.2631</v>
      </c>
      <c r="F201" s="1344">
        <f t="shared" si="46"/>
        <v>6.4011990387169426E-4</v>
      </c>
      <c r="G201" s="741">
        <f t="shared" si="44"/>
        <v>28</v>
      </c>
      <c r="H201" s="1356">
        <f t="shared" si="47"/>
        <v>471995.3</v>
      </c>
    </row>
    <row r="202" spans="2:8" ht="13.5">
      <c r="B202" s="1073">
        <v>44256</v>
      </c>
      <c r="C202" s="1073">
        <v>44286</v>
      </c>
      <c r="D202" s="1120">
        <v>0.1741</v>
      </c>
      <c r="E202" s="1344">
        <f t="shared" si="45"/>
        <v>0.26114999999999999</v>
      </c>
      <c r="F202" s="1344">
        <f t="shared" si="46"/>
        <v>6.3588428907812578E-4</v>
      </c>
      <c r="G202" s="741">
        <f t="shared" si="44"/>
        <v>31</v>
      </c>
      <c r="H202" s="1356">
        <f t="shared" si="47"/>
        <v>519108.46</v>
      </c>
    </row>
    <row r="203" spans="2:8" ht="13.5">
      <c r="B203" s="1073">
        <v>44287</v>
      </c>
      <c r="C203" s="1073">
        <v>44316</v>
      </c>
      <c r="D203" s="1120">
        <v>0.1731</v>
      </c>
      <c r="E203" s="1344">
        <f t="shared" si="45"/>
        <v>0.25964999999999999</v>
      </c>
      <c r="F203" s="1344">
        <f t="shared" si="46"/>
        <v>6.326216771728177E-4</v>
      </c>
      <c r="G203" s="741">
        <f t="shared" si="44"/>
        <v>30</v>
      </c>
      <c r="H203" s="1356">
        <f t="shared" si="47"/>
        <v>499785.49</v>
      </c>
    </row>
    <row r="204" spans="2:8" ht="13.5">
      <c r="B204" s="1073">
        <v>44317</v>
      </c>
      <c r="C204" s="1073">
        <v>44347</v>
      </c>
      <c r="D204" s="1120">
        <v>0.17219999999999999</v>
      </c>
      <c r="E204" s="1344">
        <f t="shared" si="45"/>
        <v>0.25829999999999997</v>
      </c>
      <c r="F204" s="1344">
        <f t="shared" si="46"/>
        <v>6.2968201205726437E-4</v>
      </c>
      <c r="G204" s="741">
        <f t="shared" si="44"/>
        <v>31</v>
      </c>
      <c r="H204" s="1356">
        <f t="shared" si="47"/>
        <v>514045.19</v>
      </c>
    </row>
    <row r="205" spans="2:8" ht="13.5">
      <c r="B205" s="1073">
        <v>44348</v>
      </c>
      <c r="C205" s="1073">
        <v>44377</v>
      </c>
      <c r="D205" s="1120">
        <v>0.1721</v>
      </c>
      <c r="E205" s="1344">
        <f t="shared" si="45"/>
        <v>0.25814999999999999</v>
      </c>
      <c r="F205" s="1344">
        <f t="shared" si="46"/>
        <v>6.2935518846773952E-4</v>
      </c>
      <c r="G205" s="741">
        <f t="shared" si="44"/>
        <v>30</v>
      </c>
      <c r="H205" s="1356">
        <f t="shared" si="47"/>
        <v>497204.89</v>
      </c>
    </row>
    <row r="206" spans="2:8" ht="13.5">
      <c r="B206" s="1073">
        <v>44378</v>
      </c>
      <c r="C206" s="1073">
        <v>44408</v>
      </c>
      <c r="D206" s="1120">
        <v>0.17180000000000001</v>
      </c>
      <c r="E206" s="1344">
        <f t="shared" si="45"/>
        <v>0.25770000000000004</v>
      </c>
      <c r="F206" s="1344">
        <f t="shared" si="46"/>
        <v>6.2837448450037137E-4</v>
      </c>
      <c r="G206" s="741">
        <f t="shared" si="44"/>
        <v>31</v>
      </c>
      <c r="H206" s="1356">
        <f t="shared" si="47"/>
        <v>512977.78</v>
      </c>
    </row>
    <row r="207" spans="2:8" ht="13.5">
      <c r="B207" s="1073">
        <v>44409</v>
      </c>
      <c r="C207" s="1073">
        <v>44438</v>
      </c>
      <c r="D207" s="1120">
        <v>0.1724</v>
      </c>
      <c r="E207" s="1120">
        <f t="shared" si="45"/>
        <v>0.2586</v>
      </c>
      <c r="F207" s="1344">
        <f t="shared" si="46"/>
        <v>6.3033554269220637E-4</v>
      </c>
      <c r="G207" s="741">
        <f t="shared" si="44"/>
        <v>30</v>
      </c>
      <c r="H207" s="1356">
        <f t="shared" si="47"/>
        <v>497979.39</v>
      </c>
    </row>
    <row r="208" spans="2:8" ht="13.5">
      <c r="B208" s="1073">
        <v>44440</v>
      </c>
      <c r="C208" s="1073">
        <v>44469</v>
      </c>
      <c r="D208" s="1120">
        <v>0.1719</v>
      </c>
      <c r="E208" s="1344">
        <f t="shared" si="45"/>
        <v>0.25785000000000002</v>
      </c>
      <c r="F208" s="1344">
        <f t="shared" si="46"/>
        <v>6.2870142469861889E-4</v>
      </c>
      <c r="G208" s="741">
        <f t="shared" si="44"/>
        <v>30</v>
      </c>
      <c r="H208" s="1356">
        <f t="shared" si="47"/>
        <v>496688.4</v>
      </c>
    </row>
    <row r="209" spans="2:8" ht="13.5">
      <c r="B209" s="1073">
        <v>44470</v>
      </c>
      <c r="C209" s="1073">
        <v>44500</v>
      </c>
      <c r="D209" s="1120">
        <v>0.17080000000000001</v>
      </c>
      <c r="E209" s="1120">
        <f t="shared" si="45"/>
        <v>0.25619999999999998</v>
      </c>
      <c r="F209" s="1344">
        <f t="shared" si="46"/>
        <v>6.2510294214179751E-4</v>
      </c>
      <c r="G209" s="741">
        <f t="shared" si="44"/>
        <v>31</v>
      </c>
      <c r="H209" s="1356">
        <f t="shared" si="47"/>
        <v>510307.03</v>
      </c>
    </row>
    <row r="210" spans="2:8" ht="13.5">
      <c r="B210" s="1073">
        <v>44501</v>
      </c>
      <c r="C210" s="1073">
        <v>44530</v>
      </c>
      <c r="D210" s="1120">
        <v>0.17269999999999999</v>
      </c>
      <c r="E210" s="1344">
        <f t="shared" si="45"/>
        <v>0.25905</v>
      </c>
      <c r="F210" s="1344">
        <f t="shared" si="46"/>
        <v>6.3131554742335005E-4</v>
      </c>
      <c r="G210" s="741">
        <f t="shared" si="44"/>
        <v>30</v>
      </c>
      <c r="H210" s="1356">
        <f t="shared" si="47"/>
        <v>498753.61</v>
      </c>
    </row>
    <row r="211" spans="2:8" ht="13.5">
      <c r="B211" s="1073">
        <v>44531</v>
      </c>
      <c r="C211" s="1073">
        <v>44561</v>
      </c>
      <c r="D211" s="1120">
        <v>0.17460000000000001</v>
      </c>
      <c r="E211" s="1120">
        <f t="shared" si="45"/>
        <v>0.26190000000000002</v>
      </c>
      <c r="F211" s="1344">
        <f t="shared" si="46"/>
        <v>6.3751414410861962E-4</v>
      </c>
      <c r="G211" s="741">
        <f t="shared" si="44"/>
        <v>31</v>
      </c>
      <c r="H211" s="1356">
        <f t="shared" si="47"/>
        <v>520439</v>
      </c>
    </row>
    <row r="212" spans="2:8" ht="13.5">
      <c r="B212" s="1073">
        <v>44562</v>
      </c>
      <c r="C212" s="1073">
        <v>44592</v>
      </c>
      <c r="D212" s="1120">
        <v>0.17660000000000001</v>
      </c>
      <c r="E212" s="1344">
        <f t="shared" si="45"/>
        <v>0.26490000000000002</v>
      </c>
      <c r="F212" s="1344">
        <f t="shared" si="46"/>
        <v>6.4402391816376081E-4</v>
      </c>
      <c r="G212" s="741">
        <f t="shared" si="44"/>
        <v>31</v>
      </c>
      <c r="H212" s="1356">
        <f t="shared" si="47"/>
        <v>525753.30000000005</v>
      </c>
    </row>
    <row r="213" spans="2:8" ht="13.5">
      <c r="B213" s="1073">
        <v>44593</v>
      </c>
      <c r="C213" s="1073">
        <v>44620</v>
      </c>
      <c r="D213" s="1120">
        <v>0.183</v>
      </c>
      <c r="E213" s="1120">
        <f t="shared" si="45"/>
        <v>0.27449999999999997</v>
      </c>
      <c r="F213" s="1344">
        <f t="shared" si="46"/>
        <v>6.6475220558892545E-4</v>
      </c>
      <c r="G213" s="741">
        <f t="shared" si="44"/>
        <v>28</v>
      </c>
      <c r="H213" s="1356">
        <f t="shared" si="47"/>
        <v>490158.04</v>
      </c>
    </row>
    <row r="214" spans="2:8" ht="13.5">
      <c r="B214" s="1073">
        <v>44621</v>
      </c>
      <c r="C214" s="1073">
        <v>44651</v>
      </c>
      <c r="D214" s="1120">
        <v>0.1847</v>
      </c>
      <c r="E214" s="1344">
        <f t="shared" si="45"/>
        <v>0.27705000000000002</v>
      </c>
      <c r="F214" s="1344">
        <f t="shared" si="46"/>
        <v>6.7023198611315671E-4</v>
      </c>
      <c r="G214" s="741">
        <f t="shared" si="44"/>
        <v>31</v>
      </c>
      <c r="H214" s="1356">
        <f t="shared" si="47"/>
        <v>547148.43000000005</v>
      </c>
    </row>
    <row r="215" spans="2:8" ht="13.5">
      <c r="B215" s="1073">
        <v>44652</v>
      </c>
      <c r="C215" s="1073">
        <v>44681</v>
      </c>
      <c r="D215" s="1120">
        <v>0.1905</v>
      </c>
      <c r="E215" s="1120">
        <f t="shared" si="45"/>
        <v>0.28575</v>
      </c>
      <c r="F215" s="1344">
        <f t="shared" si="46"/>
        <v>6.8884592812357148E-4</v>
      </c>
      <c r="G215" s="741">
        <f t="shared" si="44"/>
        <v>30</v>
      </c>
      <c r="H215" s="1356">
        <f t="shared" si="47"/>
        <v>544203.92000000004</v>
      </c>
    </row>
    <row r="216" spans="2:8" ht="13.5">
      <c r="B216" s="1073">
        <v>44682</v>
      </c>
      <c r="C216" s="1073">
        <v>44712</v>
      </c>
      <c r="D216" s="1120">
        <v>0.1971</v>
      </c>
      <c r="E216" s="1344">
        <f t="shared" si="45"/>
        <v>0.29564999999999997</v>
      </c>
      <c r="F216" s="1344">
        <f t="shared" si="46"/>
        <v>7.0987512909947981E-4</v>
      </c>
      <c r="G216" s="741">
        <f t="shared" si="44"/>
        <v>31</v>
      </c>
      <c r="H216" s="1356">
        <f t="shared" si="47"/>
        <v>579511.38</v>
      </c>
    </row>
    <row r="217" spans="2:8" ht="13.5">
      <c r="B217" s="1073">
        <v>44713</v>
      </c>
      <c r="C217" s="1073">
        <v>44742</v>
      </c>
      <c r="D217" s="1120">
        <v>0.20399999999999999</v>
      </c>
      <c r="E217" s="1120">
        <f t="shared" si="45"/>
        <v>0.30599999999999999</v>
      </c>
      <c r="F217" s="1344">
        <f t="shared" si="46"/>
        <v>7.3168955664093538E-4</v>
      </c>
      <c r="G217" s="741">
        <f t="shared" si="44"/>
        <v>30</v>
      </c>
      <c r="H217" s="1356">
        <f t="shared" si="47"/>
        <v>578051.36</v>
      </c>
    </row>
    <row r="218" spans="2:8" ht="13.5">
      <c r="B218" s="1073">
        <v>44743</v>
      </c>
      <c r="C218" s="1073">
        <v>44773</v>
      </c>
      <c r="D218" s="1120">
        <v>0.21279999999999999</v>
      </c>
      <c r="E218" s="1344">
        <f t="shared" si="45"/>
        <v>0.31919999999999998</v>
      </c>
      <c r="F218" s="1344">
        <f t="shared" si="46"/>
        <v>7.5926204501630679E-4</v>
      </c>
      <c r="G218" s="741">
        <f t="shared" si="44"/>
        <v>31</v>
      </c>
      <c r="H218" s="1356">
        <f t="shared" si="47"/>
        <v>619828.73</v>
      </c>
    </row>
    <row r="219" spans="2:8" ht="13.5">
      <c r="B219" s="1073">
        <v>44774</v>
      </c>
      <c r="C219" s="1073">
        <v>44804</v>
      </c>
      <c r="D219" s="1120">
        <v>0.22209999999999999</v>
      </c>
      <c r="E219" s="1120">
        <f t="shared" ref="E219:E225" si="48">+D219*1.5</f>
        <v>0.33315</v>
      </c>
      <c r="F219" s="1344">
        <f t="shared" ref="F219:F225" si="49">((1+E219)^(1/365)-1)</f>
        <v>7.8810371394433254E-4</v>
      </c>
      <c r="G219" s="741">
        <f t="shared" si="44"/>
        <v>31</v>
      </c>
      <c r="H219" s="1356">
        <f t="shared" si="47"/>
        <v>643373.81999999995</v>
      </c>
    </row>
    <row r="220" spans="2:8" ht="13.5">
      <c r="B220" s="1073">
        <v>44805</v>
      </c>
      <c r="C220" s="1073">
        <v>44834</v>
      </c>
      <c r="D220" s="1120">
        <v>0.23499999999999999</v>
      </c>
      <c r="E220" s="1344">
        <f t="shared" si="48"/>
        <v>0.35249999999999998</v>
      </c>
      <c r="F220" s="1344">
        <f t="shared" si="49"/>
        <v>8.2761552252574866E-4</v>
      </c>
      <c r="G220" s="741">
        <f t="shared" si="44"/>
        <v>30</v>
      </c>
      <c r="H220" s="1356">
        <f t="shared" si="47"/>
        <v>653835.05000000005</v>
      </c>
    </row>
    <row r="221" spans="2:8" ht="13.5">
      <c r="B221" s="1073">
        <v>44835</v>
      </c>
      <c r="C221" s="1073">
        <v>44865</v>
      </c>
      <c r="D221" s="1120">
        <v>0.24610000000000001</v>
      </c>
      <c r="E221" s="1120">
        <f t="shared" si="48"/>
        <v>0.36915000000000003</v>
      </c>
      <c r="F221" s="1344">
        <f t="shared" si="49"/>
        <v>8.611654102768096E-4</v>
      </c>
      <c r="G221" s="741">
        <f t="shared" si="44"/>
        <v>31</v>
      </c>
      <c r="H221" s="1356">
        <f t="shared" si="47"/>
        <v>703018.23</v>
      </c>
    </row>
    <row r="222" spans="2:8" ht="13.5">
      <c r="B222" s="1073">
        <v>44866</v>
      </c>
      <c r="C222" s="1073">
        <v>44895</v>
      </c>
      <c r="D222" s="1120">
        <v>0.25779999999999997</v>
      </c>
      <c r="E222" s="1344">
        <f t="shared" si="48"/>
        <v>0.38669999999999993</v>
      </c>
      <c r="F222" s="1344">
        <f t="shared" si="49"/>
        <v>8.9609117817124329E-4</v>
      </c>
      <c r="G222" s="741">
        <f t="shared" si="44"/>
        <v>30</v>
      </c>
      <c r="H222" s="1356">
        <f t="shared" si="47"/>
        <v>707932.37</v>
      </c>
    </row>
    <row r="223" spans="2:8" ht="13.5">
      <c r="B223" s="1073">
        <v>44896</v>
      </c>
      <c r="C223" s="1073">
        <v>44926</v>
      </c>
      <c r="D223" s="1120">
        <v>0.27639999999999998</v>
      </c>
      <c r="E223" s="1120">
        <f t="shared" si="48"/>
        <v>0.41459999999999997</v>
      </c>
      <c r="F223" s="1344">
        <f t="shared" si="49"/>
        <v>9.5071686592063109E-4</v>
      </c>
      <c r="G223" s="741">
        <f t="shared" si="44"/>
        <v>31</v>
      </c>
      <c r="H223" s="1356">
        <f t="shared" si="47"/>
        <v>776124.17</v>
      </c>
    </row>
    <row r="224" spans="2:8" ht="13.5">
      <c r="B224" s="1073">
        <v>44927</v>
      </c>
      <c r="C224" s="1073">
        <v>44957</v>
      </c>
      <c r="D224" s="1120">
        <v>0.28839999999999999</v>
      </c>
      <c r="E224" s="1120">
        <f t="shared" si="48"/>
        <v>0.43259999999999998</v>
      </c>
      <c r="F224" s="1344">
        <f t="shared" si="49"/>
        <v>9.8539196132163553E-4</v>
      </c>
      <c r="G224" s="741">
        <f t="shared" si="44"/>
        <v>31</v>
      </c>
      <c r="H224" s="1356">
        <f t="shared" si="47"/>
        <v>804431.42</v>
      </c>
    </row>
    <row r="225" spans="2:8" ht="13.5">
      <c r="B225" s="1073">
        <v>44958</v>
      </c>
      <c r="C225" s="1073">
        <v>44985</v>
      </c>
      <c r="D225" s="1120">
        <v>0.30180000000000001</v>
      </c>
      <c r="E225" s="1344">
        <f t="shared" si="48"/>
        <v>0.45269999999999999</v>
      </c>
      <c r="F225" s="1344">
        <f t="shared" si="49"/>
        <v>1.0236026853662761E-3</v>
      </c>
      <c r="G225" s="741">
        <f t="shared" si="44"/>
        <v>28</v>
      </c>
      <c r="H225" s="1356">
        <f t="shared" si="47"/>
        <v>754758.07</v>
      </c>
    </row>
    <row r="226" spans="2:8" ht="13.5">
      <c r="B226" s="1073">
        <v>44986</v>
      </c>
      <c r="C226" s="1073">
        <v>45016</v>
      </c>
      <c r="D226" s="1120">
        <v>0.30840000000000001</v>
      </c>
      <c r="E226" s="1120">
        <f t="shared" ref="E226:E227" si="50">+D226*1.5</f>
        <v>0.46260000000000001</v>
      </c>
      <c r="F226" s="1344">
        <f t="shared" ref="F226:F227" si="51">((1+E226)^(1/365)-1)</f>
        <v>1.0422295217955568E-3</v>
      </c>
      <c r="G226" s="741">
        <f t="shared" ref="G226:G227" si="52">+_xlfn.DAYS(C226,B226)+1</f>
        <v>31</v>
      </c>
      <c r="H226" s="1356">
        <f t="shared" ref="H226:H227" si="53">ROUND(F226*$C$190*G226,2)</f>
        <v>850831.15</v>
      </c>
    </row>
    <row r="227" spans="2:8" ht="13.5">
      <c r="B227" s="1073">
        <v>45017</v>
      </c>
      <c r="C227" s="1073">
        <v>45046</v>
      </c>
      <c r="D227" s="1120">
        <v>0.31390000000000001</v>
      </c>
      <c r="E227" s="1344">
        <f t="shared" si="50"/>
        <v>0.47084999999999999</v>
      </c>
      <c r="F227" s="1344">
        <f t="shared" si="51"/>
        <v>1.0576560884423269E-3</v>
      </c>
      <c r="G227" s="741">
        <f t="shared" si="52"/>
        <v>30</v>
      </c>
      <c r="H227" s="1356">
        <f t="shared" si="53"/>
        <v>835572.32</v>
      </c>
    </row>
    <row r="228" spans="2:8" ht="13.5">
      <c r="G228" s="1113" t="s">
        <v>117</v>
      </c>
      <c r="H228" s="1356">
        <f>SUM(H193:H227)</f>
        <v>20056384.640000001</v>
      </c>
    </row>
    <row r="231" spans="2:8">
      <c r="B231" s="216" t="s">
        <v>1698</v>
      </c>
      <c r="C231" s="1536">
        <v>2633490</v>
      </c>
    </row>
    <row r="232" spans="2:8" ht="13.5">
      <c r="B232" s="2672" t="s">
        <v>160</v>
      </c>
      <c r="C232" s="2672"/>
      <c r="D232" s="2672"/>
      <c r="E232" s="2672"/>
      <c r="F232" s="2672"/>
      <c r="G232" s="2672"/>
      <c r="H232" s="2672"/>
    </row>
    <row r="233" spans="2:8" ht="27">
      <c r="B233" s="751" t="s">
        <v>337</v>
      </c>
      <c r="C233" s="751" t="s">
        <v>40</v>
      </c>
      <c r="D233" s="751" t="s">
        <v>148</v>
      </c>
      <c r="E233" s="740" t="s">
        <v>149</v>
      </c>
      <c r="F233" s="740" t="s">
        <v>43</v>
      </c>
      <c r="G233" s="776" t="s">
        <v>47</v>
      </c>
      <c r="H233" s="740" t="s">
        <v>48</v>
      </c>
    </row>
    <row r="234" spans="2:8" ht="13.5">
      <c r="B234" s="1073">
        <v>44000</v>
      </c>
      <c r="C234" s="1073">
        <v>44012</v>
      </c>
      <c r="D234" s="1120">
        <v>0.1812</v>
      </c>
      <c r="E234" s="1344">
        <f>+D234*1.5</f>
        <v>0.27179999999999999</v>
      </c>
      <c r="F234" s="1917">
        <f>((1+E234)^(1/365)-1)</f>
        <v>6.5893815469997286E-4</v>
      </c>
      <c r="G234" s="741">
        <f t="shared" ref="G234:G266" si="54">+_xlfn.DAYS(C234,B234)+1</f>
        <v>13</v>
      </c>
      <c r="H234" s="1356">
        <f>ROUND(F234*$C$231*G234,2)</f>
        <v>22558.99</v>
      </c>
    </row>
    <row r="235" spans="2:8" ht="13.5">
      <c r="B235" s="1073">
        <v>44013</v>
      </c>
      <c r="C235" s="1073">
        <v>44043</v>
      </c>
      <c r="D235" s="1220">
        <v>0.1812</v>
      </c>
      <c r="E235" s="1344">
        <f t="shared" ref="E235:E259" si="55">+D235*1.5</f>
        <v>0.27179999999999999</v>
      </c>
      <c r="F235" s="1344">
        <f t="shared" ref="F235:F259" si="56">((1+E235)^(1/365)-1)</f>
        <v>6.5893815469997286E-4</v>
      </c>
      <c r="G235" s="741">
        <f t="shared" si="54"/>
        <v>31</v>
      </c>
      <c r="H235" s="1356">
        <f t="shared" ref="H235:H266" si="57">ROUND(F235*$C$231*G235,2)</f>
        <v>53794.52</v>
      </c>
    </row>
    <row r="236" spans="2:8" ht="13.5">
      <c r="B236" s="1073">
        <v>44044</v>
      </c>
      <c r="C236" s="1073">
        <v>44073</v>
      </c>
      <c r="D236" s="1120">
        <v>0.18290000000000001</v>
      </c>
      <c r="E236" s="1344">
        <f t="shared" si="55"/>
        <v>0.27434999999999998</v>
      </c>
      <c r="F236" s="1344">
        <f t="shared" si="56"/>
        <v>6.6442952514544906E-4</v>
      </c>
      <c r="G236" s="741">
        <f t="shared" si="54"/>
        <v>30</v>
      </c>
      <c r="H236" s="1356">
        <f t="shared" si="57"/>
        <v>52493.06</v>
      </c>
    </row>
    <row r="237" spans="2:8" ht="13.5">
      <c r="B237" s="1073">
        <v>44075</v>
      </c>
      <c r="C237" s="1073">
        <v>44104</v>
      </c>
      <c r="D237" s="1120">
        <v>0.1835</v>
      </c>
      <c r="E237" s="1344">
        <f t="shared" si="55"/>
        <v>0.27524999999999999</v>
      </c>
      <c r="F237" s="1344">
        <f t="shared" si="56"/>
        <v>6.6636503991857055E-4</v>
      </c>
      <c r="G237" s="741">
        <f t="shared" si="54"/>
        <v>30</v>
      </c>
      <c r="H237" s="1356">
        <f t="shared" si="57"/>
        <v>52645.97</v>
      </c>
    </row>
    <row r="238" spans="2:8" ht="13.5">
      <c r="B238" s="1073">
        <v>44105</v>
      </c>
      <c r="C238" s="1073">
        <v>44135</v>
      </c>
      <c r="D238" s="1120">
        <v>0.18090000000000001</v>
      </c>
      <c r="E238" s="1344">
        <f t="shared" si="55"/>
        <v>0.27134999999999998</v>
      </c>
      <c r="F238" s="1344">
        <f t="shared" si="56"/>
        <v>6.5796794962613703E-4</v>
      </c>
      <c r="G238" s="741">
        <f t="shared" si="54"/>
        <v>31</v>
      </c>
      <c r="H238" s="1356">
        <f t="shared" si="57"/>
        <v>53715.31</v>
      </c>
    </row>
    <row r="239" spans="2:8" ht="13.5">
      <c r="B239" s="1073">
        <v>44136</v>
      </c>
      <c r="C239" s="1073">
        <v>44165</v>
      </c>
      <c r="D239" s="1120">
        <v>0.1784</v>
      </c>
      <c r="E239" s="1344">
        <f t="shared" si="55"/>
        <v>0.2676</v>
      </c>
      <c r="F239" s="1344">
        <f t="shared" si="56"/>
        <v>6.4986956374091243E-4</v>
      </c>
      <c r="G239" s="741">
        <f t="shared" si="54"/>
        <v>30</v>
      </c>
      <c r="H239" s="1356">
        <f t="shared" si="57"/>
        <v>51342.75</v>
      </c>
    </row>
    <row r="240" spans="2:8" ht="13.5">
      <c r="B240" s="1073">
        <v>44166</v>
      </c>
      <c r="C240" s="1073">
        <v>44196</v>
      </c>
      <c r="D240" s="1120">
        <v>0.17460000000000001</v>
      </c>
      <c r="E240" s="1344">
        <f t="shared" si="55"/>
        <v>0.26190000000000002</v>
      </c>
      <c r="F240" s="1344">
        <f t="shared" si="56"/>
        <v>6.3751414410861962E-4</v>
      </c>
      <c r="G240" s="741">
        <f t="shared" si="54"/>
        <v>31</v>
      </c>
      <c r="H240" s="1356">
        <f t="shared" si="57"/>
        <v>52045.5</v>
      </c>
    </row>
    <row r="241" spans="2:8" ht="13.5">
      <c r="B241" s="1073">
        <v>44197</v>
      </c>
      <c r="C241" s="1073">
        <v>44227</v>
      </c>
      <c r="D241" s="1120">
        <v>0.17319999999999999</v>
      </c>
      <c r="E241" s="1344">
        <f t="shared" si="55"/>
        <v>0.25979999999999998</v>
      </c>
      <c r="F241" s="1344">
        <f t="shared" si="56"/>
        <v>6.3294811266723094E-4</v>
      </c>
      <c r="G241" s="741">
        <f t="shared" si="54"/>
        <v>31</v>
      </c>
      <c r="H241" s="1356">
        <f t="shared" si="57"/>
        <v>51672.74</v>
      </c>
    </row>
    <row r="242" spans="2:8" ht="13.5">
      <c r="B242" s="1073">
        <v>44228</v>
      </c>
      <c r="C242" s="1073">
        <v>44255</v>
      </c>
      <c r="D242" s="1120">
        <v>0.1754</v>
      </c>
      <c r="E242" s="1344">
        <f t="shared" si="55"/>
        <v>0.2631</v>
      </c>
      <c r="F242" s="1344">
        <f t="shared" si="56"/>
        <v>6.4011990387169426E-4</v>
      </c>
      <c r="G242" s="741">
        <f t="shared" si="54"/>
        <v>28</v>
      </c>
      <c r="H242" s="1356">
        <f t="shared" si="57"/>
        <v>47200.98</v>
      </c>
    </row>
    <row r="243" spans="2:8" ht="13.5">
      <c r="B243" s="1073">
        <v>44256</v>
      </c>
      <c r="C243" s="1073">
        <v>44286</v>
      </c>
      <c r="D243" s="1120">
        <v>0.1741</v>
      </c>
      <c r="E243" s="1344">
        <f t="shared" si="55"/>
        <v>0.26114999999999999</v>
      </c>
      <c r="F243" s="1344">
        <f t="shared" si="56"/>
        <v>6.3588428907812578E-4</v>
      </c>
      <c r="G243" s="741">
        <f t="shared" si="54"/>
        <v>31</v>
      </c>
      <c r="H243" s="1356">
        <f t="shared" si="57"/>
        <v>51912.44</v>
      </c>
    </row>
    <row r="244" spans="2:8" ht="13.5">
      <c r="B244" s="1073">
        <v>44287</v>
      </c>
      <c r="C244" s="1073">
        <v>44316</v>
      </c>
      <c r="D244" s="1120">
        <v>0.1731</v>
      </c>
      <c r="E244" s="1344">
        <f t="shared" si="55"/>
        <v>0.25964999999999999</v>
      </c>
      <c r="F244" s="1344">
        <f t="shared" si="56"/>
        <v>6.326216771728177E-4</v>
      </c>
      <c r="G244" s="741">
        <f t="shared" si="54"/>
        <v>30</v>
      </c>
      <c r="H244" s="1356">
        <f t="shared" si="57"/>
        <v>49980.09</v>
      </c>
    </row>
    <row r="245" spans="2:8" ht="13.5">
      <c r="B245" s="1073">
        <v>44317</v>
      </c>
      <c r="C245" s="1073">
        <v>44347</v>
      </c>
      <c r="D245" s="1120">
        <v>0.17219999999999999</v>
      </c>
      <c r="E245" s="1344">
        <f t="shared" si="55"/>
        <v>0.25829999999999997</v>
      </c>
      <c r="F245" s="1344">
        <f t="shared" si="56"/>
        <v>6.2968201205726437E-4</v>
      </c>
      <c r="G245" s="741">
        <f t="shared" si="54"/>
        <v>31</v>
      </c>
      <c r="H245" s="1356">
        <f t="shared" si="57"/>
        <v>51406.1</v>
      </c>
    </row>
    <row r="246" spans="2:8" ht="13.5">
      <c r="B246" s="1073">
        <v>44348</v>
      </c>
      <c r="C246" s="1073">
        <v>44377</v>
      </c>
      <c r="D246" s="1120">
        <v>0.1721</v>
      </c>
      <c r="E246" s="1344">
        <f t="shared" si="55"/>
        <v>0.25814999999999999</v>
      </c>
      <c r="F246" s="1344">
        <f t="shared" si="56"/>
        <v>6.2935518846773952E-4</v>
      </c>
      <c r="G246" s="741">
        <f t="shared" si="54"/>
        <v>30</v>
      </c>
      <c r="H246" s="1356">
        <f t="shared" si="57"/>
        <v>49722.02</v>
      </c>
    </row>
    <row r="247" spans="2:8" ht="13.5">
      <c r="B247" s="1073">
        <v>44378</v>
      </c>
      <c r="C247" s="1073">
        <v>44408</v>
      </c>
      <c r="D247" s="1120">
        <v>0.17180000000000001</v>
      </c>
      <c r="E247" s="1344">
        <f t="shared" si="55"/>
        <v>0.25770000000000004</v>
      </c>
      <c r="F247" s="1344">
        <f t="shared" si="56"/>
        <v>6.2837448450037137E-4</v>
      </c>
      <c r="G247" s="741">
        <f t="shared" si="54"/>
        <v>31</v>
      </c>
      <c r="H247" s="1356">
        <f t="shared" si="57"/>
        <v>51299.360000000001</v>
      </c>
    </row>
    <row r="248" spans="2:8" ht="13.5">
      <c r="B248" s="1073">
        <v>44409</v>
      </c>
      <c r="C248" s="1073">
        <v>44438</v>
      </c>
      <c r="D248" s="1120">
        <v>0.1724</v>
      </c>
      <c r="E248" s="1120">
        <f t="shared" si="55"/>
        <v>0.2586</v>
      </c>
      <c r="F248" s="1344">
        <f t="shared" si="56"/>
        <v>6.3033554269220637E-4</v>
      </c>
      <c r="G248" s="741">
        <f t="shared" si="54"/>
        <v>30</v>
      </c>
      <c r="H248" s="1356">
        <f t="shared" si="57"/>
        <v>49799.47</v>
      </c>
    </row>
    <row r="249" spans="2:8" ht="13.5">
      <c r="B249" s="1073">
        <v>44440</v>
      </c>
      <c r="C249" s="1073">
        <v>44469</v>
      </c>
      <c r="D249" s="1120">
        <v>0.1719</v>
      </c>
      <c r="E249" s="1344">
        <f t="shared" si="55"/>
        <v>0.25785000000000002</v>
      </c>
      <c r="F249" s="1344">
        <f t="shared" si="56"/>
        <v>6.2870142469861889E-4</v>
      </c>
      <c r="G249" s="741">
        <f t="shared" si="54"/>
        <v>30</v>
      </c>
      <c r="H249" s="1356">
        <f t="shared" si="57"/>
        <v>49670.37</v>
      </c>
    </row>
    <row r="250" spans="2:8" ht="13.5">
      <c r="B250" s="1073">
        <v>44470</v>
      </c>
      <c r="C250" s="1073">
        <v>44500</v>
      </c>
      <c r="D250" s="1120">
        <v>0.17080000000000001</v>
      </c>
      <c r="E250" s="1120">
        <f t="shared" si="55"/>
        <v>0.25619999999999998</v>
      </c>
      <c r="F250" s="1344">
        <f t="shared" si="56"/>
        <v>6.2510294214179751E-4</v>
      </c>
      <c r="G250" s="741">
        <f t="shared" si="54"/>
        <v>31</v>
      </c>
      <c r="H250" s="1356">
        <f t="shared" si="57"/>
        <v>51032.27</v>
      </c>
    </row>
    <row r="251" spans="2:8" ht="13.5">
      <c r="B251" s="1073">
        <v>44501</v>
      </c>
      <c r="C251" s="1073">
        <v>44530</v>
      </c>
      <c r="D251" s="1120">
        <v>0.17269999999999999</v>
      </c>
      <c r="E251" s="1344">
        <f t="shared" si="55"/>
        <v>0.25905</v>
      </c>
      <c r="F251" s="1344">
        <f t="shared" si="56"/>
        <v>6.3131554742335005E-4</v>
      </c>
      <c r="G251" s="741">
        <f t="shared" si="54"/>
        <v>30</v>
      </c>
      <c r="H251" s="1356">
        <f t="shared" si="57"/>
        <v>49876.9</v>
      </c>
    </row>
    <row r="252" spans="2:8" ht="13.5">
      <c r="B252" s="1073">
        <v>44531</v>
      </c>
      <c r="C252" s="1073">
        <v>44561</v>
      </c>
      <c r="D252" s="1120">
        <v>0.17460000000000001</v>
      </c>
      <c r="E252" s="1120">
        <f t="shared" si="55"/>
        <v>0.26190000000000002</v>
      </c>
      <c r="F252" s="1344">
        <f t="shared" si="56"/>
        <v>6.3751414410861962E-4</v>
      </c>
      <c r="G252" s="741">
        <f t="shared" si="54"/>
        <v>31</v>
      </c>
      <c r="H252" s="1356">
        <f t="shared" si="57"/>
        <v>52045.5</v>
      </c>
    </row>
    <row r="253" spans="2:8" ht="13.5">
      <c r="B253" s="1073">
        <v>44562</v>
      </c>
      <c r="C253" s="1073">
        <v>44592</v>
      </c>
      <c r="D253" s="1120">
        <v>0.17660000000000001</v>
      </c>
      <c r="E253" s="1344">
        <f t="shared" si="55"/>
        <v>0.26490000000000002</v>
      </c>
      <c r="F253" s="1344">
        <f t="shared" si="56"/>
        <v>6.4402391816376081E-4</v>
      </c>
      <c r="G253" s="741">
        <f t="shared" si="54"/>
        <v>31</v>
      </c>
      <c r="H253" s="1356">
        <f t="shared" si="57"/>
        <v>52576.95</v>
      </c>
    </row>
    <row r="254" spans="2:8" ht="13.5">
      <c r="B254" s="1073">
        <v>44593</v>
      </c>
      <c r="C254" s="1073">
        <v>44620</v>
      </c>
      <c r="D254" s="1120">
        <v>0.183</v>
      </c>
      <c r="E254" s="1120">
        <f t="shared" si="55"/>
        <v>0.27449999999999997</v>
      </c>
      <c r="F254" s="1344">
        <f t="shared" si="56"/>
        <v>6.6475220558892545E-4</v>
      </c>
      <c r="G254" s="741">
        <f t="shared" si="54"/>
        <v>28</v>
      </c>
      <c r="H254" s="1356">
        <f t="shared" si="57"/>
        <v>49017.31</v>
      </c>
    </row>
    <row r="255" spans="2:8" ht="13.5">
      <c r="B255" s="1073">
        <v>44621</v>
      </c>
      <c r="C255" s="1073">
        <v>44651</v>
      </c>
      <c r="D255" s="1120">
        <v>0.1847</v>
      </c>
      <c r="E255" s="1344">
        <f t="shared" si="55"/>
        <v>0.27705000000000002</v>
      </c>
      <c r="F255" s="1344">
        <f t="shared" si="56"/>
        <v>6.7023198611315671E-4</v>
      </c>
      <c r="G255" s="741">
        <f t="shared" si="54"/>
        <v>31</v>
      </c>
      <c r="H255" s="1356">
        <f t="shared" si="57"/>
        <v>54716.53</v>
      </c>
    </row>
    <row r="256" spans="2:8" ht="13.5">
      <c r="B256" s="1073">
        <v>44652</v>
      </c>
      <c r="C256" s="1073">
        <v>44681</v>
      </c>
      <c r="D256" s="1120">
        <v>0.1905</v>
      </c>
      <c r="E256" s="1120">
        <f t="shared" si="55"/>
        <v>0.28575</v>
      </c>
      <c r="F256" s="1344">
        <f t="shared" si="56"/>
        <v>6.8884592812357148E-4</v>
      </c>
      <c r="G256" s="741">
        <f t="shared" si="54"/>
        <v>30</v>
      </c>
      <c r="H256" s="1356">
        <f t="shared" si="57"/>
        <v>54422.07</v>
      </c>
    </row>
    <row r="257" spans="2:8" ht="13.5">
      <c r="B257" s="1073">
        <v>44682</v>
      </c>
      <c r="C257" s="1073">
        <v>44712</v>
      </c>
      <c r="D257" s="1120">
        <v>0.1971</v>
      </c>
      <c r="E257" s="1344">
        <f t="shared" si="55"/>
        <v>0.29564999999999997</v>
      </c>
      <c r="F257" s="1344">
        <f t="shared" si="56"/>
        <v>7.0987512909947981E-4</v>
      </c>
      <c r="G257" s="741">
        <f t="shared" si="54"/>
        <v>31</v>
      </c>
      <c r="H257" s="1356">
        <f t="shared" si="57"/>
        <v>57952.92</v>
      </c>
    </row>
    <row r="258" spans="2:8" ht="13.5">
      <c r="B258" s="1073">
        <v>44713</v>
      </c>
      <c r="C258" s="1073">
        <v>44742</v>
      </c>
      <c r="D258" s="1120">
        <v>0.20399999999999999</v>
      </c>
      <c r="E258" s="1120">
        <f t="shared" si="55"/>
        <v>0.30599999999999999</v>
      </c>
      <c r="F258" s="1344">
        <f t="shared" si="56"/>
        <v>7.3168955664093538E-4</v>
      </c>
      <c r="G258" s="741">
        <f t="shared" si="54"/>
        <v>30</v>
      </c>
      <c r="H258" s="1356">
        <f t="shared" si="57"/>
        <v>57806.91</v>
      </c>
    </row>
    <row r="259" spans="2:8" ht="13.5">
      <c r="B259" s="1073">
        <v>44743</v>
      </c>
      <c r="C259" s="1073">
        <v>44773</v>
      </c>
      <c r="D259" s="1120">
        <v>0.21279999999999999</v>
      </c>
      <c r="E259" s="1344">
        <f t="shared" si="55"/>
        <v>0.31919999999999998</v>
      </c>
      <c r="F259" s="1344">
        <f t="shared" si="56"/>
        <v>7.5926204501630679E-4</v>
      </c>
      <c r="G259" s="741">
        <f t="shared" si="54"/>
        <v>31</v>
      </c>
      <c r="H259" s="1356">
        <f t="shared" si="57"/>
        <v>61984.78</v>
      </c>
    </row>
    <row r="260" spans="2:8" ht="13.5">
      <c r="B260" s="1073">
        <v>44774</v>
      </c>
      <c r="C260" s="1073">
        <v>44804</v>
      </c>
      <c r="D260" s="1120">
        <v>0.22209999999999999</v>
      </c>
      <c r="E260" s="1120">
        <f t="shared" ref="E260:E266" si="58">+D260*1.5</f>
        <v>0.33315</v>
      </c>
      <c r="F260" s="1344">
        <f t="shared" ref="F260:F266" si="59">((1+E260)^(1/365)-1)</f>
        <v>7.8810371394433254E-4</v>
      </c>
      <c r="G260" s="741">
        <f t="shared" si="54"/>
        <v>31</v>
      </c>
      <c r="H260" s="1356">
        <f t="shared" si="57"/>
        <v>64339.360000000001</v>
      </c>
    </row>
    <row r="261" spans="2:8" ht="13.5">
      <c r="B261" s="1073">
        <v>44805</v>
      </c>
      <c r="C261" s="1073">
        <v>44834</v>
      </c>
      <c r="D261" s="1120">
        <v>0.23499999999999999</v>
      </c>
      <c r="E261" s="1344">
        <f t="shared" si="58"/>
        <v>0.35249999999999998</v>
      </c>
      <c r="F261" s="1344">
        <f t="shared" si="59"/>
        <v>8.2761552252574866E-4</v>
      </c>
      <c r="G261" s="741">
        <f t="shared" si="54"/>
        <v>30</v>
      </c>
      <c r="H261" s="1356">
        <f t="shared" si="57"/>
        <v>65385.52</v>
      </c>
    </row>
    <row r="262" spans="2:8" ht="13.5">
      <c r="B262" s="1073">
        <v>44835</v>
      </c>
      <c r="C262" s="1073">
        <v>44865</v>
      </c>
      <c r="D262" s="1120">
        <v>0.24610000000000001</v>
      </c>
      <c r="E262" s="1120">
        <f t="shared" si="58"/>
        <v>0.36915000000000003</v>
      </c>
      <c r="F262" s="1344">
        <f t="shared" si="59"/>
        <v>8.611654102768096E-4</v>
      </c>
      <c r="G262" s="741">
        <f t="shared" si="54"/>
        <v>31</v>
      </c>
      <c r="H262" s="1356">
        <f t="shared" si="57"/>
        <v>70303.990000000005</v>
      </c>
    </row>
    <row r="263" spans="2:8" ht="13.5">
      <c r="B263" s="1073">
        <v>44866</v>
      </c>
      <c r="C263" s="1073">
        <v>44895</v>
      </c>
      <c r="D263" s="1120">
        <v>0.25779999999999997</v>
      </c>
      <c r="E263" s="1344">
        <f t="shared" si="58"/>
        <v>0.38669999999999993</v>
      </c>
      <c r="F263" s="1344">
        <f t="shared" si="59"/>
        <v>8.9609117817124329E-4</v>
      </c>
      <c r="G263" s="741">
        <f t="shared" si="54"/>
        <v>30</v>
      </c>
      <c r="H263" s="1356">
        <f t="shared" si="57"/>
        <v>70795.41</v>
      </c>
    </row>
    <row r="264" spans="2:8" ht="13.5">
      <c r="B264" s="1073">
        <v>44896</v>
      </c>
      <c r="C264" s="1073">
        <v>44926</v>
      </c>
      <c r="D264" s="1120">
        <v>0.27639999999999998</v>
      </c>
      <c r="E264" s="1120">
        <f t="shared" si="58"/>
        <v>0.41459999999999997</v>
      </c>
      <c r="F264" s="1344">
        <f t="shared" si="59"/>
        <v>9.5071686592063109E-4</v>
      </c>
      <c r="G264" s="741">
        <f t="shared" si="54"/>
        <v>31</v>
      </c>
      <c r="H264" s="1356">
        <f t="shared" si="57"/>
        <v>77614.8</v>
      </c>
    </row>
    <row r="265" spans="2:8" ht="13.5">
      <c r="B265" s="1073">
        <v>44927</v>
      </c>
      <c r="C265" s="1073">
        <v>44957</v>
      </c>
      <c r="D265" s="1120">
        <v>0.28839999999999999</v>
      </c>
      <c r="E265" s="1120">
        <f t="shared" si="58"/>
        <v>0.43259999999999998</v>
      </c>
      <c r="F265" s="1344">
        <f t="shared" si="59"/>
        <v>9.8539196132163553E-4</v>
      </c>
      <c r="G265" s="741">
        <f t="shared" si="54"/>
        <v>31</v>
      </c>
      <c r="H265" s="1356">
        <f t="shared" si="57"/>
        <v>80445.62</v>
      </c>
    </row>
    <row r="266" spans="2:8" ht="13.5">
      <c r="B266" s="1073">
        <v>44958</v>
      </c>
      <c r="C266" s="1073">
        <v>44985</v>
      </c>
      <c r="D266" s="1120">
        <v>0.30180000000000001</v>
      </c>
      <c r="E266" s="1344">
        <f t="shared" si="58"/>
        <v>0.45269999999999999</v>
      </c>
      <c r="F266" s="1344">
        <f t="shared" si="59"/>
        <v>1.0236026853662761E-3</v>
      </c>
      <c r="G266" s="741">
        <f t="shared" si="54"/>
        <v>28</v>
      </c>
      <c r="H266" s="1356">
        <f t="shared" si="57"/>
        <v>75478.13</v>
      </c>
    </row>
    <row r="267" spans="2:8" ht="13.5">
      <c r="B267" s="1073">
        <v>44986</v>
      </c>
      <c r="C267" s="1073">
        <v>45016</v>
      </c>
      <c r="D267" s="1120">
        <v>0.30840000000000001</v>
      </c>
      <c r="E267" s="1120">
        <f t="shared" ref="E267:E268" si="60">+D267*1.5</f>
        <v>0.46260000000000001</v>
      </c>
      <c r="F267" s="1344">
        <f t="shared" ref="F267:F268" si="61">((1+E267)^(1/365)-1)</f>
        <v>1.0422295217955568E-3</v>
      </c>
      <c r="G267" s="741">
        <f t="shared" ref="G267:G268" si="62">+_xlfn.DAYS(C267,B267)+1</f>
        <v>31</v>
      </c>
      <c r="H267" s="1356">
        <f t="shared" ref="H267:H268" si="63">ROUND(F267*$C$231*G267,2)</f>
        <v>85085.73</v>
      </c>
    </row>
    <row r="268" spans="2:8" ht="13.5">
      <c r="B268" s="1073">
        <v>45017</v>
      </c>
      <c r="C268" s="1073">
        <v>45046</v>
      </c>
      <c r="D268" s="1120">
        <v>0.31390000000000001</v>
      </c>
      <c r="E268" s="1120">
        <f t="shared" si="60"/>
        <v>0.47084999999999999</v>
      </c>
      <c r="F268" s="1344">
        <f t="shared" si="61"/>
        <v>1.0576560884423269E-3</v>
      </c>
      <c r="G268" s="741">
        <f t="shared" si="62"/>
        <v>30</v>
      </c>
      <c r="H268" s="1356">
        <f t="shared" si="63"/>
        <v>83559.8</v>
      </c>
    </row>
    <row r="269" spans="2:8" ht="13.5">
      <c r="G269" s="1113" t="s">
        <v>117</v>
      </c>
      <c r="H269" s="1356">
        <f>SUM(H234:H268)</f>
        <v>2005700.1699999997</v>
      </c>
    </row>
    <row r="270" spans="2:8">
      <c r="B270" s="221" t="s">
        <v>1699</v>
      </c>
    </row>
    <row r="271" spans="2:8">
      <c r="B271" s="217" t="s">
        <v>1700</v>
      </c>
    </row>
    <row r="272" spans="2:8">
      <c r="B272" s="217" t="s">
        <v>1131</v>
      </c>
      <c r="C272" s="2357">
        <v>87780300</v>
      </c>
    </row>
    <row r="273" spans="2:8" ht="12.75" customHeight="1"/>
    <row r="274" spans="2:8" ht="13.5">
      <c r="B274" s="2672" t="s">
        <v>160</v>
      </c>
      <c r="C274" s="2672"/>
      <c r="D274" s="2672"/>
      <c r="E274" s="2672"/>
      <c r="F274" s="2672"/>
      <c r="G274" s="2672"/>
      <c r="H274" s="2672"/>
    </row>
    <row r="275" spans="2:8" ht="27">
      <c r="B275" s="751" t="s">
        <v>337</v>
      </c>
      <c r="C275" s="751" t="s">
        <v>40</v>
      </c>
      <c r="D275" s="751" t="s">
        <v>148</v>
      </c>
      <c r="E275" s="740" t="s">
        <v>149</v>
      </c>
      <c r="F275" s="740" t="s">
        <v>43</v>
      </c>
      <c r="G275" s="776" t="s">
        <v>47</v>
      </c>
      <c r="H275" s="740" t="s">
        <v>48</v>
      </c>
    </row>
    <row r="276" spans="2:8" ht="13.5">
      <c r="B276" s="1073">
        <v>44000</v>
      </c>
      <c r="C276" s="1073">
        <v>44012</v>
      </c>
      <c r="D276" s="1120">
        <v>0.1812</v>
      </c>
      <c r="E276" s="1344">
        <f>+D276*1.5</f>
        <v>0.27179999999999999</v>
      </c>
      <c r="F276" s="1917">
        <f>((1+E276)^(1/365)-1)</f>
        <v>6.5893815469997286E-4</v>
      </c>
      <c r="G276" s="741">
        <f t="shared" ref="G276:G308" si="64">+_xlfn.DAYS(C276,B276)+1</f>
        <v>13</v>
      </c>
      <c r="H276" s="1356">
        <f>ROUND(F276*$C$272*G276,2)</f>
        <v>751943.26</v>
      </c>
    </row>
    <row r="277" spans="2:8" ht="13.5">
      <c r="B277" s="1073">
        <v>44013</v>
      </c>
      <c r="C277" s="1073">
        <v>44043</v>
      </c>
      <c r="D277" s="1220">
        <v>0.1812</v>
      </c>
      <c r="E277" s="1344">
        <f t="shared" ref="E277:E308" si="65">+D277*1.5</f>
        <v>0.27179999999999999</v>
      </c>
      <c r="F277" s="1344">
        <f t="shared" ref="F277:F308" si="66">((1+E277)^(1/365)-1)</f>
        <v>6.5893815469997286E-4</v>
      </c>
      <c r="G277" s="741">
        <f t="shared" si="64"/>
        <v>31</v>
      </c>
      <c r="H277" s="1356">
        <f t="shared" ref="H277:H308" si="67">ROUND(F277*$C$272*G277,2)</f>
        <v>1793095.46</v>
      </c>
    </row>
    <row r="278" spans="2:8" ht="13.5">
      <c r="B278" s="1073">
        <v>44044</v>
      </c>
      <c r="C278" s="1073">
        <v>44073</v>
      </c>
      <c r="D278" s="1120">
        <v>0.18290000000000001</v>
      </c>
      <c r="E278" s="1344">
        <f t="shared" si="65"/>
        <v>0.27434999999999998</v>
      </c>
      <c r="F278" s="1344">
        <f t="shared" si="66"/>
        <v>6.6442952514544906E-4</v>
      </c>
      <c r="G278" s="741">
        <f t="shared" si="64"/>
        <v>30</v>
      </c>
      <c r="H278" s="1356">
        <f t="shared" si="67"/>
        <v>1749714.69</v>
      </c>
    </row>
    <row r="279" spans="2:8" ht="13.5">
      <c r="B279" s="1073">
        <v>44075</v>
      </c>
      <c r="C279" s="1073">
        <v>44104</v>
      </c>
      <c r="D279" s="1120">
        <v>0.1835</v>
      </c>
      <c r="E279" s="1344">
        <f t="shared" si="65"/>
        <v>0.27524999999999999</v>
      </c>
      <c r="F279" s="1344">
        <f t="shared" si="66"/>
        <v>6.6636503991857055E-4</v>
      </c>
      <c r="G279" s="741">
        <f t="shared" si="64"/>
        <v>30</v>
      </c>
      <c r="H279" s="1356">
        <f t="shared" si="67"/>
        <v>1754811.69</v>
      </c>
    </row>
    <row r="280" spans="2:8" ht="13.5">
      <c r="B280" s="1073">
        <v>44105</v>
      </c>
      <c r="C280" s="1073">
        <v>44135</v>
      </c>
      <c r="D280" s="1120">
        <v>0.18090000000000001</v>
      </c>
      <c r="E280" s="1344">
        <f t="shared" si="65"/>
        <v>0.27134999999999998</v>
      </c>
      <c r="F280" s="1344">
        <f t="shared" si="66"/>
        <v>6.5796794962613703E-4</v>
      </c>
      <c r="G280" s="741">
        <f t="shared" si="64"/>
        <v>31</v>
      </c>
      <c r="H280" s="1356">
        <f t="shared" si="67"/>
        <v>1790455.34</v>
      </c>
    </row>
    <row r="281" spans="2:8" ht="13.5">
      <c r="B281" s="1073">
        <v>44136</v>
      </c>
      <c r="C281" s="1073">
        <v>44165</v>
      </c>
      <c r="D281" s="1120">
        <v>0.1784</v>
      </c>
      <c r="E281" s="1344">
        <f t="shared" si="65"/>
        <v>0.2676</v>
      </c>
      <c r="F281" s="1344">
        <f t="shared" si="66"/>
        <v>6.4986956374091243E-4</v>
      </c>
      <c r="G281" s="741">
        <f t="shared" si="64"/>
        <v>30</v>
      </c>
      <c r="H281" s="1356">
        <f t="shared" si="67"/>
        <v>1711372.36</v>
      </c>
    </row>
    <row r="282" spans="2:8" ht="13.5">
      <c r="B282" s="1073">
        <v>44166</v>
      </c>
      <c r="C282" s="1073">
        <v>44196</v>
      </c>
      <c r="D282" s="1120">
        <v>0.17460000000000001</v>
      </c>
      <c r="E282" s="1344">
        <f t="shared" si="65"/>
        <v>0.26190000000000002</v>
      </c>
      <c r="F282" s="1344">
        <f t="shared" si="66"/>
        <v>6.3751414410861962E-4</v>
      </c>
      <c r="G282" s="741">
        <f t="shared" si="64"/>
        <v>31</v>
      </c>
      <c r="H282" s="1356">
        <f t="shared" si="67"/>
        <v>1734796.67</v>
      </c>
    </row>
    <row r="283" spans="2:8" ht="13.5">
      <c r="B283" s="1073">
        <v>44197</v>
      </c>
      <c r="C283" s="1073">
        <v>44227</v>
      </c>
      <c r="D283" s="1120">
        <v>0.17319999999999999</v>
      </c>
      <c r="E283" s="1344">
        <f t="shared" si="65"/>
        <v>0.25979999999999998</v>
      </c>
      <c r="F283" s="1344">
        <f t="shared" si="66"/>
        <v>6.3294811266723094E-4</v>
      </c>
      <c r="G283" s="741">
        <f t="shared" si="64"/>
        <v>31</v>
      </c>
      <c r="H283" s="1356">
        <f t="shared" si="67"/>
        <v>1722371.63</v>
      </c>
    </row>
    <row r="284" spans="2:8" ht="13.5">
      <c r="B284" s="1073">
        <v>44228</v>
      </c>
      <c r="C284" s="1073">
        <v>44255</v>
      </c>
      <c r="D284" s="1120">
        <v>0.1754</v>
      </c>
      <c r="E284" s="1344">
        <f t="shared" si="65"/>
        <v>0.2631</v>
      </c>
      <c r="F284" s="1344">
        <f t="shared" si="66"/>
        <v>6.4011990387169426E-4</v>
      </c>
      <c r="G284" s="741">
        <f t="shared" si="64"/>
        <v>28</v>
      </c>
      <c r="H284" s="1356">
        <f t="shared" si="67"/>
        <v>1573317.68</v>
      </c>
    </row>
    <row r="285" spans="2:8" ht="13.5">
      <c r="B285" s="1073">
        <v>44256</v>
      </c>
      <c r="C285" s="1073">
        <v>44286</v>
      </c>
      <c r="D285" s="1120">
        <v>0.1741</v>
      </c>
      <c r="E285" s="1344">
        <f t="shared" si="65"/>
        <v>0.26114999999999999</v>
      </c>
      <c r="F285" s="1344">
        <f t="shared" si="66"/>
        <v>6.3588428907812578E-4</v>
      </c>
      <c r="G285" s="741">
        <f t="shared" si="64"/>
        <v>31</v>
      </c>
      <c r="H285" s="1356">
        <f t="shared" si="67"/>
        <v>1730361.52</v>
      </c>
    </row>
    <row r="286" spans="2:8" ht="13.5">
      <c r="B286" s="1073">
        <v>44287</v>
      </c>
      <c r="C286" s="1073">
        <v>44316</v>
      </c>
      <c r="D286" s="1120">
        <v>0.1731</v>
      </c>
      <c r="E286" s="1344">
        <f t="shared" si="65"/>
        <v>0.25964999999999999</v>
      </c>
      <c r="F286" s="1344">
        <f t="shared" si="66"/>
        <v>6.326216771728177E-4</v>
      </c>
      <c r="G286" s="741">
        <f t="shared" si="64"/>
        <v>30</v>
      </c>
      <c r="H286" s="1356">
        <f t="shared" si="67"/>
        <v>1665951.62</v>
      </c>
    </row>
    <row r="287" spans="2:8" ht="13.5">
      <c r="B287" s="1073">
        <v>44317</v>
      </c>
      <c r="C287" s="1073">
        <v>44347</v>
      </c>
      <c r="D287" s="1120">
        <v>0.17219999999999999</v>
      </c>
      <c r="E287" s="1344">
        <f t="shared" si="65"/>
        <v>0.25829999999999997</v>
      </c>
      <c r="F287" s="1344">
        <f t="shared" si="66"/>
        <v>6.2968201205726437E-4</v>
      </c>
      <c r="G287" s="741">
        <f t="shared" si="64"/>
        <v>31</v>
      </c>
      <c r="H287" s="1356">
        <f t="shared" si="67"/>
        <v>1713483.95</v>
      </c>
    </row>
    <row r="288" spans="2:8" ht="13.5">
      <c r="B288" s="1073">
        <v>44348</v>
      </c>
      <c r="C288" s="1073">
        <v>44377</v>
      </c>
      <c r="D288" s="1120">
        <v>0.1721</v>
      </c>
      <c r="E288" s="1344">
        <f t="shared" si="65"/>
        <v>0.25814999999999999</v>
      </c>
      <c r="F288" s="1344">
        <f t="shared" si="66"/>
        <v>6.2935518846773952E-4</v>
      </c>
      <c r="G288" s="741">
        <f t="shared" si="64"/>
        <v>30</v>
      </c>
      <c r="H288" s="1356">
        <f t="shared" si="67"/>
        <v>1657349.62</v>
      </c>
    </row>
    <row r="289" spans="2:8" ht="13.5">
      <c r="B289" s="1073">
        <v>44378</v>
      </c>
      <c r="C289" s="1073">
        <v>44408</v>
      </c>
      <c r="D289" s="1120">
        <v>0.17180000000000001</v>
      </c>
      <c r="E289" s="1344">
        <f t="shared" si="65"/>
        <v>0.25770000000000004</v>
      </c>
      <c r="F289" s="1344">
        <f t="shared" si="66"/>
        <v>6.2837448450037137E-4</v>
      </c>
      <c r="G289" s="741">
        <f t="shared" si="64"/>
        <v>31</v>
      </c>
      <c r="H289" s="1356">
        <f t="shared" si="67"/>
        <v>1709925.92</v>
      </c>
    </row>
    <row r="290" spans="2:8" ht="13.5">
      <c r="B290" s="1073">
        <v>44409</v>
      </c>
      <c r="C290" s="1073">
        <v>44438</v>
      </c>
      <c r="D290" s="1120">
        <v>0.1724</v>
      </c>
      <c r="E290" s="1120">
        <f t="shared" si="65"/>
        <v>0.2586</v>
      </c>
      <c r="F290" s="1344">
        <f t="shared" si="66"/>
        <v>6.3033554269220637E-4</v>
      </c>
      <c r="G290" s="741">
        <f t="shared" si="64"/>
        <v>30</v>
      </c>
      <c r="H290" s="1356">
        <f t="shared" si="67"/>
        <v>1659931.29</v>
      </c>
    </row>
    <row r="291" spans="2:8" ht="13.5">
      <c r="B291" s="1073">
        <v>44440</v>
      </c>
      <c r="C291" s="1073">
        <v>44469</v>
      </c>
      <c r="D291" s="1120">
        <v>0.1719</v>
      </c>
      <c r="E291" s="1344">
        <f t="shared" si="65"/>
        <v>0.25785000000000002</v>
      </c>
      <c r="F291" s="1344">
        <f t="shared" si="66"/>
        <v>6.2870142469861889E-4</v>
      </c>
      <c r="G291" s="741">
        <f t="shared" si="64"/>
        <v>30</v>
      </c>
      <c r="H291" s="1356">
        <f t="shared" si="67"/>
        <v>1655627.99</v>
      </c>
    </row>
    <row r="292" spans="2:8" ht="13.5">
      <c r="B292" s="1073">
        <v>44470</v>
      </c>
      <c r="C292" s="1073">
        <v>44500</v>
      </c>
      <c r="D292" s="1120">
        <v>0.17080000000000001</v>
      </c>
      <c r="E292" s="1120">
        <f t="shared" si="65"/>
        <v>0.25619999999999998</v>
      </c>
      <c r="F292" s="1344">
        <f t="shared" si="66"/>
        <v>6.2510294214179751E-4</v>
      </c>
      <c r="G292" s="741">
        <f t="shared" si="64"/>
        <v>31</v>
      </c>
      <c r="H292" s="1356">
        <f t="shared" si="67"/>
        <v>1701023.44</v>
      </c>
    </row>
    <row r="293" spans="2:8" ht="13.5">
      <c r="B293" s="1073">
        <v>44501</v>
      </c>
      <c r="C293" s="1073">
        <v>44530</v>
      </c>
      <c r="D293" s="1120">
        <v>0.17269999999999999</v>
      </c>
      <c r="E293" s="1344">
        <f t="shared" si="65"/>
        <v>0.25905</v>
      </c>
      <c r="F293" s="1344">
        <f t="shared" si="66"/>
        <v>6.3131554742335005E-4</v>
      </c>
      <c r="G293" s="741">
        <f t="shared" si="64"/>
        <v>30</v>
      </c>
      <c r="H293" s="1356">
        <f t="shared" si="67"/>
        <v>1662512.04</v>
      </c>
    </row>
    <row r="294" spans="2:8" ht="13.5">
      <c r="B294" s="1073">
        <v>44531</v>
      </c>
      <c r="C294" s="1073">
        <v>44561</v>
      </c>
      <c r="D294" s="1120">
        <v>0.17460000000000001</v>
      </c>
      <c r="E294" s="1120">
        <f t="shared" si="65"/>
        <v>0.26190000000000002</v>
      </c>
      <c r="F294" s="1344">
        <f t="shared" si="66"/>
        <v>6.3751414410861962E-4</v>
      </c>
      <c r="G294" s="741">
        <f t="shared" si="64"/>
        <v>31</v>
      </c>
      <c r="H294" s="1356">
        <f t="shared" si="67"/>
        <v>1734796.67</v>
      </c>
    </row>
    <row r="295" spans="2:8" ht="13.5">
      <c r="B295" s="1073">
        <v>44562</v>
      </c>
      <c r="C295" s="1073">
        <v>44592</v>
      </c>
      <c r="D295" s="1120">
        <v>0.17660000000000001</v>
      </c>
      <c r="E295" s="1344">
        <f t="shared" si="65"/>
        <v>0.26490000000000002</v>
      </c>
      <c r="F295" s="1344">
        <f t="shared" si="66"/>
        <v>6.4402391816376081E-4</v>
      </c>
      <c r="G295" s="741">
        <f t="shared" si="64"/>
        <v>31</v>
      </c>
      <c r="H295" s="1356">
        <f t="shared" si="67"/>
        <v>1752511</v>
      </c>
    </row>
    <row r="296" spans="2:8" ht="13.5">
      <c r="B296" s="1073">
        <v>44593</v>
      </c>
      <c r="C296" s="1073">
        <v>44620</v>
      </c>
      <c r="D296" s="1120">
        <v>0.183</v>
      </c>
      <c r="E296" s="1120">
        <f t="shared" si="65"/>
        <v>0.27449999999999997</v>
      </c>
      <c r="F296" s="1344">
        <f t="shared" si="66"/>
        <v>6.6475220558892545E-4</v>
      </c>
      <c r="G296" s="741">
        <f t="shared" si="64"/>
        <v>28</v>
      </c>
      <c r="H296" s="1356">
        <f t="shared" si="67"/>
        <v>1633860.14</v>
      </c>
    </row>
    <row r="297" spans="2:8" ht="13.5">
      <c r="B297" s="1073">
        <v>44621</v>
      </c>
      <c r="C297" s="1073">
        <v>44651</v>
      </c>
      <c r="D297" s="1120">
        <v>0.1847</v>
      </c>
      <c r="E297" s="1344">
        <f t="shared" si="65"/>
        <v>0.27705000000000002</v>
      </c>
      <c r="F297" s="1344">
        <f t="shared" si="66"/>
        <v>6.7023198611315671E-4</v>
      </c>
      <c r="G297" s="741">
        <f t="shared" si="64"/>
        <v>31</v>
      </c>
      <c r="H297" s="1356">
        <f t="shared" si="67"/>
        <v>1823828.11</v>
      </c>
    </row>
    <row r="298" spans="2:8" ht="13.5">
      <c r="B298" s="1073">
        <v>44652</v>
      </c>
      <c r="C298" s="1073">
        <v>44681</v>
      </c>
      <c r="D298" s="1120">
        <v>0.1905</v>
      </c>
      <c r="E298" s="1120">
        <f t="shared" si="65"/>
        <v>0.28575</v>
      </c>
      <c r="F298" s="1344">
        <f t="shared" si="66"/>
        <v>6.8884592812357148E-4</v>
      </c>
      <c r="G298" s="741">
        <f t="shared" si="64"/>
        <v>30</v>
      </c>
      <c r="H298" s="1356">
        <f t="shared" si="67"/>
        <v>1814013.07</v>
      </c>
    </row>
    <row r="299" spans="2:8" ht="13.5">
      <c r="B299" s="1073">
        <v>44682</v>
      </c>
      <c r="C299" s="1073">
        <v>44712</v>
      </c>
      <c r="D299" s="1120">
        <v>0.1971</v>
      </c>
      <c r="E299" s="1344">
        <f t="shared" si="65"/>
        <v>0.29564999999999997</v>
      </c>
      <c r="F299" s="1344">
        <f t="shared" si="66"/>
        <v>7.0987512909947981E-4</v>
      </c>
      <c r="G299" s="741">
        <f t="shared" si="64"/>
        <v>31</v>
      </c>
      <c r="H299" s="1356">
        <f t="shared" si="67"/>
        <v>1931704.61</v>
      </c>
    </row>
    <row r="300" spans="2:8" ht="13.5">
      <c r="B300" s="1073">
        <v>44713</v>
      </c>
      <c r="C300" s="1073">
        <v>44742</v>
      </c>
      <c r="D300" s="1120">
        <v>0.20399999999999999</v>
      </c>
      <c r="E300" s="1120">
        <f t="shared" si="65"/>
        <v>0.30599999999999999</v>
      </c>
      <c r="F300" s="1344">
        <f t="shared" si="66"/>
        <v>7.3168955664093538E-4</v>
      </c>
      <c r="G300" s="741">
        <f t="shared" si="64"/>
        <v>30</v>
      </c>
      <c r="H300" s="1356">
        <f t="shared" si="67"/>
        <v>1926837.86</v>
      </c>
    </row>
    <row r="301" spans="2:8" ht="13.5">
      <c r="B301" s="1073">
        <v>44743</v>
      </c>
      <c r="C301" s="1073">
        <v>44773</v>
      </c>
      <c r="D301" s="1120">
        <v>0.21279999999999999</v>
      </c>
      <c r="E301" s="1344">
        <f t="shared" si="65"/>
        <v>0.31919999999999998</v>
      </c>
      <c r="F301" s="1344">
        <f t="shared" si="66"/>
        <v>7.5926204501630679E-4</v>
      </c>
      <c r="G301" s="741">
        <f t="shared" si="64"/>
        <v>31</v>
      </c>
      <c r="H301" s="1356">
        <f t="shared" si="67"/>
        <v>2066095.75</v>
      </c>
    </row>
    <row r="302" spans="2:8" ht="13.5">
      <c r="B302" s="1073">
        <v>44774</v>
      </c>
      <c r="C302" s="1073">
        <v>44804</v>
      </c>
      <c r="D302" s="1120">
        <v>0.22209999999999999</v>
      </c>
      <c r="E302" s="1120">
        <f t="shared" si="65"/>
        <v>0.33315</v>
      </c>
      <c r="F302" s="1344">
        <f t="shared" si="66"/>
        <v>7.8810371394433254E-4</v>
      </c>
      <c r="G302" s="741">
        <f t="shared" si="64"/>
        <v>31</v>
      </c>
      <c r="H302" s="1356">
        <f t="shared" si="67"/>
        <v>2144579.39</v>
      </c>
    </row>
    <row r="303" spans="2:8" ht="13.5">
      <c r="B303" s="1073">
        <v>44805</v>
      </c>
      <c r="C303" s="1073">
        <v>44834</v>
      </c>
      <c r="D303" s="1120">
        <v>0.23499999999999999</v>
      </c>
      <c r="E303" s="1344">
        <f t="shared" si="65"/>
        <v>0.35249999999999998</v>
      </c>
      <c r="F303" s="1344">
        <f t="shared" si="66"/>
        <v>8.2761552252574866E-4</v>
      </c>
      <c r="G303" s="741">
        <f t="shared" si="64"/>
        <v>30</v>
      </c>
      <c r="H303" s="1356">
        <f t="shared" si="67"/>
        <v>2179450.17</v>
      </c>
    </row>
    <row r="304" spans="2:8" ht="13.5">
      <c r="B304" s="1073">
        <v>44835</v>
      </c>
      <c r="C304" s="1073">
        <v>44865</v>
      </c>
      <c r="D304" s="1120">
        <v>0.24610000000000001</v>
      </c>
      <c r="E304" s="1120">
        <f t="shared" si="65"/>
        <v>0.36915000000000003</v>
      </c>
      <c r="F304" s="1344">
        <f t="shared" si="66"/>
        <v>8.611654102768096E-4</v>
      </c>
      <c r="G304" s="741">
        <f t="shared" si="64"/>
        <v>31</v>
      </c>
      <c r="H304" s="1356">
        <f t="shared" si="67"/>
        <v>2343394.1</v>
      </c>
    </row>
    <row r="305" spans="2:8" ht="13.5">
      <c r="B305" s="1073">
        <v>44866</v>
      </c>
      <c r="C305" s="1073">
        <v>44895</v>
      </c>
      <c r="D305" s="1120">
        <v>0.25779999999999997</v>
      </c>
      <c r="E305" s="1344">
        <f t="shared" si="65"/>
        <v>0.38669999999999993</v>
      </c>
      <c r="F305" s="1344">
        <f t="shared" si="66"/>
        <v>8.9609117817124329E-4</v>
      </c>
      <c r="G305" s="741">
        <f t="shared" si="64"/>
        <v>30</v>
      </c>
      <c r="H305" s="1356">
        <f t="shared" si="67"/>
        <v>2359774.5699999998</v>
      </c>
    </row>
    <row r="306" spans="2:8" ht="13.5">
      <c r="B306" s="1073">
        <v>44896</v>
      </c>
      <c r="C306" s="1073">
        <v>44926</v>
      </c>
      <c r="D306" s="1120">
        <v>0.27639999999999998</v>
      </c>
      <c r="E306" s="1120">
        <f t="shared" si="65"/>
        <v>0.41459999999999997</v>
      </c>
      <c r="F306" s="1344">
        <f t="shared" si="66"/>
        <v>9.5071686592063109E-4</v>
      </c>
      <c r="G306" s="741">
        <f t="shared" si="64"/>
        <v>31</v>
      </c>
      <c r="H306" s="1356">
        <f t="shared" si="67"/>
        <v>2587080.56</v>
      </c>
    </row>
    <row r="307" spans="2:8" ht="13.5">
      <c r="B307" s="1073">
        <v>44927</v>
      </c>
      <c r="C307" s="1073">
        <v>44957</v>
      </c>
      <c r="D307" s="1120">
        <v>0.28839999999999999</v>
      </c>
      <c r="E307" s="1120">
        <f t="shared" si="65"/>
        <v>0.43259999999999998</v>
      </c>
      <c r="F307" s="1344">
        <f t="shared" si="66"/>
        <v>9.8539196132163553E-4</v>
      </c>
      <c r="G307" s="741">
        <f t="shared" si="64"/>
        <v>31</v>
      </c>
      <c r="H307" s="1356">
        <f t="shared" si="67"/>
        <v>2681438.06</v>
      </c>
    </row>
    <row r="308" spans="2:8" ht="13.5">
      <c r="B308" s="1073">
        <v>44958</v>
      </c>
      <c r="C308" s="1073">
        <v>44985</v>
      </c>
      <c r="D308" s="1120">
        <v>0.30180000000000001</v>
      </c>
      <c r="E308" s="1344">
        <f t="shared" si="65"/>
        <v>0.45269999999999999</v>
      </c>
      <c r="F308" s="1344">
        <f t="shared" si="66"/>
        <v>1.0236026853662761E-3</v>
      </c>
      <c r="G308" s="741">
        <f t="shared" si="64"/>
        <v>28</v>
      </c>
      <c r="H308" s="1356">
        <f t="shared" si="67"/>
        <v>2515860.2200000002</v>
      </c>
    </row>
    <row r="309" spans="2:8" ht="13.5">
      <c r="B309" s="1073">
        <v>44986</v>
      </c>
      <c r="C309" s="1073">
        <v>45016</v>
      </c>
      <c r="D309" s="1120">
        <v>0.30840000000000001</v>
      </c>
      <c r="E309" s="1120">
        <f t="shared" ref="E309:E310" si="68">+D309*1.5</f>
        <v>0.46260000000000001</v>
      </c>
      <c r="F309" s="1344">
        <f t="shared" ref="F309:F310" si="69">((1+E309)^(1/365)-1)</f>
        <v>1.0422295217955568E-3</v>
      </c>
      <c r="G309" s="741">
        <f t="shared" ref="G309:G310" si="70">+_xlfn.DAYS(C309,B309)+1</f>
        <v>31</v>
      </c>
      <c r="H309" s="1356">
        <f t="shared" ref="H309:H310" si="71">ROUND(F309*$C$272*G309,2)</f>
        <v>2836103.82</v>
      </c>
    </row>
    <row r="310" spans="2:8" ht="13.5">
      <c r="B310" s="1073">
        <v>45017</v>
      </c>
      <c r="C310" s="1073">
        <v>45046</v>
      </c>
      <c r="D310" s="1120">
        <v>0.31390000000000001</v>
      </c>
      <c r="E310" s="1120">
        <f t="shared" si="68"/>
        <v>0.47084999999999999</v>
      </c>
      <c r="F310" s="1344">
        <f t="shared" si="69"/>
        <v>1.0576560884423269E-3</v>
      </c>
      <c r="G310" s="741">
        <f t="shared" si="70"/>
        <v>30</v>
      </c>
      <c r="H310" s="1356">
        <f t="shared" si="71"/>
        <v>2785241.06</v>
      </c>
    </row>
    <row r="311" spans="2:8" ht="13.5">
      <c r="G311" s="1113" t="s">
        <v>117</v>
      </c>
      <c r="H311" s="1356">
        <f>SUM(H276:H310)</f>
        <v>66854615.330000006</v>
      </c>
    </row>
    <row r="312" spans="2:8">
      <c r="B312" s="221" t="s">
        <v>1701</v>
      </c>
      <c r="E312" s="1544">
        <v>48118634</v>
      </c>
    </row>
    <row r="314" spans="2:8" ht="13.5">
      <c r="B314" s="2672" t="s">
        <v>160</v>
      </c>
      <c r="C314" s="2672"/>
      <c r="D314" s="2672"/>
      <c r="E314" s="2672"/>
      <c r="F314" s="2672"/>
      <c r="G314" s="2672"/>
      <c r="H314" s="2672"/>
    </row>
    <row r="315" spans="2:8" ht="27">
      <c r="B315" s="751" t="s">
        <v>337</v>
      </c>
      <c r="C315" s="751" t="s">
        <v>40</v>
      </c>
      <c r="D315" s="751" t="s">
        <v>148</v>
      </c>
      <c r="E315" s="740" t="s">
        <v>149</v>
      </c>
      <c r="F315" s="740" t="s">
        <v>43</v>
      </c>
      <c r="G315" s="776" t="s">
        <v>47</v>
      </c>
      <c r="H315" s="740" t="s">
        <v>48</v>
      </c>
    </row>
    <row r="316" spans="2:8" ht="13.5">
      <c r="B316" s="1073">
        <v>44000</v>
      </c>
      <c r="C316" s="1073">
        <v>44012</v>
      </c>
      <c r="D316" s="1120">
        <v>0.1812</v>
      </c>
      <c r="E316" s="1344">
        <f>+D316*1.5</f>
        <v>0.27179999999999999</v>
      </c>
      <c r="F316" s="1917">
        <f>((1+E316)^(1/365)-1)</f>
        <v>6.5893815469997286E-4</v>
      </c>
      <c r="G316" s="741">
        <f t="shared" ref="G316:G348" si="72">+_xlfn.DAYS(C316,B316)+1</f>
        <v>13</v>
      </c>
      <c r="H316" s="1356">
        <f>ROUND(F316*$E$312*G316,2)</f>
        <v>412193.65</v>
      </c>
    </row>
    <row r="317" spans="2:8" ht="13.5" customHeight="1">
      <c r="B317" s="1073">
        <v>44013</v>
      </c>
      <c r="C317" s="1073">
        <v>44043</v>
      </c>
      <c r="D317" s="1220">
        <v>0.1812</v>
      </c>
      <c r="E317" s="1344">
        <f t="shared" ref="E317:E348" si="73">+D317*1.5</f>
        <v>0.27179999999999999</v>
      </c>
      <c r="F317" s="1344">
        <f t="shared" ref="F317:F348" si="74">((1+E317)^(1/365)-1)</f>
        <v>6.5893815469997286E-4</v>
      </c>
      <c r="G317" s="741">
        <f t="shared" si="72"/>
        <v>31</v>
      </c>
      <c r="H317" s="1356">
        <f t="shared" ref="H317:H348" si="75">ROUND(F317*$E$312*G317,2)</f>
        <v>982923.32</v>
      </c>
    </row>
    <row r="318" spans="2:8" ht="13.5" customHeight="1">
      <c r="B318" s="1073">
        <v>44044</v>
      </c>
      <c r="C318" s="1073">
        <v>44073</v>
      </c>
      <c r="D318" s="1120">
        <v>0.18290000000000001</v>
      </c>
      <c r="E318" s="1344">
        <f t="shared" si="73"/>
        <v>0.27434999999999998</v>
      </c>
      <c r="F318" s="1344">
        <f t="shared" si="74"/>
        <v>6.6442952514544906E-4</v>
      </c>
      <c r="G318" s="741">
        <f t="shared" si="72"/>
        <v>30</v>
      </c>
      <c r="H318" s="1356">
        <f t="shared" si="75"/>
        <v>959143.23</v>
      </c>
    </row>
    <row r="319" spans="2:8" ht="13.5" customHeight="1">
      <c r="B319" s="1073">
        <v>44075</v>
      </c>
      <c r="C319" s="1073">
        <v>44104</v>
      </c>
      <c r="D319" s="1120">
        <v>0.1835</v>
      </c>
      <c r="E319" s="1344">
        <f t="shared" si="73"/>
        <v>0.27524999999999999</v>
      </c>
      <c r="F319" s="1344">
        <f t="shared" si="74"/>
        <v>6.6636503991857055E-4</v>
      </c>
      <c r="G319" s="741">
        <f t="shared" si="72"/>
        <v>30</v>
      </c>
      <c r="H319" s="1356">
        <f t="shared" si="75"/>
        <v>961937.26</v>
      </c>
    </row>
    <row r="320" spans="2:8" ht="13.5" customHeight="1">
      <c r="B320" s="1073">
        <v>44105</v>
      </c>
      <c r="C320" s="1073">
        <v>44135</v>
      </c>
      <c r="D320" s="1120">
        <v>0.18090000000000001</v>
      </c>
      <c r="E320" s="1344">
        <f t="shared" si="73"/>
        <v>0.27134999999999998</v>
      </c>
      <c r="F320" s="1344">
        <f t="shared" si="74"/>
        <v>6.5796794962613703E-4</v>
      </c>
      <c r="G320" s="741">
        <f t="shared" si="72"/>
        <v>31</v>
      </c>
      <c r="H320" s="1356">
        <f t="shared" si="75"/>
        <v>981476.09</v>
      </c>
    </row>
    <row r="321" spans="2:8" ht="13.5" customHeight="1">
      <c r="B321" s="1073">
        <v>44136</v>
      </c>
      <c r="C321" s="1073">
        <v>44165</v>
      </c>
      <c r="D321" s="1120">
        <v>0.1784</v>
      </c>
      <c r="E321" s="1344">
        <f t="shared" si="73"/>
        <v>0.2676</v>
      </c>
      <c r="F321" s="1344">
        <f t="shared" si="74"/>
        <v>6.4986956374091243E-4</v>
      </c>
      <c r="G321" s="741">
        <f t="shared" si="72"/>
        <v>30</v>
      </c>
      <c r="H321" s="1356">
        <f t="shared" si="75"/>
        <v>938125.07</v>
      </c>
    </row>
    <row r="322" spans="2:8" ht="13.5" customHeight="1">
      <c r="B322" s="1073">
        <v>44166</v>
      </c>
      <c r="C322" s="1073">
        <v>44196</v>
      </c>
      <c r="D322" s="1120">
        <v>0.17460000000000001</v>
      </c>
      <c r="E322" s="1344">
        <f t="shared" si="73"/>
        <v>0.26190000000000002</v>
      </c>
      <c r="F322" s="1344">
        <f t="shared" si="74"/>
        <v>6.3751414410861962E-4</v>
      </c>
      <c r="G322" s="741">
        <f t="shared" si="72"/>
        <v>31</v>
      </c>
      <c r="H322" s="1356">
        <f t="shared" si="75"/>
        <v>950965.6</v>
      </c>
    </row>
    <row r="323" spans="2:8" ht="13.5" customHeight="1">
      <c r="B323" s="1073">
        <v>44197</v>
      </c>
      <c r="C323" s="1073">
        <v>44227</v>
      </c>
      <c r="D323" s="1120">
        <v>0.17319999999999999</v>
      </c>
      <c r="E323" s="1344">
        <f t="shared" si="73"/>
        <v>0.25979999999999998</v>
      </c>
      <c r="F323" s="1344">
        <f t="shared" si="74"/>
        <v>6.3294811266723094E-4</v>
      </c>
      <c r="G323" s="741">
        <f t="shared" si="72"/>
        <v>31</v>
      </c>
      <c r="H323" s="1356">
        <f t="shared" si="75"/>
        <v>944154.56</v>
      </c>
    </row>
    <row r="324" spans="2:8" ht="13.5" customHeight="1">
      <c r="B324" s="1073">
        <v>44228</v>
      </c>
      <c r="C324" s="1073">
        <v>44255</v>
      </c>
      <c r="D324" s="1120">
        <v>0.1754</v>
      </c>
      <c r="E324" s="1344">
        <f t="shared" si="73"/>
        <v>0.2631</v>
      </c>
      <c r="F324" s="1344">
        <f t="shared" si="74"/>
        <v>6.4011990387169426E-4</v>
      </c>
      <c r="G324" s="741">
        <f t="shared" si="72"/>
        <v>28</v>
      </c>
      <c r="H324" s="1356">
        <f t="shared" si="75"/>
        <v>862447.47</v>
      </c>
    </row>
    <row r="325" spans="2:8" ht="13.5" customHeight="1">
      <c r="B325" s="1073">
        <v>44256</v>
      </c>
      <c r="C325" s="1073">
        <v>44286</v>
      </c>
      <c r="D325" s="1120">
        <v>0.1741</v>
      </c>
      <c r="E325" s="1344">
        <f t="shared" si="73"/>
        <v>0.26114999999999999</v>
      </c>
      <c r="F325" s="1344">
        <f t="shared" si="74"/>
        <v>6.3588428907812578E-4</v>
      </c>
      <c r="G325" s="741">
        <f t="shared" si="72"/>
        <v>31</v>
      </c>
      <c r="H325" s="1356">
        <f t="shared" si="75"/>
        <v>948534.38</v>
      </c>
    </row>
    <row r="326" spans="2:8" ht="13.5" customHeight="1">
      <c r="B326" s="1073">
        <v>44287</v>
      </c>
      <c r="C326" s="1073">
        <v>44316</v>
      </c>
      <c r="D326" s="1120">
        <v>0.1731</v>
      </c>
      <c r="E326" s="1344">
        <f t="shared" si="73"/>
        <v>0.25964999999999999</v>
      </c>
      <c r="F326" s="1344">
        <f t="shared" si="74"/>
        <v>6.326216771728177E-4</v>
      </c>
      <c r="G326" s="741">
        <f t="shared" si="72"/>
        <v>30</v>
      </c>
      <c r="H326" s="1356">
        <f t="shared" si="75"/>
        <v>913226.73</v>
      </c>
    </row>
    <row r="327" spans="2:8" ht="13.5" customHeight="1">
      <c r="B327" s="1073">
        <v>44317</v>
      </c>
      <c r="C327" s="1073">
        <v>44347</v>
      </c>
      <c r="D327" s="1120">
        <v>0.17219999999999999</v>
      </c>
      <c r="E327" s="1344">
        <f t="shared" si="73"/>
        <v>0.25829999999999997</v>
      </c>
      <c r="F327" s="1344">
        <f t="shared" si="74"/>
        <v>6.2968201205726437E-4</v>
      </c>
      <c r="G327" s="741">
        <f t="shared" si="72"/>
        <v>31</v>
      </c>
      <c r="H327" s="1356">
        <f t="shared" si="75"/>
        <v>939282.59</v>
      </c>
    </row>
    <row r="328" spans="2:8" ht="13.5" customHeight="1">
      <c r="B328" s="1073">
        <v>44348</v>
      </c>
      <c r="C328" s="1073">
        <v>44377</v>
      </c>
      <c r="D328" s="1120">
        <v>0.1721</v>
      </c>
      <c r="E328" s="1344">
        <f t="shared" si="73"/>
        <v>0.25814999999999999</v>
      </c>
      <c r="F328" s="1344">
        <f t="shared" si="74"/>
        <v>6.2935518846773952E-4</v>
      </c>
      <c r="G328" s="741">
        <f t="shared" si="72"/>
        <v>30</v>
      </c>
      <c r="H328" s="1356">
        <f t="shared" si="75"/>
        <v>908511.36</v>
      </c>
    </row>
    <row r="329" spans="2:8" ht="13.5" customHeight="1">
      <c r="B329" s="1073">
        <v>44378</v>
      </c>
      <c r="C329" s="1073">
        <v>44408</v>
      </c>
      <c r="D329" s="1120">
        <v>0.17180000000000001</v>
      </c>
      <c r="E329" s="1344">
        <f t="shared" si="73"/>
        <v>0.25770000000000004</v>
      </c>
      <c r="F329" s="1344">
        <f t="shared" si="74"/>
        <v>6.2837448450037137E-4</v>
      </c>
      <c r="G329" s="741">
        <f t="shared" si="72"/>
        <v>31</v>
      </c>
      <c r="H329" s="1356">
        <f t="shared" si="75"/>
        <v>937332.18</v>
      </c>
    </row>
    <row r="330" spans="2:8" ht="13.5" customHeight="1">
      <c r="B330" s="1073">
        <v>44409</v>
      </c>
      <c r="C330" s="1073">
        <v>44438</v>
      </c>
      <c r="D330" s="1120">
        <v>0.1724</v>
      </c>
      <c r="E330" s="1120">
        <f t="shared" si="73"/>
        <v>0.2586</v>
      </c>
      <c r="F330" s="1344">
        <f t="shared" si="74"/>
        <v>6.3033554269220637E-4</v>
      </c>
      <c r="G330" s="741">
        <f t="shared" si="72"/>
        <v>30</v>
      </c>
      <c r="H330" s="1356">
        <f t="shared" si="75"/>
        <v>909926.56</v>
      </c>
    </row>
    <row r="331" spans="2:8" ht="13.5" customHeight="1">
      <c r="B331" s="1073">
        <v>44440</v>
      </c>
      <c r="C331" s="1073">
        <v>44469</v>
      </c>
      <c r="D331" s="1120">
        <v>0.1719</v>
      </c>
      <c r="E331" s="1344">
        <f t="shared" si="73"/>
        <v>0.25785000000000002</v>
      </c>
      <c r="F331" s="1344">
        <f t="shared" si="74"/>
        <v>6.2870142469861889E-4</v>
      </c>
      <c r="G331" s="741">
        <f t="shared" si="72"/>
        <v>30</v>
      </c>
      <c r="H331" s="1356">
        <f t="shared" si="75"/>
        <v>907567.61</v>
      </c>
    </row>
    <row r="332" spans="2:8" ht="13.5" customHeight="1">
      <c r="B332" s="1073">
        <v>44470</v>
      </c>
      <c r="C332" s="1073">
        <v>44500</v>
      </c>
      <c r="D332" s="1120">
        <v>0.17080000000000001</v>
      </c>
      <c r="E332" s="1120">
        <f t="shared" si="73"/>
        <v>0.25619999999999998</v>
      </c>
      <c r="F332" s="1344">
        <f t="shared" si="74"/>
        <v>6.2510294214179751E-4</v>
      </c>
      <c r="G332" s="741">
        <f t="shared" si="72"/>
        <v>31</v>
      </c>
      <c r="H332" s="1356">
        <f t="shared" si="75"/>
        <v>932452.09</v>
      </c>
    </row>
    <row r="333" spans="2:8" ht="13.5" customHeight="1">
      <c r="B333" s="1073">
        <v>44501</v>
      </c>
      <c r="C333" s="1073">
        <v>44530</v>
      </c>
      <c r="D333" s="1120">
        <v>0.17269999999999999</v>
      </c>
      <c r="E333" s="1344">
        <f t="shared" si="73"/>
        <v>0.25905</v>
      </c>
      <c r="F333" s="1344">
        <f t="shared" si="74"/>
        <v>6.3131554742335005E-4</v>
      </c>
      <c r="G333" s="741">
        <f t="shared" si="72"/>
        <v>30</v>
      </c>
      <c r="H333" s="1356">
        <f t="shared" si="75"/>
        <v>911341.25</v>
      </c>
    </row>
    <row r="334" spans="2:8" ht="13.5" customHeight="1">
      <c r="B334" s="1073">
        <v>44531</v>
      </c>
      <c r="C334" s="1073">
        <v>44561</v>
      </c>
      <c r="D334" s="1120">
        <v>0.17460000000000001</v>
      </c>
      <c r="E334" s="1120">
        <f t="shared" si="73"/>
        <v>0.26190000000000002</v>
      </c>
      <c r="F334" s="1344">
        <f t="shared" si="74"/>
        <v>6.3751414410861962E-4</v>
      </c>
      <c r="G334" s="741">
        <f t="shared" si="72"/>
        <v>31</v>
      </c>
      <c r="H334" s="1356">
        <f t="shared" si="75"/>
        <v>950965.6</v>
      </c>
    </row>
    <row r="335" spans="2:8" ht="13.5" customHeight="1">
      <c r="B335" s="1073">
        <v>44562</v>
      </c>
      <c r="C335" s="1073">
        <v>44592</v>
      </c>
      <c r="D335" s="1120">
        <v>0.17660000000000001</v>
      </c>
      <c r="E335" s="1344">
        <f t="shared" si="73"/>
        <v>0.26490000000000002</v>
      </c>
      <c r="F335" s="1344">
        <f t="shared" si="74"/>
        <v>6.4402391816376081E-4</v>
      </c>
      <c r="G335" s="741">
        <f t="shared" si="72"/>
        <v>31</v>
      </c>
      <c r="H335" s="1356">
        <f t="shared" si="75"/>
        <v>960676.09</v>
      </c>
    </row>
    <row r="336" spans="2:8" ht="13.5" customHeight="1">
      <c r="B336" s="1073">
        <v>44593</v>
      </c>
      <c r="C336" s="1073">
        <v>44620</v>
      </c>
      <c r="D336" s="1120">
        <v>0.183</v>
      </c>
      <c r="E336" s="1120">
        <f t="shared" si="73"/>
        <v>0.27449999999999997</v>
      </c>
      <c r="F336" s="1344">
        <f t="shared" si="74"/>
        <v>6.6475220558892545E-4</v>
      </c>
      <c r="G336" s="741">
        <f t="shared" si="72"/>
        <v>28</v>
      </c>
      <c r="H336" s="1356">
        <f t="shared" si="75"/>
        <v>895635.11</v>
      </c>
    </row>
    <row r="337" spans="2:8" ht="13.5" customHeight="1">
      <c r="B337" s="1073">
        <v>44621</v>
      </c>
      <c r="C337" s="1073">
        <v>44651</v>
      </c>
      <c r="D337" s="1120">
        <v>0.1847</v>
      </c>
      <c r="E337" s="1344">
        <f t="shared" si="73"/>
        <v>0.27705000000000002</v>
      </c>
      <c r="F337" s="1344">
        <f t="shared" si="74"/>
        <v>6.7023198611315671E-4</v>
      </c>
      <c r="G337" s="741">
        <f t="shared" si="72"/>
        <v>31</v>
      </c>
      <c r="H337" s="1356">
        <f t="shared" si="75"/>
        <v>999770.08</v>
      </c>
    </row>
    <row r="338" spans="2:8" ht="13.5" customHeight="1">
      <c r="B338" s="1073">
        <v>44652</v>
      </c>
      <c r="C338" s="1073">
        <v>44681</v>
      </c>
      <c r="D338" s="1120">
        <v>0.1905</v>
      </c>
      <c r="E338" s="1120">
        <f t="shared" si="73"/>
        <v>0.28575</v>
      </c>
      <c r="F338" s="1344">
        <f t="shared" si="74"/>
        <v>6.8884592812357148E-4</v>
      </c>
      <c r="G338" s="741">
        <f t="shared" si="72"/>
        <v>30</v>
      </c>
      <c r="H338" s="1356">
        <f t="shared" si="75"/>
        <v>994389.75</v>
      </c>
    </row>
    <row r="339" spans="2:8" ht="13.5" customHeight="1">
      <c r="B339" s="1073">
        <v>44682</v>
      </c>
      <c r="C339" s="1073">
        <v>44712</v>
      </c>
      <c r="D339" s="1120">
        <v>0.1971</v>
      </c>
      <c r="E339" s="1344">
        <f t="shared" si="73"/>
        <v>0.29564999999999997</v>
      </c>
      <c r="F339" s="1344">
        <f t="shared" si="74"/>
        <v>7.0987512909947981E-4</v>
      </c>
      <c r="G339" s="741">
        <f t="shared" si="72"/>
        <v>31</v>
      </c>
      <c r="H339" s="1356">
        <f t="shared" si="75"/>
        <v>1058904.8700000001</v>
      </c>
    </row>
    <row r="340" spans="2:8" ht="13.5" customHeight="1">
      <c r="B340" s="1073">
        <v>44713</v>
      </c>
      <c r="C340" s="1073">
        <v>44742</v>
      </c>
      <c r="D340" s="1120">
        <v>0.20399999999999999</v>
      </c>
      <c r="E340" s="1120">
        <f t="shared" si="73"/>
        <v>0.30599999999999999</v>
      </c>
      <c r="F340" s="1344">
        <f t="shared" si="74"/>
        <v>7.3168955664093538E-4</v>
      </c>
      <c r="G340" s="741">
        <f t="shared" si="72"/>
        <v>30</v>
      </c>
      <c r="H340" s="1356">
        <f t="shared" si="75"/>
        <v>1056237.06</v>
      </c>
    </row>
    <row r="341" spans="2:8" ht="13.5" customHeight="1">
      <c r="B341" s="1073">
        <v>44743</v>
      </c>
      <c r="C341" s="1073">
        <v>44773</v>
      </c>
      <c r="D341" s="1120">
        <v>0.21279999999999999</v>
      </c>
      <c r="E341" s="1344">
        <f t="shared" si="73"/>
        <v>0.31919999999999998</v>
      </c>
      <c r="F341" s="1344">
        <f t="shared" si="74"/>
        <v>7.5926204501630679E-4</v>
      </c>
      <c r="G341" s="741">
        <f t="shared" si="72"/>
        <v>31</v>
      </c>
      <c r="H341" s="1356">
        <f t="shared" si="75"/>
        <v>1132574.23</v>
      </c>
    </row>
    <row r="342" spans="2:8" ht="13.5" customHeight="1">
      <c r="B342" s="1073">
        <v>44774</v>
      </c>
      <c r="C342" s="1073">
        <v>44804</v>
      </c>
      <c r="D342" s="1120">
        <v>0.22209999999999999</v>
      </c>
      <c r="E342" s="1120">
        <f t="shared" si="73"/>
        <v>0.33315</v>
      </c>
      <c r="F342" s="1344">
        <f t="shared" si="74"/>
        <v>7.8810371394433254E-4</v>
      </c>
      <c r="G342" s="741">
        <f t="shared" si="72"/>
        <v>31</v>
      </c>
      <c r="H342" s="1356">
        <f t="shared" si="75"/>
        <v>1175596.7</v>
      </c>
    </row>
    <row r="343" spans="2:8" ht="13.5" customHeight="1">
      <c r="B343" s="1073">
        <v>44805</v>
      </c>
      <c r="C343" s="1073">
        <v>44834</v>
      </c>
      <c r="D343" s="1120">
        <v>0.23499999999999999</v>
      </c>
      <c r="E343" s="1344">
        <f t="shared" si="73"/>
        <v>0.35249999999999998</v>
      </c>
      <c r="F343" s="1344">
        <f t="shared" si="74"/>
        <v>8.2761552252574866E-4</v>
      </c>
      <c r="G343" s="741">
        <f t="shared" si="72"/>
        <v>30</v>
      </c>
      <c r="H343" s="1356">
        <f t="shared" si="75"/>
        <v>1194711.8500000001</v>
      </c>
    </row>
    <row r="344" spans="2:8" ht="13.5">
      <c r="B344" s="1073">
        <v>44835</v>
      </c>
      <c r="C344" s="1073">
        <v>44865</v>
      </c>
      <c r="D344" s="1120">
        <v>0.24610000000000001</v>
      </c>
      <c r="E344" s="1120">
        <f t="shared" si="73"/>
        <v>0.36915000000000003</v>
      </c>
      <c r="F344" s="1344">
        <f t="shared" si="74"/>
        <v>8.611654102768096E-4</v>
      </c>
      <c r="G344" s="741">
        <f t="shared" si="72"/>
        <v>31</v>
      </c>
      <c r="H344" s="1356">
        <f t="shared" si="75"/>
        <v>1284581.2</v>
      </c>
    </row>
    <row r="345" spans="2:8" ht="13.5">
      <c r="B345" s="1073">
        <v>44866</v>
      </c>
      <c r="C345" s="1073">
        <v>44895</v>
      </c>
      <c r="D345" s="1120">
        <v>0.25779999999999997</v>
      </c>
      <c r="E345" s="1344">
        <f t="shared" si="73"/>
        <v>0.38669999999999993</v>
      </c>
      <c r="F345" s="1344">
        <f t="shared" si="74"/>
        <v>8.9609117817124329E-4</v>
      </c>
      <c r="G345" s="741">
        <f t="shared" si="72"/>
        <v>30</v>
      </c>
      <c r="H345" s="1356">
        <f t="shared" si="75"/>
        <v>1293560.5</v>
      </c>
    </row>
    <row r="346" spans="2:8" ht="13.5">
      <c r="B346" s="1073">
        <v>44896</v>
      </c>
      <c r="C346" s="1073">
        <v>44926</v>
      </c>
      <c r="D346" s="1120">
        <v>0.27639999999999998</v>
      </c>
      <c r="E346" s="1120">
        <f t="shared" si="73"/>
        <v>0.41459999999999997</v>
      </c>
      <c r="F346" s="1344">
        <f t="shared" si="74"/>
        <v>9.5071686592063109E-4</v>
      </c>
      <c r="G346" s="741">
        <f t="shared" si="72"/>
        <v>31</v>
      </c>
      <c r="H346" s="1356">
        <f t="shared" si="75"/>
        <v>1418163.1</v>
      </c>
    </row>
    <row r="347" spans="2:8" ht="13.5">
      <c r="B347" s="1073">
        <v>44927</v>
      </c>
      <c r="C347" s="1073">
        <v>44957</v>
      </c>
      <c r="D347" s="1120">
        <v>0.28839999999999999</v>
      </c>
      <c r="E347" s="1120">
        <f t="shared" si="73"/>
        <v>0.43259999999999998</v>
      </c>
      <c r="F347" s="1344">
        <f t="shared" si="74"/>
        <v>9.8539196132163553E-4</v>
      </c>
      <c r="G347" s="741">
        <f t="shared" si="72"/>
        <v>31</v>
      </c>
      <c r="H347" s="1356">
        <f t="shared" si="75"/>
        <v>1469887.17</v>
      </c>
    </row>
    <row r="348" spans="2:8" ht="13.5">
      <c r="B348" s="1073">
        <v>44958</v>
      </c>
      <c r="C348" s="1073">
        <v>44985</v>
      </c>
      <c r="D348" s="1120">
        <v>0.30180000000000001</v>
      </c>
      <c r="E348" s="1344">
        <f t="shared" si="73"/>
        <v>0.45269999999999999</v>
      </c>
      <c r="F348" s="1344">
        <f t="shared" si="74"/>
        <v>1.0236026853662761E-3</v>
      </c>
      <c r="G348" s="741">
        <f t="shared" si="72"/>
        <v>28</v>
      </c>
      <c r="H348" s="1356">
        <f t="shared" si="75"/>
        <v>1379122.16</v>
      </c>
    </row>
    <row r="349" spans="2:8" ht="13.5">
      <c r="B349" s="1073">
        <v>44986</v>
      </c>
      <c r="C349" s="1073">
        <v>45016</v>
      </c>
      <c r="D349" s="1120">
        <v>0.30840000000000001</v>
      </c>
      <c r="E349" s="1120">
        <f t="shared" ref="E349:E350" si="76">+D349*1.5</f>
        <v>0.46260000000000001</v>
      </c>
      <c r="F349" s="1344">
        <f t="shared" ref="F349:F350" si="77">((1+E349)^(1/365)-1)</f>
        <v>1.0422295217955568E-3</v>
      </c>
      <c r="G349" s="741">
        <f t="shared" ref="G349:G350" si="78">+_xlfn.DAYS(C349,B349)+1</f>
        <v>31</v>
      </c>
      <c r="H349" s="1356">
        <f t="shared" ref="H349:H350" si="79">ROUND(F349*$E$312*G349,2)</f>
        <v>1554670.49</v>
      </c>
    </row>
    <row r="350" spans="2:8" ht="13.5">
      <c r="B350" s="1073">
        <v>45017</v>
      </c>
      <c r="C350" s="1073">
        <v>45046</v>
      </c>
      <c r="D350" s="1120">
        <v>0.31390000000000001</v>
      </c>
      <c r="E350" s="1120">
        <f t="shared" si="76"/>
        <v>0.47084999999999999</v>
      </c>
      <c r="F350" s="1344">
        <f t="shared" si="77"/>
        <v>1.0576560884423269E-3</v>
      </c>
      <c r="G350" s="741">
        <f t="shared" si="78"/>
        <v>30</v>
      </c>
      <c r="H350" s="1356">
        <f t="shared" si="79"/>
        <v>1526788.99</v>
      </c>
    </row>
    <row r="351" spans="2:8" ht="13.5">
      <c r="G351" s="1113" t="s">
        <v>117</v>
      </c>
      <c r="H351" s="1356">
        <f>SUM(H316:H350)</f>
        <v>36647775.949999996</v>
      </c>
    </row>
    <row r="353" spans="2:5" ht="13.5">
      <c r="B353" s="2672" t="s">
        <v>55</v>
      </c>
      <c r="C353" s="2672"/>
    </row>
    <row r="354" spans="2:5" ht="13.5">
      <c r="B354" s="737" t="s">
        <v>276</v>
      </c>
      <c r="C354" s="2154">
        <f>+E27</f>
        <v>372905744</v>
      </c>
    </row>
    <row r="355" spans="2:5" ht="13.5">
      <c r="B355" s="902" t="s">
        <v>338</v>
      </c>
      <c r="C355" s="2154">
        <f>+H351+H311+H269+H228+H188+H148+H108+H68</f>
        <v>265959168.30000001</v>
      </c>
      <c r="E355" s="593"/>
    </row>
    <row r="356" spans="2:5">
      <c r="B356" s="219" t="s">
        <v>1469</v>
      </c>
      <c r="C356" s="2154"/>
    </row>
    <row r="357" spans="2:5">
      <c r="B357" s="216" t="s">
        <v>1703</v>
      </c>
      <c r="C357" s="2154">
        <v>8333014.6299999999</v>
      </c>
    </row>
    <row r="358" spans="2:5">
      <c r="B358" s="216" t="s">
        <v>1704</v>
      </c>
      <c r="C358" s="2154">
        <v>4166507.32</v>
      </c>
    </row>
    <row r="359" spans="2:5">
      <c r="B359" s="1632" t="s">
        <v>1705</v>
      </c>
      <c r="C359" s="2250">
        <f>SUM(C354:C358)</f>
        <v>651364434.25</v>
      </c>
    </row>
    <row r="360" spans="2:5">
      <c r="B360" s="216" t="s">
        <v>1706</v>
      </c>
      <c r="C360" s="2154">
        <v>48000</v>
      </c>
    </row>
    <row r="361" spans="2:5">
      <c r="B361" s="1632" t="s">
        <v>1705</v>
      </c>
      <c r="C361" s="2386">
        <f>+C359-C360</f>
        <v>651316434.25</v>
      </c>
    </row>
    <row r="363" spans="2:5">
      <c r="C363" s="593"/>
    </row>
    <row r="364" spans="2:5" ht="25.5">
      <c r="B364" s="1579" t="s">
        <v>1702</v>
      </c>
      <c r="C364" s="2154">
        <v>11187172.32</v>
      </c>
    </row>
  </sheetData>
  <mergeCells count="10">
    <mergeCell ref="B11:D11"/>
    <mergeCell ref="B71:H71"/>
    <mergeCell ref="B31:H31"/>
    <mergeCell ref="B111:H111"/>
    <mergeCell ref="B151:H151"/>
    <mergeCell ref="B274:H274"/>
    <mergeCell ref="B314:H314"/>
    <mergeCell ref="B353:C353"/>
    <mergeCell ref="B191:H191"/>
    <mergeCell ref="B232:H232"/>
  </mergeCells>
  <conditionalFormatting sqref="B32:C32">
    <cfRule type="duplicateValues" dxfId="24" priority="7"/>
  </conditionalFormatting>
  <conditionalFormatting sqref="B72:C72">
    <cfRule type="duplicateValues" dxfId="23" priority="8"/>
  </conditionalFormatting>
  <conditionalFormatting sqref="B112:C112">
    <cfRule type="duplicateValues" dxfId="22" priority="6"/>
  </conditionalFormatting>
  <conditionalFormatting sqref="B152:C152">
    <cfRule type="duplicateValues" dxfId="21" priority="5"/>
  </conditionalFormatting>
  <conditionalFormatting sqref="B192:C192">
    <cfRule type="duplicateValues" dxfId="20" priority="4"/>
  </conditionalFormatting>
  <conditionalFormatting sqref="B233:C233">
    <cfRule type="duplicateValues" dxfId="19" priority="3"/>
  </conditionalFormatting>
  <conditionalFormatting sqref="B275:C275">
    <cfRule type="duplicateValues" dxfId="18" priority="2"/>
  </conditionalFormatting>
  <conditionalFormatting sqref="B315:C315">
    <cfRule type="duplicateValues" dxfId="17" priority="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Alcaldia Mayor de Cartagena de Indias</dc:creator>
  <cp:keywords/>
  <dc:description/>
  <cp:lastModifiedBy>Calidad</cp:lastModifiedBy>
  <cp:revision/>
  <dcterms:created xsi:type="dcterms:W3CDTF">2008-05-22T16:12:07Z</dcterms:created>
  <dcterms:modified xsi:type="dcterms:W3CDTF">2023-05-25T16:01:59Z</dcterms:modified>
  <cp:category/>
  <cp:contentStatus/>
</cp:coreProperties>
</file>